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70.xml" ContentType="application/vnd.openxmlformats-officedocument.spreadsheetml.worksheet+xml"/>
  <Override PartName="/xl/worksheets/sheet171.xml" ContentType="application/vnd.openxmlformats-officedocument.spreadsheetml.worksheet+xml"/>
  <Override PartName="/xl/worksheets/sheet172.xml" ContentType="application/vnd.openxmlformats-officedocument.spreadsheetml.worksheet+xml"/>
  <Override PartName="/xl/worksheets/sheet173.xml" ContentType="application/vnd.openxmlformats-officedocument.spreadsheetml.worksheet+xml"/>
  <Override PartName="/xl/worksheets/sheet174.xml" ContentType="application/vnd.openxmlformats-officedocument.spreadsheetml.worksheet+xml"/>
  <Override PartName="/xl/worksheets/sheet175.xml" ContentType="application/vnd.openxmlformats-officedocument.spreadsheetml.worksheet+xml"/>
  <Override PartName="/xl/worksheets/sheet176.xml" ContentType="application/vnd.openxmlformats-officedocument.spreadsheetml.worksheet+xml"/>
  <Override PartName="/xl/worksheets/sheet177.xml" ContentType="application/vnd.openxmlformats-officedocument.spreadsheetml.worksheet+xml"/>
  <Override PartName="/xl/worksheets/sheet178.xml" ContentType="application/vnd.openxmlformats-officedocument.spreadsheetml.worksheet+xml"/>
  <Override PartName="/xl/worksheets/sheet179.xml" ContentType="application/vnd.openxmlformats-officedocument.spreadsheetml.worksheet+xml"/>
  <Override PartName="/xl/worksheets/sheet180.xml" ContentType="application/vnd.openxmlformats-officedocument.spreadsheetml.worksheet+xml"/>
  <Override PartName="/xl/worksheets/sheet181.xml" ContentType="application/vnd.openxmlformats-officedocument.spreadsheetml.worksheet+xml"/>
  <Override PartName="/xl/worksheets/sheet182.xml" ContentType="application/vnd.openxmlformats-officedocument.spreadsheetml.worksheet+xml"/>
  <Override PartName="/xl/worksheets/sheet183.xml" ContentType="application/vnd.openxmlformats-officedocument.spreadsheetml.worksheet+xml"/>
  <Override PartName="/xl/worksheets/sheet184.xml" ContentType="application/vnd.openxmlformats-officedocument.spreadsheetml.worksheet+xml"/>
  <Override PartName="/xl/worksheets/sheet185.xml" ContentType="application/vnd.openxmlformats-officedocument.spreadsheetml.worksheet+xml"/>
  <Override PartName="/xl/worksheets/sheet186.xml" ContentType="application/vnd.openxmlformats-officedocument.spreadsheetml.worksheet+xml"/>
  <Override PartName="/xl/worksheets/sheet187.xml" ContentType="application/vnd.openxmlformats-officedocument.spreadsheetml.worksheet+xml"/>
  <Override PartName="/xl/worksheets/sheet188.xml" ContentType="application/vnd.openxmlformats-officedocument.spreadsheetml.worksheet+xml"/>
  <Override PartName="/xl/worksheets/sheet189.xml" ContentType="application/vnd.openxmlformats-officedocument.spreadsheetml.worksheet+xml"/>
  <Override PartName="/xl/worksheets/sheet190.xml" ContentType="application/vnd.openxmlformats-officedocument.spreadsheetml.worksheet+xml"/>
  <Override PartName="/xl/worksheets/sheet191.xml" ContentType="application/vnd.openxmlformats-officedocument.spreadsheetml.worksheet+xml"/>
  <Override PartName="/xl/worksheets/sheet192.xml" ContentType="application/vnd.openxmlformats-officedocument.spreadsheetml.worksheet+xml"/>
  <Override PartName="/xl/worksheets/sheet193.xml" ContentType="application/vnd.openxmlformats-officedocument.spreadsheetml.worksheet+xml"/>
  <Override PartName="/xl/worksheets/sheet194.xml" ContentType="application/vnd.openxmlformats-officedocument.spreadsheetml.worksheet+xml"/>
  <Override PartName="/xl/worksheets/sheet195.xml" ContentType="application/vnd.openxmlformats-officedocument.spreadsheetml.worksheet+xml"/>
  <Override PartName="/xl/worksheets/sheet196.xml" ContentType="application/vnd.openxmlformats-officedocument.spreadsheetml.worksheet+xml"/>
  <Override PartName="/xl/worksheets/sheet197.xml" ContentType="application/vnd.openxmlformats-officedocument.spreadsheetml.worksheet+xml"/>
  <Override PartName="/xl/worksheets/sheet198.xml" ContentType="application/vnd.openxmlformats-officedocument.spreadsheetml.worksheet+xml"/>
  <Override PartName="/xl/worksheets/sheet19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ctrlProps/ctrlProp2.xml" ContentType="application/vnd.ms-excel.controlproperties+xml"/>
  <Override PartName="/xl/charts/chart1.xml" ContentType="application/vnd.openxmlformats-officedocument.drawingml.chart+xml"/>
  <Override PartName="/xl/drawings/drawing3.xml" ContentType="application/vnd.openxmlformats-officedocument.drawing+xml"/>
  <Override PartName="/xl/ctrlProps/ctrlProp3.xml" ContentType="application/vnd.ms-excel.controlproperties+xml"/>
  <Override PartName="/xl/charts/chart2.xml" ContentType="application/vnd.openxmlformats-officedocument.drawingml.chart+xml"/>
  <Override PartName="/xl/drawings/drawing4.xml" ContentType="application/vnd.openxmlformats-officedocument.drawing+xml"/>
  <Override PartName="/xl/ctrlProps/ctrlProp4.xml" ContentType="application/vnd.ms-excel.controlproperties+xml"/>
  <Override PartName="/xl/charts/chart3.xml" ContentType="application/vnd.openxmlformats-officedocument.drawingml.chart+xml"/>
  <Override PartName="/xl/drawings/drawing5.xml" ContentType="application/vnd.openxmlformats-officedocument.drawing+xml"/>
  <Override PartName="/xl/ctrlProps/ctrlProp5.xml" ContentType="application/vnd.ms-excel.controlproperties+xml"/>
  <Override PartName="/xl/charts/chart4.xml" ContentType="application/vnd.openxmlformats-officedocument.drawingml.chart+xml"/>
  <Override PartName="/xl/drawings/drawing6.xml" ContentType="application/vnd.openxmlformats-officedocument.drawing+xml"/>
  <Override PartName="/xl/ctrlProps/ctrlProp6.xml" ContentType="application/vnd.ms-excel.controlproperties+xml"/>
  <Override PartName="/xl/charts/chart5.xml" ContentType="application/vnd.openxmlformats-officedocument.drawingml.chart+xml"/>
  <Override PartName="/xl/drawings/drawing7.xml" ContentType="application/vnd.openxmlformats-officedocument.drawing+xml"/>
  <Override PartName="/xl/ctrlProps/ctrlProp7.xml" ContentType="application/vnd.ms-excel.controlproperties+xml"/>
  <Override PartName="/xl/charts/chart6.xml" ContentType="application/vnd.openxmlformats-officedocument.drawingml.chart+xml"/>
  <Override PartName="/xl/drawings/drawing8.xml" ContentType="application/vnd.openxmlformats-officedocument.drawing+xml"/>
  <Override PartName="/xl/ctrlProps/ctrlProp8.xml" ContentType="application/vnd.ms-excel.controlproperties+xml"/>
  <Override PartName="/xl/charts/chart7.xml" ContentType="application/vnd.openxmlformats-officedocument.drawingml.chart+xml"/>
  <Override PartName="/xl/drawings/drawing9.xml" ContentType="application/vnd.openxmlformats-officedocument.drawing+xml"/>
  <Override PartName="/xl/ctrlProps/ctrlProp9.xml" ContentType="application/vnd.ms-excel.controlproperties+xml"/>
  <Override PartName="/xl/charts/chart8.xml" ContentType="application/vnd.openxmlformats-officedocument.drawingml.chart+xml"/>
  <Override PartName="/xl/drawings/drawing10.xml" ContentType="application/vnd.openxmlformats-officedocument.drawing+xml"/>
  <Override PartName="/xl/ctrlProps/ctrlProp10.xml" ContentType="application/vnd.ms-excel.controlproperties+xml"/>
  <Override PartName="/xl/charts/chart9.xml" ContentType="application/vnd.openxmlformats-officedocument.drawingml.chart+xml"/>
  <Override PartName="/xl/drawings/drawing11.xml" ContentType="application/vnd.openxmlformats-officedocument.drawing+xml"/>
  <Override PartName="/xl/ctrlProps/ctrlProp11.xml" ContentType="application/vnd.ms-excel.controlproperties+xml"/>
  <Override PartName="/xl/charts/chart10.xml" ContentType="application/vnd.openxmlformats-officedocument.drawingml.chart+xml"/>
  <Override PartName="/xl/drawings/drawing12.xml" ContentType="application/vnd.openxmlformats-officedocument.drawing+xml"/>
  <Override PartName="/xl/ctrlProps/ctrlProp12.xml" ContentType="application/vnd.ms-excel.controlproperties+xml"/>
  <Override PartName="/xl/charts/chart11.xml" ContentType="application/vnd.openxmlformats-officedocument.drawingml.chart+xml"/>
  <Override PartName="/xl/drawings/drawing13.xml" ContentType="application/vnd.openxmlformats-officedocument.drawing+xml"/>
  <Override PartName="/xl/ctrlProps/ctrlProp13.xml" ContentType="application/vnd.ms-excel.controlproperties+xml"/>
  <Override PartName="/xl/charts/chart12.xml" ContentType="application/vnd.openxmlformats-officedocument.drawingml.chart+xml"/>
  <Override PartName="/xl/drawings/drawing14.xml" ContentType="application/vnd.openxmlformats-officedocument.drawing+xml"/>
  <Override PartName="/xl/ctrlProps/ctrlProp14.xml" ContentType="application/vnd.ms-excel.controlproperties+xml"/>
  <Override PartName="/xl/charts/chart13.xml" ContentType="application/vnd.openxmlformats-officedocument.drawingml.chart+xml"/>
  <Override PartName="/xl/drawings/drawing15.xml" ContentType="application/vnd.openxmlformats-officedocument.drawing+xml"/>
  <Override PartName="/xl/ctrlProps/ctrlProp15.xml" ContentType="application/vnd.ms-excel.controlproperties+xml"/>
  <Override PartName="/xl/charts/chart14.xml" ContentType="application/vnd.openxmlformats-officedocument.drawingml.chart+xml"/>
  <Override PartName="/xl/drawings/drawing16.xml" ContentType="application/vnd.openxmlformats-officedocument.drawing+xml"/>
  <Override PartName="/xl/ctrlProps/ctrlProp16.xml" ContentType="application/vnd.ms-excel.controlproperties+xml"/>
  <Override PartName="/xl/charts/chart15.xml" ContentType="application/vnd.openxmlformats-officedocument.drawingml.chart+xml"/>
  <Override PartName="/xl/drawings/drawing17.xml" ContentType="application/vnd.openxmlformats-officedocument.drawing+xml"/>
  <Override PartName="/xl/ctrlProps/ctrlProp17.xml" ContentType="application/vnd.ms-excel.controlproperties+xml"/>
  <Override PartName="/xl/charts/chart16.xml" ContentType="application/vnd.openxmlformats-officedocument.drawingml.chart+xml"/>
  <Override PartName="/xl/drawings/drawing18.xml" ContentType="application/vnd.openxmlformats-officedocument.drawing+xml"/>
  <Override PartName="/xl/ctrlProps/ctrlProp18.xml" ContentType="application/vnd.ms-excel.controlproperties+xml"/>
  <Override PartName="/xl/charts/chart17.xml" ContentType="application/vnd.openxmlformats-officedocument.drawingml.chart+xml"/>
  <Override PartName="/xl/drawings/drawing19.xml" ContentType="application/vnd.openxmlformats-officedocument.drawing+xml"/>
  <Override PartName="/xl/ctrlProps/ctrlProp19.xml" ContentType="application/vnd.ms-excel.controlproperties+xml"/>
  <Override PartName="/xl/charts/chart18.xml" ContentType="application/vnd.openxmlformats-officedocument.drawingml.chart+xml"/>
  <Override PartName="/xl/drawings/drawing20.xml" ContentType="application/vnd.openxmlformats-officedocument.drawing+xml"/>
  <Override PartName="/xl/ctrlProps/ctrlProp20.xml" ContentType="application/vnd.ms-excel.controlproperties+xml"/>
  <Override PartName="/xl/charts/chart19.xml" ContentType="application/vnd.openxmlformats-officedocument.drawingml.chart+xml"/>
  <Override PartName="/xl/drawings/drawing21.xml" ContentType="application/vnd.openxmlformats-officedocument.drawing+xml"/>
  <Override PartName="/xl/ctrlProps/ctrlProp21.xml" ContentType="application/vnd.ms-excel.controlproperties+xml"/>
  <Override PartName="/xl/charts/chart20.xml" ContentType="application/vnd.openxmlformats-officedocument.drawingml.chart+xml"/>
  <Override PartName="/xl/drawings/drawing22.xml" ContentType="application/vnd.openxmlformats-officedocument.drawing+xml"/>
  <Override PartName="/xl/ctrlProps/ctrlProp22.xml" ContentType="application/vnd.ms-excel.controlproperties+xml"/>
  <Override PartName="/xl/charts/chart21.xml" ContentType="application/vnd.openxmlformats-officedocument.drawingml.chart+xml"/>
  <Override PartName="/xl/drawings/drawing23.xml" ContentType="application/vnd.openxmlformats-officedocument.drawing+xml"/>
  <Override PartName="/xl/ctrlProps/ctrlProp23.xml" ContentType="application/vnd.ms-excel.controlproperties+xml"/>
  <Override PartName="/xl/charts/chart22.xml" ContentType="application/vnd.openxmlformats-officedocument.drawingml.chart+xml"/>
  <Override PartName="/xl/drawings/drawing24.xml" ContentType="application/vnd.openxmlformats-officedocument.drawing+xml"/>
  <Override PartName="/xl/ctrlProps/ctrlProp24.xml" ContentType="application/vnd.ms-excel.controlproperties+xml"/>
  <Override PartName="/xl/charts/chart23.xml" ContentType="application/vnd.openxmlformats-officedocument.drawingml.chart+xml"/>
  <Override PartName="/xl/drawings/drawing25.xml" ContentType="application/vnd.openxmlformats-officedocument.drawing+xml"/>
  <Override PartName="/xl/ctrlProps/ctrlProp25.xml" ContentType="application/vnd.ms-excel.controlproperties+xml"/>
  <Override PartName="/xl/charts/chart24.xml" ContentType="application/vnd.openxmlformats-officedocument.drawingml.chart+xml"/>
  <Override PartName="/xl/drawings/drawing26.xml" ContentType="application/vnd.openxmlformats-officedocument.drawing+xml"/>
  <Override PartName="/xl/ctrlProps/ctrlProp26.xml" ContentType="application/vnd.ms-excel.controlproperties+xml"/>
  <Override PartName="/xl/charts/chart25.xml" ContentType="application/vnd.openxmlformats-officedocument.drawingml.chart+xml"/>
  <Override PartName="/xl/drawings/drawing27.xml" ContentType="application/vnd.openxmlformats-officedocument.drawing+xml"/>
  <Override PartName="/xl/ctrlProps/ctrlProp27.xml" ContentType="application/vnd.ms-excel.controlproperties+xml"/>
  <Override PartName="/xl/charts/chart26.xml" ContentType="application/vnd.openxmlformats-officedocument.drawingml.chart+xml"/>
  <Override PartName="/xl/drawings/drawing28.xml" ContentType="application/vnd.openxmlformats-officedocument.drawing+xml"/>
  <Override PartName="/xl/ctrlProps/ctrlProp28.xml" ContentType="application/vnd.ms-excel.controlproperties+xml"/>
  <Override PartName="/xl/charts/chart27.xml" ContentType="application/vnd.openxmlformats-officedocument.drawingml.chart+xml"/>
  <Override PartName="/xl/drawings/drawing29.xml" ContentType="application/vnd.openxmlformats-officedocument.drawing+xml"/>
  <Override PartName="/xl/ctrlProps/ctrlProp29.xml" ContentType="application/vnd.ms-excel.controlproperties+xml"/>
  <Override PartName="/xl/charts/chart28.xml" ContentType="application/vnd.openxmlformats-officedocument.drawingml.chart+xml"/>
  <Override PartName="/xl/drawings/drawing30.xml" ContentType="application/vnd.openxmlformats-officedocument.drawing+xml"/>
  <Override PartName="/xl/ctrlProps/ctrlProp30.xml" ContentType="application/vnd.ms-excel.controlproperties+xml"/>
  <Override PartName="/xl/charts/chart29.xml" ContentType="application/vnd.openxmlformats-officedocument.drawingml.chart+xml"/>
  <Override PartName="/xl/drawings/drawing31.xml" ContentType="application/vnd.openxmlformats-officedocument.drawing+xml"/>
  <Override PartName="/xl/ctrlProps/ctrlProp31.xml" ContentType="application/vnd.ms-excel.controlproperties+xml"/>
  <Override PartName="/xl/charts/chart30.xml" ContentType="application/vnd.openxmlformats-officedocument.drawingml.chart+xml"/>
  <Override PartName="/xl/drawings/drawing32.xml" ContentType="application/vnd.openxmlformats-officedocument.drawing+xml"/>
  <Override PartName="/xl/ctrlProps/ctrlProp32.xml" ContentType="application/vnd.ms-excel.controlproperties+xml"/>
  <Override PartName="/xl/charts/chart31.xml" ContentType="application/vnd.openxmlformats-officedocument.drawingml.chart+xml"/>
  <Override PartName="/xl/drawings/drawing33.xml" ContentType="application/vnd.openxmlformats-officedocument.drawing+xml"/>
  <Override PartName="/xl/ctrlProps/ctrlProp33.xml" ContentType="application/vnd.ms-excel.controlproperties+xml"/>
  <Override PartName="/xl/charts/chart32.xml" ContentType="application/vnd.openxmlformats-officedocument.drawingml.chart+xml"/>
  <Override PartName="/xl/drawings/drawing34.xml" ContentType="application/vnd.openxmlformats-officedocument.drawing+xml"/>
  <Override PartName="/xl/ctrlProps/ctrlProp34.xml" ContentType="application/vnd.ms-excel.controlproperties+xml"/>
  <Override PartName="/xl/charts/chart33.xml" ContentType="application/vnd.openxmlformats-officedocument.drawingml.chart+xml"/>
  <Override PartName="/xl/drawings/drawing35.xml" ContentType="application/vnd.openxmlformats-officedocument.drawing+xml"/>
  <Override PartName="/xl/ctrlProps/ctrlProp35.xml" ContentType="application/vnd.ms-excel.controlproperties+xml"/>
  <Override PartName="/xl/charts/chart34.xml" ContentType="application/vnd.openxmlformats-officedocument.drawingml.chart+xml"/>
  <Override PartName="/xl/drawings/drawing36.xml" ContentType="application/vnd.openxmlformats-officedocument.drawing+xml"/>
  <Override PartName="/xl/ctrlProps/ctrlProp36.xml" ContentType="application/vnd.ms-excel.controlproperties+xml"/>
  <Override PartName="/xl/charts/chart35.xml" ContentType="application/vnd.openxmlformats-officedocument.drawingml.chart+xml"/>
  <Override PartName="/xl/drawings/drawing37.xml" ContentType="application/vnd.openxmlformats-officedocument.drawing+xml"/>
  <Override PartName="/xl/ctrlProps/ctrlProp37.xml" ContentType="application/vnd.ms-excel.controlproperties+xml"/>
  <Override PartName="/xl/charts/chart36.xml" ContentType="application/vnd.openxmlformats-officedocument.drawingml.chart+xml"/>
  <Override PartName="/xl/drawings/drawing38.xml" ContentType="application/vnd.openxmlformats-officedocument.drawing+xml"/>
  <Override PartName="/xl/ctrlProps/ctrlProp38.xml" ContentType="application/vnd.ms-excel.controlproperties+xml"/>
  <Override PartName="/xl/charts/chart37.xml" ContentType="application/vnd.openxmlformats-officedocument.drawingml.chart+xml"/>
  <Override PartName="/xl/drawings/drawing39.xml" ContentType="application/vnd.openxmlformats-officedocument.drawing+xml"/>
  <Override PartName="/xl/ctrlProps/ctrlProp39.xml" ContentType="application/vnd.ms-excel.controlproperties+xml"/>
  <Override PartName="/xl/charts/chart38.xml" ContentType="application/vnd.openxmlformats-officedocument.drawingml.chart+xml"/>
  <Override PartName="/xl/drawings/drawing40.xml" ContentType="application/vnd.openxmlformats-officedocument.drawing+xml"/>
  <Override PartName="/xl/ctrlProps/ctrlProp40.xml" ContentType="application/vnd.ms-excel.controlproperties+xml"/>
  <Override PartName="/xl/charts/chart39.xml" ContentType="application/vnd.openxmlformats-officedocument.drawingml.chart+xml"/>
  <Override PartName="/xl/drawings/drawing41.xml" ContentType="application/vnd.openxmlformats-officedocument.drawing+xml"/>
  <Override PartName="/xl/ctrlProps/ctrlProp41.xml" ContentType="application/vnd.ms-excel.controlproperties+xml"/>
  <Override PartName="/xl/charts/chart40.xml" ContentType="application/vnd.openxmlformats-officedocument.drawingml.chart+xml"/>
  <Override PartName="/xl/drawings/drawing42.xml" ContentType="application/vnd.openxmlformats-officedocument.drawing+xml"/>
  <Override PartName="/xl/ctrlProps/ctrlProp42.xml" ContentType="application/vnd.ms-excel.controlproperties+xml"/>
  <Override PartName="/xl/charts/chart41.xml" ContentType="application/vnd.openxmlformats-officedocument.drawingml.chart+xml"/>
  <Override PartName="/xl/drawings/drawing43.xml" ContentType="application/vnd.openxmlformats-officedocument.drawing+xml"/>
  <Override PartName="/xl/ctrlProps/ctrlProp43.xml" ContentType="application/vnd.ms-excel.controlproperties+xml"/>
  <Override PartName="/xl/charts/chart42.xml" ContentType="application/vnd.openxmlformats-officedocument.drawingml.chart+xml"/>
  <Override PartName="/xl/drawings/drawing44.xml" ContentType="application/vnd.openxmlformats-officedocument.drawing+xml"/>
  <Override PartName="/xl/ctrlProps/ctrlProp44.xml" ContentType="application/vnd.ms-excel.controlproperties+xml"/>
  <Override PartName="/xl/charts/chart43.xml" ContentType="application/vnd.openxmlformats-officedocument.drawingml.chart+xml"/>
  <Override PartName="/xl/drawings/drawing45.xml" ContentType="application/vnd.openxmlformats-officedocument.drawing+xml"/>
  <Override PartName="/xl/ctrlProps/ctrlProp45.xml" ContentType="application/vnd.ms-excel.controlproperties+xml"/>
  <Override PartName="/xl/charts/chart44.xml" ContentType="application/vnd.openxmlformats-officedocument.drawingml.chart+xml"/>
  <Override PartName="/xl/drawings/drawing46.xml" ContentType="application/vnd.openxmlformats-officedocument.drawing+xml"/>
  <Override PartName="/xl/ctrlProps/ctrlProp46.xml" ContentType="application/vnd.ms-excel.controlproperties+xml"/>
  <Override PartName="/xl/charts/chart45.xml" ContentType="application/vnd.openxmlformats-officedocument.drawingml.chart+xml"/>
  <Override PartName="/xl/drawings/drawing47.xml" ContentType="application/vnd.openxmlformats-officedocument.drawing+xml"/>
  <Override PartName="/xl/ctrlProps/ctrlProp47.xml" ContentType="application/vnd.ms-excel.controlproperties+xml"/>
  <Override PartName="/xl/charts/chart46.xml" ContentType="application/vnd.openxmlformats-officedocument.drawingml.chart+xml"/>
  <Override PartName="/xl/drawings/drawing48.xml" ContentType="application/vnd.openxmlformats-officedocument.drawing+xml"/>
  <Override PartName="/xl/ctrlProps/ctrlProp48.xml" ContentType="application/vnd.ms-excel.controlproperties+xml"/>
  <Override PartName="/xl/charts/chart47.xml" ContentType="application/vnd.openxmlformats-officedocument.drawingml.chart+xml"/>
  <Override PartName="/xl/drawings/drawing49.xml" ContentType="application/vnd.openxmlformats-officedocument.drawing+xml"/>
  <Override PartName="/xl/ctrlProps/ctrlProp49.xml" ContentType="application/vnd.ms-excel.controlproperties+xml"/>
  <Override PartName="/xl/charts/chart48.xml" ContentType="application/vnd.openxmlformats-officedocument.drawingml.chart+xml"/>
  <Override PartName="/xl/drawings/drawing50.xml" ContentType="application/vnd.openxmlformats-officedocument.drawing+xml"/>
  <Override PartName="/xl/ctrlProps/ctrlProp50.xml" ContentType="application/vnd.ms-excel.controlproperties+xml"/>
  <Override PartName="/xl/charts/chart49.xml" ContentType="application/vnd.openxmlformats-officedocument.drawingml.chart+xml"/>
  <Override PartName="/xl/drawings/drawing51.xml" ContentType="application/vnd.openxmlformats-officedocument.drawing+xml"/>
  <Override PartName="/xl/ctrlProps/ctrlProp51.xml" ContentType="application/vnd.ms-excel.controlproperties+xml"/>
  <Override PartName="/xl/charts/chart50.xml" ContentType="application/vnd.openxmlformats-officedocument.drawingml.chart+xml"/>
  <Override PartName="/xl/drawings/drawing52.xml" ContentType="application/vnd.openxmlformats-officedocument.drawing+xml"/>
  <Override PartName="/xl/ctrlProps/ctrlProp52.xml" ContentType="application/vnd.ms-excel.controlproperties+xml"/>
  <Override PartName="/xl/charts/chart51.xml" ContentType="application/vnd.openxmlformats-officedocument.drawingml.chart+xml"/>
  <Override PartName="/xl/drawings/drawing53.xml" ContentType="application/vnd.openxmlformats-officedocument.drawing+xml"/>
  <Override PartName="/xl/ctrlProps/ctrlProp53.xml" ContentType="application/vnd.ms-excel.controlproperties+xml"/>
  <Override PartName="/xl/charts/chart52.xml" ContentType="application/vnd.openxmlformats-officedocument.drawingml.chart+xml"/>
  <Override PartName="/xl/drawings/drawing54.xml" ContentType="application/vnd.openxmlformats-officedocument.drawing+xml"/>
  <Override PartName="/xl/ctrlProps/ctrlProp54.xml" ContentType="application/vnd.ms-excel.controlproperties+xml"/>
  <Override PartName="/xl/charts/chart53.xml" ContentType="application/vnd.openxmlformats-officedocument.drawingml.chart+xml"/>
  <Override PartName="/xl/drawings/drawing55.xml" ContentType="application/vnd.openxmlformats-officedocument.drawing+xml"/>
  <Override PartName="/xl/ctrlProps/ctrlProp55.xml" ContentType="application/vnd.ms-excel.controlproperties+xml"/>
  <Override PartName="/xl/charts/chart54.xml" ContentType="application/vnd.openxmlformats-officedocument.drawingml.chart+xml"/>
  <Override PartName="/xl/drawings/drawing56.xml" ContentType="application/vnd.openxmlformats-officedocument.drawing+xml"/>
  <Override PartName="/xl/ctrlProps/ctrlProp56.xml" ContentType="application/vnd.ms-excel.controlproperties+xml"/>
  <Override PartName="/xl/charts/chart55.xml" ContentType="application/vnd.openxmlformats-officedocument.drawingml.chart+xml"/>
  <Override PartName="/xl/drawings/drawing57.xml" ContentType="application/vnd.openxmlformats-officedocument.drawing+xml"/>
  <Override PartName="/xl/ctrlProps/ctrlProp57.xml" ContentType="application/vnd.ms-excel.controlproperties+xml"/>
  <Override PartName="/xl/charts/chart56.xml" ContentType="application/vnd.openxmlformats-officedocument.drawingml.chart+xml"/>
  <Override PartName="/xl/drawings/drawing58.xml" ContentType="application/vnd.openxmlformats-officedocument.drawing+xml"/>
  <Override PartName="/xl/ctrlProps/ctrlProp58.xml" ContentType="application/vnd.ms-excel.controlproperties+xml"/>
  <Override PartName="/xl/charts/chart57.xml" ContentType="application/vnd.openxmlformats-officedocument.drawingml.chart+xml"/>
  <Override PartName="/xl/drawings/drawing59.xml" ContentType="application/vnd.openxmlformats-officedocument.drawing+xml"/>
  <Override PartName="/xl/ctrlProps/ctrlProp59.xml" ContentType="application/vnd.ms-excel.controlproperties+xml"/>
  <Override PartName="/xl/charts/chart58.xml" ContentType="application/vnd.openxmlformats-officedocument.drawingml.chart+xml"/>
  <Override PartName="/xl/drawings/drawing60.xml" ContentType="application/vnd.openxmlformats-officedocument.drawing+xml"/>
  <Override PartName="/xl/ctrlProps/ctrlProp60.xml" ContentType="application/vnd.ms-excel.controlproperties+xml"/>
  <Override PartName="/xl/charts/chart59.xml" ContentType="application/vnd.openxmlformats-officedocument.drawingml.chart+xml"/>
  <Override PartName="/xl/drawings/drawing61.xml" ContentType="application/vnd.openxmlformats-officedocument.drawing+xml"/>
  <Override PartName="/xl/ctrlProps/ctrlProp61.xml" ContentType="application/vnd.ms-excel.controlproperties+xml"/>
  <Override PartName="/xl/charts/chart60.xml" ContentType="application/vnd.openxmlformats-officedocument.drawingml.chart+xml"/>
  <Override PartName="/xl/drawings/drawing62.xml" ContentType="application/vnd.openxmlformats-officedocument.drawing+xml"/>
  <Override PartName="/xl/ctrlProps/ctrlProp62.xml" ContentType="application/vnd.ms-excel.controlproperties+xml"/>
  <Override PartName="/xl/charts/chart61.xml" ContentType="application/vnd.openxmlformats-officedocument.drawingml.chart+xml"/>
  <Override PartName="/xl/drawings/drawing63.xml" ContentType="application/vnd.openxmlformats-officedocument.drawing+xml"/>
  <Override PartName="/xl/ctrlProps/ctrlProp63.xml" ContentType="application/vnd.ms-excel.controlproperties+xml"/>
  <Override PartName="/xl/charts/chart62.xml" ContentType="application/vnd.openxmlformats-officedocument.drawingml.chart+xml"/>
  <Override PartName="/xl/drawings/drawing64.xml" ContentType="application/vnd.openxmlformats-officedocument.drawing+xml"/>
  <Override PartName="/xl/ctrlProps/ctrlProp64.xml" ContentType="application/vnd.ms-excel.controlproperties+xml"/>
  <Override PartName="/xl/charts/chart63.xml" ContentType="application/vnd.openxmlformats-officedocument.drawingml.chart+xml"/>
  <Override PartName="/xl/drawings/drawing65.xml" ContentType="application/vnd.openxmlformats-officedocument.drawing+xml"/>
  <Override PartName="/xl/ctrlProps/ctrlProp65.xml" ContentType="application/vnd.ms-excel.controlproperties+xml"/>
  <Override PartName="/xl/charts/chart64.xml" ContentType="application/vnd.openxmlformats-officedocument.drawingml.chart+xml"/>
  <Override PartName="/xl/drawings/drawing66.xml" ContentType="application/vnd.openxmlformats-officedocument.drawing+xml"/>
  <Override PartName="/xl/ctrlProps/ctrlProp66.xml" ContentType="application/vnd.ms-excel.controlproperties+xml"/>
  <Override PartName="/xl/charts/chart65.xml" ContentType="application/vnd.openxmlformats-officedocument.drawingml.chart+xml"/>
  <Override PartName="/xl/drawings/drawing67.xml" ContentType="application/vnd.openxmlformats-officedocument.drawing+xml"/>
  <Override PartName="/xl/ctrlProps/ctrlProp67.xml" ContentType="application/vnd.ms-excel.controlproperties+xml"/>
  <Override PartName="/xl/charts/chart66.xml" ContentType="application/vnd.openxmlformats-officedocument.drawingml.chart+xml"/>
  <Override PartName="/xl/drawings/drawing68.xml" ContentType="application/vnd.openxmlformats-officedocument.drawing+xml"/>
  <Override PartName="/xl/ctrlProps/ctrlProp68.xml" ContentType="application/vnd.ms-excel.controlproperties+xml"/>
  <Override PartName="/xl/charts/chart67.xml" ContentType="application/vnd.openxmlformats-officedocument.drawingml.chart+xml"/>
  <Override PartName="/xl/drawings/drawing69.xml" ContentType="application/vnd.openxmlformats-officedocument.drawing+xml"/>
  <Override PartName="/xl/ctrlProps/ctrlProp69.xml" ContentType="application/vnd.ms-excel.controlproperties+xml"/>
  <Override PartName="/xl/charts/chart68.xml" ContentType="application/vnd.openxmlformats-officedocument.drawingml.chart+xml"/>
  <Override PartName="/xl/drawings/drawing70.xml" ContentType="application/vnd.openxmlformats-officedocument.drawing+xml"/>
  <Override PartName="/xl/ctrlProps/ctrlProp70.xml" ContentType="application/vnd.ms-excel.controlproperties+xml"/>
  <Override PartName="/xl/charts/chart69.xml" ContentType="application/vnd.openxmlformats-officedocument.drawingml.chart+xml"/>
  <Override PartName="/xl/drawings/drawing71.xml" ContentType="application/vnd.openxmlformats-officedocument.drawing+xml"/>
  <Override PartName="/xl/ctrlProps/ctrlProp71.xml" ContentType="application/vnd.ms-excel.controlproperties+xml"/>
  <Override PartName="/xl/charts/chart70.xml" ContentType="application/vnd.openxmlformats-officedocument.drawingml.chart+xml"/>
  <Override PartName="/xl/drawings/drawing72.xml" ContentType="application/vnd.openxmlformats-officedocument.drawing+xml"/>
  <Override PartName="/xl/ctrlProps/ctrlProp72.xml" ContentType="application/vnd.ms-excel.controlproperties+xml"/>
  <Override PartName="/xl/charts/chart71.xml" ContentType="application/vnd.openxmlformats-officedocument.drawingml.chart+xml"/>
  <Override PartName="/xl/drawings/drawing73.xml" ContentType="application/vnd.openxmlformats-officedocument.drawing+xml"/>
  <Override PartName="/xl/ctrlProps/ctrlProp73.xml" ContentType="application/vnd.ms-excel.controlproperties+xml"/>
  <Override PartName="/xl/charts/chart72.xml" ContentType="application/vnd.openxmlformats-officedocument.drawingml.chart+xml"/>
  <Override PartName="/xl/drawings/drawing74.xml" ContentType="application/vnd.openxmlformats-officedocument.drawing+xml"/>
  <Override PartName="/xl/ctrlProps/ctrlProp74.xml" ContentType="application/vnd.ms-excel.controlproperties+xml"/>
  <Override PartName="/xl/charts/chart73.xml" ContentType="application/vnd.openxmlformats-officedocument.drawingml.chart+xml"/>
  <Override PartName="/xl/drawings/drawing75.xml" ContentType="application/vnd.openxmlformats-officedocument.drawing+xml"/>
  <Override PartName="/xl/ctrlProps/ctrlProp75.xml" ContentType="application/vnd.ms-excel.controlproperties+xml"/>
  <Override PartName="/xl/charts/chart74.xml" ContentType="application/vnd.openxmlformats-officedocument.drawingml.chart+xml"/>
  <Override PartName="/xl/drawings/drawing76.xml" ContentType="application/vnd.openxmlformats-officedocument.drawing+xml"/>
  <Override PartName="/xl/ctrlProps/ctrlProp76.xml" ContentType="application/vnd.ms-excel.controlproperties+xml"/>
  <Override PartName="/xl/charts/chart75.xml" ContentType="application/vnd.openxmlformats-officedocument.drawingml.chart+xml"/>
  <Override PartName="/xl/drawings/drawing77.xml" ContentType="application/vnd.openxmlformats-officedocument.drawing+xml"/>
  <Override PartName="/xl/ctrlProps/ctrlProp77.xml" ContentType="application/vnd.ms-excel.controlproperties+xml"/>
  <Override PartName="/xl/charts/chart76.xml" ContentType="application/vnd.openxmlformats-officedocument.drawingml.chart+xml"/>
  <Override PartName="/xl/drawings/drawing78.xml" ContentType="application/vnd.openxmlformats-officedocument.drawing+xml"/>
  <Override PartName="/xl/ctrlProps/ctrlProp78.xml" ContentType="application/vnd.ms-excel.controlproperties+xml"/>
  <Override PartName="/xl/charts/chart77.xml" ContentType="application/vnd.openxmlformats-officedocument.drawingml.chart+xml"/>
  <Override PartName="/xl/drawings/drawing79.xml" ContentType="application/vnd.openxmlformats-officedocument.drawing+xml"/>
  <Override PartName="/xl/ctrlProps/ctrlProp79.xml" ContentType="application/vnd.ms-excel.controlproperties+xml"/>
  <Override PartName="/xl/charts/chart78.xml" ContentType="application/vnd.openxmlformats-officedocument.drawingml.chart+xml"/>
  <Override PartName="/xl/drawings/drawing80.xml" ContentType="application/vnd.openxmlformats-officedocument.drawing+xml"/>
  <Override PartName="/xl/ctrlProps/ctrlProp80.xml" ContentType="application/vnd.ms-excel.controlproperties+xml"/>
  <Override PartName="/xl/charts/chart79.xml" ContentType="application/vnd.openxmlformats-officedocument.drawingml.chart+xml"/>
  <Override PartName="/xl/drawings/drawing81.xml" ContentType="application/vnd.openxmlformats-officedocument.drawing+xml"/>
  <Override PartName="/xl/ctrlProps/ctrlProp81.xml" ContentType="application/vnd.ms-excel.controlproperties+xml"/>
  <Override PartName="/xl/charts/chart80.xml" ContentType="application/vnd.openxmlformats-officedocument.drawingml.chart+xml"/>
  <Override PartName="/xl/drawings/drawing82.xml" ContentType="application/vnd.openxmlformats-officedocument.drawing+xml"/>
  <Override PartName="/xl/ctrlProps/ctrlProp82.xml" ContentType="application/vnd.ms-excel.controlproperties+xml"/>
  <Override PartName="/xl/charts/chart81.xml" ContentType="application/vnd.openxmlformats-officedocument.drawingml.chart+xml"/>
  <Override PartName="/xl/drawings/drawing83.xml" ContentType="application/vnd.openxmlformats-officedocument.drawing+xml"/>
  <Override PartName="/xl/ctrlProps/ctrlProp83.xml" ContentType="application/vnd.ms-excel.controlproperties+xml"/>
  <Override PartName="/xl/charts/chart82.xml" ContentType="application/vnd.openxmlformats-officedocument.drawingml.chart+xml"/>
  <Override PartName="/xl/drawings/drawing84.xml" ContentType="application/vnd.openxmlformats-officedocument.drawing+xml"/>
  <Override PartName="/xl/ctrlProps/ctrlProp84.xml" ContentType="application/vnd.ms-excel.controlproperties+xml"/>
  <Override PartName="/xl/charts/chart83.xml" ContentType="application/vnd.openxmlformats-officedocument.drawingml.chart+xml"/>
  <Override PartName="/xl/drawings/drawing85.xml" ContentType="application/vnd.openxmlformats-officedocument.drawing+xml"/>
  <Override PartName="/xl/ctrlProps/ctrlProp85.xml" ContentType="application/vnd.ms-excel.controlproperties+xml"/>
  <Override PartName="/xl/charts/chart84.xml" ContentType="application/vnd.openxmlformats-officedocument.drawingml.chart+xml"/>
  <Override PartName="/xl/drawings/drawing86.xml" ContentType="application/vnd.openxmlformats-officedocument.drawing+xml"/>
  <Override PartName="/xl/ctrlProps/ctrlProp86.xml" ContentType="application/vnd.ms-excel.controlproperties+xml"/>
  <Override PartName="/xl/charts/chart85.xml" ContentType="application/vnd.openxmlformats-officedocument.drawingml.chart+xml"/>
  <Override PartName="/xl/drawings/drawing87.xml" ContentType="application/vnd.openxmlformats-officedocument.drawing+xml"/>
  <Override PartName="/xl/ctrlProps/ctrlProp87.xml" ContentType="application/vnd.ms-excel.controlproperties+xml"/>
  <Override PartName="/xl/charts/chart86.xml" ContentType="application/vnd.openxmlformats-officedocument.drawingml.chart+xml"/>
  <Override PartName="/xl/drawings/drawing88.xml" ContentType="application/vnd.openxmlformats-officedocument.drawing+xml"/>
  <Override PartName="/xl/ctrlProps/ctrlProp88.xml" ContentType="application/vnd.ms-excel.controlproperties+xml"/>
  <Override PartName="/xl/charts/chart87.xml" ContentType="application/vnd.openxmlformats-officedocument.drawingml.chart+xml"/>
  <Override PartName="/xl/drawings/drawing89.xml" ContentType="application/vnd.openxmlformats-officedocument.drawing+xml"/>
  <Override PartName="/xl/ctrlProps/ctrlProp89.xml" ContentType="application/vnd.ms-excel.controlproperties+xml"/>
  <Override PartName="/xl/charts/chart88.xml" ContentType="application/vnd.openxmlformats-officedocument.drawingml.chart+xml"/>
  <Override PartName="/xl/drawings/drawing90.xml" ContentType="application/vnd.openxmlformats-officedocument.drawing+xml"/>
  <Override PartName="/xl/ctrlProps/ctrlProp90.xml" ContentType="application/vnd.ms-excel.controlproperties+xml"/>
  <Override PartName="/xl/charts/chart89.xml" ContentType="application/vnd.openxmlformats-officedocument.drawingml.chart+xml"/>
  <Override PartName="/xl/drawings/drawing91.xml" ContentType="application/vnd.openxmlformats-officedocument.drawing+xml"/>
  <Override PartName="/xl/ctrlProps/ctrlProp91.xml" ContentType="application/vnd.ms-excel.controlproperties+xml"/>
  <Override PartName="/xl/charts/chart90.xml" ContentType="application/vnd.openxmlformats-officedocument.drawingml.chart+xml"/>
  <Override PartName="/xl/drawings/drawing92.xml" ContentType="application/vnd.openxmlformats-officedocument.drawing+xml"/>
  <Override PartName="/xl/ctrlProps/ctrlProp92.xml" ContentType="application/vnd.ms-excel.controlproperties+xml"/>
  <Override PartName="/xl/charts/chart91.xml" ContentType="application/vnd.openxmlformats-officedocument.drawingml.chart+xml"/>
  <Override PartName="/xl/drawings/drawing93.xml" ContentType="application/vnd.openxmlformats-officedocument.drawing+xml"/>
  <Override PartName="/xl/ctrlProps/ctrlProp93.xml" ContentType="application/vnd.ms-excel.controlproperties+xml"/>
  <Override PartName="/xl/charts/chart92.xml" ContentType="application/vnd.openxmlformats-officedocument.drawingml.chart+xml"/>
  <Override PartName="/xl/drawings/drawing94.xml" ContentType="application/vnd.openxmlformats-officedocument.drawing+xml"/>
  <Override PartName="/xl/ctrlProps/ctrlProp94.xml" ContentType="application/vnd.ms-excel.controlproperties+xml"/>
  <Override PartName="/xl/charts/chart93.xml" ContentType="application/vnd.openxmlformats-officedocument.drawingml.chart+xml"/>
  <Override PartName="/xl/drawings/drawing95.xml" ContentType="application/vnd.openxmlformats-officedocument.drawing+xml"/>
  <Override PartName="/xl/ctrlProps/ctrlProp95.xml" ContentType="application/vnd.ms-excel.controlproperties+xml"/>
  <Override PartName="/xl/charts/chart94.xml" ContentType="application/vnd.openxmlformats-officedocument.drawingml.chart+xml"/>
  <Override PartName="/xl/drawings/drawing96.xml" ContentType="application/vnd.openxmlformats-officedocument.drawing+xml"/>
  <Override PartName="/xl/ctrlProps/ctrlProp96.xml" ContentType="application/vnd.ms-excel.controlproperties+xml"/>
  <Override PartName="/xl/charts/chart95.xml" ContentType="application/vnd.openxmlformats-officedocument.drawingml.chart+xml"/>
  <Override PartName="/xl/drawings/drawing97.xml" ContentType="application/vnd.openxmlformats-officedocument.drawing+xml"/>
  <Override PartName="/xl/ctrlProps/ctrlProp97.xml" ContentType="application/vnd.ms-excel.controlproperties+xml"/>
  <Override PartName="/xl/charts/chart96.xml" ContentType="application/vnd.openxmlformats-officedocument.drawingml.chart+xml"/>
  <Override PartName="/xl/drawings/drawing98.xml" ContentType="application/vnd.openxmlformats-officedocument.drawing+xml"/>
  <Override PartName="/xl/ctrlProps/ctrlProp98.xml" ContentType="application/vnd.ms-excel.controlproperties+xml"/>
  <Override PartName="/xl/charts/chart97.xml" ContentType="application/vnd.openxmlformats-officedocument.drawingml.chart+xml"/>
  <Override PartName="/xl/drawings/drawing99.xml" ContentType="application/vnd.openxmlformats-officedocument.drawing+xml"/>
  <Override PartName="/xl/ctrlProps/ctrlProp99.xml" ContentType="application/vnd.ms-excel.controlproperties+xml"/>
  <Override PartName="/xl/charts/chart98.xml" ContentType="application/vnd.openxmlformats-officedocument.drawingml.chart+xml"/>
  <Override PartName="/xl/drawings/drawing100.xml" ContentType="application/vnd.openxmlformats-officedocument.drawing+xml"/>
  <Override PartName="/xl/ctrlProps/ctrlProp100.xml" ContentType="application/vnd.ms-excel.controlproperties+xml"/>
  <Override PartName="/xl/charts/chart99.xml" ContentType="application/vnd.openxmlformats-officedocument.drawingml.chart+xml"/>
  <Override PartName="/xl/drawings/drawing101.xml" ContentType="application/vnd.openxmlformats-officedocument.drawing+xml"/>
  <Override PartName="/xl/ctrlProps/ctrlProp101.xml" ContentType="application/vnd.ms-excel.controlproperties+xml"/>
  <Override PartName="/xl/charts/chart100.xml" ContentType="application/vnd.openxmlformats-officedocument.drawingml.chart+xml"/>
  <Override PartName="/xl/drawings/drawing102.xml" ContentType="application/vnd.openxmlformats-officedocument.drawing+xml"/>
  <Override PartName="/xl/ctrlProps/ctrlProp102.xml" ContentType="application/vnd.ms-excel.controlproperties+xml"/>
  <Override PartName="/xl/charts/chart101.xml" ContentType="application/vnd.openxmlformats-officedocument.drawingml.chart+xml"/>
  <Override PartName="/xl/drawings/drawing103.xml" ContentType="application/vnd.openxmlformats-officedocument.drawing+xml"/>
  <Override PartName="/xl/ctrlProps/ctrlProp103.xml" ContentType="application/vnd.ms-excel.controlproperties+xml"/>
  <Override PartName="/xl/charts/chart102.xml" ContentType="application/vnd.openxmlformats-officedocument.drawingml.chart+xml"/>
  <Override PartName="/xl/drawings/drawing104.xml" ContentType="application/vnd.openxmlformats-officedocument.drawing+xml"/>
  <Override PartName="/xl/ctrlProps/ctrlProp104.xml" ContentType="application/vnd.ms-excel.controlproperties+xml"/>
  <Override PartName="/xl/charts/chart103.xml" ContentType="application/vnd.openxmlformats-officedocument.drawingml.chart+xml"/>
  <Override PartName="/xl/drawings/drawing105.xml" ContentType="application/vnd.openxmlformats-officedocument.drawing+xml"/>
  <Override PartName="/xl/ctrlProps/ctrlProp105.xml" ContentType="application/vnd.ms-excel.controlproperties+xml"/>
  <Override PartName="/xl/charts/chart104.xml" ContentType="application/vnd.openxmlformats-officedocument.drawingml.chart+xml"/>
  <Override PartName="/xl/drawings/drawing106.xml" ContentType="application/vnd.openxmlformats-officedocument.drawing+xml"/>
  <Override PartName="/xl/ctrlProps/ctrlProp106.xml" ContentType="application/vnd.ms-excel.controlproperties+xml"/>
  <Override PartName="/xl/charts/chart105.xml" ContentType="application/vnd.openxmlformats-officedocument.drawingml.chart+xml"/>
  <Override PartName="/xl/drawings/drawing107.xml" ContentType="application/vnd.openxmlformats-officedocument.drawing+xml"/>
  <Override PartName="/xl/ctrlProps/ctrlProp107.xml" ContentType="application/vnd.ms-excel.controlproperties+xml"/>
  <Override PartName="/xl/charts/chart106.xml" ContentType="application/vnd.openxmlformats-officedocument.drawingml.chart+xml"/>
  <Override PartName="/xl/drawings/drawing108.xml" ContentType="application/vnd.openxmlformats-officedocument.drawing+xml"/>
  <Override PartName="/xl/ctrlProps/ctrlProp108.xml" ContentType="application/vnd.ms-excel.controlproperties+xml"/>
  <Override PartName="/xl/charts/chart107.xml" ContentType="application/vnd.openxmlformats-officedocument.drawingml.chart+xml"/>
  <Override PartName="/xl/drawings/drawing109.xml" ContentType="application/vnd.openxmlformats-officedocument.drawing+xml"/>
  <Override PartName="/xl/ctrlProps/ctrlProp109.xml" ContentType="application/vnd.ms-excel.controlproperties+xml"/>
  <Override PartName="/xl/charts/chart108.xml" ContentType="application/vnd.openxmlformats-officedocument.drawingml.chart+xml"/>
  <Override PartName="/xl/drawings/drawing110.xml" ContentType="application/vnd.openxmlformats-officedocument.drawing+xml"/>
  <Override PartName="/xl/ctrlProps/ctrlProp110.xml" ContentType="application/vnd.ms-excel.controlproperties+xml"/>
  <Override PartName="/xl/charts/chart109.xml" ContentType="application/vnd.openxmlformats-officedocument.drawingml.chart+xml"/>
  <Override PartName="/xl/drawings/drawing111.xml" ContentType="application/vnd.openxmlformats-officedocument.drawing+xml"/>
  <Override PartName="/xl/ctrlProps/ctrlProp111.xml" ContentType="application/vnd.ms-excel.controlproperties+xml"/>
  <Override PartName="/xl/charts/chart110.xml" ContentType="application/vnd.openxmlformats-officedocument.drawingml.chart+xml"/>
  <Override PartName="/xl/drawings/drawing112.xml" ContentType="application/vnd.openxmlformats-officedocument.drawing+xml"/>
  <Override PartName="/xl/ctrlProps/ctrlProp112.xml" ContentType="application/vnd.ms-excel.controlproperties+xml"/>
  <Override PartName="/xl/charts/chart111.xml" ContentType="application/vnd.openxmlformats-officedocument.drawingml.chart+xml"/>
  <Override PartName="/xl/drawings/drawing113.xml" ContentType="application/vnd.openxmlformats-officedocument.drawing+xml"/>
  <Override PartName="/xl/ctrlProps/ctrlProp113.xml" ContentType="application/vnd.ms-excel.controlproperties+xml"/>
  <Override PartName="/xl/charts/chart112.xml" ContentType="application/vnd.openxmlformats-officedocument.drawingml.chart+xml"/>
  <Override PartName="/xl/drawings/drawing114.xml" ContentType="application/vnd.openxmlformats-officedocument.drawing+xml"/>
  <Override PartName="/xl/ctrlProps/ctrlProp114.xml" ContentType="application/vnd.ms-excel.controlproperties+xml"/>
  <Override PartName="/xl/charts/chart113.xml" ContentType="application/vnd.openxmlformats-officedocument.drawingml.chart+xml"/>
  <Override PartName="/xl/drawings/drawing115.xml" ContentType="application/vnd.openxmlformats-officedocument.drawing+xml"/>
  <Override PartName="/xl/ctrlProps/ctrlProp115.xml" ContentType="application/vnd.ms-excel.controlproperties+xml"/>
  <Override PartName="/xl/charts/chart114.xml" ContentType="application/vnd.openxmlformats-officedocument.drawingml.chart+xml"/>
  <Override PartName="/xl/drawings/drawing116.xml" ContentType="application/vnd.openxmlformats-officedocument.drawing+xml"/>
  <Override PartName="/xl/ctrlProps/ctrlProp116.xml" ContentType="application/vnd.ms-excel.controlproperties+xml"/>
  <Override PartName="/xl/charts/chart115.xml" ContentType="application/vnd.openxmlformats-officedocument.drawingml.chart+xml"/>
  <Override PartName="/xl/drawings/drawing117.xml" ContentType="application/vnd.openxmlformats-officedocument.drawing+xml"/>
  <Override PartName="/xl/ctrlProps/ctrlProp117.xml" ContentType="application/vnd.ms-excel.controlproperties+xml"/>
  <Override PartName="/xl/charts/chart116.xml" ContentType="application/vnd.openxmlformats-officedocument.drawingml.chart+xml"/>
  <Override PartName="/xl/drawings/drawing118.xml" ContentType="application/vnd.openxmlformats-officedocument.drawing+xml"/>
  <Override PartName="/xl/ctrlProps/ctrlProp118.xml" ContentType="application/vnd.ms-excel.controlproperties+xml"/>
  <Override PartName="/xl/charts/chart117.xml" ContentType="application/vnd.openxmlformats-officedocument.drawingml.chart+xml"/>
  <Override PartName="/xl/drawings/drawing119.xml" ContentType="application/vnd.openxmlformats-officedocument.drawing+xml"/>
  <Override PartName="/xl/ctrlProps/ctrlProp119.xml" ContentType="application/vnd.ms-excel.controlproperties+xml"/>
  <Override PartName="/xl/charts/chart118.xml" ContentType="application/vnd.openxmlformats-officedocument.drawingml.chart+xml"/>
  <Override PartName="/xl/drawings/drawing120.xml" ContentType="application/vnd.openxmlformats-officedocument.drawing+xml"/>
  <Override PartName="/xl/ctrlProps/ctrlProp120.xml" ContentType="application/vnd.ms-excel.controlproperties+xml"/>
  <Override PartName="/xl/charts/chart119.xml" ContentType="application/vnd.openxmlformats-officedocument.drawingml.chart+xml"/>
  <Override PartName="/xl/drawings/drawing121.xml" ContentType="application/vnd.openxmlformats-officedocument.drawing+xml"/>
  <Override PartName="/xl/ctrlProps/ctrlProp121.xml" ContentType="application/vnd.ms-excel.controlproperties+xml"/>
  <Override PartName="/xl/charts/chart120.xml" ContentType="application/vnd.openxmlformats-officedocument.drawingml.chart+xml"/>
  <Override PartName="/xl/drawings/drawing122.xml" ContentType="application/vnd.openxmlformats-officedocument.drawing+xml"/>
  <Override PartName="/xl/ctrlProps/ctrlProp122.xml" ContentType="application/vnd.ms-excel.controlproperties+xml"/>
  <Override PartName="/xl/charts/chart121.xml" ContentType="application/vnd.openxmlformats-officedocument.drawingml.chart+xml"/>
  <Override PartName="/xl/drawings/drawing123.xml" ContentType="application/vnd.openxmlformats-officedocument.drawing+xml"/>
  <Override PartName="/xl/ctrlProps/ctrlProp123.xml" ContentType="application/vnd.ms-excel.controlproperties+xml"/>
  <Override PartName="/xl/charts/chart122.xml" ContentType="application/vnd.openxmlformats-officedocument.drawingml.chart+xml"/>
  <Override PartName="/xl/drawings/drawing124.xml" ContentType="application/vnd.openxmlformats-officedocument.drawing+xml"/>
  <Override PartName="/xl/ctrlProps/ctrlProp124.xml" ContentType="application/vnd.ms-excel.controlproperties+xml"/>
  <Override PartName="/xl/charts/chart123.xml" ContentType="application/vnd.openxmlformats-officedocument.drawingml.chart+xml"/>
  <Override PartName="/xl/drawings/drawing125.xml" ContentType="application/vnd.openxmlformats-officedocument.drawing+xml"/>
  <Override PartName="/xl/ctrlProps/ctrlProp125.xml" ContentType="application/vnd.ms-excel.controlproperties+xml"/>
  <Override PartName="/xl/charts/chart124.xml" ContentType="application/vnd.openxmlformats-officedocument.drawingml.chart+xml"/>
  <Override PartName="/xl/drawings/drawing126.xml" ContentType="application/vnd.openxmlformats-officedocument.drawing+xml"/>
  <Override PartName="/xl/ctrlProps/ctrlProp126.xml" ContentType="application/vnd.ms-excel.controlproperties+xml"/>
  <Override PartName="/xl/charts/chart125.xml" ContentType="application/vnd.openxmlformats-officedocument.drawingml.chart+xml"/>
  <Override PartName="/xl/drawings/drawing127.xml" ContentType="application/vnd.openxmlformats-officedocument.drawing+xml"/>
  <Override PartName="/xl/ctrlProps/ctrlProp127.xml" ContentType="application/vnd.ms-excel.controlproperties+xml"/>
  <Override PartName="/xl/charts/chart126.xml" ContentType="application/vnd.openxmlformats-officedocument.drawingml.chart+xml"/>
  <Override PartName="/xl/drawings/drawing128.xml" ContentType="application/vnd.openxmlformats-officedocument.drawing+xml"/>
  <Override PartName="/xl/ctrlProps/ctrlProp128.xml" ContentType="application/vnd.ms-excel.controlproperties+xml"/>
  <Override PartName="/xl/charts/chart127.xml" ContentType="application/vnd.openxmlformats-officedocument.drawingml.chart+xml"/>
  <Override PartName="/xl/drawings/drawing129.xml" ContentType="application/vnd.openxmlformats-officedocument.drawing+xml"/>
  <Override PartName="/xl/ctrlProps/ctrlProp129.xml" ContentType="application/vnd.ms-excel.controlproperties+xml"/>
  <Override PartName="/xl/charts/chart128.xml" ContentType="application/vnd.openxmlformats-officedocument.drawingml.chart+xml"/>
  <Override PartName="/xl/drawings/drawing130.xml" ContentType="application/vnd.openxmlformats-officedocument.drawing+xml"/>
  <Override PartName="/xl/ctrlProps/ctrlProp130.xml" ContentType="application/vnd.ms-excel.controlproperties+xml"/>
  <Override PartName="/xl/charts/chart129.xml" ContentType="application/vnd.openxmlformats-officedocument.drawingml.chart+xml"/>
  <Override PartName="/xl/drawings/drawing131.xml" ContentType="application/vnd.openxmlformats-officedocument.drawing+xml"/>
  <Override PartName="/xl/ctrlProps/ctrlProp131.xml" ContentType="application/vnd.ms-excel.controlproperties+xml"/>
  <Override PartName="/xl/charts/chart130.xml" ContentType="application/vnd.openxmlformats-officedocument.drawingml.chart+xml"/>
  <Override PartName="/xl/drawings/drawing132.xml" ContentType="application/vnd.openxmlformats-officedocument.drawing+xml"/>
  <Override PartName="/xl/ctrlProps/ctrlProp132.xml" ContentType="application/vnd.ms-excel.controlproperties+xml"/>
  <Override PartName="/xl/charts/chart131.xml" ContentType="application/vnd.openxmlformats-officedocument.drawingml.chart+xml"/>
  <Override PartName="/xl/drawings/drawing133.xml" ContentType="application/vnd.openxmlformats-officedocument.drawing+xml"/>
  <Override PartName="/xl/ctrlProps/ctrlProp133.xml" ContentType="application/vnd.ms-excel.controlproperties+xml"/>
  <Override PartName="/xl/charts/chart132.xml" ContentType="application/vnd.openxmlformats-officedocument.drawingml.chart+xml"/>
  <Override PartName="/xl/drawings/drawing134.xml" ContentType="application/vnd.openxmlformats-officedocument.drawing+xml"/>
  <Override PartName="/xl/ctrlProps/ctrlProp134.xml" ContentType="application/vnd.ms-excel.controlproperties+xml"/>
  <Override PartName="/xl/charts/chart133.xml" ContentType="application/vnd.openxmlformats-officedocument.drawingml.chart+xml"/>
  <Override PartName="/xl/drawings/drawing135.xml" ContentType="application/vnd.openxmlformats-officedocument.drawing+xml"/>
  <Override PartName="/xl/ctrlProps/ctrlProp135.xml" ContentType="application/vnd.ms-excel.controlproperties+xml"/>
  <Override PartName="/xl/charts/chart134.xml" ContentType="application/vnd.openxmlformats-officedocument.drawingml.chart+xml"/>
  <Override PartName="/xl/drawings/drawing136.xml" ContentType="application/vnd.openxmlformats-officedocument.drawing+xml"/>
  <Override PartName="/xl/ctrlProps/ctrlProp136.xml" ContentType="application/vnd.ms-excel.controlproperties+xml"/>
  <Override PartName="/xl/charts/chart135.xml" ContentType="application/vnd.openxmlformats-officedocument.drawingml.chart+xml"/>
  <Override PartName="/xl/drawings/drawing137.xml" ContentType="application/vnd.openxmlformats-officedocument.drawing+xml"/>
  <Override PartName="/xl/ctrlProps/ctrlProp137.xml" ContentType="application/vnd.ms-excel.controlproperties+xml"/>
  <Override PartName="/xl/charts/chart136.xml" ContentType="application/vnd.openxmlformats-officedocument.drawingml.chart+xml"/>
  <Override PartName="/xl/drawings/drawing138.xml" ContentType="application/vnd.openxmlformats-officedocument.drawing+xml"/>
  <Override PartName="/xl/ctrlProps/ctrlProp138.xml" ContentType="application/vnd.ms-excel.controlproperties+xml"/>
  <Override PartName="/xl/charts/chart137.xml" ContentType="application/vnd.openxmlformats-officedocument.drawingml.chart+xml"/>
  <Override PartName="/xl/drawings/drawing139.xml" ContentType="application/vnd.openxmlformats-officedocument.drawing+xml"/>
  <Override PartName="/xl/ctrlProps/ctrlProp139.xml" ContentType="application/vnd.ms-excel.controlproperties+xml"/>
  <Override PartName="/xl/charts/chart138.xml" ContentType="application/vnd.openxmlformats-officedocument.drawingml.chart+xml"/>
  <Override PartName="/xl/drawings/drawing140.xml" ContentType="application/vnd.openxmlformats-officedocument.drawing+xml"/>
  <Override PartName="/xl/ctrlProps/ctrlProp140.xml" ContentType="application/vnd.ms-excel.controlproperties+xml"/>
  <Override PartName="/xl/charts/chart139.xml" ContentType="application/vnd.openxmlformats-officedocument.drawingml.chart+xml"/>
  <Override PartName="/xl/drawings/drawing141.xml" ContentType="application/vnd.openxmlformats-officedocument.drawing+xml"/>
  <Override PartName="/xl/ctrlProps/ctrlProp141.xml" ContentType="application/vnd.ms-excel.controlproperties+xml"/>
  <Override PartName="/xl/charts/chart140.xml" ContentType="application/vnd.openxmlformats-officedocument.drawingml.chart+xml"/>
  <Override PartName="/xl/drawings/drawing142.xml" ContentType="application/vnd.openxmlformats-officedocument.drawing+xml"/>
  <Override PartName="/xl/ctrlProps/ctrlProp142.xml" ContentType="application/vnd.ms-excel.controlproperties+xml"/>
  <Override PartName="/xl/charts/chart141.xml" ContentType="application/vnd.openxmlformats-officedocument.drawingml.chart+xml"/>
  <Override PartName="/xl/drawings/drawing143.xml" ContentType="application/vnd.openxmlformats-officedocument.drawing+xml"/>
  <Override PartName="/xl/ctrlProps/ctrlProp143.xml" ContentType="application/vnd.ms-excel.controlproperties+xml"/>
  <Override PartName="/xl/charts/chart142.xml" ContentType="application/vnd.openxmlformats-officedocument.drawingml.chart+xml"/>
  <Override PartName="/xl/drawings/drawing144.xml" ContentType="application/vnd.openxmlformats-officedocument.drawing+xml"/>
  <Override PartName="/xl/ctrlProps/ctrlProp144.xml" ContentType="application/vnd.ms-excel.controlproperties+xml"/>
  <Override PartName="/xl/charts/chart143.xml" ContentType="application/vnd.openxmlformats-officedocument.drawingml.chart+xml"/>
  <Override PartName="/xl/drawings/drawing145.xml" ContentType="application/vnd.openxmlformats-officedocument.drawing+xml"/>
  <Override PartName="/xl/ctrlProps/ctrlProp145.xml" ContentType="application/vnd.ms-excel.controlproperties+xml"/>
  <Override PartName="/xl/charts/chart144.xml" ContentType="application/vnd.openxmlformats-officedocument.drawingml.chart+xml"/>
  <Override PartName="/xl/drawings/drawing146.xml" ContentType="application/vnd.openxmlformats-officedocument.drawing+xml"/>
  <Override PartName="/xl/ctrlProps/ctrlProp146.xml" ContentType="application/vnd.ms-excel.controlproperties+xml"/>
  <Override PartName="/xl/charts/chart145.xml" ContentType="application/vnd.openxmlformats-officedocument.drawingml.chart+xml"/>
  <Override PartName="/xl/drawings/drawing147.xml" ContentType="application/vnd.openxmlformats-officedocument.drawing+xml"/>
  <Override PartName="/xl/ctrlProps/ctrlProp147.xml" ContentType="application/vnd.ms-excel.controlproperties+xml"/>
  <Override PartName="/xl/charts/chart146.xml" ContentType="application/vnd.openxmlformats-officedocument.drawingml.chart+xml"/>
  <Override PartName="/xl/drawings/drawing148.xml" ContentType="application/vnd.openxmlformats-officedocument.drawing+xml"/>
  <Override PartName="/xl/ctrlProps/ctrlProp148.xml" ContentType="application/vnd.ms-excel.controlproperties+xml"/>
  <Override PartName="/xl/charts/chart147.xml" ContentType="application/vnd.openxmlformats-officedocument.drawingml.chart+xml"/>
  <Override PartName="/xl/drawings/drawing149.xml" ContentType="application/vnd.openxmlformats-officedocument.drawing+xml"/>
  <Override PartName="/xl/ctrlProps/ctrlProp149.xml" ContentType="application/vnd.ms-excel.controlproperties+xml"/>
  <Override PartName="/xl/charts/chart148.xml" ContentType="application/vnd.openxmlformats-officedocument.drawingml.chart+xml"/>
  <Override PartName="/xl/drawings/drawing150.xml" ContentType="application/vnd.openxmlformats-officedocument.drawing+xml"/>
  <Override PartName="/xl/ctrlProps/ctrlProp150.xml" ContentType="application/vnd.ms-excel.controlproperties+xml"/>
  <Override PartName="/xl/charts/chart149.xml" ContentType="application/vnd.openxmlformats-officedocument.drawingml.chart+xml"/>
  <Override PartName="/xl/drawings/drawing151.xml" ContentType="application/vnd.openxmlformats-officedocument.drawing+xml"/>
  <Override PartName="/xl/ctrlProps/ctrlProp151.xml" ContentType="application/vnd.ms-excel.controlproperties+xml"/>
  <Override PartName="/xl/charts/chart150.xml" ContentType="application/vnd.openxmlformats-officedocument.drawingml.chart+xml"/>
  <Override PartName="/xl/drawings/drawing152.xml" ContentType="application/vnd.openxmlformats-officedocument.drawing+xml"/>
  <Override PartName="/xl/ctrlProps/ctrlProp152.xml" ContentType="application/vnd.ms-excel.controlproperties+xml"/>
  <Override PartName="/xl/charts/chart151.xml" ContentType="application/vnd.openxmlformats-officedocument.drawingml.chart+xml"/>
  <Override PartName="/xl/drawings/drawing153.xml" ContentType="application/vnd.openxmlformats-officedocument.drawing+xml"/>
  <Override PartName="/xl/ctrlProps/ctrlProp153.xml" ContentType="application/vnd.ms-excel.controlproperties+xml"/>
  <Override PartName="/xl/charts/chart152.xml" ContentType="application/vnd.openxmlformats-officedocument.drawingml.chart+xml"/>
  <Override PartName="/xl/drawings/drawing154.xml" ContentType="application/vnd.openxmlformats-officedocument.drawing+xml"/>
  <Override PartName="/xl/ctrlProps/ctrlProp154.xml" ContentType="application/vnd.ms-excel.controlproperties+xml"/>
  <Override PartName="/xl/charts/chart153.xml" ContentType="application/vnd.openxmlformats-officedocument.drawingml.chart+xml"/>
  <Override PartName="/xl/drawings/drawing155.xml" ContentType="application/vnd.openxmlformats-officedocument.drawing+xml"/>
  <Override PartName="/xl/ctrlProps/ctrlProp155.xml" ContentType="application/vnd.ms-excel.controlproperties+xml"/>
  <Override PartName="/xl/charts/chart154.xml" ContentType="application/vnd.openxmlformats-officedocument.drawingml.chart+xml"/>
  <Override PartName="/xl/drawings/drawing156.xml" ContentType="application/vnd.openxmlformats-officedocument.drawing+xml"/>
  <Override PartName="/xl/ctrlProps/ctrlProp156.xml" ContentType="application/vnd.ms-excel.controlproperties+xml"/>
  <Override PartName="/xl/charts/chart155.xml" ContentType="application/vnd.openxmlformats-officedocument.drawingml.chart+xml"/>
  <Override PartName="/xl/drawings/drawing157.xml" ContentType="application/vnd.openxmlformats-officedocument.drawing+xml"/>
  <Override PartName="/xl/ctrlProps/ctrlProp157.xml" ContentType="application/vnd.ms-excel.controlproperties+xml"/>
  <Override PartName="/xl/charts/chart156.xml" ContentType="application/vnd.openxmlformats-officedocument.drawingml.chart+xml"/>
  <Override PartName="/xl/drawings/drawing158.xml" ContentType="application/vnd.openxmlformats-officedocument.drawing+xml"/>
  <Override PartName="/xl/ctrlProps/ctrlProp158.xml" ContentType="application/vnd.ms-excel.controlproperties+xml"/>
  <Override PartName="/xl/charts/chart157.xml" ContentType="application/vnd.openxmlformats-officedocument.drawingml.chart+xml"/>
  <Override PartName="/xl/drawings/drawing159.xml" ContentType="application/vnd.openxmlformats-officedocument.drawing+xml"/>
  <Override PartName="/xl/ctrlProps/ctrlProp159.xml" ContentType="application/vnd.ms-excel.controlproperties+xml"/>
  <Override PartName="/xl/charts/chart158.xml" ContentType="application/vnd.openxmlformats-officedocument.drawingml.chart+xml"/>
  <Override PartName="/xl/drawings/drawing160.xml" ContentType="application/vnd.openxmlformats-officedocument.drawing+xml"/>
  <Override PartName="/xl/ctrlProps/ctrlProp160.xml" ContentType="application/vnd.ms-excel.controlproperties+xml"/>
  <Override PartName="/xl/charts/chart159.xml" ContentType="application/vnd.openxmlformats-officedocument.drawingml.chart+xml"/>
  <Override PartName="/xl/drawings/drawing161.xml" ContentType="application/vnd.openxmlformats-officedocument.drawing+xml"/>
  <Override PartName="/xl/ctrlProps/ctrlProp161.xml" ContentType="application/vnd.ms-excel.controlproperties+xml"/>
  <Override PartName="/xl/charts/chart160.xml" ContentType="application/vnd.openxmlformats-officedocument.drawingml.chart+xml"/>
  <Override PartName="/xl/drawings/drawing162.xml" ContentType="application/vnd.openxmlformats-officedocument.drawing+xml"/>
  <Override PartName="/xl/ctrlProps/ctrlProp162.xml" ContentType="application/vnd.ms-excel.controlproperties+xml"/>
  <Override PartName="/xl/charts/chart161.xml" ContentType="application/vnd.openxmlformats-officedocument.drawingml.chart+xml"/>
  <Override PartName="/xl/drawings/drawing163.xml" ContentType="application/vnd.openxmlformats-officedocument.drawing+xml"/>
  <Override PartName="/xl/ctrlProps/ctrlProp163.xml" ContentType="application/vnd.ms-excel.controlproperties+xml"/>
  <Override PartName="/xl/charts/chart162.xml" ContentType="application/vnd.openxmlformats-officedocument.drawingml.chart+xml"/>
  <Override PartName="/xl/drawings/drawing164.xml" ContentType="application/vnd.openxmlformats-officedocument.drawing+xml"/>
  <Override PartName="/xl/ctrlProps/ctrlProp164.xml" ContentType="application/vnd.ms-excel.controlproperties+xml"/>
  <Override PartName="/xl/charts/chart163.xml" ContentType="application/vnd.openxmlformats-officedocument.drawingml.chart+xml"/>
  <Override PartName="/xl/drawings/drawing165.xml" ContentType="application/vnd.openxmlformats-officedocument.drawing+xml"/>
  <Override PartName="/xl/ctrlProps/ctrlProp165.xml" ContentType="application/vnd.ms-excel.controlproperties+xml"/>
  <Override PartName="/xl/charts/chart164.xml" ContentType="application/vnd.openxmlformats-officedocument.drawingml.chart+xml"/>
  <Override PartName="/xl/drawings/drawing166.xml" ContentType="application/vnd.openxmlformats-officedocument.drawing+xml"/>
  <Override PartName="/xl/ctrlProps/ctrlProp166.xml" ContentType="application/vnd.ms-excel.controlproperties+xml"/>
  <Override PartName="/xl/charts/chart165.xml" ContentType="application/vnd.openxmlformats-officedocument.drawingml.chart+xml"/>
  <Override PartName="/xl/drawings/drawing167.xml" ContentType="application/vnd.openxmlformats-officedocument.drawing+xml"/>
  <Override PartName="/xl/ctrlProps/ctrlProp167.xml" ContentType="application/vnd.ms-excel.controlproperties+xml"/>
  <Override PartName="/xl/charts/chart166.xml" ContentType="application/vnd.openxmlformats-officedocument.drawingml.chart+xml"/>
  <Override PartName="/xl/drawings/drawing168.xml" ContentType="application/vnd.openxmlformats-officedocument.drawing+xml"/>
  <Override PartName="/xl/ctrlProps/ctrlProp168.xml" ContentType="application/vnd.ms-excel.controlproperties+xml"/>
  <Override PartName="/xl/charts/chart167.xml" ContentType="application/vnd.openxmlformats-officedocument.drawingml.chart+xml"/>
  <Override PartName="/xl/drawings/drawing169.xml" ContentType="application/vnd.openxmlformats-officedocument.drawing+xml"/>
  <Override PartName="/xl/ctrlProps/ctrlProp169.xml" ContentType="application/vnd.ms-excel.controlproperties+xml"/>
  <Override PartName="/xl/charts/chart168.xml" ContentType="application/vnd.openxmlformats-officedocument.drawingml.chart+xml"/>
  <Override PartName="/xl/drawings/drawing170.xml" ContentType="application/vnd.openxmlformats-officedocument.drawing+xml"/>
  <Override PartName="/xl/ctrlProps/ctrlProp170.xml" ContentType="application/vnd.ms-excel.controlproperties+xml"/>
  <Override PartName="/xl/charts/chart169.xml" ContentType="application/vnd.openxmlformats-officedocument.drawingml.chart+xml"/>
  <Override PartName="/xl/drawings/drawing171.xml" ContentType="application/vnd.openxmlformats-officedocument.drawing+xml"/>
  <Override PartName="/xl/ctrlProps/ctrlProp171.xml" ContentType="application/vnd.ms-excel.controlproperties+xml"/>
  <Override PartName="/xl/charts/chart170.xml" ContentType="application/vnd.openxmlformats-officedocument.drawingml.chart+xml"/>
  <Override PartName="/xl/drawings/drawing172.xml" ContentType="application/vnd.openxmlformats-officedocument.drawing+xml"/>
  <Override PartName="/xl/ctrlProps/ctrlProp172.xml" ContentType="application/vnd.ms-excel.controlproperties+xml"/>
  <Override PartName="/xl/charts/chart171.xml" ContentType="application/vnd.openxmlformats-officedocument.drawingml.chart+xml"/>
  <Override PartName="/xl/drawings/drawing173.xml" ContentType="application/vnd.openxmlformats-officedocument.drawing+xml"/>
  <Override PartName="/xl/ctrlProps/ctrlProp173.xml" ContentType="application/vnd.ms-excel.controlproperties+xml"/>
  <Override PartName="/xl/charts/chart172.xml" ContentType="application/vnd.openxmlformats-officedocument.drawingml.chart+xml"/>
  <Override PartName="/xl/drawings/drawing174.xml" ContentType="application/vnd.openxmlformats-officedocument.drawing+xml"/>
  <Override PartName="/xl/ctrlProps/ctrlProp174.xml" ContentType="application/vnd.ms-excel.controlproperties+xml"/>
  <Override PartName="/xl/charts/chart173.xml" ContentType="application/vnd.openxmlformats-officedocument.drawingml.chart+xml"/>
  <Override PartName="/xl/drawings/drawing175.xml" ContentType="application/vnd.openxmlformats-officedocument.drawing+xml"/>
  <Override PartName="/xl/ctrlProps/ctrlProp175.xml" ContentType="application/vnd.ms-excel.controlproperties+xml"/>
  <Override PartName="/xl/charts/chart174.xml" ContentType="application/vnd.openxmlformats-officedocument.drawingml.chart+xml"/>
  <Override PartName="/xl/drawings/drawing176.xml" ContentType="application/vnd.openxmlformats-officedocument.drawing+xml"/>
  <Override PartName="/xl/ctrlProps/ctrlProp176.xml" ContentType="application/vnd.ms-excel.controlproperties+xml"/>
  <Override PartName="/xl/charts/chart175.xml" ContentType="application/vnd.openxmlformats-officedocument.drawingml.chart+xml"/>
  <Override PartName="/xl/drawings/drawing177.xml" ContentType="application/vnd.openxmlformats-officedocument.drawing+xml"/>
  <Override PartName="/xl/ctrlProps/ctrlProp177.xml" ContentType="application/vnd.ms-excel.controlproperties+xml"/>
  <Override PartName="/xl/charts/chart176.xml" ContentType="application/vnd.openxmlformats-officedocument.drawingml.chart+xml"/>
  <Override PartName="/xl/drawings/drawing178.xml" ContentType="application/vnd.openxmlformats-officedocument.drawing+xml"/>
  <Override PartName="/xl/ctrlProps/ctrlProp178.xml" ContentType="application/vnd.ms-excel.controlproperties+xml"/>
  <Override PartName="/xl/charts/chart177.xml" ContentType="application/vnd.openxmlformats-officedocument.drawingml.chart+xml"/>
  <Override PartName="/xl/drawings/drawing179.xml" ContentType="application/vnd.openxmlformats-officedocument.drawing+xml"/>
  <Override PartName="/xl/ctrlProps/ctrlProp179.xml" ContentType="application/vnd.ms-excel.controlproperties+xml"/>
  <Override PartName="/xl/charts/chart178.xml" ContentType="application/vnd.openxmlformats-officedocument.drawingml.chart+xml"/>
  <Override PartName="/xl/drawings/drawing180.xml" ContentType="application/vnd.openxmlformats-officedocument.drawing+xml"/>
  <Override PartName="/xl/ctrlProps/ctrlProp180.xml" ContentType="application/vnd.ms-excel.controlproperties+xml"/>
  <Override PartName="/xl/charts/chart179.xml" ContentType="application/vnd.openxmlformats-officedocument.drawingml.chart+xml"/>
  <Override PartName="/xl/drawings/drawing181.xml" ContentType="application/vnd.openxmlformats-officedocument.drawing+xml"/>
  <Override PartName="/xl/ctrlProps/ctrlProp181.xml" ContentType="application/vnd.ms-excel.controlproperties+xml"/>
  <Override PartName="/xl/charts/chart180.xml" ContentType="application/vnd.openxmlformats-officedocument.drawingml.chart+xml"/>
  <Override PartName="/xl/drawings/drawing182.xml" ContentType="application/vnd.openxmlformats-officedocument.drawing+xml"/>
  <Override PartName="/xl/ctrlProps/ctrlProp182.xml" ContentType="application/vnd.ms-excel.controlproperties+xml"/>
  <Override PartName="/xl/charts/chart181.xml" ContentType="application/vnd.openxmlformats-officedocument.drawingml.chart+xml"/>
  <Override PartName="/xl/drawings/drawing183.xml" ContentType="application/vnd.openxmlformats-officedocument.drawing+xml"/>
  <Override PartName="/xl/ctrlProps/ctrlProp183.xml" ContentType="application/vnd.ms-excel.controlproperties+xml"/>
  <Override PartName="/xl/charts/chart182.xml" ContentType="application/vnd.openxmlformats-officedocument.drawingml.chart+xml"/>
  <Override PartName="/xl/drawings/drawing184.xml" ContentType="application/vnd.openxmlformats-officedocument.drawing+xml"/>
  <Override PartName="/xl/ctrlProps/ctrlProp184.xml" ContentType="application/vnd.ms-excel.controlproperties+xml"/>
  <Override PartName="/xl/charts/chart183.xml" ContentType="application/vnd.openxmlformats-officedocument.drawingml.chart+xml"/>
  <Override PartName="/xl/drawings/drawing185.xml" ContentType="application/vnd.openxmlformats-officedocument.drawing+xml"/>
  <Override PartName="/xl/ctrlProps/ctrlProp185.xml" ContentType="application/vnd.ms-excel.controlproperties+xml"/>
  <Override PartName="/xl/charts/chart184.xml" ContentType="application/vnd.openxmlformats-officedocument.drawingml.chart+xml"/>
  <Override PartName="/xl/drawings/drawing186.xml" ContentType="application/vnd.openxmlformats-officedocument.drawing+xml"/>
  <Override PartName="/xl/ctrlProps/ctrlProp186.xml" ContentType="application/vnd.ms-excel.controlproperties+xml"/>
  <Override PartName="/xl/charts/chart185.xml" ContentType="application/vnd.openxmlformats-officedocument.drawingml.chart+xml"/>
  <Override PartName="/xl/drawings/drawing187.xml" ContentType="application/vnd.openxmlformats-officedocument.drawing+xml"/>
  <Override PartName="/xl/ctrlProps/ctrlProp187.xml" ContentType="application/vnd.ms-excel.controlproperties+xml"/>
  <Override PartName="/xl/charts/chart186.xml" ContentType="application/vnd.openxmlformats-officedocument.drawingml.chart+xml"/>
  <Override PartName="/xl/drawings/drawing188.xml" ContentType="application/vnd.openxmlformats-officedocument.drawing+xml"/>
  <Override PartName="/xl/ctrlProps/ctrlProp188.xml" ContentType="application/vnd.ms-excel.controlproperties+xml"/>
  <Override PartName="/xl/charts/chart187.xml" ContentType="application/vnd.openxmlformats-officedocument.drawingml.chart+xml"/>
  <Override PartName="/xl/drawings/drawing189.xml" ContentType="application/vnd.openxmlformats-officedocument.drawing+xml"/>
  <Override PartName="/xl/ctrlProps/ctrlProp189.xml" ContentType="application/vnd.ms-excel.controlproperties+xml"/>
  <Override PartName="/xl/charts/chart188.xml" ContentType="application/vnd.openxmlformats-officedocument.drawingml.chart+xml"/>
  <Override PartName="/xl/drawings/drawing190.xml" ContentType="application/vnd.openxmlformats-officedocument.drawing+xml"/>
  <Override PartName="/xl/ctrlProps/ctrlProp190.xml" ContentType="application/vnd.ms-excel.controlproperties+xml"/>
  <Override PartName="/xl/charts/chart189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icta\Desktop\programs\NWS CODEX\NAIVAWASCO\"/>
    </mc:Choice>
  </mc:AlternateContent>
  <bookViews>
    <workbookView xWindow="0" yWindow="0" windowWidth="19200" windowHeight="6930" tabRatio="599"/>
  </bookViews>
  <sheets>
    <sheet name="Dashboard" sheetId="34" r:id="rId1"/>
    <sheet name="budget 2025-26" sheetId="205" r:id="rId2"/>
    <sheet name="Input Actual2025-26" sheetId="390" r:id="rId3"/>
    <sheet name="Input Actual2024-25" sheetId="358" r:id="rId4"/>
    <sheet name="MARKETING PLAN" sheetId="364" r:id="rId5"/>
    <sheet name="SALES PLAN" sheetId="363" r:id="rId6"/>
    <sheet name="actual 2022-23" sheetId="206" r:id="rId7"/>
    <sheet name="Sheet1" sheetId="359" r:id="rId8"/>
    <sheet name="actual 2021-22" sheetId="207" r:id="rId9"/>
    <sheet name="KPI 1" sheetId="123" r:id="rId10"/>
    <sheet name="KPI 2" sheetId="209" r:id="rId11"/>
    <sheet name="KPI 3A" sheetId="362" r:id="rId12"/>
    <sheet name="KPI 3" sheetId="210" r:id="rId13"/>
    <sheet name="KPI 4" sheetId="211" r:id="rId14"/>
    <sheet name="KPI 5" sheetId="212" r:id="rId15"/>
    <sheet name="KPI 6" sheetId="213" r:id="rId16"/>
    <sheet name="KPI 7" sheetId="214" r:id="rId17"/>
    <sheet name="KPI 8" sheetId="215" r:id="rId18"/>
    <sheet name="KPI 11B" sheetId="384" r:id="rId19"/>
    <sheet name="KPI 11" sheetId="218" r:id="rId20"/>
    <sheet name="KPI 12B" sheetId="392" r:id="rId21"/>
    <sheet name="KPI 12" sheetId="219" r:id="rId22"/>
    <sheet name="KPI 9B" sheetId="391" r:id="rId23"/>
    <sheet name="KPI 9" sheetId="216" r:id="rId24"/>
    <sheet name="KPI 10A" sheetId="374" r:id="rId25"/>
    <sheet name="KPI 10" sheetId="217" r:id="rId26"/>
    <sheet name="KPI 13" sheetId="220" r:id="rId27"/>
    <sheet name="KPI 14" sheetId="221" r:id="rId28"/>
    <sheet name="KPI 15" sheetId="222" r:id="rId29"/>
    <sheet name="KPI 16" sheetId="223" r:id="rId30"/>
    <sheet name="KPI 17" sheetId="224" r:id="rId31"/>
    <sheet name="KPI 18" sheetId="225" r:id="rId32"/>
    <sheet name="KPI 19" sheetId="226" r:id="rId33"/>
    <sheet name="KPI 20" sheetId="227" r:id="rId34"/>
    <sheet name="KPI 21" sheetId="228" r:id="rId35"/>
    <sheet name="KPI 22A" sheetId="375" r:id="rId36"/>
    <sheet name="KPI 22" sheetId="230" r:id="rId37"/>
    <sheet name="KPI 23" sheetId="231" r:id="rId38"/>
    <sheet name="KPI 24" sheetId="232" r:id="rId39"/>
    <sheet name="KPI 25" sheetId="233" r:id="rId40"/>
    <sheet name="KPI 26" sheetId="234" r:id="rId41"/>
    <sheet name="KPI 27" sheetId="235" r:id="rId42"/>
    <sheet name="KPI 28" sheetId="236" r:id="rId43"/>
    <sheet name="KPI 29" sheetId="237" r:id="rId44"/>
    <sheet name="KPI 30" sheetId="238" r:id="rId45"/>
    <sheet name="KPI 31" sheetId="239" r:id="rId46"/>
    <sheet name="KPI 32" sheetId="240" r:id="rId47"/>
    <sheet name="KPI 33B" sheetId="393" r:id="rId48"/>
    <sheet name="KPI 33" sheetId="241" r:id="rId49"/>
    <sheet name="KPI 34A" sheetId="376" r:id="rId50"/>
    <sheet name="KPI 34" sheetId="242" r:id="rId51"/>
    <sheet name="KPI 35B" sheetId="385" r:id="rId52"/>
    <sheet name="KPI 35" sheetId="243" r:id="rId53"/>
    <sheet name="KPI 36B" sheetId="394" r:id="rId54"/>
    <sheet name="KPI 36" sheetId="244" r:id="rId55"/>
    <sheet name="KPI 37" sheetId="245" r:id="rId56"/>
    <sheet name="KPI 38" sheetId="246" r:id="rId57"/>
    <sheet name="KPI 39" sheetId="247" r:id="rId58"/>
    <sheet name="KPI 40" sheetId="248" r:id="rId59"/>
    <sheet name="KPI 41" sheetId="249" r:id="rId60"/>
    <sheet name="KPI 42" sheetId="250" r:id="rId61"/>
    <sheet name="KPI 43" sheetId="251" r:id="rId62"/>
    <sheet name="KPI 44" sheetId="252" r:id="rId63"/>
    <sheet name="KPI 45" sheetId="253" r:id="rId64"/>
    <sheet name="KPI 46A" sheetId="377" r:id="rId65"/>
    <sheet name="KPI 46" sheetId="254" r:id="rId66"/>
    <sheet name="KPI 47" sheetId="255" r:id="rId67"/>
    <sheet name="KPI 48" sheetId="256" r:id="rId68"/>
    <sheet name="KPI 49" sheetId="257" r:id="rId69"/>
    <sheet name="KPI 50" sheetId="258" r:id="rId70"/>
    <sheet name="KPI 51" sheetId="259" r:id="rId71"/>
    <sheet name="KPI 52" sheetId="260" r:id="rId72"/>
    <sheet name="KPI 53" sheetId="261" r:id="rId73"/>
    <sheet name="KPI 54" sheetId="262" r:id="rId74"/>
    <sheet name="KPI 55" sheetId="263" r:id="rId75"/>
    <sheet name="KPI 56" sheetId="264" r:id="rId76"/>
    <sheet name="KPI 57B" sheetId="396" r:id="rId77"/>
    <sheet name="KPI 57" sheetId="265" r:id="rId78"/>
    <sheet name="KPI 58A" sheetId="378" r:id="rId79"/>
    <sheet name="KPI 58" sheetId="266" r:id="rId80"/>
    <sheet name="KPI 59B" sheetId="386" r:id="rId81"/>
    <sheet name="KPI 59" sheetId="267" r:id="rId82"/>
    <sheet name="KPI 60B" sheetId="395" r:id="rId83"/>
    <sheet name="KPI 60" sheetId="268" r:id="rId84"/>
    <sheet name="KPI 61" sheetId="269" r:id="rId85"/>
    <sheet name="KPI 62" sheetId="270" r:id="rId86"/>
    <sheet name="KPI 63" sheetId="271" r:id="rId87"/>
    <sheet name="KPI 64" sheetId="272" r:id="rId88"/>
    <sheet name="KPI 65" sheetId="273" r:id="rId89"/>
    <sheet name="KPI 66" sheetId="274" r:id="rId90"/>
    <sheet name="KPI 67" sheetId="275" r:id="rId91"/>
    <sheet name="KPI 68" sheetId="276" r:id="rId92"/>
    <sheet name="KPI 69" sheetId="277" r:id="rId93"/>
    <sheet name="KPI 70A" sheetId="379" r:id="rId94"/>
    <sheet name="KPI 70" sheetId="278" r:id="rId95"/>
    <sheet name="KPI 71" sheetId="279" r:id="rId96"/>
    <sheet name="KPI 72" sheetId="280" r:id="rId97"/>
    <sheet name="KPI 73" sheetId="281" r:id="rId98"/>
    <sheet name="KPI 73 (2)" sheetId="360" r:id="rId99"/>
    <sheet name="KPI 75 (2)" sheetId="361" r:id="rId100"/>
    <sheet name="KPI 74" sheetId="282" r:id="rId101"/>
    <sheet name="KPI 75" sheetId="283" r:id="rId102"/>
    <sheet name="KPI 76" sheetId="284" r:id="rId103"/>
    <sheet name="KPI 77" sheetId="285" r:id="rId104"/>
    <sheet name="KPI 78" sheetId="286" r:id="rId105"/>
    <sheet name="KPI 79" sheetId="287" r:id="rId106"/>
    <sheet name="KPI 80" sheetId="288" r:id="rId107"/>
    <sheet name="KPI 81" sheetId="289" r:id="rId108"/>
    <sheet name="KPI 82" sheetId="290" r:id="rId109"/>
    <sheet name="KPI 83" sheetId="291" r:id="rId110"/>
    <sheet name="KPI 84" sheetId="292" r:id="rId111"/>
    <sheet name="KPI 85" sheetId="293" r:id="rId112"/>
    <sheet name="KPI 86B" sheetId="397" r:id="rId113"/>
    <sheet name="KPI 86" sheetId="294" r:id="rId114"/>
    <sheet name="KPI 87A" sheetId="380" r:id="rId115"/>
    <sheet name="KPI 87" sheetId="295" r:id="rId116"/>
    <sheet name="KPI 88C" sheetId="398" r:id="rId117"/>
    <sheet name="KPI 88B" sheetId="387" r:id="rId118"/>
    <sheet name="KPI 88" sheetId="296" r:id="rId119"/>
    <sheet name="KPI 89" sheetId="297" r:id="rId120"/>
    <sheet name="KPI 90" sheetId="298" r:id="rId121"/>
    <sheet name="KPI 91" sheetId="299" r:id="rId122"/>
    <sheet name="KPI 92" sheetId="300" r:id="rId123"/>
    <sheet name="KPI 93" sheetId="301" r:id="rId124"/>
    <sheet name="KPI 94" sheetId="302" r:id="rId125"/>
    <sheet name="KPI 95" sheetId="303" r:id="rId126"/>
    <sheet name="KPI 96" sheetId="304" r:id="rId127"/>
    <sheet name="KPI 97" sheetId="305" r:id="rId128"/>
    <sheet name="KPI 98B" sheetId="399" r:id="rId129"/>
    <sheet name="KPI 98" sheetId="306" r:id="rId130"/>
    <sheet name="KPI 99A" sheetId="381" r:id="rId131"/>
    <sheet name="KPI 99" sheetId="307" r:id="rId132"/>
    <sheet name="KPI 100B" sheetId="388" r:id="rId133"/>
    <sheet name="KPI 100" sheetId="308" r:id="rId134"/>
    <sheet name="KPI 101B" sheetId="400" r:id="rId135"/>
    <sheet name="KPI 101" sheetId="309" r:id="rId136"/>
    <sheet name="KPI 102" sheetId="310" r:id="rId137"/>
    <sheet name="KPI 103" sheetId="311" r:id="rId138"/>
    <sheet name="KPI 104" sheetId="312" r:id="rId139"/>
    <sheet name="KPI 105" sheetId="313" r:id="rId140"/>
    <sheet name="KPI 106" sheetId="314" r:id="rId141"/>
    <sheet name="KPI 107" sheetId="315" r:id="rId142"/>
    <sheet name="KPI 108" sheetId="316" r:id="rId143"/>
    <sheet name="KPI 109" sheetId="317" r:id="rId144"/>
    <sheet name="KPI 110B" sheetId="401" r:id="rId145"/>
    <sheet name="KPI 110" sheetId="318" r:id="rId146"/>
    <sheet name="KPI 111A" sheetId="382" r:id="rId147"/>
    <sheet name="KPI 111" sheetId="319" r:id="rId148"/>
    <sheet name="KPI 112B" sheetId="389" r:id="rId149"/>
    <sheet name="KPI 112" sheetId="320" r:id="rId150"/>
    <sheet name="KPI 113B" sheetId="402" r:id="rId151"/>
    <sheet name="KPI 113" sheetId="321" r:id="rId152"/>
    <sheet name="KPI 114" sheetId="322" r:id="rId153"/>
    <sheet name="KPI 115" sheetId="323" r:id="rId154"/>
    <sheet name="KPI 116" sheetId="324" r:id="rId155"/>
    <sheet name="KPI 117" sheetId="325" r:id="rId156"/>
    <sheet name="KPI 118" sheetId="326" r:id="rId157"/>
    <sheet name="KPI 119" sheetId="327" r:id="rId158"/>
    <sheet name="KPI 120" sheetId="328" r:id="rId159"/>
    <sheet name="KPI 121" sheetId="329" r:id="rId160"/>
    <sheet name="KPI 122" sheetId="330" r:id="rId161"/>
    <sheet name="KPI 123A" sheetId="383" r:id="rId162"/>
    <sheet name="KPI 123" sheetId="331" r:id="rId163"/>
    <sheet name="KPI 124" sheetId="332" r:id="rId164"/>
    <sheet name="KPI 125" sheetId="333" r:id="rId165"/>
    <sheet name="KPI 126(B)" sheetId="365" r:id="rId166"/>
    <sheet name="KPI 126(C)" sheetId="366" r:id="rId167"/>
    <sheet name="KPI 126(F)" sheetId="373" r:id="rId168"/>
    <sheet name="KPI 126(D)" sheetId="367" r:id="rId169"/>
    <sheet name="KPI 126(E)" sheetId="368" r:id="rId170"/>
    <sheet name="KPI 126" sheetId="334" r:id="rId171"/>
    <sheet name="KPI 127(B)" sheetId="369" r:id="rId172"/>
    <sheet name="KPI 127(C)" sheetId="370" r:id="rId173"/>
    <sheet name="KPI 127(D)" sheetId="371" r:id="rId174"/>
    <sheet name="KPI 127(E)" sheetId="372" r:id="rId175"/>
    <sheet name="KPI 127" sheetId="335" r:id="rId176"/>
    <sheet name="KPI 128" sheetId="336" r:id="rId177"/>
    <sheet name="KPI 129" sheetId="337" r:id="rId178"/>
    <sheet name="KPI 130" sheetId="338" r:id="rId179"/>
    <sheet name="KPI 131" sheetId="342" r:id="rId180"/>
    <sheet name="KPI 132" sheetId="343" r:id="rId181"/>
    <sheet name="KPI 133" sheetId="344" r:id="rId182"/>
    <sheet name="KPI 134" sheetId="345" r:id="rId183"/>
    <sheet name="KPI 135" sheetId="346" r:id="rId184"/>
    <sheet name="KPI 136" sheetId="341" r:id="rId185"/>
    <sheet name="KPI 137" sheetId="347" r:id="rId186"/>
    <sheet name="KPI 138" sheetId="348" r:id="rId187"/>
    <sheet name="KPI 139" sheetId="349" r:id="rId188"/>
    <sheet name="KPI 140" sheetId="350" r:id="rId189"/>
    <sheet name="KPI 141" sheetId="351" r:id="rId190"/>
    <sheet name="KPI 142" sheetId="340" r:id="rId191"/>
    <sheet name="KPI 143" sheetId="339" r:id="rId192"/>
    <sheet name="KPI 144" sheetId="352" r:id="rId193"/>
    <sheet name="KPI 145" sheetId="353" r:id="rId194"/>
    <sheet name="KPI 146" sheetId="354" r:id="rId195"/>
    <sheet name="KPI 147" sheetId="355" r:id="rId196"/>
    <sheet name="KPI 148" sheetId="356" r:id="rId197"/>
    <sheet name="KPI 149" sheetId="357" r:id="rId198"/>
    <sheet name="General" sheetId="12" state="hidden" r:id="rId199"/>
  </sheets>
  <definedNames>
    <definedName name="Actual_month">General!$B$3</definedName>
    <definedName name="_xlnm.Print_Area" localSheetId="0">Dashboard!$A$1:$O$18</definedName>
    <definedName name="_xlnm.Print_Titles" localSheetId="0">Dashboard!$1:$4</definedName>
  </definedNames>
  <calcPr calcId="162913"/>
</workbook>
</file>

<file path=xl/calcChain.xml><?xml version="1.0" encoding="utf-8"?>
<calcChain xmlns="http://schemas.openxmlformats.org/spreadsheetml/2006/main">
  <c r="L51" i="390" l="1"/>
  <c r="F27" i="365" l="1"/>
  <c r="G27" i="365"/>
  <c r="H27" i="365"/>
  <c r="I27" i="365"/>
  <c r="J27" i="365"/>
  <c r="M27" i="365"/>
  <c r="N27" i="365"/>
  <c r="O27" i="365"/>
  <c r="P27" i="365"/>
  <c r="E27" i="365"/>
  <c r="H183" i="390" l="1"/>
  <c r="I183" i="390"/>
  <c r="I187" i="390"/>
  <c r="G183" i="390" l="1"/>
  <c r="F183" i="390" l="1"/>
  <c r="F107" i="390"/>
  <c r="M107" i="390"/>
  <c r="N107" i="390"/>
  <c r="O107" i="390"/>
  <c r="P107" i="390"/>
  <c r="E107" i="390"/>
  <c r="F37" i="390"/>
  <c r="E156" i="205" l="1"/>
  <c r="F156" i="205"/>
  <c r="G156" i="205"/>
  <c r="H156" i="205"/>
  <c r="I156" i="205"/>
  <c r="J156" i="205"/>
  <c r="K156" i="205"/>
  <c r="L156" i="205"/>
  <c r="M156" i="205"/>
  <c r="N156" i="205"/>
  <c r="O156" i="205"/>
  <c r="E154" i="205"/>
  <c r="F154" i="205"/>
  <c r="G154" i="205"/>
  <c r="H154" i="205"/>
  <c r="I154" i="205"/>
  <c r="J154" i="205"/>
  <c r="K154" i="205"/>
  <c r="L154" i="205"/>
  <c r="M154" i="205"/>
  <c r="N154" i="205"/>
  <c r="O154" i="205"/>
  <c r="E153" i="205"/>
  <c r="F153" i="205"/>
  <c r="G153" i="205"/>
  <c r="H153" i="205"/>
  <c r="I153" i="205"/>
  <c r="J153" i="205"/>
  <c r="K153" i="205"/>
  <c r="L153" i="205"/>
  <c r="M153" i="205"/>
  <c r="N153" i="205"/>
  <c r="O153" i="205"/>
  <c r="H149" i="205"/>
  <c r="I149" i="205"/>
  <c r="J149" i="205"/>
  <c r="K149" i="205"/>
  <c r="L149" i="205"/>
  <c r="M149" i="205"/>
  <c r="N149" i="205"/>
  <c r="O149" i="205"/>
  <c r="H150" i="205"/>
  <c r="I150" i="205"/>
  <c r="J150" i="205"/>
  <c r="K150" i="205"/>
  <c r="L150" i="205"/>
  <c r="M150" i="205"/>
  <c r="N150" i="205"/>
  <c r="O150" i="205"/>
  <c r="H151" i="205"/>
  <c r="I151" i="205"/>
  <c r="J151" i="205"/>
  <c r="K151" i="205"/>
  <c r="L151" i="205"/>
  <c r="M151" i="205"/>
  <c r="N151" i="205"/>
  <c r="O151" i="205"/>
  <c r="H152" i="205"/>
  <c r="I152" i="205"/>
  <c r="J152" i="205"/>
  <c r="K152" i="205"/>
  <c r="L152" i="205"/>
  <c r="M152" i="205"/>
  <c r="N152" i="205"/>
  <c r="O152" i="205"/>
  <c r="E149" i="205"/>
  <c r="F149" i="205"/>
  <c r="G149" i="205"/>
  <c r="E150" i="205"/>
  <c r="F150" i="205"/>
  <c r="G150" i="205"/>
  <c r="E151" i="205"/>
  <c r="F151" i="205"/>
  <c r="G151" i="205"/>
  <c r="E152" i="205"/>
  <c r="F152" i="205"/>
  <c r="G152" i="205"/>
  <c r="G146" i="205"/>
  <c r="H146" i="205"/>
  <c r="I146" i="205"/>
  <c r="J146" i="205"/>
  <c r="J148" i="205" s="1"/>
  <c r="K146" i="205"/>
  <c r="L146" i="205"/>
  <c r="M146" i="205"/>
  <c r="N146" i="205"/>
  <c r="N148" i="205" s="1"/>
  <c r="O146" i="205"/>
  <c r="G147" i="205"/>
  <c r="H147" i="205"/>
  <c r="I147" i="205"/>
  <c r="J147" i="205"/>
  <c r="K147" i="205"/>
  <c r="L147" i="205"/>
  <c r="M147" i="205"/>
  <c r="M148" i="205" s="1"/>
  <c r="N147" i="205"/>
  <c r="O147" i="205"/>
  <c r="E146" i="205"/>
  <c r="F146" i="205"/>
  <c r="E147" i="205"/>
  <c r="F147" i="205"/>
  <c r="D147" i="205"/>
  <c r="D146" i="205"/>
  <c r="E145" i="205"/>
  <c r="F145" i="205"/>
  <c r="G145" i="205"/>
  <c r="H145" i="205"/>
  <c r="I145" i="205"/>
  <c r="J145" i="205"/>
  <c r="K145" i="205"/>
  <c r="L145" i="205"/>
  <c r="M145" i="205"/>
  <c r="N145" i="205"/>
  <c r="O145" i="205"/>
  <c r="E144" i="205"/>
  <c r="F144" i="205"/>
  <c r="G144" i="205"/>
  <c r="H144" i="205"/>
  <c r="I144" i="205"/>
  <c r="J144" i="205"/>
  <c r="K144" i="205"/>
  <c r="L144" i="205"/>
  <c r="M144" i="205"/>
  <c r="N144" i="205"/>
  <c r="O144" i="205"/>
  <c r="E141" i="205"/>
  <c r="F141" i="205"/>
  <c r="G141" i="205"/>
  <c r="H141" i="205"/>
  <c r="E142" i="205"/>
  <c r="F142" i="205"/>
  <c r="G142" i="205"/>
  <c r="H142" i="205"/>
  <c r="E143" i="205"/>
  <c r="F143" i="205"/>
  <c r="G143" i="205"/>
  <c r="H143" i="205"/>
  <c r="E148" i="205"/>
  <c r="F148" i="205"/>
  <c r="D156" i="205"/>
  <c r="D154" i="205"/>
  <c r="D153" i="205"/>
  <c r="D152" i="205"/>
  <c r="D151" i="205"/>
  <c r="D150" i="205"/>
  <c r="D149" i="205"/>
  <c r="I148" i="205"/>
  <c r="D148" i="205"/>
  <c r="D145" i="205"/>
  <c r="D144" i="205"/>
  <c r="I143" i="205"/>
  <c r="J143" i="205"/>
  <c r="K143" i="205"/>
  <c r="L143" i="205"/>
  <c r="M143" i="205"/>
  <c r="N143" i="205"/>
  <c r="O143" i="205"/>
  <c r="D143" i="205"/>
  <c r="I142" i="205"/>
  <c r="J142" i="205"/>
  <c r="K142" i="205"/>
  <c r="L142" i="205"/>
  <c r="M142" i="205"/>
  <c r="N142" i="205"/>
  <c r="O142" i="205"/>
  <c r="D142" i="205"/>
  <c r="I141" i="205"/>
  <c r="J141" i="205"/>
  <c r="K141" i="205"/>
  <c r="L141" i="205"/>
  <c r="M141" i="205"/>
  <c r="N141" i="205"/>
  <c r="O141" i="205"/>
  <c r="D141" i="205"/>
  <c r="Q134" i="358"/>
  <c r="Q135" i="358"/>
  <c r="Q136" i="358"/>
  <c r="Q137" i="358"/>
  <c r="Q138" i="358"/>
  <c r="Q139" i="358"/>
  <c r="Q140" i="358"/>
  <c r="Q141" i="358"/>
  <c r="Q142" i="358"/>
  <c r="Q143" i="358"/>
  <c r="Q144" i="358"/>
  <c r="Q145" i="358"/>
  <c r="Q146" i="358"/>
  <c r="Q133" i="358"/>
  <c r="L148" i="205" l="1"/>
  <c r="O148" i="205"/>
  <c r="K148" i="205"/>
  <c r="G148" i="205"/>
  <c r="H148" i="205"/>
  <c r="F20" i="373" l="1"/>
  <c r="G20" i="373"/>
  <c r="H20" i="373"/>
  <c r="I20" i="373"/>
  <c r="J20" i="373"/>
  <c r="K20" i="373"/>
  <c r="L20" i="373"/>
  <c r="M20" i="373"/>
  <c r="N20" i="373"/>
  <c r="O20" i="373"/>
  <c r="P20" i="373"/>
  <c r="E20" i="373"/>
  <c r="F21" i="373"/>
  <c r="G21" i="373"/>
  <c r="H21" i="373"/>
  <c r="I21" i="373"/>
  <c r="J21" i="373"/>
  <c r="K21" i="373"/>
  <c r="L21" i="373"/>
  <c r="M21" i="373"/>
  <c r="N21" i="373"/>
  <c r="O21" i="373"/>
  <c r="P21" i="373"/>
  <c r="E21" i="373"/>
  <c r="H193" i="34" l="1"/>
  <c r="F21" i="372"/>
  <c r="G21" i="372"/>
  <c r="H21" i="372"/>
  <c r="I21" i="372"/>
  <c r="J21" i="372"/>
  <c r="K21" i="372"/>
  <c r="L21" i="372"/>
  <c r="M21" i="372"/>
  <c r="N21" i="372"/>
  <c r="O21" i="372"/>
  <c r="P21" i="372"/>
  <c r="E21" i="372"/>
  <c r="F20" i="372"/>
  <c r="G20" i="372"/>
  <c r="H20" i="372"/>
  <c r="I20" i="372"/>
  <c r="J20" i="372"/>
  <c r="K20" i="372"/>
  <c r="L20" i="372"/>
  <c r="M20" i="372"/>
  <c r="N20" i="372"/>
  <c r="O20" i="372"/>
  <c r="P20" i="372"/>
  <c r="E20" i="372"/>
  <c r="F21" i="371"/>
  <c r="G21" i="371"/>
  <c r="H21" i="371"/>
  <c r="I21" i="371"/>
  <c r="J21" i="371"/>
  <c r="K21" i="371"/>
  <c r="L21" i="371"/>
  <c r="M21" i="371"/>
  <c r="N21" i="371"/>
  <c r="O21" i="371"/>
  <c r="P21" i="371"/>
  <c r="E21" i="371"/>
  <c r="F20" i="371"/>
  <c r="G20" i="371"/>
  <c r="H20" i="371"/>
  <c r="I20" i="371"/>
  <c r="J20" i="371"/>
  <c r="K20" i="371"/>
  <c r="L20" i="371"/>
  <c r="M20" i="371"/>
  <c r="N20" i="371"/>
  <c r="O20" i="371"/>
  <c r="P20" i="371"/>
  <c r="E20" i="371"/>
  <c r="F21" i="370"/>
  <c r="G21" i="370"/>
  <c r="H21" i="370"/>
  <c r="I21" i="370"/>
  <c r="J21" i="370"/>
  <c r="K21" i="370"/>
  <c r="L21" i="370"/>
  <c r="M21" i="370"/>
  <c r="N21" i="370"/>
  <c r="O21" i="370"/>
  <c r="P21" i="370"/>
  <c r="E21" i="370"/>
  <c r="F20" i="370"/>
  <c r="G20" i="370"/>
  <c r="H20" i="370"/>
  <c r="I20" i="370"/>
  <c r="J20" i="370"/>
  <c r="K20" i="370"/>
  <c r="L20" i="370"/>
  <c r="M20" i="370"/>
  <c r="N20" i="370"/>
  <c r="O20" i="370"/>
  <c r="P20" i="370"/>
  <c r="E20" i="370"/>
  <c r="F21" i="369"/>
  <c r="G21" i="369"/>
  <c r="H21" i="369"/>
  <c r="I21" i="369"/>
  <c r="J21" i="369"/>
  <c r="K21" i="369"/>
  <c r="L21" i="369"/>
  <c r="M21" i="369"/>
  <c r="N21" i="369"/>
  <c r="O21" i="369"/>
  <c r="P21" i="369"/>
  <c r="E21" i="369"/>
  <c r="F20" i="369"/>
  <c r="G20" i="369"/>
  <c r="H20" i="369"/>
  <c r="I20" i="369"/>
  <c r="J20" i="369"/>
  <c r="K20" i="369"/>
  <c r="L20" i="369"/>
  <c r="M20" i="369"/>
  <c r="N20" i="369"/>
  <c r="O20" i="369"/>
  <c r="P20" i="369"/>
  <c r="E20" i="369"/>
  <c r="M20" i="368"/>
  <c r="N20" i="368"/>
  <c r="O20" i="368"/>
  <c r="P20" i="368"/>
  <c r="F21" i="368"/>
  <c r="G21" i="368"/>
  <c r="H21" i="368"/>
  <c r="I21" i="368"/>
  <c r="J21" i="368"/>
  <c r="K21" i="368"/>
  <c r="L21" i="368"/>
  <c r="M21" i="368"/>
  <c r="N21" i="368"/>
  <c r="O21" i="368"/>
  <c r="P21" i="368"/>
  <c r="E21" i="368"/>
  <c r="F21" i="367"/>
  <c r="G21" i="367"/>
  <c r="H21" i="367"/>
  <c r="I21" i="367"/>
  <c r="J21" i="367"/>
  <c r="K21" i="367"/>
  <c r="L21" i="367"/>
  <c r="M21" i="367"/>
  <c r="N21" i="367"/>
  <c r="O21" i="367"/>
  <c r="P21" i="367"/>
  <c r="E21" i="367"/>
  <c r="F20" i="367"/>
  <c r="G20" i="367"/>
  <c r="H20" i="367"/>
  <c r="I20" i="367"/>
  <c r="J20" i="367"/>
  <c r="K20" i="367"/>
  <c r="L20" i="367"/>
  <c r="M20" i="367"/>
  <c r="N20" i="367"/>
  <c r="O20" i="367"/>
  <c r="P20" i="367"/>
  <c r="E20" i="367"/>
  <c r="F21" i="366"/>
  <c r="G21" i="366"/>
  <c r="H21" i="366"/>
  <c r="I21" i="366"/>
  <c r="J21" i="366"/>
  <c r="K21" i="366"/>
  <c r="L21" i="366"/>
  <c r="M21" i="366"/>
  <c r="N21" i="366"/>
  <c r="O21" i="366"/>
  <c r="P21" i="366"/>
  <c r="E21" i="366"/>
  <c r="M20" i="366"/>
  <c r="N20" i="366"/>
  <c r="O20" i="366"/>
  <c r="P20" i="366"/>
  <c r="F21" i="365"/>
  <c r="G21" i="365"/>
  <c r="H21" i="365"/>
  <c r="I21" i="365"/>
  <c r="J21" i="365"/>
  <c r="K21" i="365"/>
  <c r="L21" i="365"/>
  <c r="M21" i="365"/>
  <c r="N21" i="365"/>
  <c r="O21" i="365"/>
  <c r="P21" i="365"/>
  <c r="E21" i="365"/>
  <c r="F20" i="365"/>
  <c r="G20" i="365"/>
  <c r="H20" i="365"/>
  <c r="I20" i="365"/>
  <c r="J20" i="365"/>
  <c r="K20" i="365"/>
  <c r="K27" i="365" s="1"/>
  <c r="L20" i="365"/>
  <c r="L27" i="365" s="1"/>
  <c r="M20" i="365"/>
  <c r="N20" i="365"/>
  <c r="O20" i="365"/>
  <c r="P20" i="365"/>
  <c r="E20" i="365"/>
  <c r="F21" i="338"/>
  <c r="G21" i="338"/>
  <c r="H21" i="338"/>
  <c r="I21" i="338"/>
  <c r="J21" i="338"/>
  <c r="K21" i="338"/>
  <c r="L21" i="338"/>
  <c r="M21" i="338"/>
  <c r="N21" i="338"/>
  <c r="O21" i="338"/>
  <c r="P21" i="338"/>
  <c r="E21" i="338"/>
  <c r="M20" i="338"/>
  <c r="N20" i="338"/>
  <c r="O20" i="338"/>
  <c r="P20" i="338"/>
  <c r="F21" i="337"/>
  <c r="G21" i="337"/>
  <c r="H21" i="337"/>
  <c r="I21" i="337"/>
  <c r="J21" i="337"/>
  <c r="K21" i="337"/>
  <c r="L21" i="337"/>
  <c r="M21" i="337"/>
  <c r="N21" i="337"/>
  <c r="O21" i="337"/>
  <c r="P21" i="337"/>
  <c r="E21" i="337"/>
  <c r="M20" i="337"/>
  <c r="N20" i="337"/>
  <c r="O20" i="337"/>
  <c r="P20" i="337"/>
  <c r="M176" i="390"/>
  <c r="M20" i="335" s="1"/>
  <c r="N176" i="390"/>
  <c r="O176" i="390"/>
  <c r="P176" i="390"/>
  <c r="P20" i="335" s="1"/>
  <c r="M175" i="390"/>
  <c r="M20" i="334" s="1"/>
  <c r="N175" i="390"/>
  <c r="O175" i="390"/>
  <c r="P175" i="390"/>
  <c r="F21" i="362"/>
  <c r="G21" i="362"/>
  <c r="H21" i="362"/>
  <c r="I21" i="362"/>
  <c r="J21" i="362"/>
  <c r="K21" i="362"/>
  <c r="L21" i="362"/>
  <c r="M21" i="362"/>
  <c r="N21" i="362"/>
  <c r="O21" i="362"/>
  <c r="P21" i="362"/>
  <c r="E21" i="362"/>
  <c r="F21" i="336"/>
  <c r="G21" i="336"/>
  <c r="H21" i="336"/>
  <c r="I21" i="336"/>
  <c r="J21" i="336"/>
  <c r="K21" i="336"/>
  <c r="L21" i="336"/>
  <c r="M21" i="336"/>
  <c r="N21" i="336"/>
  <c r="O21" i="336"/>
  <c r="P21" i="336"/>
  <c r="E21" i="336"/>
  <c r="M20" i="336"/>
  <c r="N20" i="336"/>
  <c r="O20" i="336"/>
  <c r="P20" i="336"/>
  <c r="E173" i="205"/>
  <c r="F173" i="205"/>
  <c r="G173" i="205"/>
  <c r="H173" i="205"/>
  <c r="I173" i="205"/>
  <c r="J173" i="205"/>
  <c r="K173" i="205"/>
  <c r="L173" i="205"/>
  <c r="M173" i="205"/>
  <c r="N173" i="205"/>
  <c r="O173" i="205"/>
  <c r="D173" i="205"/>
  <c r="F21" i="335"/>
  <c r="G21" i="335"/>
  <c r="H21" i="335"/>
  <c r="I21" i="335"/>
  <c r="J21" i="335"/>
  <c r="K21" i="335"/>
  <c r="L21" i="335"/>
  <c r="M21" i="335"/>
  <c r="N21" i="335"/>
  <c r="O21" i="335"/>
  <c r="P21" i="335"/>
  <c r="E21" i="335"/>
  <c r="N20" i="335"/>
  <c r="O20" i="335"/>
  <c r="E172" i="205"/>
  <c r="F172" i="205"/>
  <c r="G172" i="205"/>
  <c r="H172" i="205"/>
  <c r="I172" i="205"/>
  <c r="J172" i="205"/>
  <c r="K172" i="205"/>
  <c r="L172" i="205"/>
  <c r="M172" i="205"/>
  <c r="N172" i="205"/>
  <c r="O172" i="205"/>
  <c r="D172" i="205"/>
  <c r="F21" i="334"/>
  <c r="G21" i="334"/>
  <c r="H21" i="334"/>
  <c r="I21" i="334"/>
  <c r="J21" i="334"/>
  <c r="K21" i="334"/>
  <c r="L21" i="334"/>
  <c r="M21" i="334"/>
  <c r="N21" i="334"/>
  <c r="O21" i="334"/>
  <c r="P21" i="334"/>
  <c r="E21" i="334"/>
  <c r="N20" i="334"/>
  <c r="O20" i="334"/>
  <c r="P20" i="334"/>
  <c r="F21" i="330"/>
  <c r="G21" i="330"/>
  <c r="H21" i="330"/>
  <c r="I21" i="330"/>
  <c r="J21" i="330"/>
  <c r="K21" i="330"/>
  <c r="L21" i="330"/>
  <c r="M21" i="330"/>
  <c r="N21" i="330"/>
  <c r="O21" i="330"/>
  <c r="P21" i="330"/>
  <c r="E21" i="330"/>
  <c r="F20" i="330"/>
  <c r="G20" i="330"/>
  <c r="H20" i="330"/>
  <c r="I20" i="330"/>
  <c r="J20" i="330"/>
  <c r="K20" i="330"/>
  <c r="L20" i="330"/>
  <c r="M20" i="330"/>
  <c r="N20" i="330"/>
  <c r="O20" i="330"/>
  <c r="P20" i="330"/>
  <c r="E20" i="330"/>
  <c r="F21" i="333"/>
  <c r="G21" i="333"/>
  <c r="H21" i="333"/>
  <c r="I21" i="333"/>
  <c r="J21" i="333"/>
  <c r="K21" i="333"/>
  <c r="L21" i="333"/>
  <c r="M21" i="333"/>
  <c r="N21" i="333"/>
  <c r="O21" i="333"/>
  <c r="P21" i="333"/>
  <c r="E21" i="333"/>
  <c r="F20" i="333"/>
  <c r="G20" i="333"/>
  <c r="H20" i="333"/>
  <c r="I20" i="333"/>
  <c r="J20" i="333"/>
  <c r="K20" i="333"/>
  <c r="L20" i="333"/>
  <c r="M20" i="333"/>
  <c r="N20" i="333"/>
  <c r="O20" i="333"/>
  <c r="P20" i="333"/>
  <c r="E20" i="333"/>
  <c r="F19" i="333"/>
  <c r="G19" i="333"/>
  <c r="H19" i="333"/>
  <c r="I19" i="333"/>
  <c r="J19" i="333"/>
  <c r="K19" i="333"/>
  <c r="L19" i="333"/>
  <c r="M19" i="333"/>
  <c r="N19" i="333"/>
  <c r="O19" i="333"/>
  <c r="P19" i="333"/>
  <c r="E19" i="333"/>
  <c r="F21" i="332"/>
  <c r="G21" i="332"/>
  <c r="H21" i="332"/>
  <c r="I21" i="332"/>
  <c r="J21" i="332"/>
  <c r="K21" i="332"/>
  <c r="L21" i="332"/>
  <c r="M21" i="332"/>
  <c r="N21" i="332"/>
  <c r="O21" i="332"/>
  <c r="P21" i="332"/>
  <c r="E21" i="332"/>
  <c r="F20" i="332"/>
  <c r="G20" i="332"/>
  <c r="H20" i="332"/>
  <c r="I20" i="332"/>
  <c r="J20" i="332"/>
  <c r="K20" i="332"/>
  <c r="L20" i="332"/>
  <c r="M20" i="332"/>
  <c r="N20" i="332"/>
  <c r="O20" i="332"/>
  <c r="P20" i="332"/>
  <c r="E20" i="332"/>
  <c r="F19" i="332"/>
  <c r="G19" i="332"/>
  <c r="H19" i="332"/>
  <c r="I19" i="332"/>
  <c r="J19" i="332"/>
  <c r="K19" i="332"/>
  <c r="L19" i="332"/>
  <c r="M19" i="332"/>
  <c r="N19" i="332"/>
  <c r="O19" i="332"/>
  <c r="P19" i="332"/>
  <c r="E19" i="332"/>
  <c r="F21" i="329"/>
  <c r="G21" i="329"/>
  <c r="H21" i="329"/>
  <c r="I21" i="329"/>
  <c r="J21" i="329"/>
  <c r="K21" i="329"/>
  <c r="L21" i="329"/>
  <c r="M21" i="329"/>
  <c r="N21" i="329"/>
  <c r="O21" i="329"/>
  <c r="P21" i="329"/>
  <c r="E21" i="329"/>
  <c r="F20" i="329"/>
  <c r="G20" i="329"/>
  <c r="H20" i="329"/>
  <c r="I20" i="329"/>
  <c r="J20" i="329"/>
  <c r="K20" i="329"/>
  <c r="L20" i="329"/>
  <c r="M20" i="329"/>
  <c r="N20" i="329"/>
  <c r="O20" i="329"/>
  <c r="P20" i="329"/>
  <c r="E20" i="329"/>
  <c r="F19" i="329"/>
  <c r="G19" i="329"/>
  <c r="H19" i="329"/>
  <c r="I19" i="329"/>
  <c r="J19" i="329"/>
  <c r="K19" i="329"/>
  <c r="L19" i="329"/>
  <c r="M19" i="329"/>
  <c r="N19" i="329"/>
  <c r="O19" i="329"/>
  <c r="P19" i="329"/>
  <c r="E19" i="329"/>
  <c r="F21" i="328"/>
  <c r="G21" i="328"/>
  <c r="H21" i="328"/>
  <c r="I21" i="328"/>
  <c r="J21" i="328"/>
  <c r="K21" i="328"/>
  <c r="L21" i="328"/>
  <c r="M21" i="328"/>
  <c r="N21" i="328"/>
  <c r="O21" i="328"/>
  <c r="P21" i="328"/>
  <c r="E21" i="328"/>
  <c r="F20" i="328"/>
  <c r="G20" i="328"/>
  <c r="H20" i="328"/>
  <c r="I20" i="328"/>
  <c r="J20" i="328"/>
  <c r="K20" i="328"/>
  <c r="L20" i="328"/>
  <c r="M20" i="328"/>
  <c r="N20" i="328"/>
  <c r="O20" i="328"/>
  <c r="P20" i="328"/>
  <c r="E20" i="328"/>
  <c r="F19" i="328"/>
  <c r="G19" i="328"/>
  <c r="H19" i="328"/>
  <c r="I19" i="328"/>
  <c r="J19" i="328"/>
  <c r="K19" i="328"/>
  <c r="L19" i="328"/>
  <c r="M19" i="328"/>
  <c r="N19" i="328"/>
  <c r="O19" i="328"/>
  <c r="E19" i="328"/>
  <c r="F21" i="327"/>
  <c r="G21" i="327"/>
  <c r="H21" i="327"/>
  <c r="I21" i="327"/>
  <c r="J21" i="327"/>
  <c r="K21" i="327"/>
  <c r="L21" i="327"/>
  <c r="M21" i="327"/>
  <c r="N21" i="327"/>
  <c r="O21" i="327"/>
  <c r="P21" i="327"/>
  <c r="E21" i="327"/>
  <c r="M20" i="327"/>
  <c r="N20" i="327"/>
  <c r="O20" i="327"/>
  <c r="P20" i="327"/>
  <c r="F21" i="383"/>
  <c r="G21" i="383"/>
  <c r="H21" i="383"/>
  <c r="I21" i="383"/>
  <c r="J21" i="383"/>
  <c r="K21" i="383"/>
  <c r="L21" i="383"/>
  <c r="M21" i="383"/>
  <c r="N21" i="383"/>
  <c r="O21" i="383"/>
  <c r="P21" i="383"/>
  <c r="E21" i="383"/>
  <c r="F20" i="383"/>
  <c r="G20" i="383"/>
  <c r="H20" i="383"/>
  <c r="I20" i="383"/>
  <c r="J20" i="383"/>
  <c r="K20" i="383"/>
  <c r="L20" i="383"/>
  <c r="M20" i="383"/>
  <c r="N20" i="383"/>
  <c r="O20" i="383"/>
  <c r="P20" i="383"/>
  <c r="E20" i="383"/>
  <c r="F21" i="331"/>
  <c r="G21" i="331"/>
  <c r="H21" i="331"/>
  <c r="I21" i="331"/>
  <c r="J21" i="331"/>
  <c r="K21" i="331"/>
  <c r="L21" i="331"/>
  <c r="M21" i="331"/>
  <c r="N21" i="331"/>
  <c r="O21" i="331"/>
  <c r="P21" i="331"/>
  <c r="E21" i="331"/>
  <c r="F20" i="331"/>
  <c r="G20" i="331"/>
  <c r="H20" i="331"/>
  <c r="I20" i="331"/>
  <c r="J20" i="331"/>
  <c r="K20" i="331"/>
  <c r="L20" i="331"/>
  <c r="M20" i="331"/>
  <c r="N20" i="331"/>
  <c r="O20" i="331"/>
  <c r="P20" i="331"/>
  <c r="E20" i="331"/>
  <c r="F21" i="326"/>
  <c r="G21" i="326"/>
  <c r="H21" i="326"/>
  <c r="I21" i="326"/>
  <c r="J21" i="326"/>
  <c r="K21" i="326"/>
  <c r="L21" i="326"/>
  <c r="M21" i="326"/>
  <c r="N21" i="326"/>
  <c r="O21" i="326"/>
  <c r="P21" i="326"/>
  <c r="E21" i="326"/>
  <c r="F20" i="326"/>
  <c r="G20" i="326"/>
  <c r="H20" i="326"/>
  <c r="I20" i="326"/>
  <c r="J20" i="326"/>
  <c r="K20" i="326"/>
  <c r="L20" i="326"/>
  <c r="M20" i="326"/>
  <c r="N20" i="326"/>
  <c r="O20" i="326"/>
  <c r="P20" i="326"/>
  <c r="E20" i="326"/>
  <c r="F19" i="326"/>
  <c r="G19" i="326"/>
  <c r="H19" i="326"/>
  <c r="I19" i="326"/>
  <c r="J19" i="326"/>
  <c r="K19" i="326"/>
  <c r="L19" i="326"/>
  <c r="M19" i="326"/>
  <c r="N19" i="326"/>
  <c r="O19" i="326"/>
  <c r="P19" i="326"/>
  <c r="E19" i="326"/>
  <c r="F21" i="325"/>
  <c r="G21" i="325"/>
  <c r="H21" i="325"/>
  <c r="I21" i="325"/>
  <c r="J21" i="325"/>
  <c r="K21" i="325"/>
  <c r="L21" i="325"/>
  <c r="M21" i="325"/>
  <c r="N21" i="325"/>
  <c r="O21" i="325"/>
  <c r="P21" i="325"/>
  <c r="E21" i="325"/>
  <c r="F20" i="325"/>
  <c r="G20" i="325"/>
  <c r="H20" i="325"/>
  <c r="I20" i="325"/>
  <c r="J20" i="325"/>
  <c r="K20" i="325"/>
  <c r="L20" i="325"/>
  <c r="M20" i="325"/>
  <c r="N20" i="325"/>
  <c r="O20" i="325"/>
  <c r="P20" i="325"/>
  <c r="E20" i="325"/>
  <c r="F21" i="324"/>
  <c r="G21" i="324"/>
  <c r="H21" i="324"/>
  <c r="I21" i="324"/>
  <c r="J21" i="324"/>
  <c r="K21" i="324"/>
  <c r="L21" i="324"/>
  <c r="M21" i="324"/>
  <c r="N21" i="324"/>
  <c r="O21" i="324"/>
  <c r="P21" i="324"/>
  <c r="E21" i="324"/>
  <c r="F20" i="324"/>
  <c r="G20" i="324"/>
  <c r="H20" i="324"/>
  <c r="I20" i="324"/>
  <c r="J20" i="324"/>
  <c r="K20" i="324"/>
  <c r="L20" i="324"/>
  <c r="M20" i="324"/>
  <c r="N20" i="324"/>
  <c r="O20" i="324"/>
  <c r="P20" i="324"/>
  <c r="E20" i="324"/>
  <c r="F21" i="323"/>
  <c r="G21" i="323"/>
  <c r="H21" i="323"/>
  <c r="I21" i="323"/>
  <c r="J21" i="323"/>
  <c r="K21" i="323"/>
  <c r="L21" i="323"/>
  <c r="M21" i="323"/>
  <c r="N21" i="323"/>
  <c r="O21" i="323"/>
  <c r="P21" i="323"/>
  <c r="E21" i="323"/>
  <c r="F20" i="323"/>
  <c r="G20" i="323"/>
  <c r="H20" i="323"/>
  <c r="I20" i="323"/>
  <c r="J20" i="323"/>
  <c r="K20" i="323"/>
  <c r="L20" i="323"/>
  <c r="M20" i="323"/>
  <c r="N20" i="323"/>
  <c r="O20" i="323"/>
  <c r="P20" i="323"/>
  <c r="E20" i="323"/>
  <c r="F21" i="322"/>
  <c r="G21" i="322"/>
  <c r="H21" i="322"/>
  <c r="I21" i="322"/>
  <c r="J21" i="322"/>
  <c r="K21" i="322"/>
  <c r="L21" i="322"/>
  <c r="M21" i="322"/>
  <c r="N21" i="322"/>
  <c r="O21" i="322"/>
  <c r="P21" i="322"/>
  <c r="E21" i="322"/>
  <c r="F20" i="322"/>
  <c r="G20" i="322"/>
  <c r="H20" i="322"/>
  <c r="I20" i="322"/>
  <c r="J20" i="322"/>
  <c r="K20" i="322"/>
  <c r="L20" i="322"/>
  <c r="M20" i="322"/>
  <c r="N20" i="322"/>
  <c r="O20" i="322"/>
  <c r="P20" i="322"/>
  <c r="E20" i="322"/>
  <c r="F21" i="321"/>
  <c r="G21" i="321"/>
  <c r="H21" i="321"/>
  <c r="I21" i="321"/>
  <c r="J21" i="321"/>
  <c r="K21" i="321"/>
  <c r="L21" i="321"/>
  <c r="M21" i="321"/>
  <c r="N21" i="321"/>
  <c r="O21" i="321"/>
  <c r="P21" i="321"/>
  <c r="E21" i="321"/>
  <c r="M20" i="321"/>
  <c r="N20" i="321"/>
  <c r="O20" i="321"/>
  <c r="P20" i="321"/>
  <c r="F21" i="389"/>
  <c r="G21" i="389"/>
  <c r="H21" i="389"/>
  <c r="I21" i="389"/>
  <c r="J21" i="389"/>
  <c r="K21" i="389"/>
  <c r="L21" i="389"/>
  <c r="M21" i="389"/>
  <c r="N21" i="389"/>
  <c r="O21" i="389"/>
  <c r="P21" i="389"/>
  <c r="E21" i="389"/>
  <c r="M20" i="389"/>
  <c r="N20" i="389"/>
  <c r="O20" i="389"/>
  <c r="P20" i="389"/>
  <c r="F21" i="320"/>
  <c r="G21" i="320"/>
  <c r="H21" i="320"/>
  <c r="I21" i="320"/>
  <c r="J21" i="320"/>
  <c r="K21" i="320"/>
  <c r="L21" i="320"/>
  <c r="M21" i="320"/>
  <c r="N21" i="320"/>
  <c r="O21" i="320"/>
  <c r="P21" i="320"/>
  <c r="E21" i="320"/>
  <c r="M20" i="320"/>
  <c r="N20" i="320"/>
  <c r="O20" i="320"/>
  <c r="P20" i="320"/>
  <c r="F21" i="317"/>
  <c r="G21" i="317"/>
  <c r="H21" i="317"/>
  <c r="I21" i="317"/>
  <c r="J21" i="317"/>
  <c r="K21" i="317"/>
  <c r="L21" i="317"/>
  <c r="M21" i="317"/>
  <c r="N21" i="317"/>
  <c r="O21" i="317"/>
  <c r="P21" i="317"/>
  <c r="E21" i="317"/>
  <c r="M20" i="317"/>
  <c r="N20" i="317"/>
  <c r="O20" i="317"/>
  <c r="P20" i="317"/>
  <c r="F21" i="316"/>
  <c r="G21" i="316"/>
  <c r="H21" i="316"/>
  <c r="I21" i="316"/>
  <c r="J21" i="316"/>
  <c r="K21" i="316"/>
  <c r="L21" i="316"/>
  <c r="M21" i="316"/>
  <c r="N21" i="316"/>
  <c r="O21" i="316"/>
  <c r="P21" i="316"/>
  <c r="E21" i="316"/>
  <c r="M20" i="316"/>
  <c r="N20" i="316"/>
  <c r="O20" i="316"/>
  <c r="P20" i="316"/>
  <c r="F21" i="315"/>
  <c r="G21" i="315"/>
  <c r="H21" i="315"/>
  <c r="I21" i="315"/>
  <c r="J21" i="315"/>
  <c r="K21" i="315"/>
  <c r="L21" i="315"/>
  <c r="M21" i="315"/>
  <c r="N21" i="315"/>
  <c r="O21" i="315"/>
  <c r="P21" i="315"/>
  <c r="E21" i="315"/>
  <c r="M20" i="315"/>
  <c r="N20" i="315"/>
  <c r="O20" i="315"/>
  <c r="P20" i="315"/>
  <c r="F21" i="382"/>
  <c r="G21" i="382"/>
  <c r="H21" i="382"/>
  <c r="I21" i="382"/>
  <c r="J21" i="382"/>
  <c r="K21" i="382"/>
  <c r="L21" i="382"/>
  <c r="M21" i="382"/>
  <c r="N21" i="382"/>
  <c r="O21" i="382"/>
  <c r="P21" i="382"/>
  <c r="E21" i="382"/>
  <c r="M20" i="382"/>
  <c r="N20" i="382"/>
  <c r="O20" i="382"/>
  <c r="P20" i="382"/>
  <c r="F21" i="319"/>
  <c r="G21" i="319"/>
  <c r="H21" i="319"/>
  <c r="I21" i="319"/>
  <c r="J21" i="319"/>
  <c r="K21" i="319"/>
  <c r="L21" i="319"/>
  <c r="M21" i="319"/>
  <c r="N21" i="319"/>
  <c r="O21" i="319"/>
  <c r="P21" i="319"/>
  <c r="E21" i="319"/>
  <c r="M20" i="319"/>
  <c r="N20" i="319"/>
  <c r="O20" i="319"/>
  <c r="P20" i="319"/>
  <c r="F21" i="314"/>
  <c r="G21" i="314"/>
  <c r="H21" i="314"/>
  <c r="I21" i="314"/>
  <c r="J21" i="314"/>
  <c r="K21" i="314"/>
  <c r="L21" i="314"/>
  <c r="M21" i="314"/>
  <c r="N21" i="314"/>
  <c r="O21" i="314"/>
  <c r="P21" i="314"/>
  <c r="E21" i="314"/>
  <c r="M20" i="314"/>
  <c r="N20" i="314"/>
  <c r="O20" i="314"/>
  <c r="P20" i="314"/>
  <c r="F21" i="313"/>
  <c r="G21" i="313"/>
  <c r="H21" i="313"/>
  <c r="I21" i="313"/>
  <c r="J21" i="313"/>
  <c r="K21" i="313"/>
  <c r="L21" i="313"/>
  <c r="M21" i="313"/>
  <c r="N21" i="313"/>
  <c r="O21" i="313"/>
  <c r="P21" i="313"/>
  <c r="E21" i="313"/>
  <c r="M20" i="313"/>
  <c r="N20" i="313"/>
  <c r="O20" i="313"/>
  <c r="P20" i="313"/>
  <c r="F21" i="312"/>
  <c r="G21" i="312"/>
  <c r="H21" i="312"/>
  <c r="I21" i="312"/>
  <c r="J21" i="312"/>
  <c r="K21" i="312"/>
  <c r="L21" i="312"/>
  <c r="M21" i="312"/>
  <c r="N21" i="312"/>
  <c r="O21" i="312"/>
  <c r="P21" i="312"/>
  <c r="E21" i="312"/>
  <c r="M20" i="312"/>
  <c r="N20" i="312"/>
  <c r="O20" i="312"/>
  <c r="P20" i="312"/>
  <c r="F21" i="311"/>
  <c r="G21" i="311"/>
  <c r="H21" i="311"/>
  <c r="I21" i="311"/>
  <c r="J21" i="311"/>
  <c r="K21" i="311"/>
  <c r="L21" i="311"/>
  <c r="M21" i="311"/>
  <c r="N21" i="311"/>
  <c r="O21" i="311"/>
  <c r="P21" i="311"/>
  <c r="E21" i="311"/>
  <c r="M20" i="311"/>
  <c r="N20" i="311"/>
  <c r="O20" i="311"/>
  <c r="P20" i="311"/>
  <c r="F21" i="310"/>
  <c r="G21" i="310"/>
  <c r="H21" i="310"/>
  <c r="I21" i="310"/>
  <c r="J21" i="310"/>
  <c r="K21" i="310"/>
  <c r="L21" i="310"/>
  <c r="M21" i="310"/>
  <c r="N21" i="310"/>
  <c r="O21" i="310"/>
  <c r="P21" i="310"/>
  <c r="E21" i="310"/>
  <c r="M20" i="310"/>
  <c r="N20" i="310"/>
  <c r="O20" i="310"/>
  <c r="P20" i="310"/>
  <c r="F21" i="318"/>
  <c r="G21" i="318"/>
  <c r="H21" i="318"/>
  <c r="I21" i="318"/>
  <c r="J21" i="318"/>
  <c r="K21" i="318"/>
  <c r="L21" i="318"/>
  <c r="M21" i="318"/>
  <c r="N21" i="318"/>
  <c r="O21" i="318"/>
  <c r="P21" i="318"/>
  <c r="E21" i="318"/>
  <c r="M20" i="318"/>
  <c r="N20" i="318"/>
  <c r="O20" i="318"/>
  <c r="P20" i="318"/>
  <c r="G166" i="34"/>
  <c r="F21" i="402"/>
  <c r="G21" i="402"/>
  <c r="H21" i="402"/>
  <c r="I21" i="402"/>
  <c r="O28" i="402" s="1"/>
  <c r="J21" i="402"/>
  <c r="K21" i="402"/>
  <c r="L21" i="402"/>
  <c r="M21" i="402"/>
  <c r="N21" i="402"/>
  <c r="O21" i="402"/>
  <c r="P21" i="402"/>
  <c r="E21" i="402"/>
  <c r="M20" i="402"/>
  <c r="N20" i="402"/>
  <c r="O20" i="402"/>
  <c r="P20" i="402"/>
  <c r="F19" i="402"/>
  <c r="G19" i="402"/>
  <c r="H19" i="402"/>
  <c r="I19" i="402"/>
  <c r="J19" i="402"/>
  <c r="K19" i="402"/>
  <c r="L19" i="402"/>
  <c r="M19" i="402"/>
  <c r="N19" i="402"/>
  <c r="O19" i="402"/>
  <c r="O22" i="402" s="1"/>
  <c r="P19" i="402"/>
  <c r="P23" i="402" s="1"/>
  <c r="E19" i="402"/>
  <c r="E26" i="402" s="1"/>
  <c r="M166" i="34" s="1"/>
  <c r="C1" i="402"/>
  <c r="D30" i="402"/>
  <c r="D29" i="402"/>
  <c r="G28" i="402"/>
  <c r="D28" i="402"/>
  <c r="D27" i="402"/>
  <c r="D26" i="402"/>
  <c r="P25" i="402"/>
  <c r="O25" i="402"/>
  <c r="N25" i="402"/>
  <c r="M25" i="402"/>
  <c r="L25" i="402"/>
  <c r="K25" i="402"/>
  <c r="J25" i="402"/>
  <c r="I25" i="402"/>
  <c r="H25" i="402"/>
  <c r="G25" i="402"/>
  <c r="F25" i="402"/>
  <c r="E25" i="402"/>
  <c r="O23" i="402"/>
  <c r="N22" i="402"/>
  <c r="I1" i="402"/>
  <c r="B1" i="402"/>
  <c r="M20" i="401"/>
  <c r="N20" i="401"/>
  <c r="O20" i="401"/>
  <c r="P20" i="401"/>
  <c r="F19" i="401"/>
  <c r="G19" i="401"/>
  <c r="H19" i="401"/>
  <c r="I19" i="401"/>
  <c r="J19" i="401"/>
  <c r="K19" i="401"/>
  <c r="L19" i="401"/>
  <c r="M19" i="401"/>
  <c r="N19" i="401"/>
  <c r="O19" i="401"/>
  <c r="P19" i="401"/>
  <c r="P22" i="401" s="1"/>
  <c r="E19" i="401"/>
  <c r="G165" i="34" s="1"/>
  <c r="C1" i="401"/>
  <c r="D30" i="401"/>
  <c r="D29" i="401"/>
  <c r="G28" i="401"/>
  <c r="D28" i="401"/>
  <c r="D27" i="401"/>
  <c r="D26" i="401"/>
  <c r="P25" i="401"/>
  <c r="O25" i="401"/>
  <c r="N25" i="401"/>
  <c r="M25" i="401"/>
  <c r="L25" i="401"/>
  <c r="K25" i="401"/>
  <c r="J25" i="401"/>
  <c r="I25" i="401"/>
  <c r="H25" i="401"/>
  <c r="G25" i="401"/>
  <c r="F25" i="401"/>
  <c r="E25" i="401"/>
  <c r="O22" i="401"/>
  <c r="O28" i="401"/>
  <c r="N28" i="401"/>
  <c r="N22" i="401"/>
  <c r="P23" i="401"/>
  <c r="O23" i="401"/>
  <c r="I1" i="401"/>
  <c r="B1" i="401"/>
  <c r="F158" i="390"/>
  <c r="F20" i="401" s="1"/>
  <c r="F22" i="401" s="1"/>
  <c r="G158" i="390"/>
  <c r="G20" i="401" s="1"/>
  <c r="H158" i="390"/>
  <c r="H20" i="401" s="1"/>
  <c r="I158" i="390"/>
  <c r="I20" i="401" s="1"/>
  <c r="J158" i="390"/>
  <c r="J20" i="401" s="1"/>
  <c r="J22" i="401" s="1"/>
  <c r="K158" i="390"/>
  <c r="K20" i="401" s="1"/>
  <c r="L158" i="390"/>
  <c r="L20" i="401" s="1"/>
  <c r="L22" i="401" s="1"/>
  <c r="M158" i="390"/>
  <c r="N158" i="390"/>
  <c r="O158" i="390"/>
  <c r="P158" i="390"/>
  <c r="M159" i="390"/>
  <c r="N159" i="390"/>
  <c r="O159" i="390"/>
  <c r="P159" i="390"/>
  <c r="E158" i="390"/>
  <c r="E20" i="401" s="1"/>
  <c r="B158" i="390"/>
  <c r="C158" i="390"/>
  <c r="B159" i="390"/>
  <c r="C159" i="390"/>
  <c r="A158" i="390"/>
  <c r="A159" i="390"/>
  <c r="B155" i="205"/>
  <c r="C155" i="205"/>
  <c r="B156" i="205"/>
  <c r="C156" i="205"/>
  <c r="A155" i="205"/>
  <c r="A156" i="205"/>
  <c r="F21" i="298"/>
  <c r="G21" i="298"/>
  <c r="H21" i="298"/>
  <c r="I21" i="298"/>
  <c r="J21" i="298"/>
  <c r="K21" i="298"/>
  <c r="L21" i="298"/>
  <c r="M21" i="298"/>
  <c r="N21" i="298"/>
  <c r="O21" i="298"/>
  <c r="P21" i="298"/>
  <c r="E21" i="298"/>
  <c r="F20" i="298"/>
  <c r="G20" i="298"/>
  <c r="H20" i="298"/>
  <c r="I20" i="298"/>
  <c r="J20" i="298"/>
  <c r="K20" i="298"/>
  <c r="L20" i="298"/>
  <c r="M20" i="298"/>
  <c r="N20" i="298"/>
  <c r="O20" i="298"/>
  <c r="P20" i="298"/>
  <c r="E20" i="298"/>
  <c r="F21" i="299"/>
  <c r="G21" i="299"/>
  <c r="H21" i="299"/>
  <c r="I21" i="299"/>
  <c r="J21" i="299"/>
  <c r="K21" i="299"/>
  <c r="L21" i="299"/>
  <c r="M21" i="299"/>
  <c r="N21" i="299"/>
  <c r="O21" i="299"/>
  <c r="P21" i="299"/>
  <c r="E21" i="299"/>
  <c r="F20" i="299"/>
  <c r="G20" i="299"/>
  <c r="H20" i="299"/>
  <c r="I20" i="299"/>
  <c r="J20" i="299"/>
  <c r="K20" i="299"/>
  <c r="L20" i="299"/>
  <c r="M20" i="299"/>
  <c r="N20" i="299"/>
  <c r="O20" i="299"/>
  <c r="P20" i="299"/>
  <c r="E20" i="299"/>
  <c r="F21" i="300"/>
  <c r="G21" i="300"/>
  <c r="H21" i="300"/>
  <c r="I21" i="300"/>
  <c r="J21" i="300"/>
  <c r="K21" i="300"/>
  <c r="L21" i="300"/>
  <c r="M21" i="300"/>
  <c r="N21" i="300"/>
  <c r="O21" i="300"/>
  <c r="P21" i="300"/>
  <c r="E21" i="300"/>
  <c r="F20" i="300"/>
  <c r="G20" i="300"/>
  <c r="H20" i="300"/>
  <c r="I20" i="300"/>
  <c r="J20" i="300"/>
  <c r="K20" i="300"/>
  <c r="L20" i="300"/>
  <c r="M20" i="300"/>
  <c r="N20" i="300"/>
  <c r="O20" i="300"/>
  <c r="P20" i="300"/>
  <c r="E20" i="300"/>
  <c r="F21" i="301"/>
  <c r="G21" i="301"/>
  <c r="H21" i="301"/>
  <c r="I21" i="301"/>
  <c r="J21" i="301"/>
  <c r="K21" i="301"/>
  <c r="L21" i="301"/>
  <c r="M21" i="301"/>
  <c r="N21" i="301"/>
  <c r="O21" i="301"/>
  <c r="P21" i="301"/>
  <c r="E21" i="301"/>
  <c r="F20" i="301"/>
  <c r="G20" i="301"/>
  <c r="H20" i="301"/>
  <c r="I20" i="301"/>
  <c r="J20" i="301"/>
  <c r="K20" i="301"/>
  <c r="L20" i="301"/>
  <c r="M20" i="301"/>
  <c r="N20" i="301"/>
  <c r="O20" i="301"/>
  <c r="P20" i="301"/>
  <c r="E20" i="301"/>
  <c r="F21" i="302"/>
  <c r="G21" i="302"/>
  <c r="H21" i="302"/>
  <c r="I21" i="302"/>
  <c r="J21" i="302"/>
  <c r="K21" i="302"/>
  <c r="L21" i="302"/>
  <c r="M21" i="302"/>
  <c r="N21" i="302"/>
  <c r="O21" i="302"/>
  <c r="P21" i="302"/>
  <c r="E21" i="302"/>
  <c r="F20" i="302"/>
  <c r="G20" i="302"/>
  <c r="H20" i="302"/>
  <c r="I20" i="302"/>
  <c r="J20" i="302"/>
  <c r="K20" i="302"/>
  <c r="L20" i="302"/>
  <c r="M20" i="302"/>
  <c r="N20" i="302"/>
  <c r="O20" i="302"/>
  <c r="P20" i="302"/>
  <c r="E20" i="302"/>
  <c r="F21" i="307"/>
  <c r="G21" i="307"/>
  <c r="H21" i="307"/>
  <c r="I21" i="307"/>
  <c r="J21" i="307"/>
  <c r="K21" i="307"/>
  <c r="L21" i="307"/>
  <c r="M21" i="307"/>
  <c r="N21" i="307"/>
  <c r="O21" i="307"/>
  <c r="P21" i="307"/>
  <c r="E21" i="307"/>
  <c r="F20" i="307"/>
  <c r="G20" i="307"/>
  <c r="H20" i="307"/>
  <c r="I20" i="307"/>
  <c r="J20" i="307"/>
  <c r="K20" i="307"/>
  <c r="L20" i="307"/>
  <c r="M20" i="307"/>
  <c r="N20" i="307"/>
  <c r="O20" i="307"/>
  <c r="P20" i="307"/>
  <c r="E20" i="307"/>
  <c r="F21" i="381"/>
  <c r="G21" i="381"/>
  <c r="H21" i="381"/>
  <c r="I21" i="381"/>
  <c r="J21" i="381"/>
  <c r="K21" i="381"/>
  <c r="L21" i="381"/>
  <c r="M21" i="381"/>
  <c r="N21" i="381"/>
  <c r="O21" i="381"/>
  <c r="P21" i="381"/>
  <c r="E21" i="381"/>
  <c r="F20" i="381"/>
  <c r="G20" i="381"/>
  <c r="H20" i="381"/>
  <c r="I20" i="381"/>
  <c r="J20" i="381"/>
  <c r="K20" i="381"/>
  <c r="L20" i="381"/>
  <c r="M20" i="381"/>
  <c r="N20" i="381"/>
  <c r="O20" i="381"/>
  <c r="P20" i="381"/>
  <c r="E20" i="381"/>
  <c r="F21" i="303"/>
  <c r="G21" i="303"/>
  <c r="H21" i="303"/>
  <c r="I21" i="303"/>
  <c r="J21" i="303"/>
  <c r="K21" i="303"/>
  <c r="L21" i="303"/>
  <c r="M21" i="303"/>
  <c r="N21" i="303"/>
  <c r="O21" i="303"/>
  <c r="P21" i="303"/>
  <c r="E21" i="303"/>
  <c r="M20" i="303"/>
  <c r="N20" i="303"/>
  <c r="O20" i="303"/>
  <c r="P20" i="303"/>
  <c r="F21" i="304"/>
  <c r="G21" i="304"/>
  <c r="H21" i="304"/>
  <c r="I21" i="304"/>
  <c r="J21" i="304"/>
  <c r="K21" i="304"/>
  <c r="L21" i="304"/>
  <c r="M21" i="304"/>
  <c r="N21" i="304"/>
  <c r="O21" i="304"/>
  <c r="P21" i="304"/>
  <c r="E21" i="304"/>
  <c r="F20" i="304"/>
  <c r="G20" i="304"/>
  <c r="H20" i="304"/>
  <c r="I20" i="304"/>
  <c r="J20" i="304"/>
  <c r="K20" i="304"/>
  <c r="L20" i="304"/>
  <c r="M20" i="304"/>
  <c r="N20" i="304"/>
  <c r="O20" i="304"/>
  <c r="P20" i="304"/>
  <c r="E20" i="304"/>
  <c r="F21" i="305"/>
  <c r="G21" i="305"/>
  <c r="H21" i="305"/>
  <c r="I21" i="305"/>
  <c r="J21" i="305"/>
  <c r="K21" i="305"/>
  <c r="L21" i="305"/>
  <c r="M21" i="305"/>
  <c r="N21" i="305"/>
  <c r="O21" i="305"/>
  <c r="P21" i="305"/>
  <c r="E21" i="305"/>
  <c r="F20" i="305"/>
  <c r="G20" i="305"/>
  <c r="H20" i="305"/>
  <c r="I20" i="305"/>
  <c r="J20" i="305"/>
  <c r="K20" i="305"/>
  <c r="L20" i="305"/>
  <c r="M20" i="305"/>
  <c r="N20" i="305"/>
  <c r="O20" i="305"/>
  <c r="P20" i="305"/>
  <c r="E20" i="305"/>
  <c r="F21" i="308"/>
  <c r="G21" i="308"/>
  <c r="H21" i="308"/>
  <c r="I21" i="308"/>
  <c r="J21" i="308"/>
  <c r="K21" i="308"/>
  <c r="L21" i="308"/>
  <c r="M21" i="308"/>
  <c r="N21" i="308"/>
  <c r="O21" i="308"/>
  <c r="P21" i="308"/>
  <c r="E21" i="308"/>
  <c r="F20" i="308"/>
  <c r="G20" i="308"/>
  <c r="H20" i="308"/>
  <c r="I20" i="308"/>
  <c r="J20" i="308"/>
  <c r="K20" i="308"/>
  <c r="L20" i="308"/>
  <c r="M20" i="308"/>
  <c r="N20" i="308"/>
  <c r="O20" i="308"/>
  <c r="P20" i="308"/>
  <c r="E20" i="308"/>
  <c r="P21" i="388"/>
  <c r="F21" i="388"/>
  <c r="G21" i="388"/>
  <c r="H21" i="388"/>
  <c r="I21" i="388"/>
  <c r="J21" i="388"/>
  <c r="K21" i="388"/>
  <c r="L21" i="388"/>
  <c r="M21" i="388"/>
  <c r="N21" i="388"/>
  <c r="O21" i="388"/>
  <c r="E21" i="388"/>
  <c r="F20" i="388"/>
  <c r="G20" i="388"/>
  <c r="H20" i="388"/>
  <c r="I20" i="388"/>
  <c r="J20" i="388"/>
  <c r="K20" i="388"/>
  <c r="L20" i="388"/>
  <c r="M20" i="388"/>
  <c r="N20" i="388"/>
  <c r="O20" i="388"/>
  <c r="P20" i="388"/>
  <c r="E20" i="388"/>
  <c r="F21" i="309"/>
  <c r="G21" i="309"/>
  <c r="H21" i="309"/>
  <c r="I21" i="309"/>
  <c r="J21" i="309"/>
  <c r="K21" i="309"/>
  <c r="L21" i="309"/>
  <c r="M21" i="309"/>
  <c r="N21" i="309"/>
  <c r="O21" i="309"/>
  <c r="P21" i="309"/>
  <c r="E21" i="309"/>
  <c r="M20" i="309"/>
  <c r="N20" i="309"/>
  <c r="O20" i="309"/>
  <c r="P20" i="309"/>
  <c r="F21" i="306"/>
  <c r="G21" i="306"/>
  <c r="H21" i="306"/>
  <c r="I21" i="306"/>
  <c r="J21" i="306"/>
  <c r="K21" i="306"/>
  <c r="L21" i="306"/>
  <c r="M21" i="306"/>
  <c r="N21" i="306"/>
  <c r="O21" i="306"/>
  <c r="E21" i="306"/>
  <c r="F20" i="306"/>
  <c r="G20" i="306"/>
  <c r="H20" i="306"/>
  <c r="I20" i="306"/>
  <c r="J20" i="306"/>
  <c r="K20" i="306"/>
  <c r="L20" i="306"/>
  <c r="M20" i="306"/>
  <c r="N20" i="306"/>
  <c r="O20" i="306"/>
  <c r="P20" i="306"/>
  <c r="E20" i="306"/>
  <c r="F21" i="400"/>
  <c r="G21" i="400"/>
  <c r="H21" i="400"/>
  <c r="I21" i="400"/>
  <c r="O28" i="400" s="1"/>
  <c r="J21" i="400"/>
  <c r="K21" i="400"/>
  <c r="L21" i="400"/>
  <c r="M21" i="400"/>
  <c r="N21" i="400"/>
  <c r="O21" i="400"/>
  <c r="P21" i="400"/>
  <c r="E21" i="400"/>
  <c r="M20" i="400"/>
  <c r="P20" i="400"/>
  <c r="F19" i="400"/>
  <c r="G19" i="400"/>
  <c r="H19" i="400"/>
  <c r="I19" i="400"/>
  <c r="J19" i="400"/>
  <c r="K19" i="400"/>
  <c r="L19" i="400"/>
  <c r="M19" i="400"/>
  <c r="N19" i="400"/>
  <c r="O19" i="400"/>
  <c r="P19" i="400"/>
  <c r="G148" i="34" s="1"/>
  <c r="E19" i="400"/>
  <c r="C1" i="400"/>
  <c r="D30" i="400"/>
  <c r="D29" i="400"/>
  <c r="G28" i="400"/>
  <c r="D28" i="400"/>
  <c r="D27" i="400"/>
  <c r="E26" i="400"/>
  <c r="D26" i="400"/>
  <c r="P25" i="400"/>
  <c r="O25" i="400"/>
  <c r="N25" i="400"/>
  <c r="M25" i="400"/>
  <c r="L25" i="400"/>
  <c r="K25" i="400"/>
  <c r="J25" i="400"/>
  <c r="I25" i="400"/>
  <c r="H25" i="400"/>
  <c r="G25" i="400"/>
  <c r="F25" i="400"/>
  <c r="E25" i="400"/>
  <c r="N28" i="400"/>
  <c r="I1" i="400"/>
  <c r="B1" i="400"/>
  <c r="F20" i="399"/>
  <c r="F22" i="399" s="1"/>
  <c r="G20" i="399"/>
  <c r="H20" i="399"/>
  <c r="I20" i="399"/>
  <c r="J20" i="399"/>
  <c r="J22" i="399" s="1"/>
  <c r="K20" i="399"/>
  <c r="K22" i="399" s="1"/>
  <c r="L20" i="399"/>
  <c r="M20" i="399"/>
  <c r="N20" i="399"/>
  <c r="N22" i="399" s="1"/>
  <c r="O20" i="399"/>
  <c r="O23" i="399" s="1"/>
  <c r="P20" i="399"/>
  <c r="E20" i="399"/>
  <c r="F19" i="399"/>
  <c r="G19" i="399"/>
  <c r="G22" i="399" s="1"/>
  <c r="H19" i="399"/>
  <c r="I19" i="399"/>
  <c r="J19" i="399"/>
  <c r="K19" i="399"/>
  <c r="L19" i="399"/>
  <c r="M19" i="399"/>
  <c r="N19" i="399"/>
  <c r="O19" i="399"/>
  <c r="P19" i="399"/>
  <c r="G147" i="34" s="1"/>
  <c r="E19" i="399"/>
  <c r="C1" i="399"/>
  <c r="D30" i="399"/>
  <c r="D29" i="399"/>
  <c r="G28" i="399"/>
  <c r="E28" i="399"/>
  <c r="D28" i="399"/>
  <c r="D27" i="399"/>
  <c r="E26" i="399"/>
  <c r="E30" i="399" s="1"/>
  <c r="D26" i="399"/>
  <c r="P25" i="399"/>
  <c r="O25" i="399"/>
  <c r="N25" i="399"/>
  <c r="M25" i="399"/>
  <c r="L25" i="399"/>
  <c r="K25" i="399"/>
  <c r="J25" i="399"/>
  <c r="I25" i="399"/>
  <c r="H25" i="399"/>
  <c r="G25" i="399"/>
  <c r="F25" i="399"/>
  <c r="E25" i="399"/>
  <c r="O22" i="399"/>
  <c r="O28" i="399"/>
  <c r="N28" i="399"/>
  <c r="P28" i="399"/>
  <c r="I1" i="399"/>
  <c r="B1" i="399"/>
  <c r="F142" i="390"/>
  <c r="F20" i="400" s="1"/>
  <c r="G142" i="390"/>
  <c r="G20" i="400" s="1"/>
  <c r="G22" i="400" s="1"/>
  <c r="H142" i="390"/>
  <c r="H20" i="400" s="1"/>
  <c r="I142" i="390"/>
  <c r="I20" i="400" s="1"/>
  <c r="J142" i="390"/>
  <c r="J20" i="400" s="1"/>
  <c r="K142" i="390"/>
  <c r="K20" i="400" s="1"/>
  <c r="K22" i="400" s="1"/>
  <c r="L142" i="390"/>
  <c r="L20" i="400" s="1"/>
  <c r="M142" i="390"/>
  <c r="N142" i="390"/>
  <c r="N20" i="400" s="1"/>
  <c r="O142" i="390"/>
  <c r="O20" i="400" s="1"/>
  <c r="P142" i="390"/>
  <c r="E142" i="390"/>
  <c r="E20" i="400" s="1"/>
  <c r="B140" i="390"/>
  <c r="C140" i="390"/>
  <c r="B141" i="390"/>
  <c r="C141" i="390"/>
  <c r="B142" i="390"/>
  <c r="C142" i="390"/>
  <c r="A141" i="390"/>
  <c r="A142" i="390"/>
  <c r="E139" i="205"/>
  <c r="F139" i="205"/>
  <c r="G139" i="205"/>
  <c r="H139" i="205"/>
  <c r="I139" i="205"/>
  <c r="J139" i="205"/>
  <c r="K139" i="205"/>
  <c r="L139" i="205"/>
  <c r="M139" i="205"/>
  <c r="N139" i="205"/>
  <c r="O139" i="205"/>
  <c r="D139" i="205"/>
  <c r="B138" i="205"/>
  <c r="C138" i="205"/>
  <c r="B139" i="205"/>
  <c r="C139" i="205"/>
  <c r="A139" i="205"/>
  <c r="A138" i="205"/>
  <c r="L23" i="401" l="1"/>
  <c r="K22" i="401"/>
  <c r="K23" i="401"/>
  <c r="J23" i="401"/>
  <c r="H22" i="401"/>
  <c r="G23" i="401"/>
  <c r="G22" i="401"/>
  <c r="N23" i="401"/>
  <c r="P26" i="402"/>
  <c r="S5" i="402" s="1"/>
  <c r="S6" i="402" s="1"/>
  <c r="E26" i="401"/>
  <c r="M165" i="34" s="1"/>
  <c r="O26" i="401"/>
  <c r="P26" i="401"/>
  <c r="S5" i="401" s="1"/>
  <c r="S6" i="401" s="1"/>
  <c r="H147" i="34"/>
  <c r="H148" i="34"/>
  <c r="H165" i="34"/>
  <c r="O27" i="401"/>
  <c r="N28" i="402"/>
  <c r="M23" i="402"/>
  <c r="N23" i="402"/>
  <c r="K28" i="402"/>
  <c r="Q21" i="402"/>
  <c r="P22" i="402"/>
  <c r="F26" i="402"/>
  <c r="J26" i="402"/>
  <c r="N26" i="402"/>
  <c r="H28" i="402"/>
  <c r="L28" i="402"/>
  <c r="P28" i="402"/>
  <c r="M22" i="402"/>
  <c r="G26" i="402"/>
  <c r="K26" i="402"/>
  <c r="O26" i="402"/>
  <c r="E28" i="402"/>
  <c r="E30" i="402" s="1"/>
  <c r="I28" i="402"/>
  <c r="M28" i="402"/>
  <c r="I26" i="402"/>
  <c r="M26" i="402"/>
  <c r="Q19" i="402"/>
  <c r="E23" i="402"/>
  <c r="H26" i="402"/>
  <c r="L26" i="402"/>
  <c r="F28" i="402"/>
  <c r="J28" i="402"/>
  <c r="I23" i="401"/>
  <c r="M23" i="401"/>
  <c r="H23" i="401"/>
  <c r="Q20" i="401"/>
  <c r="F23" i="401"/>
  <c r="I26" i="401"/>
  <c r="M26" i="401"/>
  <c r="H27" i="401"/>
  <c r="L27" i="401"/>
  <c r="P27" i="401"/>
  <c r="K28" i="401"/>
  <c r="Q21" i="401"/>
  <c r="F26" i="401"/>
  <c r="J26" i="401"/>
  <c r="N26" i="401"/>
  <c r="E27" i="401"/>
  <c r="I27" i="401"/>
  <c r="M27" i="401"/>
  <c r="H28" i="401"/>
  <c r="L28" i="401"/>
  <c r="P28" i="401"/>
  <c r="E22" i="401"/>
  <c r="I22" i="401"/>
  <c r="M22" i="401"/>
  <c r="G26" i="401"/>
  <c r="K26" i="401"/>
  <c r="F27" i="401"/>
  <c r="J27" i="401"/>
  <c r="N27" i="401"/>
  <c r="E28" i="401"/>
  <c r="E30" i="401" s="1"/>
  <c r="I28" i="401"/>
  <c r="M28" i="401"/>
  <c r="Q19" i="401"/>
  <c r="E23" i="401"/>
  <c r="H26" i="401"/>
  <c r="L26" i="401"/>
  <c r="G27" i="401"/>
  <c r="K27" i="401"/>
  <c r="F28" i="401"/>
  <c r="J28" i="401"/>
  <c r="O27" i="399"/>
  <c r="K23" i="399"/>
  <c r="P23" i="400"/>
  <c r="M23" i="399"/>
  <c r="I23" i="399"/>
  <c r="H23" i="400"/>
  <c r="L23" i="400"/>
  <c r="P26" i="400"/>
  <c r="N22" i="400"/>
  <c r="N23" i="400"/>
  <c r="J22" i="400"/>
  <c r="J23" i="400"/>
  <c r="F23" i="400"/>
  <c r="F22" i="400"/>
  <c r="O22" i="400"/>
  <c r="O27" i="400"/>
  <c r="I23" i="400"/>
  <c r="M23" i="400"/>
  <c r="G23" i="400"/>
  <c r="K23" i="400"/>
  <c r="O23" i="400"/>
  <c r="Q20" i="400"/>
  <c r="I26" i="400"/>
  <c r="H27" i="400"/>
  <c r="L27" i="400"/>
  <c r="K28" i="400"/>
  <c r="Q21" i="400"/>
  <c r="H22" i="400"/>
  <c r="L22" i="400"/>
  <c r="P22" i="400"/>
  <c r="F26" i="400"/>
  <c r="J26" i="400"/>
  <c r="N26" i="400"/>
  <c r="E27" i="400"/>
  <c r="I27" i="400"/>
  <c r="I30" i="400" s="1"/>
  <c r="M27" i="400"/>
  <c r="H28" i="400"/>
  <c r="L28" i="400"/>
  <c r="P28" i="400"/>
  <c r="M26" i="400"/>
  <c r="E22" i="400"/>
  <c r="I22" i="400"/>
  <c r="M22" i="400"/>
  <c r="G26" i="400"/>
  <c r="K26" i="400"/>
  <c r="O26" i="400"/>
  <c r="F27" i="400"/>
  <c r="F30" i="400" s="1"/>
  <c r="J27" i="400"/>
  <c r="J30" i="400" s="1"/>
  <c r="N27" i="400"/>
  <c r="N30" i="400" s="1"/>
  <c r="E28" i="400"/>
  <c r="E30" i="400" s="1"/>
  <c r="I28" i="400"/>
  <c r="M28" i="400"/>
  <c r="P27" i="400"/>
  <c r="Q19" i="400"/>
  <c r="E23" i="400"/>
  <c r="H26" i="400"/>
  <c r="L26" i="400"/>
  <c r="G27" i="400"/>
  <c r="K27" i="400"/>
  <c r="F28" i="400"/>
  <c r="J28" i="400"/>
  <c r="P26" i="399"/>
  <c r="G23" i="399"/>
  <c r="H23" i="399"/>
  <c r="L23" i="399"/>
  <c r="P23" i="399"/>
  <c r="J23" i="399"/>
  <c r="P27" i="399"/>
  <c r="K28" i="399"/>
  <c r="Q21" i="399"/>
  <c r="H22" i="399"/>
  <c r="L22" i="399"/>
  <c r="P22" i="399"/>
  <c r="F26" i="399"/>
  <c r="J26" i="399"/>
  <c r="N26" i="399"/>
  <c r="E27" i="399"/>
  <c r="I27" i="399"/>
  <c r="M27" i="399"/>
  <c r="H28" i="399"/>
  <c r="L28" i="399"/>
  <c r="Q20" i="399"/>
  <c r="N23" i="399"/>
  <c r="I26" i="399"/>
  <c r="L27" i="399"/>
  <c r="E22" i="399"/>
  <c r="I22" i="399"/>
  <c r="M22" i="399"/>
  <c r="G26" i="399"/>
  <c r="K26" i="399"/>
  <c r="O26" i="399"/>
  <c r="F27" i="399"/>
  <c r="J27" i="399"/>
  <c r="J30" i="399" s="1"/>
  <c r="N27" i="399"/>
  <c r="I28" i="399"/>
  <c r="M28" i="399"/>
  <c r="F23" i="399"/>
  <c r="M26" i="399"/>
  <c r="H27" i="399"/>
  <c r="Q19" i="399"/>
  <c r="E23" i="399"/>
  <c r="H26" i="399"/>
  <c r="L26" i="399"/>
  <c r="G27" i="399"/>
  <c r="K27" i="399"/>
  <c r="F28" i="399"/>
  <c r="J28" i="399"/>
  <c r="N165" i="34" l="1"/>
  <c r="O30" i="401"/>
  <c r="G30" i="401"/>
  <c r="N147" i="34"/>
  <c r="O30" i="399"/>
  <c r="N148" i="34"/>
  <c r="K30" i="401"/>
  <c r="M30" i="401"/>
  <c r="N30" i="401"/>
  <c r="M29" i="401"/>
  <c r="I29" i="401"/>
  <c r="E29" i="401"/>
  <c r="P29" i="401"/>
  <c r="L29" i="401"/>
  <c r="H29" i="401"/>
  <c r="Q22" i="401"/>
  <c r="O29" i="401"/>
  <c r="K29" i="401"/>
  <c r="G29" i="401"/>
  <c r="N29" i="401"/>
  <c r="J29" i="401"/>
  <c r="F29" i="401"/>
  <c r="P30" i="401"/>
  <c r="S4" i="401"/>
  <c r="I30" i="401"/>
  <c r="L30" i="401"/>
  <c r="J30" i="401"/>
  <c r="H30" i="401"/>
  <c r="F30" i="401"/>
  <c r="L30" i="399"/>
  <c r="S5" i="399"/>
  <c r="S6" i="399" s="1"/>
  <c r="M147" i="34"/>
  <c r="S5" i="400"/>
  <c r="S6" i="400" s="1"/>
  <c r="M148" i="34"/>
  <c r="O30" i="400"/>
  <c r="K30" i="400"/>
  <c r="M30" i="400"/>
  <c r="H30" i="400"/>
  <c r="G30" i="400"/>
  <c r="P30" i="400"/>
  <c r="S4" i="400"/>
  <c r="M29" i="400"/>
  <c r="I29" i="400"/>
  <c r="E29" i="400"/>
  <c r="J29" i="400"/>
  <c r="P29" i="400"/>
  <c r="L29" i="400"/>
  <c r="H29" i="400"/>
  <c r="Q22" i="400"/>
  <c r="O29" i="400"/>
  <c r="K29" i="400"/>
  <c r="G29" i="400"/>
  <c r="N29" i="400"/>
  <c r="F29" i="400"/>
  <c r="L30" i="400"/>
  <c r="K30" i="399"/>
  <c r="F30" i="399"/>
  <c r="H30" i="399"/>
  <c r="M30" i="399"/>
  <c r="G30" i="399"/>
  <c r="P30" i="399"/>
  <c r="S4" i="399"/>
  <c r="N30" i="399"/>
  <c r="M29" i="399"/>
  <c r="I29" i="399"/>
  <c r="E29" i="399"/>
  <c r="P29" i="399"/>
  <c r="L29" i="399"/>
  <c r="H29" i="399"/>
  <c r="Q22" i="399"/>
  <c r="O29" i="399"/>
  <c r="K29" i="399"/>
  <c r="G29" i="399"/>
  <c r="N29" i="399"/>
  <c r="J29" i="399"/>
  <c r="F29" i="399"/>
  <c r="I30" i="399"/>
  <c r="F21" i="286" l="1"/>
  <c r="G21" i="286"/>
  <c r="H21" i="286"/>
  <c r="I21" i="286"/>
  <c r="J21" i="286"/>
  <c r="K21" i="286"/>
  <c r="L21" i="286"/>
  <c r="M21" i="286"/>
  <c r="N21" i="286"/>
  <c r="O21" i="286"/>
  <c r="P21" i="286"/>
  <c r="E21" i="286"/>
  <c r="F20" i="286"/>
  <c r="G20" i="286"/>
  <c r="H20" i="286"/>
  <c r="I20" i="286"/>
  <c r="J20" i="286"/>
  <c r="K20" i="286"/>
  <c r="L20" i="286"/>
  <c r="M20" i="286"/>
  <c r="N20" i="286"/>
  <c r="O20" i="286"/>
  <c r="P20" i="286"/>
  <c r="E20" i="286"/>
  <c r="F21" i="287"/>
  <c r="G21" i="287"/>
  <c r="H21" i="287"/>
  <c r="I21" i="287"/>
  <c r="J21" i="287"/>
  <c r="K21" i="287"/>
  <c r="L21" i="287"/>
  <c r="M21" i="287"/>
  <c r="N21" i="287"/>
  <c r="O21" i="287"/>
  <c r="P21" i="287"/>
  <c r="E21" i="287"/>
  <c r="F20" i="287"/>
  <c r="G20" i="287"/>
  <c r="H20" i="287"/>
  <c r="I20" i="287"/>
  <c r="J20" i="287"/>
  <c r="K20" i="287"/>
  <c r="L20" i="287"/>
  <c r="M20" i="287"/>
  <c r="N20" i="287"/>
  <c r="O20" i="287"/>
  <c r="P20" i="287"/>
  <c r="E20" i="287"/>
  <c r="F21" i="288"/>
  <c r="G21" i="288"/>
  <c r="H21" i="288"/>
  <c r="I21" i="288"/>
  <c r="J21" i="288"/>
  <c r="K21" i="288"/>
  <c r="L21" i="288"/>
  <c r="M21" i="288"/>
  <c r="N21" i="288"/>
  <c r="O21" i="288"/>
  <c r="P21" i="288"/>
  <c r="E21" i="288"/>
  <c r="F20" i="288"/>
  <c r="G20" i="288"/>
  <c r="H20" i="288"/>
  <c r="I20" i="288"/>
  <c r="J20" i="288"/>
  <c r="K20" i="288"/>
  <c r="L20" i="288"/>
  <c r="M20" i="288"/>
  <c r="N20" i="288"/>
  <c r="O20" i="288"/>
  <c r="P20" i="288"/>
  <c r="E20" i="288"/>
  <c r="F21" i="289"/>
  <c r="G21" i="289"/>
  <c r="H21" i="289"/>
  <c r="I21" i="289"/>
  <c r="J21" i="289"/>
  <c r="K21" i="289"/>
  <c r="L21" i="289"/>
  <c r="M21" i="289"/>
  <c r="N21" i="289"/>
  <c r="O21" i="289"/>
  <c r="P21" i="289"/>
  <c r="E21" i="289"/>
  <c r="F20" i="289"/>
  <c r="G20" i="289"/>
  <c r="H20" i="289"/>
  <c r="I20" i="289"/>
  <c r="J20" i="289"/>
  <c r="K20" i="289"/>
  <c r="L20" i="289"/>
  <c r="M20" i="289"/>
  <c r="N20" i="289"/>
  <c r="O20" i="289"/>
  <c r="P20" i="289"/>
  <c r="E20" i="289"/>
  <c r="F21" i="290"/>
  <c r="G21" i="290"/>
  <c r="H21" i="290"/>
  <c r="I21" i="290"/>
  <c r="J21" i="290"/>
  <c r="K21" i="290"/>
  <c r="L21" i="290"/>
  <c r="M21" i="290"/>
  <c r="N21" i="290"/>
  <c r="O21" i="290"/>
  <c r="P21" i="290"/>
  <c r="E21" i="290"/>
  <c r="F20" i="290"/>
  <c r="G20" i="290"/>
  <c r="H20" i="290"/>
  <c r="I20" i="290"/>
  <c r="J20" i="290"/>
  <c r="K20" i="290"/>
  <c r="L20" i="290"/>
  <c r="M20" i="290"/>
  <c r="N20" i="290"/>
  <c r="O20" i="290"/>
  <c r="P20" i="290"/>
  <c r="E20" i="290"/>
  <c r="F21" i="295"/>
  <c r="G21" i="295"/>
  <c r="H21" i="295"/>
  <c r="I21" i="295"/>
  <c r="J21" i="295"/>
  <c r="K21" i="295"/>
  <c r="L21" i="295"/>
  <c r="M21" i="295"/>
  <c r="N21" i="295"/>
  <c r="O21" i="295"/>
  <c r="P21" i="295"/>
  <c r="E21" i="295"/>
  <c r="F20" i="295"/>
  <c r="G20" i="295"/>
  <c r="H20" i="295"/>
  <c r="I20" i="295"/>
  <c r="J20" i="295"/>
  <c r="K20" i="295"/>
  <c r="L20" i="295"/>
  <c r="M20" i="295"/>
  <c r="N20" i="295"/>
  <c r="O20" i="295"/>
  <c r="P20" i="295"/>
  <c r="E20" i="295"/>
  <c r="F21" i="380"/>
  <c r="G21" i="380"/>
  <c r="H21" i="380"/>
  <c r="I21" i="380"/>
  <c r="J21" i="380"/>
  <c r="K21" i="380"/>
  <c r="L21" i="380"/>
  <c r="M21" i="380"/>
  <c r="N21" i="380"/>
  <c r="O21" i="380"/>
  <c r="P21" i="380"/>
  <c r="E21" i="380"/>
  <c r="F20" i="380"/>
  <c r="G20" i="380"/>
  <c r="H20" i="380"/>
  <c r="I20" i="380"/>
  <c r="J20" i="380"/>
  <c r="K20" i="380"/>
  <c r="L20" i="380"/>
  <c r="M20" i="380"/>
  <c r="N20" i="380"/>
  <c r="O20" i="380"/>
  <c r="P20" i="380"/>
  <c r="E20" i="380"/>
  <c r="F21" i="291"/>
  <c r="G21" i="291"/>
  <c r="H21" i="291"/>
  <c r="I21" i="291"/>
  <c r="J21" i="291"/>
  <c r="K21" i="291"/>
  <c r="L21" i="291"/>
  <c r="M21" i="291"/>
  <c r="N21" i="291"/>
  <c r="O21" i="291"/>
  <c r="P21" i="291"/>
  <c r="E21" i="291"/>
  <c r="F20" i="292"/>
  <c r="G20" i="292"/>
  <c r="H20" i="292"/>
  <c r="I20" i="292"/>
  <c r="J20" i="292"/>
  <c r="K20" i="292"/>
  <c r="L20" i="292"/>
  <c r="M20" i="292"/>
  <c r="N20" i="292"/>
  <c r="O20" i="292"/>
  <c r="P20" i="292"/>
  <c r="E20" i="292"/>
  <c r="F21" i="292"/>
  <c r="G21" i="292"/>
  <c r="H21" i="292"/>
  <c r="I21" i="292"/>
  <c r="J21" i="292"/>
  <c r="K21" i="292"/>
  <c r="L21" i="292"/>
  <c r="M21" i="292"/>
  <c r="N21" i="292"/>
  <c r="O21" i="292"/>
  <c r="P21" i="292"/>
  <c r="E21" i="292"/>
  <c r="F21" i="293"/>
  <c r="G21" i="293"/>
  <c r="H21" i="293"/>
  <c r="I21" i="293"/>
  <c r="J21" i="293"/>
  <c r="K21" i="293"/>
  <c r="L21" i="293"/>
  <c r="M21" i="293"/>
  <c r="N21" i="293"/>
  <c r="O21" i="293"/>
  <c r="P21" i="293"/>
  <c r="E21" i="293"/>
  <c r="F20" i="293"/>
  <c r="G20" i="293"/>
  <c r="H20" i="293"/>
  <c r="I20" i="293"/>
  <c r="J20" i="293"/>
  <c r="K20" i="293"/>
  <c r="L20" i="293"/>
  <c r="M20" i="293"/>
  <c r="N20" i="293"/>
  <c r="O20" i="293"/>
  <c r="P20" i="293"/>
  <c r="E20" i="293"/>
  <c r="F21" i="294"/>
  <c r="G21" i="294"/>
  <c r="H21" i="294"/>
  <c r="I21" i="294"/>
  <c r="J21" i="294"/>
  <c r="K21" i="294"/>
  <c r="L21" i="294"/>
  <c r="M21" i="294"/>
  <c r="N21" i="294"/>
  <c r="O21" i="294"/>
  <c r="P21" i="294"/>
  <c r="E21" i="294"/>
  <c r="F20" i="294"/>
  <c r="G20" i="294"/>
  <c r="H20" i="294"/>
  <c r="I20" i="294"/>
  <c r="J20" i="294"/>
  <c r="K20" i="294"/>
  <c r="L20" i="294"/>
  <c r="M20" i="294"/>
  <c r="N20" i="294"/>
  <c r="O20" i="294"/>
  <c r="P20" i="294"/>
  <c r="E20" i="294"/>
  <c r="F125" i="390"/>
  <c r="F159" i="390" s="1"/>
  <c r="F20" i="402" s="1"/>
  <c r="G125" i="390"/>
  <c r="G159" i="390" s="1"/>
  <c r="G20" i="402" s="1"/>
  <c r="H125" i="390"/>
  <c r="H159" i="390" s="1"/>
  <c r="H20" i="402" s="1"/>
  <c r="I125" i="390"/>
  <c r="I159" i="390" s="1"/>
  <c r="I20" i="402" s="1"/>
  <c r="J125" i="390"/>
  <c r="J159" i="390" s="1"/>
  <c r="J20" i="402" s="1"/>
  <c r="K125" i="390"/>
  <c r="K159" i="390" s="1"/>
  <c r="K20" i="402" s="1"/>
  <c r="L125" i="390"/>
  <c r="L159" i="390" s="1"/>
  <c r="L20" i="402" s="1"/>
  <c r="M125" i="390"/>
  <c r="N125" i="390"/>
  <c r="O125" i="390"/>
  <c r="P125" i="390"/>
  <c r="E125" i="390"/>
  <c r="E159" i="390" s="1"/>
  <c r="E20" i="402" s="1"/>
  <c r="E122" i="205"/>
  <c r="F122" i="205"/>
  <c r="G122" i="205"/>
  <c r="H19" i="297" s="1"/>
  <c r="H122" i="205"/>
  <c r="I19" i="297" s="1"/>
  <c r="I122" i="205"/>
  <c r="J122" i="205"/>
  <c r="K122" i="205"/>
  <c r="L19" i="297" s="1"/>
  <c r="L122" i="205"/>
  <c r="M19" i="297" s="1"/>
  <c r="M122" i="205"/>
  <c r="N122" i="205"/>
  <c r="O122" i="205"/>
  <c r="D122" i="205"/>
  <c r="F20" i="297"/>
  <c r="G20" i="297"/>
  <c r="H20" i="297"/>
  <c r="I20" i="297"/>
  <c r="J20" i="297"/>
  <c r="K20" i="297"/>
  <c r="L20" i="297"/>
  <c r="M20" i="297"/>
  <c r="N20" i="297"/>
  <c r="O20" i="297"/>
  <c r="P20" i="297"/>
  <c r="E20" i="297"/>
  <c r="F19" i="297"/>
  <c r="G19" i="297"/>
  <c r="J19" i="297"/>
  <c r="K19" i="297"/>
  <c r="N19" i="297"/>
  <c r="O19" i="297"/>
  <c r="P19" i="297"/>
  <c r="G130" i="34" s="1"/>
  <c r="E19" i="297"/>
  <c r="F21" i="387"/>
  <c r="G21" i="387"/>
  <c r="H21" i="387"/>
  <c r="I21" i="387"/>
  <c r="J21" i="387"/>
  <c r="K21" i="387"/>
  <c r="L21" i="387"/>
  <c r="M21" i="387"/>
  <c r="N21" i="387"/>
  <c r="O21" i="387"/>
  <c r="P21" i="387"/>
  <c r="E21" i="387"/>
  <c r="F20" i="387"/>
  <c r="G20" i="387"/>
  <c r="H20" i="387"/>
  <c r="I20" i="387"/>
  <c r="J20" i="387"/>
  <c r="K20" i="387"/>
  <c r="L20" i="387"/>
  <c r="M20" i="387"/>
  <c r="N20" i="387"/>
  <c r="O20" i="387"/>
  <c r="P20" i="387"/>
  <c r="E20" i="387"/>
  <c r="F19" i="387"/>
  <c r="G19" i="387"/>
  <c r="H19" i="387"/>
  <c r="I19" i="387"/>
  <c r="J19" i="387"/>
  <c r="K19" i="387"/>
  <c r="L19" i="387"/>
  <c r="M19" i="387"/>
  <c r="N19" i="387"/>
  <c r="O19" i="387"/>
  <c r="P19" i="387"/>
  <c r="E19" i="387"/>
  <c r="P21" i="398"/>
  <c r="F21" i="398"/>
  <c r="G21" i="398"/>
  <c r="H21" i="398"/>
  <c r="I21" i="398"/>
  <c r="M28" i="398" s="1"/>
  <c r="J21" i="398"/>
  <c r="K21" i="398"/>
  <c r="L21" i="398"/>
  <c r="M21" i="398"/>
  <c r="N21" i="398"/>
  <c r="O21" i="398"/>
  <c r="E21" i="398"/>
  <c r="C1" i="398"/>
  <c r="D30" i="398"/>
  <c r="D29" i="398"/>
  <c r="F28" i="398"/>
  <c r="D28" i="398"/>
  <c r="D26" i="398"/>
  <c r="P25" i="398"/>
  <c r="M25" i="398"/>
  <c r="L25" i="398"/>
  <c r="I25" i="398"/>
  <c r="H25" i="398"/>
  <c r="E25" i="398"/>
  <c r="N28" i="398"/>
  <c r="Q20" i="398"/>
  <c r="D20" i="398"/>
  <c r="D27" i="398" s="1"/>
  <c r="D19" i="398"/>
  <c r="P18" i="398"/>
  <c r="O18" i="398"/>
  <c r="O25" i="398" s="1"/>
  <c r="N18" i="398"/>
  <c r="N25" i="398" s="1"/>
  <c r="M18" i="398"/>
  <c r="L18" i="398"/>
  <c r="K18" i="398"/>
  <c r="K25" i="398" s="1"/>
  <c r="J18" i="398"/>
  <c r="J25" i="398" s="1"/>
  <c r="I18" i="398"/>
  <c r="H18" i="398"/>
  <c r="G18" i="398"/>
  <c r="G25" i="398" s="1"/>
  <c r="F18" i="398"/>
  <c r="F25" i="398" s="1"/>
  <c r="E18" i="398"/>
  <c r="I1" i="398"/>
  <c r="B1" i="398"/>
  <c r="G124" i="34"/>
  <c r="C1" i="387"/>
  <c r="F20" i="296"/>
  <c r="G20" i="296"/>
  <c r="H20" i="296"/>
  <c r="I20" i="296"/>
  <c r="J20" i="296"/>
  <c r="K20" i="296"/>
  <c r="L20" i="296"/>
  <c r="M20" i="296"/>
  <c r="N20" i="296"/>
  <c r="O20" i="296"/>
  <c r="P20" i="296"/>
  <c r="E20" i="296"/>
  <c r="F21" i="296"/>
  <c r="G21" i="296"/>
  <c r="H21" i="296"/>
  <c r="I21" i="296"/>
  <c r="J21" i="296"/>
  <c r="K21" i="296"/>
  <c r="L21" i="296"/>
  <c r="M21" i="296"/>
  <c r="N21" i="296"/>
  <c r="O21" i="296"/>
  <c r="P21" i="296"/>
  <c r="E21" i="296"/>
  <c r="F19" i="296"/>
  <c r="G19" i="296"/>
  <c r="H19" i="296"/>
  <c r="I19" i="296"/>
  <c r="J19" i="296"/>
  <c r="K19" i="296"/>
  <c r="L19" i="296"/>
  <c r="M19" i="296"/>
  <c r="N19" i="296"/>
  <c r="O19" i="296"/>
  <c r="P19" i="296"/>
  <c r="G125" i="34" s="1"/>
  <c r="E19" i="296"/>
  <c r="C1" i="296"/>
  <c r="Q20" i="387"/>
  <c r="B125" i="390"/>
  <c r="C125" i="390"/>
  <c r="A125" i="390"/>
  <c r="B122" i="205"/>
  <c r="C122" i="205"/>
  <c r="A122" i="205"/>
  <c r="F19" i="397"/>
  <c r="G19" i="397"/>
  <c r="H19" i="397"/>
  <c r="I19" i="397"/>
  <c r="J19" i="397"/>
  <c r="K19" i="397"/>
  <c r="L19" i="397"/>
  <c r="M19" i="397"/>
  <c r="N19" i="397"/>
  <c r="O19" i="397"/>
  <c r="P19" i="397"/>
  <c r="G129" i="34" s="1"/>
  <c r="Q129" i="34" s="1"/>
  <c r="E19" i="397"/>
  <c r="F20" i="397"/>
  <c r="F22" i="397" s="1"/>
  <c r="G20" i="397"/>
  <c r="H20" i="397"/>
  <c r="H23" i="397" s="1"/>
  <c r="I20" i="397"/>
  <c r="J20" i="397"/>
  <c r="J22" i="397" s="1"/>
  <c r="K20" i="397"/>
  <c r="K22" i="397" s="1"/>
  <c r="L20" i="397"/>
  <c r="L23" i="397" s="1"/>
  <c r="M20" i="397"/>
  <c r="N20" i="397"/>
  <c r="N22" i="397" s="1"/>
  <c r="O20" i="397"/>
  <c r="O22" i="397" s="1"/>
  <c r="P20" i="397"/>
  <c r="E20" i="397"/>
  <c r="C1" i="397"/>
  <c r="D30" i="397"/>
  <c r="D29" i="397"/>
  <c r="G28" i="397"/>
  <c r="D28" i="397"/>
  <c r="D27" i="397"/>
  <c r="N25" i="397"/>
  <c r="J25" i="397"/>
  <c r="F25" i="397"/>
  <c r="O28" i="397"/>
  <c r="N28" i="397"/>
  <c r="D20" i="397"/>
  <c r="D19" i="397"/>
  <c r="D26" i="397" s="1"/>
  <c r="P18" i="397"/>
  <c r="P25" i="397" s="1"/>
  <c r="O18" i="397"/>
  <c r="O25" i="397" s="1"/>
  <c r="N18" i="397"/>
  <c r="M18" i="397"/>
  <c r="M25" i="397" s="1"/>
  <c r="L18" i="397"/>
  <c r="L25" i="397" s="1"/>
  <c r="K18" i="397"/>
  <c r="K25" i="397" s="1"/>
  <c r="J18" i="397"/>
  <c r="I18" i="397"/>
  <c r="I25" i="397" s="1"/>
  <c r="H18" i="397"/>
  <c r="H25" i="397" s="1"/>
  <c r="G18" i="397"/>
  <c r="G25" i="397" s="1"/>
  <c r="F18" i="397"/>
  <c r="E18" i="397"/>
  <c r="E25" i="397" s="1"/>
  <c r="B1" i="397"/>
  <c r="C124" i="390"/>
  <c r="B124" i="390"/>
  <c r="A124" i="390"/>
  <c r="B121" i="205"/>
  <c r="C121" i="205"/>
  <c r="A121" i="205"/>
  <c r="F21" i="285"/>
  <c r="G21" i="285"/>
  <c r="H21" i="285"/>
  <c r="I21" i="285"/>
  <c r="J21" i="285"/>
  <c r="K21" i="285"/>
  <c r="L21" i="285"/>
  <c r="M21" i="285"/>
  <c r="N21" i="285"/>
  <c r="O21" i="285"/>
  <c r="P21" i="285"/>
  <c r="E21" i="285"/>
  <c r="F21" i="361"/>
  <c r="G21" i="361"/>
  <c r="H21" i="361"/>
  <c r="I21" i="361"/>
  <c r="J21" i="361"/>
  <c r="K21" i="361"/>
  <c r="L21" i="361"/>
  <c r="M21" i="361"/>
  <c r="N21" i="361"/>
  <c r="O21" i="361"/>
  <c r="P21" i="361"/>
  <c r="E21" i="361"/>
  <c r="F21" i="360"/>
  <c r="G21" i="360"/>
  <c r="H21" i="360"/>
  <c r="I21" i="360"/>
  <c r="J21" i="360"/>
  <c r="K21" i="360"/>
  <c r="L21" i="360"/>
  <c r="M21" i="360"/>
  <c r="N21" i="360"/>
  <c r="O21" i="360"/>
  <c r="P21" i="360"/>
  <c r="E21" i="360"/>
  <c r="F21" i="284"/>
  <c r="G21" i="284"/>
  <c r="H21" i="284"/>
  <c r="I21" i="284"/>
  <c r="J21" i="284"/>
  <c r="K21" i="284"/>
  <c r="L21" i="284"/>
  <c r="M21" i="284"/>
  <c r="N21" i="284"/>
  <c r="O21" i="284"/>
  <c r="P21" i="284"/>
  <c r="E21" i="284"/>
  <c r="F21" i="283"/>
  <c r="G21" i="283"/>
  <c r="H21" i="283"/>
  <c r="I21" i="283"/>
  <c r="J21" i="283"/>
  <c r="K21" i="283"/>
  <c r="L21" i="283"/>
  <c r="M21" i="283"/>
  <c r="N21" i="283"/>
  <c r="O21" i="283"/>
  <c r="P21" i="283"/>
  <c r="E21" i="283"/>
  <c r="F21" i="282"/>
  <c r="G21" i="282"/>
  <c r="H21" i="282"/>
  <c r="I21" i="282"/>
  <c r="J21" i="282"/>
  <c r="K21" i="282"/>
  <c r="L21" i="282"/>
  <c r="M21" i="282"/>
  <c r="N21" i="282"/>
  <c r="O21" i="282"/>
  <c r="P21" i="282"/>
  <c r="E21" i="282"/>
  <c r="F21" i="281"/>
  <c r="G21" i="281"/>
  <c r="H21" i="281"/>
  <c r="I21" i="281"/>
  <c r="J21" i="281"/>
  <c r="K21" i="281"/>
  <c r="L21" i="281"/>
  <c r="M21" i="281"/>
  <c r="N21" i="281"/>
  <c r="O21" i="281"/>
  <c r="P21" i="281"/>
  <c r="E21" i="281"/>
  <c r="F21" i="277"/>
  <c r="G21" i="277"/>
  <c r="H21" i="277"/>
  <c r="I21" i="277"/>
  <c r="J21" i="277"/>
  <c r="K21" i="277"/>
  <c r="L21" i="277"/>
  <c r="M21" i="277"/>
  <c r="N21" i="277"/>
  <c r="O21" i="277"/>
  <c r="P21" i="277"/>
  <c r="E21" i="277"/>
  <c r="F20" i="277"/>
  <c r="G20" i="277"/>
  <c r="H20" i="277"/>
  <c r="I20" i="277"/>
  <c r="J20" i="277"/>
  <c r="K20" i="277"/>
  <c r="L20" i="277"/>
  <c r="M20" i="277"/>
  <c r="N20" i="277"/>
  <c r="O20" i="277"/>
  <c r="P20" i="277"/>
  <c r="E20" i="277"/>
  <c r="F21" i="280"/>
  <c r="G21" i="280"/>
  <c r="H21" i="280"/>
  <c r="I21" i="280"/>
  <c r="J21" i="280"/>
  <c r="K21" i="280"/>
  <c r="L21" i="280"/>
  <c r="M21" i="280"/>
  <c r="N21" i="280"/>
  <c r="O21" i="280"/>
  <c r="P21" i="280"/>
  <c r="E21" i="280"/>
  <c r="F21" i="279"/>
  <c r="G21" i="279"/>
  <c r="H21" i="279"/>
  <c r="I21" i="279"/>
  <c r="J21" i="279"/>
  <c r="K21" i="279"/>
  <c r="L21" i="279"/>
  <c r="M21" i="279"/>
  <c r="N21" i="279"/>
  <c r="O21" i="279"/>
  <c r="P21" i="279"/>
  <c r="Q21" i="279"/>
  <c r="E21" i="279"/>
  <c r="F20" i="279"/>
  <c r="G20" i="279"/>
  <c r="H20" i="279"/>
  <c r="I20" i="279"/>
  <c r="J20" i="279"/>
  <c r="K20" i="279"/>
  <c r="L20" i="279"/>
  <c r="M20" i="279"/>
  <c r="N20" i="279"/>
  <c r="O20" i="279"/>
  <c r="P20" i="279"/>
  <c r="E20" i="279"/>
  <c r="F21" i="276"/>
  <c r="G21" i="276"/>
  <c r="H21" i="276"/>
  <c r="I21" i="276"/>
  <c r="J21" i="276"/>
  <c r="K21" i="276"/>
  <c r="L21" i="276"/>
  <c r="M21" i="276"/>
  <c r="N21" i="276"/>
  <c r="O21" i="276"/>
  <c r="P21" i="276"/>
  <c r="E21" i="276"/>
  <c r="F20" i="276"/>
  <c r="G20" i="276"/>
  <c r="H20" i="276"/>
  <c r="I20" i="276"/>
  <c r="J20" i="276"/>
  <c r="K20" i="276"/>
  <c r="L20" i="276"/>
  <c r="M20" i="276"/>
  <c r="N20" i="276"/>
  <c r="O20" i="276"/>
  <c r="P20" i="276"/>
  <c r="E20" i="276"/>
  <c r="F21" i="275"/>
  <c r="G21" i="275"/>
  <c r="H21" i="275"/>
  <c r="I21" i="275"/>
  <c r="J21" i="275"/>
  <c r="K21" i="275"/>
  <c r="L21" i="275"/>
  <c r="M21" i="275"/>
  <c r="N21" i="275"/>
  <c r="O21" i="275"/>
  <c r="P21" i="275"/>
  <c r="E21" i="275"/>
  <c r="F20" i="275"/>
  <c r="G20" i="275"/>
  <c r="H20" i="275"/>
  <c r="I20" i="275"/>
  <c r="J20" i="275"/>
  <c r="K20" i="275"/>
  <c r="L20" i="275"/>
  <c r="M20" i="275"/>
  <c r="N20" i="275"/>
  <c r="O20" i="275"/>
  <c r="P20" i="275"/>
  <c r="E20" i="275"/>
  <c r="F21" i="274"/>
  <c r="G21" i="274"/>
  <c r="H21" i="274"/>
  <c r="I21" i="274"/>
  <c r="J21" i="274"/>
  <c r="K21" i="274"/>
  <c r="L21" i="274"/>
  <c r="M21" i="274"/>
  <c r="N21" i="274"/>
  <c r="O21" i="274"/>
  <c r="P21" i="274"/>
  <c r="E21" i="274"/>
  <c r="F21" i="379"/>
  <c r="G21" i="379"/>
  <c r="H21" i="379"/>
  <c r="I21" i="379"/>
  <c r="J21" i="379"/>
  <c r="K21" i="379"/>
  <c r="L21" i="379"/>
  <c r="M21" i="379"/>
  <c r="N21" i="379"/>
  <c r="O21" i="379"/>
  <c r="P21" i="379"/>
  <c r="E21" i="379"/>
  <c r="F20" i="379"/>
  <c r="G20" i="379"/>
  <c r="H20" i="379"/>
  <c r="I20" i="379"/>
  <c r="J20" i="379"/>
  <c r="K20" i="379"/>
  <c r="L20" i="379"/>
  <c r="M20" i="379"/>
  <c r="N20" i="379"/>
  <c r="O20" i="379"/>
  <c r="P20" i="379"/>
  <c r="E20" i="379"/>
  <c r="F21" i="278"/>
  <c r="G21" i="278"/>
  <c r="H21" i="278"/>
  <c r="I21" i="278"/>
  <c r="J21" i="278"/>
  <c r="K21" i="278"/>
  <c r="L21" i="278"/>
  <c r="M21" i="278"/>
  <c r="N21" i="278"/>
  <c r="O21" i="278"/>
  <c r="P21" i="278"/>
  <c r="E21" i="278"/>
  <c r="P20" i="278"/>
  <c r="F20" i="278"/>
  <c r="G20" i="278"/>
  <c r="H20" i="278"/>
  <c r="I20" i="278"/>
  <c r="J20" i="278"/>
  <c r="K20" i="278"/>
  <c r="L20" i="278"/>
  <c r="M20" i="278"/>
  <c r="N20" i="278"/>
  <c r="O20" i="278"/>
  <c r="E20" i="278"/>
  <c r="F21" i="273"/>
  <c r="G21" i="273"/>
  <c r="H21" i="273"/>
  <c r="I21" i="273"/>
  <c r="J21" i="273"/>
  <c r="K21" i="273"/>
  <c r="L21" i="273"/>
  <c r="M21" i="273"/>
  <c r="N21" i="273"/>
  <c r="O21" i="273"/>
  <c r="P21" i="273"/>
  <c r="E21" i="273"/>
  <c r="F20" i="273"/>
  <c r="G20" i="273"/>
  <c r="H20" i="273"/>
  <c r="I20" i="273"/>
  <c r="J20" i="273"/>
  <c r="K20" i="273"/>
  <c r="L20" i="273"/>
  <c r="M20" i="273"/>
  <c r="N20" i="273"/>
  <c r="O20" i="273"/>
  <c r="P20" i="273"/>
  <c r="E20" i="273"/>
  <c r="F21" i="272"/>
  <c r="G21" i="272"/>
  <c r="H21" i="272"/>
  <c r="I21" i="272"/>
  <c r="J21" i="272"/>
  <c r="K21" i="272"/>
  <c r="L21" i="272"/>
  <c r="M21" i="272"/>
  <c r="N21" i="272"/>
  <c r="O21" i="272"/>
  <c r="P21" i="272"/>
  <c r="E21" i="272"/>
  <c r="F20" i="272"/>
  <c r="G20" i="272"/>
  <c r="H20" i="272"/>
  <c r="I20" i="272"/>
  <c r="J20" i="272"/>
  <c r="K20" i="272"/>
  <c r="L20" i="272"/>
  <c r="M20" i="272"/>
  <c r="N20" i="272"/>
  <c r="O20" i="272"/>
  <c r="P20" i="272"/>
  <c r="E20" i="272"/>
  <c r="F21" i="271"/>
  <c r="G21" i="271"/>
  <c r="H21" i="271"/>
  <c r="I21" i="271"/>
  <c r="J21" i="271"/>
  <c r="K21" i="271"/>
  <c r="L21" i="271"/>
  <c r="M21" i="271"/>
  <c r="N21" i="271"/>
  <c r="O21" i="271"/>
  <c r="P21" i="271"/>
  <c r="E21" i="271"/>
  <c r="F20" i="271"/>
  <c r="G20" i="271"/>
  <c r="H20" i="271"/>
  <c r="I20" i="271"/>
  <c r="J20" i="271"/>
  <c r="K20" i="271"/>
  <c r="L20" i="271"/>
  <c r="M20" i="271"/>
  <c r="N20" i="271"/>
  <c r="O20" i="271"/>
  <c r="P20" i="271"/>
  <c r="E20" i="271"/>
  <c r="F21" i="270"/>
  <c r="G21" i="270"/>
  <c r="H21" i="270"/>
  <c r="I21" i="270"/>
  <c r="J21" i="270"/>
  <c r="K21" i="270"/>
  <c r="L21" i="270"/>
  <c r="M21" i="270"/>
  <c r="N21" i="270"/>
  <c r="O21" i="270"/>
  <c r="P21" i="270"/>
  <c r="E21" i="270"/>
  <c r="F20" i="270"/>
  <c r="G20" i="270"/>
  <c r="H20" i="270"/>
  <c r="I20" i="270"/>
  <c r="J20" i="270"/>
  <c r="K20" i="270"/>
  <c r="L20" i="270"/>
  <c r="M20" i="270"/>
  <c r="N20" i="270"/>
  <c r="O20" i="270"/>
  <c r="P20" i="270"/>
  <c r="E20" i="270"/>
  <c r="F21" i="269"/>
  <c r="G21" i="269"/>
  <c r="H21" i="269"/>
  <c r="I21" i="269"/>
  <c r="J21" i="269"/>
  <c r="K21" i="269"/>
  <c r="L21" i="269"/>
  <c r="M21" i="269"/>
  <c r="N21" i="269"/>
  <c r="O21" i="269"/>
  <c r="P21" i="269"/>
  <c r="E21" i="269"/>
  <c r="F20" i="269"/>
  <c r="G20" i="269"/>
  <c r="H20" i="269"/>
  <c r="I20" i="269"/>
  <c r="J20" i="269"/>
  <c r="K20" i="269"/>
  <c r="L20" i="269"/>
  <c r="M20" i="269"/>
  <c r="N20" i="269"/>
  <c r="O20" i="269"/>
  <c r="P20" i="269"/>
  <c r="E20" i="269"/>
  <c r="D97" i="205"/>
  <c r="E97" i="205" s="1"/>
  <c r="F97" i="205" s="1"/>
  <c r="G97" i="205" s="1"/>
  <c r="H97" i="205" s="1"/>
  <c r="I97" i="205" s="1"/>
  <c r="J97" i="205" s="1"/>
  <c r="K97" i="205" s="1"/>
  <c r="L97" i="205" s="1"/>
  <c r="M97" i="205" s="1"/>
  <c r="N97" i="205" s="1"/>
  <c r="O97" i="205" s="1"/>
  <c r="D94" i="205"/>
  <c r="E19" i="276" s="1"/>
  <c r="D95" i="205"/>
  <c r="E19" i="279" s="1"/>
  <c r="D93" i="205"/>
  <c r="E19" i="275" s="1"/>
  <c r="D86" i="205"/>
  <c r="E86" i="205" s="1"/>
  <c r="F86" i="205" s="1"/>
  <c r="G86" i="205" s="1"/>
  <c r="H86" i="205" s="1"/>
  <c r="I86" i="205" s="1"/>
  <c r="J86" i="205" s="1"/>
  <c r="K86" i="205" s="1"/>
  <c r="L86" i="205" s="1"/>
  <c r="M86" i="205" s="1"/>
  <c r="N86" i="205" s="1"/>
  <c r="O86" i="205" s="1"/>
  <c r="D87" i="205"/>
  <c r="E87" i="205" s="1"/>
  <c r="F87" i="205" s="1"/>
  <c r="G87" i="205" s="1"/>
  <c r="H87" i="205" s="1"/>
  <c r="I87" i="205" s="1"/>
  <c r="J87" i="205" s="1"/>
  <c r="K87" i="205" s="1"/>
  <c r="L87" i="205" s="1"/>
  <c r="M87" i="205" s="1"/>
  <c r="N87" i="205" s="1"/>
  <c r="O87" i="205" s="1"/>
  <c r="D88" i="205"/>
  <c r="E88" i="205" s="1"/>
  <c r="F88" i="205" s="1"/>
  <c r="G88" i="205" s="1"/>
  <c r="H88" i="205" s="1"/>
  <c r="I88" i="205" s="1"/>
  <c r="J88" i="205" s="1"/>
  <c r="K88" i="205" s="1"/>
  <c r="L88" i="205" s="1"/>
  <c r="M88" i="205" s="1"/>
  <c r="N88" i="205" s="1"/>
  <c r="O88" i="205" s="1"/>
  <c r="D89" i="205"/>
  <c r="E19" i="273" s="1"/>
  <c r="D90" i="205"/>
  <c r="E90" i="205" s="1"/>
  <c r="F90" i="205" s="1"/>
  <c r="G90" i="205" s="1"/>
  <c r="H90" i="205" s="1"/>
  <c r="I90" i="205" s="1"/>
  <c r="J90" i="205" s="1"/>
  <c r="K90" i="205" s="1"/>
  <c r="L90" i="205" s="1"/>
  <c r="M90" i="205" s="1"/>
  <c r="N90" i="205" s="1"/>
  <c r="O90" i="205" s="1"/>
  <c r="D91" i="205"/>
  <c r="E91" i="205" s="1"/>
  <c r="F91" i="205" s="1"/>
  <c r="G91" i="205" s="1"/>
  <c r="H91" i="205" s="1"/>
  <c r="I91" i="205" s="1"/>
  <c r="J91" i="205" s="1"/>
  <c r="K91" i="205" s="1"/>
  <c r="L91" i="205" s="1"/>
  <c r="M91" i="205" s="1"/>
  <c r="N91" i="205" s="1"/>
  <c r="O91" i="205" s="1"/>
  <c r="D85" i="205"/>
  <c r="E85" i="205" s="1"/>
  <c r="F85" i="205" s="1"/>
  <c r="G85" i="205" s="1"/>
  <c r="H85" i="205" s="1"/>
  <c r="I85" i="205" s="1"/>
  <c r="J85" i="205" s="1"/>
  <c r="K85" i="205" s="1"/>
  <c r="L85" i="205" s="1"/>
  <c r="M85" i="205" s="1"/>
  <c r="N85" i="205" s="1"/>
  <c r="O85" i="205" s="1"/>
  <c r="F21" i="268"/>
  <c r="G21" i="268"/>
  <c r="H21" i="268"/>
  <c r="I21" i="268"/>
  <c r="J21" i="268"/>
  <c r="K21" i="268"/>
  <c r="L21" i="268"/>
  <c r="M21" i="268"/>
  <c r="N21" i="268"/>
  <c r="O21" i="268"/>
  <c r="P21" i="268"/>
  <c r="E21" i="268"/>
  <c r="F21" i="386"/>
  <c r="G21" i="386"/>
  <c r="H21" i="386"/>
  <c r="I21" i="386"/>
  <c r="J21" i="386"/>
  <c r="K21" i="386"/>
  <c r="L21" i="386"/>
  <c r="M21" i="386"/>
  <c r="N21" i="386"/>
  <c r="O21" i="386"/>
  <c r="P21" i="386"/>
  <c r="E21" i="386"/>
  <c r="F20" i="386"/>
  <c r="G20" i="386"/>
  <c r="H20" i="386"/>
  <c r="I20" i="386"/>
  <c r="J20" i="386"/>
  <c r="K20" i="386"/>
  <c r="L20" i="386"/>
  <c r="M20" i="386"/>
  <c r="N20" i="386"/>
  <c r="O20" i="386"/>
  <c r="P20" i="386"/>
  <c r="E20" i="386"/>
  <c r="F21" i="267"/>
  <c r="G21" i="267"/>
  <c r="H21" i="267"/>
  <c r="I21" i="267"/>
  <c r="J21" i="267"/>
  <c r="K21" i="267"/>
  <c r="L21" i="267"/>
  <c r="M21" i="267"/>
  <c r="N21" i="267"/>
  <c r="O21" i="267"/>
  <c r="P21" i="267"/>
  <c r="E21" i="267"/>
  <c r="F20" i="267"/>
  <c r="G20" i="267"/>
  <c r="H20" i="267"/>
  <c r="I20" i="267"/>
  <c r="J20" i="267"/>
  <c r="K20" i="267"/>
  <c r="L20" i="267"/>
  <c r="M20" i="267"/>
  <c r="N20" i="267"/>
  <c r="O20" i="267"/>
  <c r="P20" i="267"/>
  <c r="E20" i="267"/>
  <c r="F21" i="264"/>
  <c r="G21" i="264"/>
  <c r="H21" i="264"/>
  <c r="I21" i="264"/>
  <c r="J21" i="264"/>
  <c r="K21" i="264"/>
  <c r="L21" i="264"/>
  <c r="M21" i="264"/>
  <c r="N21" i="264"/>
  <c r="O21" i="264"/>
  <c r="P21" i="264"/>
  <c r="E21" i="264"/>
  <c r="F20" i="264"/>
  <c r="G20" i="264"/>
  <c r="H20" i="264"/>
  <c r="I20" i="264"/>
  <c r="J20" i="264"/>
  <c r="K20" i="264"/>
  <c r="L20" i="264"/>
  <c r="M20" i="264"/>
  <c r="N20" i="264"/>
  <c r="O20" i="264"/>
  <c r="P20" i="264"/>
  <c r="E20" i="264"/>
  <c r="F21" i="263"/>
  <c r="G21" i="263"/>
  <c r="H21" i="263"/>
  <c r="I21" i="263"/>
  <c r="J21" i="263"/>
  <c r="K21" i="263"/>
  <c r="L21" i="263"/>
  <c r="M21" i="263"/>
  <c r="N21" i="263"/>
  <c r="O21" i="263"/>
  <c r="P21" i="263"/>
  <c r="E21" i="263"/>
  <c r="F20" i="263"/>
  <c r="G20" i="263"/>
  <c r="H20" i="263"/>
  <c r="I20" i="263"/>
  <c r="J20" i="263"/>
  <c r="K20" i="263"/>
  <c r="L20" i="263"/>
  <c r="M20" i="263"/>
  <c r="N20" i="263"/>
  <c r="O20" i="263"/>
  <c r="P20" i="263"/>
  <c r="E20" i="263"/>
  <c r="F21" i="262"/>
  <c r="G21" i="262"/>
  <c r="H21" i="262"/>
  <c r="I21" i="262"/>
  <c r="J21" i="262"/>
  <c r="K21" i="262"/>
  <c r="L21" i="262"/>
  <c r="M21" i="262"/>
  <c r="N21" i="262"/>
  <c r="O21" i="262"/>
  <c r="P21" i="262"/>
  <c r="E21" i="262"/>
  <c r="F21" i="378"/>
  <c r="G21" i="378"/>
  <c r="H21" i="378"/>
  <c r="I21" i="378"/>
  <c r="J21" i="378"/>
  <c r="K21" i="378"/>
  <c r="L21" i="378"/>
  <c r="M21" i="378"/>
  <c r="N21" i="378"/>
  <c r="O21" i="378"/>
  <c r="P21" i="378"/>
  <c r="E21" i="378"/>
  <c r="F20" i="378"/>
  <c r="G20" i="378"/>
  <c r="H20" i="378"/>
  <c r="I20" i="378"/>
  <c r="J20" i="378"/>
  <c r="K20" i="378"/>
  <c r="L20" i="378"/>
  <c r="M20" i="378"/>
  <c r="N20" i="378"/>
  <c r="O20" i="378"/>
  <c r="P20" i="378"/>
  <c r="E20" i="378"/>
  <c r="C1" i="378"/>
  <c r="F21" i="266"/>
  <c r="G21" i="266"/>
  <c r="H21" i="266"/>
  <c r="I21" i="266"/>
  <c r="J21" i="266"/>
  <c r="K21" i="266"/>
  <c r="L21" i="266"/>
  <c r="M21" i="266"/>
  <c r="N21" i="266"/>
  <c r="O21" i="266"/>
  <c r="P21" i="266"/>
  <c r="E21" i="266"/>
  <c r="F20" i="266"/>
  <c r="G20" i="266"/>
  <c r="H20" i="266"/>
  <c r="I20" i="266"/>
  <c r="J20" i="266"/>
  <c r="K20" i="266"/>
  <c r="L20" i="266"/>
  <c r="M20" i="266"/>
  <c r="N20" i="266"/>
  <c r="O20" i="266"/>
  <c r="P20" i="266"/>
  <c r="E20" i="266"/>
  <c r="F21" i="261"/>
  <c r="G21" i="261"/>
  <c r="H21" i="261"/>
  <c r="I21" i="261"/>
  <c r="J21" i="261"/>
  <c r="K21" i="261"/>
  <c r="L21" i="261"/>
  <c r="M21" i="261"/>
  <c r="N21" i="261"/>
  <c r="O21" i="261"/>
  <c r="P21" i="261"/>
  <c r="E21" i="261"/>
  <c r="F20" i="261"/>
  <c r="G20" i="261"/>
  <c r="H20" i="261"/>
  <c r="I20" i="261"/>
  <c r="J20" i="261"/>
  <c r="K20" i="261"/>
  <c r="L20" i="261"/>
  <c r="M20" i="261"/>
  <c r="N20" i="261"/>
  <c r="O20" i="261"/>
  <c r="P20" i="261"/>
  <c r="E20" i="261"/>
  <c r="F21" i="260"/>
  <c r="G21" i="260"/>
  <c r="H21" i="260"/>
  <c r="I21" i="260"/>
  <c r="J21" i="260"/>
  <c r="K21" i="260"/>
  <c r="L21" i="260"/>
  <c r="M21" i="260"/>
  <c r="N21" i="260"/>
  <c r="O21" i="260"/>
  <c r="P21" i="260"/>
  <c r="E21" i="260"/>
  <c r="F20" i="260"/>
  <c r="G20" i="260"/>
  <c r="H20" i="260"/>
  <c r="I20" i="260"/>
  <c r="J20" i="260"/>
  <c r="K20" i="260"/>
  <c r="L20" i="260"/>
  <c r="M20" i="260"/>
  <c r="N20" i="260"/>
  <c r="O20" i="260"/>
  <c r="P20" i="260"/>
  <c r="E20" i="260"/>
  <c r="D77" i="205"/>
  <c r="E77" i="205" s="1"/>
  <c r="F77" i="205" s="1"/>
  <c r="G77" i="205" s="1"/>
  <c r="H77" i="205" s="1"/>
  <c r="I77" i="205" s="1"/>
  <c r="J77" i="205" s="1"/>
  <c r="K77" i="205" s="1"/>
  <c r="L77" i="205" s="1"/>
  <c r="M77" i="205" s="1"/>
  <c r="N77" i="205" s="1"/>
  <c r="O77" i="205" s="1"/>
  <c r="D78" i="205"/>
  <c r="E78" i="205" s="1"/>
  <c r="F78" i="205" s="1"/>
  <c r="G78" i="205" s="1"/>
  <c r="H78" i="205" s="1"/>
  <c r="I78" i="205" s="1"/>
  <c r="J78" i="205" s="1"/>
  <c r="K78" i="205" s="1"/>
  <c r="L78" i="205" s="1"/>
  <c r="M78" i="205" s="1"/>
  <c r="N78" i="205" s="1"/>
  <c r="O78" i="205" s="1"/>
  <c r="D79" i="205"/>
  <c r="D76" i="205"/>
  <c r="E76" i="205" s="1"/>
  <c r="F76" i="205" s="1"/>
  <c r="G76" i="205" s="1"/>
  <c r="H76" i="205" s="1"/>
  <c r="I76" i="205" s="1"/>
  <c r="J76" i="205" s="1"/>
  <c r="K76" i="205" s="1"/>
  <c r="L76" i="205" s="1"/>
  <c r="M76" i="205" s="1"/>
  <c r="N76" i="205" s="1"/>
  <c r="O76" i="205" s="1"/>
  <c r="D69" i="205"/>
  <c r="E69" i="205" s="1"/>
  <c r="F69" i="205" s="1"/>
  <c r="G69" i="205" s="1"/>
  <c r="H69" i="205" s="1"/>
  <c r="I69" i="205" s="1"/>
  <c r="J69" i="205" s="1"/>
  <c r="K69" i="205" s="1"/>
  <c r="L69" i="205" s="1"/>
  <c r="M69" i="205" s="1"/>
  <c r="N69" i="205" s="1"/>
  <c r="O69" i="205" s="1"/>
  <c r="D70" i="205"/>
  <c r="E70" i="205" s="1"/>
  <c r="F70" i="205" s="1"/>
  <c r="G70" i="205" s="1"/>
  <c r="H70" i="205" s="1"/>
  <c r="I70" i="205" s="1"/>
  <c r="J70" i="205" s="1"/>
  <c r="K70" i="205" s="1"/>
  <c r="L70" i="205" s="1"/>
  <c r="M70" i="205" s="1"/>
  <c r="N70" i="205" s="1"/>
  <c r="O70" i="205" s="1"/>
  <c r="D71" i="205"/>
  <c r="E71" i="205" s="1"/>
  <c r="F71" i="205" s="1"/>
  <c r="G71" i="205" s="1"/>
  <c r="H71" i="205" s="1"/>
  <c r="I71" i="205" s="1"/>
  <c r="J71" i="205" s="1"/>
  <c r="K71" i="205" s="1"/>
  <c r="L71" i="205" s="1"/>
  <c r="M71" i="205" s="1"/>
  <c r="N71" i="205" s="1"/>
  <c r="O71" i="205" s="1"/>
  <c r="D72" i="205"/>
  <c r="E72" i="205" s="1"/>
  <c r="F72" i="205" s="1"/>
  <c r="G72" i="205" s="1"/>
  <c r="H72" i="205" s="1"/>
  <c r="I72" i="205" s="1"/>
  <c r="J72" i="205" s="1"/>
  <c r="K72" i="205" s="1"/>
  <c r="L72" i="205" s="1"/>
  <c r="M72" i="205" s="1"/>
  <c r="N72" i="205" s="1"/>
  <c r="O72" i="205" s="1"/>
  <c r="D73" i="205"/>
  <c r="E73" i="205" s="1"/>
  <c r="F73" i="205" s="1"/>
  <c r="G73" i="205" s="1"/>
  <c r="H73" i="205" s="1"/>
  <c r="I73" i="205" s="1"/>
  <c r="J73" i="205" s="1"/>
  <c r="K73" i="205" s="1"/>
  <c r="L73" i="205" s="1"/>
  <c r="M73" i="205" s="1"/>
  <c r="N73" i="205" s="1"/>
  <c r="O73" i="205" s="1"/>
  <c r="D74" i="205"/>
  <c r="E19" i="378" s="1"/>
  <c r="D68" i="205"/>
  <c r="F21" i="259"/>
  <c r="G21" i="259"/>
  <c r="H21" i="259"/>
  <c r="I21" i="259"/>
  <c r="J21" i="259"/>
  <c r="K21" i="259"/>
  <c r="L21" i="259"/>
  <c r="M21" i="259"/>
  <c r="N21" i="259"/>
  <c r="O21" i="259"/>
  <c r="P21" i="259"/>
  <c r="E21" i="259"/>
  <c r="F20" i="259"/>
  <c r="G20" i="259"/>
  <c r="H20" i="259"/>
  <c r="I20" i="259"/>
  <c r="J20" i="259"/>
  <c r="K20" i="259"/>
  <c r="L20" i="259"/>
  <c r="M20" i="259"/>
  <c r="N20" i="259"/>
  <c r="O20" i="259"/>
  <c r="P20" i="259"/>
  <c r="E20" i="259"/>
  <c r="F21" i="258"/>
  <c r="G21" i="258"/>
  <c r="H21" i="258"/>
  <c r="I21" i="258"/>
  <c r="J21" i="258"/>
  <c r="K21" i="258"/>
  <c r="L21" i="258"/>
  <c r="M21" i="258"/>
  <c r="N21" i="258"/>
  <c r="O21" i="258"/>
  <c r="P21" i="258"/>
  <c r="E21" i="258"/>
  <c r="F20" i="258"/>
  <c r="G20" i="258"/>
  <c r="H20" i="258"/>
  <c r="I20" i="258"/>
  <c r="J20" i="258"/>
  <c r="K20" i="258"/>
  <c r="L20" i="258"/>
  <c r="M20" i="258"/>
  <c r="N20" i="258"/>
  <c r="O20" i="258"/>
  <c r="P20" i="258"/>
  <c r="E20" i="258"/>
  <c r="F21" i="257"/>
  <c r="G21" i="257"/>
  <c r="H21" i="257"/>
  <c r="I21" i="257"/>
  <c r="J21" i="257"/>
  <c r="K21" i="257"/>
  <c r="L21" i="257"/>
  <c r="M21" i="257"/>
  <c r="N21" i="257"/>
  <c r="O21" i="257"/>
  <c r="P21" i="257"/>
  <c r="E21" i="257"/>
  <c r="F20" i="257"/>
  <c r="G20" i="257"/>
  <c r="H20" i="257"/>
  <c r="I20" i="257"/>
  <c r="J20" i="257"/>
  <c r="K20" i="257"/>
  <c r="L20" i="257"/>
  <c r="M20" i="257"/>
  <c r="N20" i="257"/>
  <c r="O20" i="257"/>
  <c r="P20" i="257"/>
  <c r="E20" i="257"/>
  <c r="F20" i="396"/>
  <c r="F22" i="396" s="1"/>
  <c r="G20" i="396"/>
  <c r="H20" i="396"/>
  <c r="H27" i="396" s="1"/>
  <c r="I20" i="396"/>
  <c r="J20" i="396"/>
  <c r="J22" i="396" s="1"/>
  <c r="K20" i="396"/>
  <c r="K22" i="396" s="1"/>
  <c r="L20" i="396"/>
  <c r="L22" i="396" s="1"/>
  <c r="M20" i="396"/>
  <c r="N20" i="396"/>
  <c r="O20" i="396"/>
  <c r="O22" i="396" s="1"/>
  <c r="P20" i="396"/>
  <c r="E20" i="396"/>
  <c r="C1" i="265"/>
  <c r="D30" i="396"/>
  <c r="D29" i="396"/>
  <c r="P28" i="396"/>
  <c r="O28" i="396"/>
  <c r="N28" i="396"/>
  <c r="M28" i="396"/>
  <c r="L28" i="396"/>
  <c r="K28" i="396"/>
  <c r="J28" i="396"/>
  <c r="I28" i="396"/>
  <c r="H28" i="396"/>
  <c r="G28" i="396"/>
  <c r="F28" i="396"/>
  <c r="E28" i="396"/>
  <c r="D28" i="396"/>
  <c r="D27" i="396"/>
  <c r="O25" i="396"/>
  <c r="N25" i="396"/>
  <c r="K25" i="396"/>
  <c r="J25" i="396"/>
  <c r="G25" i="396"/>
  <c r="F25" i="396"/>
  <c r="G22" i="396"/>
  <c r="Q21" i="396"/>
  <c r="N22" i="396"/>
  <c r="K27" i="396"/>
  <c r="G27" i="396"/>
  <c r="D20" i="396"/>
  <c r="D19" i="396"/>
  <c r="D26" i="396" s="1"/>
  <c r="P18" i="396"/>
  <c r="I1" i="396" s="1"/>
  <c r="O18" i="396"/>
  <c r="N18" i="396"/>
  <c r="M18" i="396"/>
  <c r="M25" i="396" s="1"/>
  <c r="L18" i="396"/>
  <c r="L25" i="396" s="1"/>
  <c r="K18" i="396"/>
  <c r="J18" i="396"/>
  <c r="I18" i="396"/>
  <c r="I25" i="396" s="1"/>
  <c r="H18" i="396"/>
  <c r="H25" i="396" s="1"/>
  <c r="G18" i="396"/>
  <c r="F18" i="396"/>
  <c r="E18" i="396"/>
  <c r="E25" i="396" s="1"/>
  <c r="C1" i="396"/>
  <c r="B1" i="396"/>
  <c r="F20" i="265"/>
  <c r="G20" i="265"/>
  <c r="H20" i="265"/>
  <c r="I20" i="265"/>
  <c r="J20" i="265"/>
  <c r="K20" i="265"/>
  <c r="L20" i="265"/>
  <c r="M20" i="265"/>
  <c r="N20" i="265"/>
  <c r="O20" i="265"/>
  <c r="P20" i="265"/>
  <c r="E20" i="265"/>
  <c r="C1" i="395"/>
  <c r="O20" i="395"/>
  <c r="O27" i="395" s="1"/>
  <c r="P20" i="395"/>
  <c r="D30" i="395"/>
  <c r="D29" i="395"/>
  <c r="O28" i="395"/>
  <c r="K28" i="395"/>
  <c r="G28" i="395"/>
  <c r="D28" i="395"/>
  <c r="D27" i="395"/>
  <c r="O25" i="395"/>
  <c r="N25" i="395"/>
  <c r="K25" i="395"/>
  <c r="J25" i="395"/>
  <c r="G25" i="395"/>
  <c r="F25" i="395"/>
  <c r="P28" i="395"/>
  <c r="N28" i="395"/>
  <c r="M28" i="395"/>
  <c r="L28" i="395"/>
  <c r="J28" i="395"/>
  <c r="I28" i="395"/>
  <c r="H28" i="395"/>
  <c r="F28" i="395"/>
  <c r="D20" i="395"/>
  <c r="D19" i="395"/>
  <c r="D26" i="395" s="1"/>
  <c r="P18" i="395"/>
  <c r="P25" i="395" s="1"/>
  <c r="O18" i="395"/>
  <c r="N18" i="395"/>
  <c r="M18" i="395"/>
  <c r="M25" i="395" s="1"/>
  <c r="L18" i="395"/>
  <c r="L25" i="395" s="1"/>
  <c r="K18" i="395"/>
  <c r="J18" i="395"/>
  <c r="I18" i="395"/>
  <c r="I25" i="395" s="1"/>
  <c r="H18" i="395"/>
  <c r="H25" i="395" s="1"/>
  <c r="G18" i="395"/>
  <c r="F18" i="395"/>
  <c r="E18" i="395"/>
  <c r="E25" i="395" s="1"/>
  <c r="B1" i="395"/>
  <c r="F85" i="390"/>
  <c r="G85" i="390"/>
  <c r="G20" i="395" s="1"/>
  <c r="G27" i="395" s="1"/>
  <c r="H85" i="390"/>
  <c r="H20" i="395" s="1"/>
  <c r="H27" i="395" s="1"/>
  <c r="I85" i="390"/>
  <c r="J85" i="390"/>
  <c r="K85" i="390"/>
  <c r="K20" i="395" s="1"/>
  <c r="K27" i="395" s="1"/>
  <c r="L85" i="390"/>
  <c r="L20" i="395" s="1"/>
  <c r="L27" i="395" s="1"/>
  <c r="M85" i="390"/>
  <c r="N85" i="390"/>
  <c r="O85" i="390"/>
  <c r="P85" i="390"/>
  <c r="E85" i="390"/>
  <c r="D82" i="205"/>
  <c r="E19" i="396" s="1"/>
  <c r="E23" i="396" s="1"/>
  <c r="D81" i="205"/>
  <c r="E19" i="265" s="1"/>
  <c r="E79" i="205"/>
  <c r="F79" i="205" s="1"/>
  <c r="G79" i="205" s="1"/>
  <c r="H79" i="205" s="1"/>
  <c r="I79" i="205" s="1"/>
  <c r="J79" i="205" s="1"/>
  <c r="K79" i="205" s="1"/>
  <c r="L79" i="205" s="1"/>
  <c r="M79" i="205" s="1"/>
  <c r="N79" i="205" s="1"/>
  <c r="O79" i="205" s="1"/>
  <c r="E68" i="205"/>
  <c r="F68" i="205" s="1"/>
  <c r="G68" i="205" s="1"/>
  <c r="H68" i="205" s="1"/>
  <c r="I68" i="205" s="1"/>
  <c r="J68" i="205" s="1"/>
  <c r="K68" i="205" s="1"/>
  <c r="L68" i="205" s="1"/>
  <c r="M68" i="205" s="1"/>
  <c r="N68" i="205" s="1"/>
  <c r="O68" i="205" s="1"/>
  <c r="B84" i="390"/>
  <c r="C84" i="390"/>
  <c r="D84" i="390"/>
  <c r="B85" i="390"/>
  <c r="C85" i="390"/>
  <c r="D85" i="390"/>
  <c r="A84" i="390"/>
  <c r="A85" i="390"/>
  <c r="A86" i="390"/>
  <c r="B83" i="205"/>
  <c r="C83" i="205"/>
  <c r="A83" i="205"/>
  <c r="C82" i="205"/>
  <c r="B82" i="205"/>
  <c r="A82" i="205"/>
  <c r="F21" i="253"/>
  <c r="G21" i="253"/>
  <c r="H21" i="253"/>
  <c r="I21" i="253"/>
  <c r="J21" i="253"/>
  <c r="K21" i="253"/>
  <c r="L21" i="253"/>
  <c r="M21" i="253"/>
  <c r="N21" i="253"/>
  <c r="O21" i="253"/>
  <c r="P21" i="253"/>
  <c r="E21" i="253"/>
  <c r="F20" i="253"/>
  <c r="G20" i="253"/>
  <c r="H20" i="253"/>
  <c r="I20" i="253"/>
  <c r="J20" i="253"/>
  <c r="K20" i="253"/>
  <c r="L20" i="253"/>
  <c r="M20" i="253"/>
  <c r="N20" i="253"/>
  <c r="O20" i="253"/>
  <c r="P20" i="253"/>
  <c r="E20" i="253"/>
  <c r="F20" i="255"/>
  <c r="G20" i="255"/>
  <c r="H20" i="255"/>
  <c r="I20" i="255"/>
  <c r="J20" i="255"/>
  <c r="K20" i="255"/>
  <c r="L20" i="255"/>
  <c r="M20" i="255"/>
  <c r="N20" i="255"/>
  <c r="O20" i="255"/>
  <c r="P20" i="255"/>
  <c r="E20" i="255"/>
  <c r="L23" i="402" l="1"/>
  <c r="L22" i="402"/>
  <c r="K22" i="402"/>
  <c r="K23" i="402"/>
  <c r="J22" i="402"/>
  <c r="J23" i="402"/>
  <c r="I23" i="402"/>
  <c r="I22" i="402"/>
  <c r="H23" i="402"/>
  <c r="H22" i="402"/>
  <c r="G23" i="402"/>
  <c r="G22" i="402"/>
  <c r="F22" i="402"/>
  <c r="F23" i="402"/>
  <c r="H129" i="34"/>
  <c r="I129" i="34" s="1"/>
  <c r="O27" i="402"/>
  <c r="O30" i="402" s="1"/>
  <c r="H166" i="34"/>
  <c r="I27" i="402"/>
  <c r="I30" i="402" s="1"/>
  <c r="J27" i="402"/>
  <c r="J30" i="402" s="1"/>
  <c r="H27" i="402"/>
  <c r="H30" i="402" s="1"/>
  <c r="M27" i="402"/>
  <c r="M30" i="402" s="1"/>
  <c r="E22" i="402"/>
  <c r="N27" i="402"/>
  <c r="N30" i="402" s="1"/>
  <c r="L27" i="402"/>
  <c r="L30" i="402" s="1"/>
  <c r="P27" i="402"/>
  <c r="P30" i="402" s="1"/>
  <c r="G27" i="402"/>
  <c r="G30" i="402" s="1"/>
  <c r="Q20" i="402"/>
  <c r="E27" i="402"/>
  <c r="F27" i="402"/>
  <c r="F30" i="402" s="1"/>
  <c r="K27" i="402"/>
  <c r="K30" i="402" s="1"/>
  <c r="H130" i="34"/>
  <c r="H125" i="34"/>
  <c r="H124" i="34"/>
  <c r="H88" i="34"/>
  <c r="O27" i="396"/>
  <c r="P27" i="395"/>
  <c r="E74" i="205"/>
  <c r="F74" i="205" s="1"/>
  <c r="G74" i="205" s="1"/>
  <c r="H74" i="205" s="1"/>
  <c r="I74" i="205" s="1"/>
  <c r="J74" i="205" s="1"/>
  <c r="K74" i="205" s="1"/>
  <c r="L74" i="205" s="1"/>
  <c r="M74" i="205" s="1"/>
  <c r="N74" i="205" s="1"/>
  <c r="O74" i="205" s="1"/>
  <c r="P19" i="378" s="1"/>
  <c r="M23" i="397"/>
  <c r="N20" i="395"/>
  <c r="J20" i="395"/>
  <c r="J22" i="395" s="1"/>
  <c r="F20" i="395"/>
  <c r="F22" i="395" s="1"/>
  <c r="E20" i="395"/>
  <c r="E22" i="395" s="1"/>
  <c r="E29" i="395" s="1"/>
  <c r="M20" i="395"/>
  <c r="I20" i="395"/>
  <c r="I22" i="395" s="1"/>
  <c r="E82" i="205"/>
  <c r="E81" i="205"/>
  <c r="D83" i="205"/>
  <c r="E19" i="395" s="1"/>
  <c r="E26" i="396"/>
  <c r="E30" i="396" s="1"/>
  <c r="P22" i="396"/>
  <c r="H22" i="396"/>
  <c r="P23" i="397"/>
  <c r="E93" i="205"/>
  <c r="F93" i="205" s="1"/>
  <c r="G93" i="205" s="1"/>
  <c r="E95" i="205"/>
  <c r="F19" i="279" s="1"/>
  <c r="G28" i="398"/>
  <c r="K28" i="398"/>
  <c r="O28" i="398"/>
  <c r="J28" i="398"/>
  <c r="Q21" i="398"/>
  <c r="H28" i="398"/>
  <c r="L28" i="398"/>
  <c r="P28" i="398"/>
  <c r="E28" i="398"/>
  <c r="I28" i="398"/>
  <c r="O23" i="397"/>
  <c r="K23" i="397"/>
  <c r="N23" i="397"/>
  <c r="J23" i="397"/>
  <c r="F23" i="397"/>
  <c r="M26" i="397"/>
  <c r="E26" i="397"/>
  <c r="P26" i="397"/>
  <c r="I23" i="397"/>
  <c r="G23" i="397"/>
  <c r="O27" i="397"/>
  <c r="G22" i="397"/>
  <c r="I1" i="397"/>
  <c r="Q21" i="397"/>
  <c r="H22" i="397"/>
  <c r="L22" i="397"/>
  <c r="P22" i="397"/>
  <c r="F26" i="397"/>
  <c r="J26" i="397"/>
  <c r="N26" i="397"/>
  <c r="E27" i="397"/>
  <c r="I27" i="397"/>
  <c r="M27" i="397"/>
  <c r="H28" i="397"/>
  <c r="L28" i="397"/>
  <c r="P28" i="397"/>
  <c r="Q20" i="397"/>
  <c r="L27" i="397"/>
  <c r="P27" i="397"/>
  <c r="K28" i="397"/>
  <c r="Q19" i="397"/>
  <c r="E22" i="397"/>
  <c r="I22" i="397"/>
  <c r="M22" i="397"/>
  <c r="G26" i="397"/>
  <c r="K26" i="397"/>
  <c r="O26" i="397"/>
  <c r="F27" i="397"/>
  <c r="J27" i="397"/>
  <c r="J30" i="397" s="1"/>
  <c r="N27" i="397"/>
  <c r="N30" i="397" s="1"/>
  <c r="E28" i="397"/>
  <c r="I28" i="397"/>
  <c r="M28" i="397"/>
  <c r="I26" i="397"/>
  <c r="H27" i="397"/>
  <c r="E23" i="397"/>
  <c r="H26" i="397"/>
  <c r="L26" i="397"/>
  <c r="G27" i="397"/>
  <c r="K27" i="397"/>
  <c r="F28" i="397"/>
  <c r="J28" i="397"/>
  <c r="L27" i="396"/>
  <c r="P27" i="396"/>
  <c r="Q20" i="396"/>
  <c r="G19" i="275"/>
  <c r="J19" i="378"/>
  <c r="M19" i="378"/>
  <c r="I19" i="378"/>
  <c r="N19" i="378"/>
  <c r="L19" i="378"/>
  <c r="H19" i="378"/>
  <c r="E94" i="205"/>
  <c r="F95" i="205"/>
  <c r="F19" i="378"/>
  <c r="O19" i="378"/>
  <c r="K19" i="378"/>
  <c r="G19" i="378"/>
  <c r="E89" i="205"/>
  <c r="E27" i="396"/>
  <c r="I27" i="396"/>
  <c r="M27" i="396"/>
  <c r="E22" i="396"/>
  <c r="I22" i="396"/>
  <c r="M22" i="396"/>
  <c r="P25" i="396"/>
  <c r="F27" i="396"/>
  <c r="J27" i="396"/>
  <c r="N27" i="396"/>
  <c r="N22" i="395"/>
  <c r="G22" i="395"/>
  <c r="K22" i="395"/>
  <c r="O22" i="395"/>
  <c r="I1" i="395"/>
  <c r="H22" i="395"/>
  <c r="L22" i="395"/>
  <c r="P22" i="395"/>
  <c r="I27" i="395"/>
  <c r="M27" i="395"/>
  <c r="M22" i="395"/>
  <c r="F27" i="395"/>
  <c r="J27" i="395"/>
  <c r="N27" i="395"/>
  <c r="E28" i="395"/>
  <c r="N129" i="34" l="1"/>
  <c r="O30" i="397"/>
  <c r="M29" i="402"/>
  <c r="L29" i="402"/>
  <c r="K29" i="402"/>
  <c r="F29" i="402"/>
  <c r="I29" i="402"/>
  <c r="H29" i="402"/>
  <c r="G29" i="402"/>
  <c r="E29" i="402"/>
  <c r="Q22" i="402"/>
  <c r="N29" i="402"/>
  <c r="P29" i="402"/>
  <c r="O29" i="402"/>
  <c r="J29" i="402"/>
  <c r="N166" i="34"/>
  <c r="S4" i="402"/>
  <c r="N88" i="34"/>
  <c r="H89" i="34"/>
  <c r="E27" i="395"/>
  <c r="S4" i="395" s="1"/>
  <c r="Q20" i="395"/>
  <c r="F29" i="395"/>
  <c r="F19" i="275"/>
  <c r="E30" i="397"/>
  <c r="E23" i="395"/>
  <c r="E26" i="395"/>
  <c r="E30" i="395" s="1"/>
  <c r="F19" i="265"/>
  <c r="E83" i="205"/>
  <c r="F19" i="395" s="1"/>
  <c r="F81" i="205"/>
  <c r="F19" i="396"/>
  <c r="F82" i="205"/>
  <c r="M30" i="397"/>
  <c r="S5" i="397"/>
  <c r="S6" i="397" s="1"/>
  <c r="M129" i="34"/>
  <c r="G30" i="397"/>
  <c r="H30" i="397"/>
  <c r="K30" i="397"/>
  <c r="I30" i="397"/>
  <c r="F30" i="397"/>
  <c r="P30" i="397"/>
  <c r="S4" i="397"/>
  <c r="M29" i="397"/>
  <c r="I29" i="397"/>
  <c r="E29" i="397"/>
  <c r="N29" i="397"/>
  <c r="P29" i="397"/>
  <c r="L29" i="397"/>
  <c r="H29" i="397"/>
  <c r="Q22" i="397"/>
  <c r="J29" i="397"/>
  <c r="F29" i="397"/>
  <c r="O29" i="397"/>
  <c r="K29" i="397"/>
  <c r="G29" i="397"/>
  <c r="L30" i="397"/>
  <c r="S4" i="396"/>
  <c r="G19" i="279"/>
  <c r="G95" i="205"/>
  <c r="F89" i="205"/>
  <c r="F19" i="273"/>
  <c r="F19" i="276"/>
  <c r="F94" i="205"/>
  <c r="H19" i="275"/>
  <c r="H93" i="205"/>
  <c r="M29" i="396"/>
  <c r="I29" i="396"/>
  <c r="E29" i="396"/>
  <c r="O29" i="396"/>
  <c r="G29" i="396"/>
  <c r="N29" i="396"/>
  <c r="J29" i="396"/>
  <c r="P29" i="396"/>
  <c r="L29" i="396"/>
  <c r="H29" i="396"/>
  <c r="Q22" i="396"/>
  <c r="K29" i="396"/>
  <c r="F29" i="396"/>
  <c r="O29" i="395"/>
  <c r="M29" i="395"/>
  <c r="J29" i="395"/>
  <c r="P29" i="395"/>
  <c r="Q22" i="395"/>
  <c r="G29" i="395"/>
  <c r="H29" i="395"/>
  <c r="I29" i="395"/>
  <c r="N29" i="395"/>
  <c r="K29" i="395"/>
  <c r="L29" i="395"/>
  <c r="N89" i="34" l="1"/>
  <c r="G19" i="265"/>
  <c r="F83" i="205"/>
  <c r="G19" i="395" s="1"/>
  <c r="G81" i="205"/>
  <c r="F26" i="395"/>
  <c r="F30" i="395" s="1"/>
  <c r="F23" i="395"/>
  <c r="G19" i="396"/>
  <c r="G82" i="205"/>
  <c r="F23" i="396"/>
  <c r="F26" i="396"/>
  <c r="F30" i="396" s="1"/>
  <c r="R129" i="34"/>
  <c r="O129" i="34"/>
  <c r="I19" i="275"/>
  <c r="I93" i="205"/>
  <c r="G89" i="205"/>
  <c r="G19" i="273"/>
  <c r="G94" i="205"/>
  <c r="G19" i="276"/>
  <c r="H19" i="279"/>
  <c r="H95" i="205"/>
  <c r="H82" i="205" l="1"/>
  <c r="H19" i="396"/>
  <c r="H19" i="265"/>
  <c r="G83" i="205"/>
  <c r="H19" i="395" s="1"/>
  <c r="H81" i="205"/>
  <c r="G26" i="395"/>
  <c r="G30" i="395" s="1"/>
  <c r="G23" i="395"/>
  <c r="G23" i="396"/>
  <c r="G26" i="396"/>
  <c r="G30" i="396" s="1"/>
  <c r="I19" i="279"/>
  <c r="I95" i="205"/>
  <c r="H89" i="205"/>
  <c r="H19" i="273"/>
  <c r="J93" i="205"/>
  <c r="J19" i="275"/>
  <c r="H94" i="205"/>
  <c r="H19" i="276"/>
  <c r="H26" i="395" l="1"/>
  <c r="H30" i="395" s="1"/>
  <c r="H23" i="395"/>
  <c r="H26" i="396"/>
  <c r="H30" i="396" s="1"/>
  <c r="H23" i="396"/>
  <c r="I19" i="265"/>
  <c r="H83" i="205"/>
  <c r="I19" i="395" s="1"/>
  <c r="I81" i="205"/>
  <c r="I82" i="205"/>
  <c r="I19" i="396"/>
  <c r="I94" i="205"/>
  <c r="I19" i="276"/>
  <c r="I19" i="273"/>
  <c r="I89" i="205"/>
  <c r="J95" i="205"/>
  <c r="J19" i="279"/>
  <c r="K93" i="205"/>
  <c r="K19" i="275"/>
  <c r="I26" i="395" l="1"/>
  <c r="I30" i="395" s="1"/>
  <c r="I23" i="395"/>
  <c r="I26" i="396"/>
  <c r="I30" i="396" s="1"/>
  <c r="I23" i="396"/>
  <c r="J82" i="205"/>
  <c r="J19" i="396"/>
  <c r="J81" i="205"/>
  <c r="J19" i="265"/>
  <c r="I83" i="205"/>
  <c r="J19" i="395" s="1"/>
  <c r="J89" i="205"/>
  <c r="J19" i="273"/>
  <c r="L93" i="205"/>
  <c r="L19" i="275"/>
  <c r="K95" i="205"/>
  <c r="K19" i="279"/>
  <c r="J94" i="205"/>
  <c r="J19" i="276"/>
  <c r="K81" i="205" l="1"/>
  <c r="K19" i="265"/>
  <c r="J83" i="205"/>
  <c r="K19" i="395" s="1"/>
  <c r="J26" i="396"/>
  <c r="J30" i="396" s="1"/>
  <c r="J23" i="396"/>
  <c r="J26" i="395"/>
  <c r="J30" i="395" s="1"/>
  <c r="J23" i="395"/>
  <c r="K82" i="205"/>
  <c r="K19" i="396"/>
  <c r="L95" i="205"/>
  <c r="L19" i="279"/>
  <c r="K89" i="205"/>
  <c r="K19" i="273"/>
  <c r="K94" i="205"/>
  <c r="K19" i="276"/>
  <c r="M93" i="205"/>
  <c r="M19" i="275"/>
  <c r="K26" i="395" l="1"/>
  <c r="K30" i="395" s="1"/>
  <c r="K23" i="395"/>
  <c r="K26" i="396"/>
  <c r="K30" i="396" s="1"/>
  <c r="K23" i="396"/>
  <c r="L82" i="205"/>
  <c r="L19" i="396"/>
  <c r="L81" i="205"/>
  <c r="L19" i="265"/>
  <c r="K83" i="205"/>
  <c r="L19" i="395" s="1"/>
  <c r="N93" i="205"/>
  <c r="N19" i="275"/>
  <c r="L89" i="205"/>
  <c r="L19" i="273"/>
  <c r="L94" i="205"/>
  <c r="L19" i="276"/>
  <c r="M95" i="205"/>
  <c r="M19" i="279"/>
  <c r="L26" i="396" l="1"/>
  <c r="L30" i="396" s="1"/>
  <c r="L23" i="396"/>
  <c r="L26" i="395"/>
  <c r="L30" i="395" s="1"/>
  <c r="L23" i="395"/>
  <c r="M82" i="205"/>
  <c r="M19" i="396"/>
  <c r="M81" i="205"/>
  <c r="M19" i="265"/>
  <c r="L83" i="205"/>
  <c r="M19" i="395" s="1"/>
  <c r="N95" i="205"/>
  <c r="N19" i="279"/>
  <c r="M89" i="205"/>
  <c r="M19" i="273"/>
  <c r="M94" i="205"/>
  <c r="M19" i="276"/>
  <c r="O93" i="205"/>
  <c r="P19" i="275" s="1"/>
  <c r="O19" i="275"/>
  <c r="N81" i="205" l="1"/>
  <c r="N19" i="265"/>
  <c r="M83" i="205"/>
  <c r="N19" i="395" s="1"/>
  <c r="M26" i="396"/>
  <c r="M30" i="396" s="1"/>
  <c r="M23" i="396"/>
  <c r="M26" i="395"/>
  <c r="M30" i="395" s="1"/>
  <c r="M23" i="395"/>
  <c r="N82" i="205"/>
  <c r="N19" i="396"/>
  <c r="N89" i="205"/>
  <c r="N19" i="273"/>
  <c r="N94" i="205"/>
  <c r="N19" i="276"/>
  <c r="O95" i="205"/>
  <c r="P19" i="279" s="1"/>
  <c r="O19" i="279"/>
  <c r="O82" i="205" l="1"/>
  <c r="P19" i="396" s="1"/>
  <c r="O19" i="396"/>
  <c r="N26" i="395"/>
  <c r="N30" i="395" s="1"/>
  <c r="N23" i="395"/>
  <c r="N23" i="396"/>
  <c r="N26" i="396"/>
  <c r="N30" i="396" s="1"/>
  <c r="O81" i="205"/>
  <c r="O19" i="265"/>
  <c r="N83" i="205"/>
  <c r="O19" i="395" s="1"/>
  <c r="O94" i="205"/>
  <c r="P19" i="276" s="1"/>
  <c r="O19" i="276"/>
  <c r="O89" i="205"/>
  <c r="P19" i="273" s="1"/>
  <c r="O19" i="273"/>
  <c r="P19" i="265" l="1"/>
  <c r="O83" i="205"/>
  <c r="P19" i="395" s="1"/>
  <c r="O23" i="396"/>
  <c r="O26" i="396"/>
  <c r="O30" i="396" s="1"/>
  <c r="O26" i="395"/>
  <c r="O30" i="395" s="1"/>
  <c r="O23" i="395"/>
  <c r="G88" i="34"/>
  <c r="P26" i="396"/>
  <c r="P23" i="396"/>
  <c r="Q19" i="396"/>
  <c r="S5" i="396" l="1"/>
  <c r="S6" i="396" s="1"/>
  <c r="M88" i="34"/>
  <c r="P30" i="396"/>
  <c r="G89" i="34"/>
  <c r="P23" i="395"/>
  <c r="P26" i="395"/>
  <c r="Q19" i="395"/>
  <c r="S5" i="395" l="1"/>
  <c r="S6" i="395" s="1"/>
  <c r="M89" i="34"/>
  <c r="P30" i="395"/>
  <c r="F21" i="255" l="1"/>
  <c r="G21" i="255"/>
  <c r="H21" i="255"/>
  <c r="I21" i="255"/>
  <c r="J21" i="255"/>
  <c r="K21" i="255"/>
  <c r="L21" i="255"/>
  <c r="M21" i="255"/>
  <c r="N21" i="255"/>
  <c r="O21" i="255"/>
  <c r="P21" i="255"/>
  <c r="Q21" i="255"/>
  <c r="E21" i="255"/>
  <c r="F21" i="252"/>
  <c r="G21" i="252"/>
  <c r="H21" i="252"/>
  <c r="I21" i="252"/>
  <c r="J21" i="252"/>
  <c r="K21" i="252"/>
  <c r="L21" i="252"/>
  <c r="M21" i="252"/>
  <c r="N21" i="252"/>
  <c r="O21" i="252"/>
  <c r="P21" i="252"/>
  <c r="E21" i="252"/>
  <c r="F20" i="252"/>
  <c r="G20" i="252"/>
  <c r="H20" i="252"/>
  <c r="I20" i="252"/>
  <c r="J20" i="252"/>
  <c r="K20" i="252"/>
  <c r="L20" i="252"/>
  <c r="M20" i="252"/>
  <c r="N20" i="252"/>
  <c r="O20" i="252"/>
  <c r="P20" i="252"/>
  <c r="E20" i="252"/>
  <c r="F21" i="251"/>
  <c r="G21" i="251"/>
  <c r="H21" i="251"/>
  <c r="I21" i="251"/>
  <c r="J21" i="251"/>
  <c r="K21" i="251"/>
  <c r="L21" i="251"/>
  <c r="M21" i="251"/>
  <c r="N21" i="251"/>
  <c r="O21" i="251"/>
  <c r="P21" i="251"/>
  <c r="E21" i="251"/>
  <c r="F20" i="251"/>
  <c r="G20" i="251"/>
  <c r="H20" i="251"/>
  <c r="I20" i="251"/>
  <c r="J20" i="251"/>
  <c r="K20" i="251"/>
  <c r="L20" i="251"/>
  <c r="M20" i="251"/>
  <c r="N20" i="251"/>
  <c r="O20" i="251"/>
  <c r="P20" i="251"/>
  <c r="E20" i="251"/>
  <c r="F21" i="250"/>
  <c r="G21" i="250"/>
  <c r="H21" i="250"/>
  <c r="I21" i="250"/>
  <c r="J21" i="250"/>
  <c r="K21" i="250"/>
  <c r="L21" i="250"/>
  <c r="M21" i="250"/>
  <c r="N21" i="250"/>
  <c r="O21" i="250"/>
  <c r="P21" i="250"/>
  <c r="E21" i="250"/>
  <c r="F21" i="377"/>
  <c r="G21" i="377"/>
  <c r="H21" i="377"/>
  <c r="I21" i="377"/>
  <c r="J21" i="377"/>
  <c r="K21" i="377"/>
  <c r="L21" i="377"/>
  <c r="M21" i="377"/>
  <c r="N21" i="377"/>
  <c r="O21" i="377"/>
  <c r="P21" i="377"/>
  <c r="E21" i="377"/>
  <c r="F20" i="377"/>
  <c r="G20" i="377"/>
  <c r="H20" i="377"/>
  <c r="I20" i="377"/>
  <c r="J20" i="377"/>
  <c r="K20" i="377"/>
  <c r="L20" i="377"/>
  <c r="M20" i="377"/>
  <c r="N20" i="377"/>
  <c r="O20" i="377"/>
  <c r="P20" i="377"/>
  <c r="E20" i="377"/>
  <c r="F21" i="254"/>
  <c r="G21" i="254"/>
  <c r="H21" i="254"/>
  <c r="I21" i="254"/>
  <c r="J21" i="254"/>
  <c r="K21" i="254"/>
  <c r="L21" i="254"/>
  <c r="M21" i="254"/>
  <c r="N21" i="254"/>
  <c r="O21" i="254"/>
  <c r="P21" i="254"/>
  <c r="E21" i="254"/>
  <c r="F20" i="254"/>
  <c r="G20" i="254"/>
  <c r="H20" i="254"/>
  <c r="I20" i="254"/>
  <c r="J20" i="254"/>
  <c r="K20" i="254"/>
  <c r="L20" i="254"/>
  <c r="M20" i="254"/>
  <c r="N20" i="254"/>
  <c r="O20" i="254"/>
  <c r="P20" i="254"/>
  <c r="E20" i="254"/>
  <c r="F21" i="249"/>
  <c r="G21" i="249"/>
  <c r="H21" i="249"/>
  <c r="I21" i="249"/>
  <c r="J21" i="249"/>
  <c r="K21" i="249"/>
  <c r="L21" i="249"/>
  <c r="M21" i="249"/>
  <c r="N21" i="249"/>
  <c r="O21" i="249"/>
  <c r="P21" i="249"/>
  <c r="Q21" i="249"/>
  <c r="E21" i="249"/>
  <c r="F20" i="249"/>
  <c r="G20" i="249"/>
  <c r="H20" i="249"/>
  <c r="I20" i="249"/>
  <c r="J20" i="249"/>
  <c r="K20" i="249"/>
  <c r="L20" i="249"/>
  <c r="M20" i="249"/>
  <c r="N20" i="249"/>
  <c r="O20" i="249"/>
  <c r="P20" i="249"/>
  <c r="E20" i="249"/>
  <c r="F21" i="248"/>
  <c r="G21" i="248"/>
  <c r="H21" i="248"/>
  <c r="I21" i="248"/>
  <c r="J21" i="248"/>
  <c r="K21" i="248"/>
  <c r="L21" i="248"/>
  <c r="M21" i="248"/>
  <c r="N21" i="248"/>
  <c r="O21" i="248"/>
  <c r="P21" i="248"/>
  <c r="E21" i="248"/>
  <c r="F20" i="248"/>
  <c r="G20" i="248"/>
  <c r="H20" i="248"/>
  <c r="I20" i="248"/>
  <c r="J20" i="248"/>
  <c r="K20" i="248"/>
  <c r="L20" i="248"/>
  <c r="M20" i="248"/>
  <c r="N20" i="248"/>
  <c r="O20" i="248"/>
  <c r="P20" i="248"/>
  <c r="E20" i="248"/>
  <c r="F21" i="247"/>
  <c r="G21" i="247"/>
  <c r="H21" i="247"/>
  <c r="I21" i="247"/>
  <c r="J21" i="247"/>
  <c r="K21" i="247"/>
  <c r="L21" i="247"/>
  <c r="M21" i="247"/>
  <c r="N21" i="247"/>
  <c r="O21" i="247"/>
  <c r="P21" i="247"/>
  <c r="E21" i="247"/>
  <c r="F20" i="247"/>
  <c r="G20" i="247"/>
  <c r="H20" i="247"/>
  <c r="I20" i="247"/>
  <c r="J20" i="247"/>
  <c r="K20" i="247"/>
  <c r="L20" i="247"/>
  <c r="M20" i="247"/>
  <c r="N20" i="247"/>
  <c r="O20" i="247"/>
  <c r="P20" i="247"/>
  <c r="E20" i="247"/>
  <c r="F21" i="246"/>
  <c r="G21" i="246"/>
  <c r="H21" i="246"/>
  <c r="I21" i="246"/>
  <c r="J21" i="246"/>
  <c r="K21" i="246"/>
  <c r="L21" i="246"/>
  <c r="M21" i="246"/>
  <c r="N21" i="246"/>
  <c r="O21" i="246"/>
  <c r="P21" i="246"/>
  <c r="E21" i="246"/>
  <c r="F20" i="246"/>
  <c r="G20" i="246"/>
  <c r="H20" i="246"/>
  <c r="I20" i="246"/>
  <c r="J20" i="246"/>
  <c r="K20" i="246"/>
  <c r="L20" i="246"/>
  <c r="M20" i="246"/>
  <c r="N20" i="246"/>
  <c r="O20" i="246"/>
  <c r="P20" i="246"/>
  <c r="E20" i="246"/>
  <c r="F21" i="245"/>
  <c r="G21" i="245"/>
  <c r="H21" i="245"/>
  <c r="I21" i="245"/>
  <c r="J21" i="245"/>
  <c r="K21" i="245"/>
  <c r="L21" i="245"/>
  <c r="M21" i="245"/>
  <c r="N21" i="245"/>
  <c r="O21" i="245"/>
  <c r="P21" i="245"/>
  <c r="E21" i="245"/>
  <c r="F20" i="245"/>
  <c r="G20" i="245"/>
  <c r="H20" i="245"/>
  <c r="I20" i="245"/>
  <c r="J20" i="245"/>
  <c r="K20" i="245"/>
  <c r="L20" i="245"/>
  <c r="M20" i="245"/>
  <c r="N20" i="245"/>
  <c r="O20" i="245"/>
  <c r="P20" i="245"/>
  <c r="E20" i="245"/>
  <c r="F20" i="393"/>
  <c r="G20" i="393"/>
  <c r="H20" i="393"/>
  <c r="I20" i="393"/>
  <c r="J20" i="393"/>
  <c r="K20" i="393"/>
  <c r="L20" i="393"/>
  <c r="M20" i="393"/>
  <c r="N20" i="393"/>
  <c r="O20" i="393"/>
  <c r="P20" i="393"/>
  <c r="E20" i="393"/>
  <c r="F20" i="241"/>
  <c r="G20" i="241"/>
  <c r="H20" i="241"/>
  <c r="I20" i="241"/>
  <c r="J20" i="241"/>
  <c r="K20" i="241"/>
  <c r="L20" i="241"/>
  <c r="M20" i="241"/>
  <c r="N20" i="241"/>
  <c r="O20" i="241"/>
  <c r="P20" i="241"/>
  <c r="E20" i="241"/>
  <c r="D46" i="205"/>
  <c r="D47" i="205"/>
  <c r="E19" i="243" s="1"/>
  <c r="D48" i="205"/>
  <c r="D45" i="205"/>
  <c r="F21" i="244"/>
  <c r="G21" i="244"/>
  <c r="H21" i="244"/>
  <c r="I21" i="244"/>
  <c r="J21" i="244"/>
  <c r="K21" i="244"/>
  <c r="L21" i="244"/>
  <c r="M21" i="244"/>
  <c r="N21" i="244"/>
  <c r="O21" i="244"/>
  <c r="P21" i="244"/>
  <c r="E21" i="244"/>
  <c r="F21" i="385"/>
  <c r="G21" i="385"/>
  <c r="H21" i="385"/>
  <c r="I21" i="385"/>
  <c r="J21" i="385"/>
  <c r="K21" i="385"/>
  <c r="L21" i="385"/>
  <c r="M21" i="385"/>
  <c r="N21" i="385"/>
  <c r="O21" i="385"/>
  <c r="P21" i="385"/>
  <c r="E21" i="385"/>
  <c r="F20" i="385"/>
  <c r="G20" i="385"/>
  <c r="H20" i="385"/>
  <c r="I20" i="385"/>
  <c r="J20" i="385"/>
  <c r="K20" i="385"/>
  <c r="L20" i="385"/>
  <c r="M20" i="385"/>
  <c r="N20" i="385"/>
  <c r="O20" i="385"/>
  <c r="P20" i="385"/>
  <c r="E20" i="385"/>
  <c r="F21" i="243"/>
  <c r="G21" i="243"/>
  <c r="H21" i="243"/>
  <c r="I21" i="243"/>
  <c r="J21" i="243"/>
  <c r="K21" i="243"/>
  <c r="L21" i="243"/>
  <c r="M21" i="243"/>
  <c r="N21" i="243"/>
  <c r="O21" i="243"/>
  <c r="P21" i="243"/>
  <c r="E21" i="243"/>
  <c r="F20" i="243"/>
  <c r="G20" i="243"/>
  <c r="H20" i="243"/>
  <c r="I20" i="243"/>
  <c r="J20" i="243"/>
  <c r="K20" i="243"/>
  <c r="L20" i="243"/>
  <c r="M20" i="243"/>
  <c r="N20" i="243"/>
  <c r="O20" i="243"/>
  <c r="P20" i="243"/>
  <c r="E20" i="243"/>
  <c r="F21" i="240"/>
  <c r="G21" i="240"/>
  <c r="H21" i="240"/>
  <c r="I21" i="240"/>
  <c r="J21" i="240"/>
  <c r="K21" i="240"/>
  <c r="L21" i="240"/>
  <c r="M21" i="240"/>
  <c r="N21" i="240"/>
  <c r="O21" i="240"/>
  <c r="P21" i="240"/>
  <c r="E21" i="240"/>
  <c r="F20" i="240"/>
  <c r="G20" i="240"/>
  <c r="H20" i="240"/>
  <c r="I20" i="240"/>
  <c r="J20" i="240"/>
  <c r="K20" i="240"/>
  <c r="L20" i="240"/>
  <c r="M20" i="240"/>
  <c r="N20" i="240"/>
  <c r="O20" i="240"/>
  <c r="P20" i="240"/>
  <c r="E20" i="240"/>
  <c r="F21" i="239"/>
  <c r="G21" i="239"/>
  <c r="H21" i="239"/>
  <c r="I21" i="239"/>
  <c r="J21" i="239"/>
  <c r="K21" i="239"/>
  <c r="L21" i="239"/>
  <c r="M21" i="239"/>
  <c r="N21" i="239"/>
  <c r="O21" i="239"/>
  <c r="P21" i="239"/>
  <c r="E21" i="239"/>
  <c r="F20" i="239"/>
  <c r="G20" i="239"/>
  <c r="H20" i="239"/>
  <c r="I20" i="239"/>
  <c r="J20" i="239"/>
  <c r="K20" i="239"/>
  <c r="L20" i="239"/>
  <c r="M20" i="239"/>
  <c r="N20" i="239"/>
  <c r="O20" i="239"/>
  <c r="P20" i="239"/>
  <c r="E20" i="239"/>
  <c r="F21" i="238"/>
  <c r="G21" i="238"/>
  <c r="H21" i="238"/>
  <c r="I21" i="238"/>
  <c r="J21" i="238"/>
  <c r="K21" i="238"/>
  <c r="L21" i="238"/>
  <c r="M21" i="238"/>
  <c r="N21" i="238"/>
  <c r="O21" i="238"/>
  <c r="P21" i="238"/>
  <c r="E21" i="238"/>
  <c r="F21" i="376"/>
  <c r="G21" i="376"/>
  <c r="H21" i="376"/>
  <c r="I21" i="376"/>
  <c r="J21" i="376"/>
  <c r="K21" i="376"/>
  <c r="L21" i="376"/>
  <c r="M21" i="376"/>
  <c r="N21" i="376"/>
  <c r="O21" i="376"/>
  <c r="P21" i="376"/>
  <c r="E21" i="376"/>
  <c r="F20" i="376"/>
  <c r="F22" i="376" s="1"/>
  <c r="G20" i="376"/>
  <c r="H20" i="376"/>
  <c r="I20" i="376"/>
  <c r="J20" i="376"/>
  <c r="K20" i="376"/>
  <c r="L20" i="376"/>
  <c r="M20" i="376"/>
  <c r="N20" i="376"/>
  <c r="O20" i="376"/>
  <c r="P20" i="376"/>
  <c r="E20" i="376"/>
  <c r="F20" i="242"/>
  <c r="G20" i="242"/>
  <c r="H20" i="242"/>
  <c r="I20" i="242"/>
  <c r="J20" i="242"/>
  <c r="K20" i="242"/>
  <c r="L20" i="242"/>
  <c r="M20" i="242"/>
  <c r="N20" i="242"/>
  <c r="O20" i="242"/>
  <c r="P20" i="242"/>
  <c r="E20" i="242"/>
  <c r="F21" i="242"/>
  <c r="G21" i="242"/>
  <c r="H21" i="242"/>
  <c r="I21" i="242"/>
  <c r="J21" i="242"/>
  <c r="K21" i="242"/>
  <c r="L21" i="242"/>
  <c r="M21" i="242"/>
  <c r="N21" i="242"/>
  <c r="O21" i="242"/>
  <c r="P21" i="242"/>
  <c r="E21" i="242"/>
  <c r="F21" i="237"/>
  <c r="G21" i="237"/>
  <c r="H21" i="237"/>
  <c r="I21" i="237"/>
  <c r="J21" i="237"/>
  <c r="K21" i="237"/>
  <c r="L21" i="237"/>
  <c r="M21" i="237"/>
  <c r="N21" i="237"/>
  <c r="O21" i="237"/>
  <c r="P21" i="237"/>
  <c r="E21" i="237"/>
  <c r="F20" i="237"/>
  <c r="G20" i="237"/>
  <c r="H20" i="237"/>
  <c r="I20" i="237"/>
  <c r="J20" i="237"/>
  <c r="K20" i="237"/>
  <c r="L20" i="237"/>
  <c r="M20" i="237"/>
  <c r="N20" i="237"/>
  <c r="O20" i="237"/>
  <c r="P20" i="237"/>
  <c r="E20" i="237"/>
  <c r="F21" i="236"/>
  <c r="G21" i="236"/>
  <c r="H21" i="236"/>
  <c r="I21" i="236"/>
  <c r="J21" i="236"/>
  <c r="K21" i="236"/>
  <c r="L21" i="236"/>
  <c r="M21" i="236"/>
  <c r="N21" i="236"/>
  <c r="O21" i="236"/>
  <c r="P21" i="236"/>
  <c r="E21" i="236"/>
  <c r="F20" i="236"/>
  <c r="G20" i="236"/>
  <c r="H20" i="236"/>
  <c r="I20" i="236"/>
  <c r="J20" i="236"/>
  <c r="K20" i="236"/>
  <c r="L20" i="236"/>
  <c r="M20" i="236"/>
  <c r="N20" i="236"/>
  <c r="O20" i="236"/>
  <c r="P20" i="236"/>
  <c r="E20" i="236"/>
  <c r="F21" i="235"/>
  <c r="G21" i="235"/>
  <c r="H21" i="235"/>
  <c r="I21" i="235"/>
  <c r="J21" i="235"/>
  <c r="K21" i="235"/>
  <c r="L21" i="235"/>
  <c r="M21" i="235"/>
  <c r="N21" i="235"/>
  <c r="O21" i="235"/>
  <c r="P21" i="235"/>
  <c r="E21" i="235"/>
  <c r="F20" i="235"/>
  <c r="G20" i="235"/>
  <c r="H20" i="235"/>
  <c r="I20" i="235"/>
  <c r="J20" i="235"/>
  <c r="K20" i="235"/>
  <c r="L20" i="235"/>
  <c r="M20" i="235"/>
  <c r="N20" i="235"/>
  <c r="O20" i="235"/>
  <c r="P20" i="235"/>
  <c r="E20" i="235"/>
  <c r="F21" i="234"/>
  <c r="G21" i="234"/>
  <c r="H21" i="234"/>
  <c r="I21" i="234"/>
  <c r="J21" i="234"/>
  <c r="K21" i="234"/>
  <c r="L21" i="234"/>
  <c r="M21" i="234"/>
  <c r="N21" i="234"/>
  <c r="O21" i="234"/>
  <c r="P21" i="234"/>
  <c r="E21" i="234"/>
  <c r="F20" i="234"/>
  <c r="G20" i="234"/>
  <c r="H20" i="234"/>
  <c r="I20" i="234"/>
  <c r="J20" i="234"/>
  <c r="K20" i="234"/>
  <c r="L20" i="234"/>
  <c r="M20" i="234"/>
  <c r="N20" i="234"/>
  <c r="O20" i="234"/>
  <c r="P20" i="234"/>
  <c r="E20" i="234"/>
  <c r="F21" i="233"/>
  <c r="G21" i="233"/>
  <c r="H21" i="233"/>
  <c r="I21" i="233"/>
  <c r="J21" i="233"/>
  <c r="K21" i="233"/>
  <c r="L21" i="233"/>
  <c r="M21" i="233"/>
  <c r="N21" i="233"/>
  <c r="O21" i="233"/>
  <c r="P21" i="233"/>
  <c r="E21" i="233"/>
  <c r="F20" i="233"/>
  <c r="G20" i="233"/>
  <c r="H20" i="233"/>
  <c r="I20" i="233"/>
  <c r="J20" i="233"/>
  <c r="K20" i="233"/>
  <c r="L20" i="233"/>
  <c r="M20" i="233"/>
  <c r="N20" i="233"/>
  <c r="O20" i="233"/>
  <c r="P20" i="233"/>
  <c r="E20" i="233"/>
  <c r="F21" i="228"/>
  <c r="G21" i="228"/>
  <c r="H21" i="228"/>
  <c r="I21" i="228"/>
  <c r="J21" i="228"/>
  <c r="K21" i="228"/>
  <c r="L21" i="228"/>
  <c r="M21" i="228"/>
  <c r="N21" i="228"/>
  <c r="O21" i="228"/>
  <c r="P21" i="228"/>
  <c r="E21" i="228"/>
  <c r="F20" i="228"/>
  <c r="G20" i="228"/>
  <c r="H20" i="228"/>
  <c r="I20" i="228"/>
  <c r="J20" i="228"/>
  <c r="K20" i="228"/>
  <c r="L20" i="228"/>
  <c r="M20" i="228"/>
  <c r="N20" i="228"/>
  <c r="O20" i="228"/>
  <c r="P20" i="228"/>
  <c r="E20" i="228"/>
  <c r="F21" i="232"/>
  <c r="G21" i="232"/>
  <c r="H21" i="232"/>
  <c r="I21" i="232"/>
  <c r="J21" i="232"/>
  <c r="K21" i="232"/>
  <c r="L21" i="232"/>
  <c r="M21" i="232"/>
  <c r="N21" i="232"/>
  <c r="O21" i="232"/>
  <c r="P21" i="232"/>
  <c r="E21" i="232"/>
  <c r="F21" i="375"/>
  <c r="G21" i="375"/>
  <c r="H21" i="375"/>
  <c r="I21" i="375"/>
  <c r="J21" i="375"/>
  <c r="K21" i="375"/>
  <c r="L21" i="375"/>
  <c r="M21" i="375"/>
  <c r="N21" i="375"/>
  <c r="O21" i="375"/>
  <c r="P21" i="375"/>
  <c r="E21" i="375"/>
  <c r="F20" i="375"/>
  <c r="G20" i="375"/>
  <c r="H20" i="375"/>
  <c r="I20" i="375"/>
  <c r="J20" i="375"/>
  <c r="K20" i="375"/>
  <c r="L20" i="375"/>
  <c r="M20" i="375"/>
  <c r="N20" i="375"/>
  <c r="O20" i="375"/>
  <c r="P20" i="375"/>
  <c r="E20" i="375"/>
  <c r="F21" i="224"/>
  <c r="G21" i="224"/>
  <c r="H21" i="224"/>
  <c r="I21" i="224"/>
  <c r="J21" i="224"/>
  <c r="K21" i="224"/>
  <c r="L21" i="224"/>
  <c r="M21" i="224"/>
  <c r="N21" i="224"/>
  <c r="O21" i="224"/>
  <c r="P21" i="224"/>
  <c r="E21" i="224"/>
  <c r="F20" i="224"/>
  <c r="G20" i="224"/>
  <c r="H20" i="224"/>
  <c r="I20" i="224"/>
  <c r="J20" i="224"/>
  <c r="K20" i="224"/>
  <c r="L20" i="224"/>
  <c r="M20" i="224"/>
  <c r="N20" i="224"/>
  <c r="O20" i="224"/>
  <c r="P20" i="224"/>
  <c r="E20" i="224"/>
  <c r="F21" i="231"/>
  <c r="G21" i="231"/>
  <c r="H21" i="231"/>
  <c r="I21" i="231"/>
  <c r="J21" i="231"/>
  <c r="K21" i="231"/>
  <c r="L21" i="231"/>
  <c r="M21" i="231"/>
  <c r="N21" i="231"/>
  <c r="O21" i="231"/>
  <c r="P21" i="231"/>
  <c r="E21" i="231"/>
  <c r="E20" i="231"/>
  <c r="F21" i="227"/>
  <c r="G21" i="227"/>
  <c r="H21" i="227"/>
  <c r="I21" i="227"/>
  <c r="J21" i="227"/>
  <c r="K21" i="227"/>
  <c r="L21" i="227"/>
  <c r="M21" i="227"/>
  <c r="N21" i="227"/>
  <c r="O21" i="227"/>
  <c r="P21" i="227"/>
  <c r="E21" i="227"/>
  <c r="E20" i="227"/>
  <c r="F21" i="226"/>
  <c r="G21" i="226"/>
  <c r="H21" i="226"/>
  <c r="I21" i="226"/>
  <c r="J21" i="226"/>
  <c r="K21" i="226"/>
  <c r="L21" i="226"/>
  <c r="M21" i="226"/>
  <c r="N21" i="226"/>
  <c r="O21" i="226"/>
  <c r="P21" i="226"/>
  <c r="E21" i="226"/>
  <c r="E20" i="226"/>
  <c r="F21" i="225"/>
  <c r="G21" i="225"/>
  <c r="H21" i="225"/>
  <c r="I21" i="225"/>
  <c r="J21" i="225"/>
  <c r="K21" i="225"/>
  <c r="L21" i="225"/>
  <c r="M21" i="225"/>
  <c r="N21" i="225"/>
  <c r="O21" i="225"/>
  <c r="P21" i="225"/>
  <c r="E21" i="225"/>
  <c r="F21" i="230"/>
  <c r="G21" i="230"/>
  <c r="H21" i="230"/>
  <c r="I21" i="230"/>
  <c r="J21" i="230"/>
  <c r="K21" i="230"/>
  <c r="L21" i="230"/>
  <c r="M21" i="230"/>
  <c r="N21" i="230"/>
  <c r="O21" i="230"/>
  <c r="P21" i="230"/>
  <c r="E21" i="230"/>
  <c r="F20" i="230"/>
  <c r="G20" i="230"/>
  <c r="H20" i="230"/>
  <c r="I20" i="230"/>
  <c r="J20" i="230"/>
  <c r="K20" i="230"/>
  <c r="L20" i="230"/>
  <c r="M20" i="230"/>
  <c r="N20" i="230"/>
  <c r="O20" i="230"/>
  <c r="P20" i="230"/>
  <c r="E20" i="230"/>
  <c r="F21" i="223"/>
  <c r="G21" i="223"/>
  <c r="H21" i="223"/>
  <c r="I21" i="223"/>
  <c r="J21" i="223"/>
  <c r="K21" i="223"/>
  <c r="L21" i="223"/>
  <c r="M21" i="223"/>
  <c r="N21" i="223"/>
  <c r="O21" i="223"/>
  <c r="P21" i="223"/>
  <c r="E21" i="223"/>
  <c r="F20" i="223"/>
  <c r="G20" i="223"/>
  <c r="H20" i="223"/>
  <c r="I20" i="223"/>
  <c r="J20" i="223"/>
  <c r="K20" i="223"/>
  <c r="L20" i="223"/>
  <c r="M20" i="223"/>
  <c r="N20" i="223"/>
  <c r="O20" i="223"/>
  <c r="P20" i="223"/>
  <c r="E20" i="223"/>
  <c r="F21" i="222"/>
  <c r="G21" i="222"/>
  <c r="H21" i="222"/>
  <c r="I21" i="222"/>
  <c r="J21" i="222"/>
  <c r="K21" i="222"/>
  <c r="L21" i="222"/>
  <c r="M21" i="222"/>
  <c r="N21" i="222"/>
  <c r="O21" i="222"/>
  <c r="P21" i="222"/>
  <c r="E21" i="222"/>
  <c r="F20" i="222"/>
  <c r="G20" i="222"/>
  <c r="H20" i="222"/>
  <c r="I20" i="222"/>
  <c r="J20" i="222"/>
  <c r="K20" i="222"/>
  <c r="L20" i="222"/>
  <c r="M20" i="222"/>
  <c r="N20" i="222"/>
  <c r="O20" i="222"/>
  <c r="P20" i="222"/>
  <c r="E20" i="222"/>
  <c r="F21" i="221"/>
  <c r="G21" i="221"/>
  <c r="H21" i="221"/>
  <c r="I21" i="221"/>
  <c r="J21" i="221"/>
  <c r="K21" i="221"/>
  <c r="L21" i="221"/>
  <c r="M21" i="221"/>
  <c r="N21" i="221"/>
  <c r="O21" i="221"/>
  <c r="P21" i="221"/>
  <c r="E21" i="221"/>
  <c r="F20" i="221"/>
  <c r="G20" i="221"/>
  <c r="H20" i="221"/>
  <c r="I20" i="221"/>
  <c r="J20" i="221"/>
  <c r="K20" i="221"/>
  <c r="L20" i="221"/>
  <c r="M20" i="221"/>
  <c r="N20" i="221"/>
  <c r="O20" i="221"/>
  <c r="P20" i="221"/>
  <c r="E20" i="221"/>
  <c r="F20" i="220"/>
  <c r="G20" i="220"/>
  <c r="H20" i="220"/>
  <c r="I20" i="220"/>
  <c r="J20" i="220"/>
  <c r="K20" i="220"/>
  <c r="L20" i="220"/>
  <c r="M20" i="220"/>
  <c r="N20" i="220"/>
  <c r="O20" i="220"/>
  <c r="P20" i="220"/>
  <c r="E20" i="220"/>
  <c r="F21" i="220"/>
  <c r="G21" i="220"/>
  <c r="H21" i="220"/>
  <c r="I21" i="220"/>
  <c r="J21" i="220"/>
  <c r="K21" i="220"/>
  <c r="L21" i="220"/>
  <c r="M21" i="220"/>
  <c r="N21" i="220"/>
  <c r="O21" i="220"/>
  <c r="P21" i="220"/>
  <c r="E21" i="220"/>
  <c r="D66" i="205"/>
  <c r="E66" i="205" s="1"/>
  <c r="F66" i="205" s="1"/>
  <c r="G66" i="205" s="1"/>
  <c r="H66" i="205" s="1"/>
  <c r="I66" i="205" s="1"/>
  <c r="J66" i="205" s="1"/>
  <c r="K66" i="205" s="1"/>
  <c r="L66" i="205" s="1"/>
  <c r="M66" i="205" s="1"/>
  <c r="N66" i="205" s="1"/>
  <c r="O66" i="205" s="1"/>
  <c r="D63" i="205"/>
  <c r="E19" i="252" s="1"/>
  <c r="D64" i="205"/>
  <c r="E19" i="255" s="1"/>
  <c r="D62" i="205"/>
  <c r="E19" i="251" s="1"/>
  <c r="D55" i="205"/>
  <c r="E55" i="205" s="1"/>
  <c r="F55" i="205" s="1"/>
  <c r="G55" i="205" s="1"/>
  <c r="H55" i="205" s="1"/>
  <c r="I55" i="205" s="1"/>
  <c r="J55" i="205" s="1"/>
  <c r="K55" i="205" s="1"/>
  <c r="L55" i="205" s="1"/>
  <c r="M55" i="205" s="1"/>
  <c r="N55" i="205" s="1"/>
  <c r="O55" i="205" s="1"/>
  <c r="D56" i="205"/>
  <c r="E56" i="205" s="1"/>
  <c r="F56" i="205" s="1"/>
  <c r="G56" i="205" s="1"/>
  <c r="H56" i="205" s="1"/>
  <c r="I56" i="205" s="1"/>
  <c r="J56" i="205" s="1"/>
  <c r="K56" i="205" s="1"/>
  <c r="L56" i="205" s="1"/>
  <c r="M56" i="205" s="1"/>
  <c r="N56" i="205" s="1"/>
  <c r="O56" i="205" s="1"/>
  <c r="D57" i="205"/>
  <c r="E57" i="205" s="1"/>
  <c r="F57" i="205" s="1"/>
  <c r="G57" i="205" s="1"/>
  <c r="H57" i="205" s="1"/>
  <c r="I57" i="205" s="1"/>
  <c r="J57" i="205" s="1"/>
  <c r="K57" i="205" s="1"/>
  <c r="L57" i="205" s="1"/>
  <c r="M57" i="205" s="1"/>
  <c r="N57" i="205" s="1"/>
  <c r="O57" i="205" s="1"/>
  <c r="D58" i="205"/>
  <c r="E19" i="249" s="1"/>
  <c r="D59" i="205"/>
  <c r="E59" i="205" s="1"/>
  <c r="F59" i="205" s="1"/>
  <c r="G59" i="205" s="1"/>
  <c r="H59" i="205" s="1"/>
  <c r="I59" i="205" s="1"/>
  <c r="J59" i="205" s="1"/>
  <c r="K59" i="205" s="1"/>
  <c r="L59" i="205" s="1"/>
  <c r="M59" i="205" s="1"/>
  <c r="N59" i="205" s="1"/>
  <c r="O59" i="205" s="1"/>
  <c r="D60" i="205"/>
  <c r="E60" i="205" s="1"/>
  <c r="F60" i="205" s="1"/>
  <c r="G60" i="205" s="1"/>
  <c r="H60" i="205" s="1"/>
  <c r="I60" i="205" s="1"/>
  <c r="J60" i="205" s="1"/>
  <c r="K60" i="205" s="1"/>
  <c r="L60" i="205" s="1"/>
  <c r="M60" i="205" s="1"/>
  <c r="N60" i="205" s="1"/>
  <c r="O60" i="205" s="1"/>
  <c r="D54" i="205"/>
  <c r="E54" i="205" s="1"/>
  <c r="F54" i="205" s="1"/>
  <c r="G54" i="205" s="1"/>
  <c r="H54" i="205" s="1"/>
  <c r="I54" i="205" s="1"/>
  <c r="J54" i="205" s="1"/>
  <c r="K54" i="205" s="1"/>
  <c r="L54" i="205" s="1"/>
  <c r="M54" i="205" s="1"/>
  <c r="N54" i="205" s="1"/>
  <c r="O54" i="205" s="1"/>
  <c r="F21" i="216"/>
  <c r="G21" i="216"/>
  <c r="H21" i="216"/>
  <c r="I21" i="216"/>
  <c r="J21" i="216"/>
  <c r="K21" i="216"/>
  <c r="L21" i="216"/>
  <c r="M21" i="216"/>
  <c r="N21" i="216"/>
  <c r="O21" i="216"/>
  <c r="P21" i="216"/>
  <c r="E21" i="216"/>
  <c r="F20" i="216"/>
  <c r="G20" i="216"/>
  <c r="H20" i="216"/>
  <c r="I20" i="216"/>
  <c r="J20" i="216"/>
  <c r="K20" i="216"/>
  <c r="L20" i="216"/>
  <c r="M20" i="216"/>
  <c r="N20" i="216"/>
  <c r="O20" i="216"/>
  <c r="P20" i="216"/>
  <c r="E20" i="216"/>
  <c r="F21" i="219"/>
  <c r="G21" i="219"/>
  <c r="H21" i="219"/>
  <c r="I21" i="219"/>
  <c r="J21" i="219"/>
  <c r="K21" i="219"/>
  <c r="L21" i="219"/>
  <c r="M21" i="219"/>
  <c r="N21" i="219"/>
  <c r="O21" i="219"/>
  <c r="P21" i="219"/>
  <c r="E21" i="219"/>
  <c r="F21" i="384"/>
  <c r="G21" i="384"/>
  <c r="H21" i="384"/>
  <c r="I21" i="384"/>
  <c r="J21" i="384"/>
  <c r="K21" i="384"/>
  <c r="L21" i="384"/>
  <c r="M21" i="384"/>
  <c r="N21" i="384"/>
  <c r="O21" i="384"/>
  <c r="P21" i="384"/>
  <c r="E21" i="384"/>
  <c r="F20" i="384"/>
  <c r="G20" i="384"/>
  <c r="H20" i="384"/>
  <c r="I20" i="384"/>
  <c r="J20" i="384"/>
  <c r="K20" i="384"/>
  <c r="L20" i="384"/>
  <c r="M20" i="384"/>
  <c r="N20" i="384"/>
  <c r="O20" i="384"/>
  <c r="P20" i="384"/>
  <c r="E20" i="384"/>
  <c r="F21" i="218"/>
  <c r="G21" i="218"/>
  <c r="H21" i="218"/>
  <c r="I21" i="218"/>
  <c r="J21" i="218"/>
  <c r="K21" i="218"/>
  <c r="L21" i="218"/>
  <c r="M21" i="218"/>
  <c r="N21" i="218"/>
  <c r="O21" i="218"/>
  <c r="P21" i="218"/>
  <c r="E21" i="218"/>
  <c r="F20" i="218"/>
  <c r="G20" i="218"/>
  <c r="H20" i="218"/>
  <c r="I20" i="218"/>
  <c r="J20" i="218"/>
  <c r="K20" i="218"/>
  <c r="L20" i="218"/>
  <c r="M20" i="218"/>
  <c r="N20" i="218"/>
  <c r="O20" i="218"/>
  <c r="P20" i="218"/>
  <c r="E20" i="218"/>
  <c r="F21" i="215"/>
  <c r="G21" i="215"/>
  <c r="H21" i="215"/>
  <c r="I21" i="215"/>
  <c r="J21" i="215"/>
  <c r="K21" i="215"/>
  <c r="L21" i="215"/>
  <c r="M21" i="215"/>
  <c r="N21" i="215"/>
  <c r="O21" i="215"/>
  <c r="P21" i="215"/>
  <c r="E21" i="215"/>
  <c r="F20" i="215"/>
  <c r="G20" i="215"/>
  <c r="H20" i="215"/>
  <c r="I20" i="215"/>
  <c r="J20" i="215"/>
  <c r="K20" i="215"/>
  <c r="L20" i="215"/>
  <c r="M20" i="215"/>
  <c r="N20" i="215"/>
  <c r="O20" i="215"/>
  <c r="P20" i="215"/>
  <c r="E20" i="215"/>
  <c r="F21" i="214"/>
  <c r="G21" i="214"/>
  <c r="H21" i="214"/>
  <c r="I21" i="214"/>
  <c r="J21" i="214"/>
  <c r="K21" i="214"/>
  <c r="L21" i="214"/>
  <c r="M21" i="214"/>
  <c r="N21" i="214"/>
  <c r="O21" i="214"/>
  <c r="P21" i="214"/>
  <c r="E21" i="214"/>
  <c r="F20" i="214"/>
  <c r="G20" i="214"/>
  <c r="H20" i="214"/>
  <c r="I20" i="214"/>
  <c r="J20" i="214"/>
  <c r="K20" i="214"/>
  <c r="L20" i="214"/>
  <c r="M20" i="214"/>
  <c r="N20" i="214"/>
  <c r="O20" i="214"/>
  <c r="P20" i="214"/>
  <c r="E20" i="214"/>
  <c r="F21" i="213"/>
  <c r="G21" i="213"/>
  <c r="H21" i="213"/>
  <c r="I21" i="213"/>
  <c r="J21" i="213"/>
  <c r="K21" i="213"/>
  <c r="L21" i="213"/>
  <c r="M21" i="213"/>
  <c r="N21" i="213"/>
  <c r="O21" i="213"/>
  <c r="P21" i="213"/>
  <c r="E21" i="213"/>
  <c r="F21" i="374"/>
  <c r="G21" i="374"/>
  <c r="H21" i="374"/>
  <c r="I21" i="374"/>
  <c r="J21" i="374"/>
  <c r="K21" i="374"/>
  <c r="L21" i="374"/>
  <c r="M21" i="374"/>
  <c r="N21" i="374"/>
  <c r="O21" i="374"/>
  <c r="P21" i="374"/>
  <c r="E21" i="374"/>
  <c r="F20" i="374"/>
  <c r="G20" i="374"/>
  <c r="H20" i="374"/>
  <c r="I20" i="374"/>
  <c r="J20" i="374"/>
  <c r="K20" i="374"/>
  <c r="L20" i="374"/>
  <c r="M20" i="374"/>
  <c r="N20" i="374"/>
  <c r="O20" i="374"/>
  <c r="P20" i="374"/>
  <c r="E20" i="374"/>
  <c r="F21" i="217"/>
  <c r="G21" i="217"/>
  <c r="H21" i="217"/>
  <c r="I21" i="217"/>
  <c r="J21" i="217"/>
  <c r="K21" i="217"/>
  <c r="L21" i="217"/>
  <c r="M21" i="217"/>
  <c r="N21" i="217"/>
  <c r="O21" i="217"/>
  <c r="P21" i="217"/>
  <c r="E21" i="217"/>
  <c r="F20" i="217"/>
  <c r="G20" i="217"/>
  <c r="H20" i="217"/>
  <c r="I20" i="217"/>
  <c r="J20" i="217"/>
  <c r="K20" i="217"/>
  <c r="L20" i="217"/>
  <c r="M20" i="217"/>
  <c r="N20" i="217"/>
  <c r="O20" i="217"/>
  <c r="P20" i="217"/>
  <c r="E20" i="217"/>
  <c r="F21" i="212"/>
  <c r="G21" i="212"/>
  <c r="H21" i="212"/>
  <c r="I21" i="212"/>
  <c r="J21" i="212"/>
  <c r="K21" i="212"/>
  <c r="L21" i="212"/>
  <c r="M21" i="212"/>
  <c r="N21" i="212"/>
  <c r="O21" i="212"/>
  <c r="P21" i="212"/>
  <c r="E21" i="212"/>
  <c r="F20" i="212"/>
  <c r="G20" i="212"/>
  <c r="H20" i="212"/>
  <c r="I20" i="212"/>
  <c r="J20" i="212"/>
  <c r="K20" i="212"/>
  <c r="L20" i="212"/>
  <c r="M20" i="212"/>
  <c r="N20" i="212"/>
  <c r="O20" i="212"/>
  <c r="P20" i="212"/>
  <c r="E20" i="212"/>
  <c r="F21" i="211"/>
  <c r="G21" i="211"/>
  <c r="H21" i="211"/>
  <c r="I21" i="211"/>
  <c r="J21" i="211"/>
  <c r="K21" i="211"/>
  <c r="L21" i="211"/>
  <c r="M21" i="211"/>
  <c r="N21" i="211"/>
  <c r="O21" i="211"/>
  <c r="P21" i="211"/>
  <c r="E21" i="211"/>
  <c r="F20" i="211"/>
  <c r="G20" i="211"/>
  <c r="H20" i="211"/>
  <c r="I20" i="211"/>
  <c r="J20" i="211"/>
  <c r="K20" i="211"/>
  <c r="L20" i="211"/>
  <c r="M20" i="211"/>
  <c r="N20" i="211"/>
  <c r="O20" i="211"/>
  <c r="P20" i="211"/>
  <c r="E20" i="211"/>
  <c r="F21" i="210"/>
  <c r="G21" i="210"/>
  <c r="H21" i="210"/>
  <c r="I21" i="210"/>
  <c r="J21" i="210"/>
  <c r="K21" i="210"/>
  <c r="L21" i="210"/>
  <c r="M21" i="210"/>
  <c r="N21" i="210"/>
  <c r="O21" i="210"/>
  <c r="P21" i="210"/>
  <c r="E21" i="210"/>
  <c r="F20" i="210"/>
  <c r="G20" i="210"/>
  <c r="H20" i="210"/>
  <c r="I20" i="210"/>
  <c r="J20" i="210"/>
  <c r="K20" i="210"/>
  <c r="L20" i="210"/>
  <c r="M20" i="210"/>
  <c r="N20" i="210"/>
  <c r="O20" i="210"/>
  <c r="P20" i="210"/>
  <c r="E20" i="210"/>
  <c r="F21" i="209"/>
  <c r="G21" i="209"/>
  <c r="H21" i="209"/>
  <c r="I21" i="209"/>
  <c r="J21" i="209"/>
  <c r="K21" i="209"/>
  <c r="L21" i="209"/>
  <c r="M21" i="209"/>
  <c r="N21" i="209"/>
  <c r="O21" i="209"/>
  <c r="P21" i="209"/>
  <c r="E21" i="209"/>
  <c r="F20" i="209"/>
  <c r="G20" i="209"/>
  <c r="H20" i="209"/>
  <c r="I20" i="209"/>
  <c r="J20" i="209"/>
  <c r="K20" i="209"/>
  <c r="L20" i="209"/>
  <c r="M20" i="209"/>
  <c r="N20" i="209"/>
  <c r="O20" i="209"/>
  <c r="P20" i="209"/>
  <c r="E20" i="209"/>
  <c r="F21" i="123"/>
  <c r="G21" i="123"/>
  <c r="H21" i="123"/>
  <c r="I21" i="123"/>
  <c r="J21" i="123"/>
  <c r="K21" i="123"/>
  <c r="L21" i="123"/>
  <c r="M21" i="123"/>
  <c r="N21" i="123"/>
  <c r="O21" i="123"/>
  <c r="P21" i="123"/>
  <c r="Q21" i="123"/>
  <c r="E21" i="123"/>
  <c r="F20" i="123"/>
  <c r="G20" i="123"/>
  <c r="H20" i="123"/>
  <c r="I20" i="123"/>
  <c r="J20" i="123"/>
  <c r="K20" i="123"/>
  <c r="L20" i="123"/>
  <c r="M20" i="123"/>
  <c r="N20" i="123"/>
  <c r="O20" i="123"/>
  <c r="P20" i="123"/>
  <c r="E20" i="123"/>
  <c r="E50" i="205"/>
  <c r="F50" i="205" s="1"/>
  <c r="G50" i="205" s="1"/>
  <c r="H50" i="205" s="1"/>
  <c r="I50" i="205" s="1"/>
  <c r="J50" i="205" s="1"/>
  <c r="K50" i="205" s="1"/>
  <c r="L50" i="205" s="1"/>
  <c r="M50" i="205" s="1"/>
  <c r="N50" i="205" s="1"/>
  <c r="O50" i="205" s="1"/>
  <c r="D51" i="205"/>
  <c r="E51" i="205" s="1"/>
  <c r="F51" i="205" s="1"/>
  <c r="G51" i="205" s="1"/>
  <c r="H51" i="205" s="1"/>
  <c r="I51" i="205" s="1"/>
  <c r="J51" i="205" s="1"/>
  <c r="K51" i="205" s="1"/>
  <c r="L51" i="205" s="1"/>
  <c r="M51" i="205" s="1"/>
  <c r="N51" i="205" s="1"/>
  <c r="O51" i="205" s="1"/>
  <c r="D50" i="205"/>
  <c r="H54" i="34" l="1"/>
  <c r="E63" i="205"/>
  <c r="F19" i="252" s="1"/>
  <c r="D65" i="205"/>
  <c r="E58" i="205"/>
  <c r="E62" i="205"/>
  <c r="E64" i="205"/>
  <c r="C1" i="394"/>
  <c r="D30" i="394"/>
  <c r="D29" i="394"/>
  <c r="O28" i="394"/>
  <c r="K28" i="394"/>
  <c r="G28" i="394"/>
  <c r="D28" i="394"/>
  <c r="O25" i="394"/>
  <c r="N25" i="394"/>
  <c r="K25" i="394"/>
  <c r="G25" i="394"/>
  <c r="F25" i="394"/>
  <c r="P21" i="394"/>
  <c r="P28" i="394" s="1"/>
  <c r="O21" i="394"/>
  <c r="N21" i="394"/>
  <c r="N28" i="394" s="1"/>
  <c r="M21" i="394"/>
  <c r="M28" i="394" s="1"/>
  <c r="L21" i="394"/>
  <c r="L28" i="394" s="1"/>
  <c r="K21" i="394"/>
  <c r="J21" i="394"/>
  <c r="J28" i="394" s="1"/>
  <c r="I21" i="394"/>
  <c r="I28" i="394" s="1"/>
  <c r="H21" i="394"/>
  <c r="H28" i="394" s="1"/>
  <c r="G21" i="394"/>
  <c r="F21" i="394"/>
  <c r="F28" i="394" s="1"/>
  <c r="E21" i="394"/>
  <c r="D20" i="394"/>
  <c r="D27" i="394" s="1"/>
  <c r="D19" i="394"/>
  <c r="D26" i="394" s="1"/>
  <c r="P18" i="394"/>
  <c r="I1" i="394" s="1"/>
  <c r="O18" i="394"/>
  <c r="N18" i="394"/>
  <c r="M18" i="394"/>
  <c r="M25" i="394" s="1"/>
  <c r="L18" i="394"/>
  <c r="L25" i="394" s="1"/>
  <c r="K18" i="394"/>
  <c r="J18" i="394"/>
  <c r="J25" i="394" s="1"/>
  <c r="I18" i="394"/>
  <c r="I25" i="394" s="1"/>
  <c r="H18" i="394"/>
  <c r="H25" i="394" s="1"/>
  <c r="G18" i="394"/>
  <c r="F18" i="394"/>
  <c r="E18" i="394"/>
  <c r="E25" i="394" s="1"/>
  <c r="B1" i="394"/>
  <c r="F19" i="393"/>
  <c r="F23" i="393" s="1"/>
  <c r="G19" i="393"/>
  <c r="G26" i="393" s="1"/>
  <c r="H19" i="393"/>
  <c r="H26" i="393" s="1"/>
  <c r="I19" i="393"/>
  <c r="I26" i="393" s="1"/>
  <c r="J19" i="393"/>
  <c r="J23" i="393" s="1"/>
  <c r="K19" i="393"/>
  <c r="K26" i="393" s="1"/>
  <c r="L19" i="393"/>
  <c r="L23" i="393" s="1"/>
  <c r="M19" i="393"/>
  <c r="N19" i="393"/>
  <c r="N23" i="393" s="1"/>
  <c r="O19" i="393"/>
  <c r="P19" i="393"/>
  <c r="G54" i="34" s="1"/>
  <c r="E19" i="393"/>
  <c r="E23" i="393" s="1"/>
  <c r="C1" i="393"/>
  <c r="D30" i="393"/>
  <c r="D29" i="393"/>
  <c r="O28" i="393"/>
  <c r="K28" i="393"/>
  <c r="G28" i="393"/>
  <c r="D28" i="393"/>
  <c r="P27" i="393"/>
  <c r="L27" i="393"/>
  <c r="H27" i="393"/>
  <c r="D27" i="393"/>
  <c r="M26" i="393"/>
  <c r="F25" i="393"/>
  <c r="P28" i="393"/>
  <c r="N28" i="393"/>
  <c r="M28" i="393"/>
  <c r="L28" i="393"/>
  <c r="J28" i="393"/>
  <c r="I28" i="393"/>
  <c r="H28" i="393"/>
  <c r="F28" i="393"/>
  <c r="E28" i="393"/>
  <c r="O27" i="393"/>
  <c r="N27" i="393"/>
  <c r="K27" i="393"/>
  <c r="J27" i="393"/>
  <c r="H23" i="393"/>
  <c r="G27" i="393"/>
  <c r="F27" i="393"/>
  <c r="D20" i="393"/>
  <c r="P26" i="393"/>
  <c r="O22" i="393"/>
  <c r="N22" i="393"/>
  <c r="J22" i="393"/>
  <c r="F22" i="393"/>
  <c r="D19" i="393"/>
  <c r="D26" i="393" s="1"/>
  <c r="P18" i="393"/>
  <c r="P25" i="393" s="1"/>
  <c r="O18" i="393"/>
  <c r="O25" i="393" s="1"/>
  <c r="N18" i="393"/>
  <c r="N25" i="393" s="1"/>
  <c r="M18" i="393"/>
  <c r="M25" i="393" s="1"/>
  <c r="L18" i="393"/>
  <c r="L25" i="393" s="1"/>
  <c r="K18" i="393"/>
  <c r="K25" i="393" s="1"/>
  <c r="J18" i="393"/>
  <c r="J25" i="393" s="1"/>
  <c r="I18" i="393"/>
  <c r="I25" i="393" s="1"/>
  <c r="H18" i="393"/>
  <c r="H25" i="393" s="1"/>
  <c r="G18" i="393"/>
  <c r="G25" i="393" s="1"/>
  <c r="F18" i="393"/>
  <c r="E18" i="393"/>
  <c r="E25" i="393" s="1"/>
  <c r="B1" i="393"/>
  <c r="E52" i="205"/>
  <c r="F19" i="394" s="1"/>
  <c r="F52" i="205"/>
  <c r="G19" i="394" s="1"/>
  <c r="G52" i="205"/>
  <c r="H19" i="394" s="1"/>
  <c r="H52" i="205"/>
  <c r="I19" i="394" s="1"/>
  <c r="I26" i="394" s="1"/>
  <c r="I52" i="205"/>
  <c r="J19" i="394" s="1"/>
  <c r="J26" i="394" s="1"/>
  <c r="J52" i="205"/>
  <c r="K19" i="394" s="1"/>
  <c r="K52" i="205"/>
  <c r="L19" i="394" s="1"/>
  <c r="L52" i="205"/>
  <c r="M19" i="394" s="1"/>
  <c r="M26" i="394" s="1"/>
  <c r="M52" i="205"/>
  <c r="N19" i="394" s="1"/>
  <c r="N26" i="394" s="1"/>
  <c r="N52" i="205"/>
  <c r="O19" i="394" s="1"/>
  <c r="O52" i="205"/>
  <c r="P19" i="394" s="1"/>
  <c r="D52" i="205"/>
  <c r="E19" i="394" s="1"/>
  <c r="E26" i="394" s="1"/>
  <c r="F54" i="390"/>
  <c r="G54" i="390"/>
  <c r="H54" i="390"/>
  <c r="I54" i="390"/>
  <c r="J54" i="390"/>
  <c r="K54" i="390"/>
  <c r="L54" i="390"/>
  <c r="M54" i="390"/>
  <c r="N54" i="390"/>
  <c r="O54" i="390"/>
  <c r="P54" i="390"/>
  <c r="E54" i="390"/>
  <c r="B53" i="390"/>
  <c r="C53" i="390"/>
  <c r="D53" i="390"/>
  <c r="B54" i="390"/>
  <c r="C54" i="390"/>
  <c r="D54" i="390"/>
  <c r="A53" i="390"/>
  <c r="A54" i="390"/>
  <c r="B52" i="205"/>
  <c r="C52" i="205"/>
  <c r="A52" i="205"/>
  <c r="B51" i="205"/>
  <c r="C51" i="205"/>
  <c r="A51" i="205"/>
  <c r="E47" i="205"/>
  <c r="E46" i="205"/>
  <c r="F46" i="205" s="1"/>
  <c r="G46" i="205" s="1"/>
  <c r="H46" i="205" s="1"/>
  <c r="I46" i="205" s="1"/>
  <c r="J46" i="205" s="1"/>
  <c r="K46" i="205" s="1"/>
  <c r="L46" i="205" s="1"/>
  <c r="M46" i="205" s="1"/>
  <c r="N46" i="205" s="1"/>
  <c r="O46" i="205" s="1"/>
  <c r="E48" i="205"/>
  <c r="F48" i="205" s="1"/>
  <c r="G48" i="205" s="1"/>
  <c r="H48" i="205" s="1"/>
  <c r="I48" i="205" s="1"/>
  <c r="J48" i="205" s="1"/>
  <c r="K48" i="205" s="1"/>
  <c r="L48" i="205" s="1"/>
  <c r="M48" i="205" s="1"/>
  <c r="N48" i="205" s="1"/>
  <c r="O48" i="205" s="1"/>
  <c r="E45" i="205"/>
  <c r="F45" i="205" s="1"/>
  <c r="G45" i="205" s="1"/>
  <c r="H45" i="205" s="1"/>
  <c r="I45" i="205" s="1"/>
  <c r="J45" i="205" s="1"/>
  <c r="K45" i="205" s="1"/>
  <c r="L45" i="205" s="1"/>
  <c r="M45" i="205" s="1"/>
  <c r="N45" i="205" s="1"/>
  <c r="O45" i="205" s="1"/>
  <c r="D38" i="205"/>
  <c r="E38" i="205" s="1"/>
  <c r="F38" i="205" s="1"/>
  <c r="G38" i="205" s="1"/>
  <c r="H38" i="205" s="1"/>
  <c r="I38" i="205" s="1"/>
  <c r="J38" i="205" s="1"/>
  <c r="K38" i="205" s="1"/>
  <c r="L38" i="205" s="1"/>
  <c r="M38" i="205" s="1"/>
  <c r="N38" i="205" s="1"/>
  <c r="O38" i="205" s="1"/>
  <c r="D39" i="205"/>
  <c r="E39" i="205" s="1"/>
  <c r="F39" i="205" s="1"/>
  <c r="G39" i="205" s="1"/>
  <c r="H39" i="205" s="1"/>
  <c r="I39" i="205" s="1"/>
  <c r="J39" i="205" s="1"/>
  <c r="K39" i="205" s="1"/>
  <c r="L39" i="205" s="1"/>
  <c r="M39" i="205" s="1"/>
  <c r="N39" i="205" s="1"/>
  <c r="O39" i="205" s="1"/>
  <c r="D40" i="205"/>
  <c r="E40" i="205" s="1"/>
  <c r="F40" i="205" s="1"/>
  <c r="G40" i="205" s="1"/>
  <c r="H40" i="205" s="1"/>
  <c r="I40" i="205" s="1"/>
  <c r="J40" i="205" s="1"/>
  <c r="K40" i="205" s="1"/>
  <c r="L40" i="205" s="1"/>
  <c r="M40" i="205" s="1"/>
  <c r="N40" i="205" s="1"/>
  <c r="O40" i="205" s="1"/>
  <c r="D41" i="205"/>
  <c r="E41" i="205" s="1"/>
  <c r="F41" i="205" s="1"/>
  <c r="G41" i="205" s="1"/>
  <c r="H41" i="205" s="1"/>
  <c r="I41" i="205" s="1"/>
  <c r="J41" i="205" s="1"/>
  <c r="K41" i="205" s="1"/>
  <c r="L41" i="205" s="1"/>
  <c r="M41" i="205" s="1"/>
  <c r="N41" i="205" s="1"/>
  <c r="O41" i="205" s="1"/>
  <c r="D42" i="205"/>
  <c r="E42" i="205" s="1"/>
  <c r="F42" i="205" s="1"/>
  <c r="G42" i="205" s="1"/>
  <c r="H42" i="205" s="1"/>
  <c r="I42" i="205" s="1"/>
  <c r="J42" i="205" s="1"/>
  <c r="K42" i="205" s="1"/>
  <c r="L42" i="205" s="1"/>
  <c r="M42" i="205" s="1"/>
  <c r="N42" i="205" s="1"/>
  <c r="O42" i="205" s="1"/>
  <c r="D43" i="205"/>
  <c r="E43" i="205" s="1"/>
  <c r="F43" i="205" s="1"/>
  <c r="G43" i="205" s="1"/>
  <c r="H43" i="205" s="1"/>
  <c r="I43" i="205" s="1"/>
  <c r="J43" i="205" s="1"/>
  <c r="K43" i="205" s="1"/>
  <c r="L43" i="205" s="1"/>
  <c r="M43" i="205" s="1"/>
  <c r="N43" i="205" s="1"/>
  <c r="O43" i="205" s="1"/>
  <c r="D37" i="205"/>
  <c r="E37" i="205" s="1"/>
  <c r="F37" i="205" s="1"/>
  <c r="G37" i="205" s="1"/>
  <c r="H37" i="205" s="1"/>
  <c r="I37" i="205" s="1"/>
  <c r="J37" i="205" s="1"/>
  <c r="K37" i="205" s="1"/>
  <c r="L37" i="205" s="1"/>
  <c r="M37" i="205" s="1"/>
  <c r="N37" i="205" s="1"/>
  <c r="O37" i="205" s="1"/>
  <c r="F21" i="390"/>
  <c r="F20" i="392" s="1"/>
  <c r="F22" i="392" s="1"/>
  <c r="G21" i="390"/>
  <c r="G20" i="392" s="1"/>
  <c r="H21" i="390"/>
  <c r="H20" i="392" s="1"/>
  <c r="I21" i="390"/>
  <c r="J21" i="390"/>
  <c r="J20" i="392" s="1"/>
  <c r="J22" i="392" s="1"/>
  <c r="K21" i="390"/>
  <c r="K20" i="392" s="1"/>
  <c r="L21" i="390"/>
  <c r="L20" i="392" s="1"/>
  <c r="L22" i="392" s="1"/>
  <c r="M21" i="390"/>
  <c r="M20" i="392" s="1"/>
  <c r="N21" i="390"/>
  <c r="N20" i="392" s="1"/>
  <c r="O21" i="390"/>
  <c r="O20" i="392" s="1"/>
  <c r="P21" i="390"/>
  <c r="P20" i="392" s="1"/>
  <c r="E21" i="390"/>
  <c r="C21" i="205"/>
  <c r="B21" i="205"/>
  <c r="C1" i="392"/>
  <c r="D30" i="392"/>
  <c r="D29" i="392"/>
  <c r="G28" i="392"/>
  <c r="D28" i="392"/>
  <c r="G25" i="392"/>
  <c r="O28" i="392"/>
  <c r="N28" i="392"/>
  <c r="D20" i="392"/>
  <c r="D27" i="392" s="1"/>
  <c r="D19" i="392"/>
  <c r="D26" i="392" s="1"/>
  <c r="P18" i="392"/>
  <c r="I1" i="392" s="1"/>
  <c r="O18" i="392"/>
  <c r="O25" i="392" s="1"/>
  <c r="N18" i="392"/>
  <c r="N25" i="392" s="1"/>
  <c r="M18" i="392"/>
  <c r="M25" i="392" s="1"/>
  <c r="L18" i="392"/>
  <c r="L25" i="392" s="1"/>
  <c r="K18" i="392"/>
  <c r="K25" i="392" s="1"/>
  <c r="J18" i="392"/>
  <c r="J25" i="392" s="1"/>
  <c r="I18" i="392"/>
  <c r="I25" i="392" s="1"/>
  <c r="H18" i="392"/>
  <c r="H25" i="392" s="1"/>
  <c r="G18" i="392"/>
  <c r="F18" i="392"/>
  <c r="F25" i="392" s="1"/>
  <c r="E18" i="392"/>
  <c r="E25" i="392" s="1"/>
  <c r="B1" i="392"/>
  <c r="C21" i="390"/>
  <c r="B21" i="390"/>
  <c r="A21" i="390"/>
  <c r="E21" i="205"/>
  <c r="F19" i="392" s="1"/>
  <c r="F21" i="205"/>
  <c r="G19" i="392" s="1"/>
  <c r="G21" i="205"/>
  <c r="H19" i="392" s="1"/>
  <c r="H21" i="205"/>
  <c r="I19" i="392" s="1"/>
  <c r="I21" i="205"/>
  <c r="J19" i="392" s="1"/>
  <c r="J21" i="205"/>
  <c r="K19" i="392" s="1"/>
  <c r="K21" i="205"/>
  <c r="L19" i="392" s="1"/>
  <c r="L21" i="205"/>
  <c r="M19" i="392" s="1"/>
  <c r="M21" i="205"/>
  <c r="N19" i="392" s="1"/>
  <c r="N21" i="205"/>
  <c r="O19" i="392" s="1"/>
  <c r="O21" i="205"/>
  <c r="P19" i="392" s="1"/>
  <c r="D21" i="205"/>
  <c r="E19" i="392" s="1"/>
  <c r="E26" i="392" s="1"/>
  <c r="F20" i="391"/>
  <c r="F22" i="391" s="1"/>
  <c r="G20" i="391"/>
  <c r="H20" i="391"/>
  <c r="I20" i="391"/>
  <c r="J20" i="391"/>
  <c r="J22" i="391" s="1"/>
  <c r="K20" i="391"/>
  <c r="K22" i="391" s="1"/>
  <c r="L20" i="391"/>
  <c r="M20" i="391"/>
  <c r="N20" i="391"/>
  <c r="N22" i="391" s="1"/>
  <c r="O20" i="391"/>
  <c r="O22" i="391" s="1"/>
  <c r="P20" i="391"/>
  <c r="E20" i="391"/>
  <c r="F19" i="391"/>
  <c r="F23" i="391" s="1"/>
  <c r="G19" i="391"/>
  <c r="H19" i="391"/>
  <c r="H23" i="391" s="1"/>
  <c r="I19" i="391"/>
  <c r="J19" i="391"/>
  <c r="K19" i="391"/>
  <c r="K23" i="391" s="1"/>
  <c r="L19" i="391"/>
  <c r="M19" i="391"/>
  <c r="N19" i="391"/>
  <c r="N23" i="391" s="1"/>
  <c r="O19" i="391"/>
  <c r="O23" i="391" s="1"/>
  <c r="P19" i="391"/>
  <c r="G21" i="34" s="1"/>
  <c r="E19" i="391"/>
  <c r="B1" i="391"/>
  <c r="C1" i="391"/>
  <c r="D30" i="391"/>
  <c r="D29" i="391"/>
  <c r="G28" i="391"/>
  <c r="D28" i="391"/>
  <c r="D27" i="391"/>
  <c r="E26" i="391"/>
  <c r="J25" i="391"/>
  <c r="O28" i="391"/>
  <c r="N28" i="391"/>
  <c r="D20" i="391"/>
  <c r="D19" i="391"/>
  <c r="D26" i="391" s="1"/>
  <c r="P18" i="391"/>
  <c r="P25" i="391" s="1"/>
  <c r="O18" i="391"/>
  <c r="O25" i="391" s="1"/>
  <c r="N18" i="391"/>
  <c r="N25" i="391" s="1"/>
  <c r="M18" i="391"/>
  <c r="M25" i="391" s="1"/>
  <c r="L18" i="391"/>
  <c r="L25" i="391" s="1"/>
  <c r="K18" i="391"/>
  <c r="K25" i="391" s="1"/>
  <c r="J18" i="391"/>
  <c r="I18" i="391"/>
  <c r="I25" i="391" s="1"/>
  <c r="H18" i="391"/>
  <c r="H25" i="391" s="1"/>
  <c r="G18" i="391"/>
  <c r="G25" i="391" s="1"/>
  <c r="F18" i="391"/>
  <c r="F25" i="391" s="1"/>
  <c r="E18" i="391"/>
  <c r="E25" i="391" s="1"/>
  <c r="C20" i="390"/>
  <c r="D20" i="390"/>
  <c r="B20" i="390"/>
  <c r="A20" i="390"/>
  <c r="B20" i="205"/>
  <c r="C20" i="205"/>
  <c r="A20" i="205"/>
  <c r="C215" i="390"/>
  <c r="B215" i="390"/>
  <c r="A215" i="390"/>
  <c r="C214" i="390"/>
  <c r="B214" i="390"/>
  <c r="A214" i="390"/>
  <c r="C213" i="390"/>
  <c r="B213" i="390"/>
  <c r="A213" i="390"/>
  <c r="A212" i="390"/>
  <c r="P211" i="390"/>
  <c r="O211" i="390"/>
  <c r="N211" i="390"/>
  <c r="M211" i="390"/>
  <c r="L211" i="390"/>
  <c r="K211" i="390"/>
  <c r="J211" i="390"/>
  <c r="I211" i="390"/>
  <c r="H211" i="390"/>
  <c r="G211" i="390"/>
  <c r="E211" i="390"/>
  <c r="C211" i="390"/>
  <c r="B211" i="390"/>
  <c r="A211" i="390"/>
  <c r="C210" i="390"/>
  <c r="B210" i="390"/>
  <c r="A210" i="390"/>
  <c r="C209" i="390"/>
  <c r="B209" i="390"/>
  <c r="A209" i="390"/>
  <c r="A208" i="390"/>
  <c r="C207" i="390"/>
  <c r="B207" i="390"/>
  <c r="A207" i="390"/>
  <c r="A206" i="390"/>
  <c r="C205" i="390"/>
  <c r="B205" i="390"/>
  <c r="A205" i="390"/>
  <c r="P204" i="390"/>
  <c r="O204" i="390"/>
  <c r="N204" i="390"/>
  <c r="M204" i="390"/>
  <c r="L204" i="390"/>
  <c r="K204" i="390"/>
  <c r="J204" i="390"/>
  <c r="I204" i="390"/>
  <c r="H204" i="390"/>
  <c r="G204" i="390"/>
  <c r="F204" i="390"/>
  <c r="E204" i="390"/>
  <c r="C204" i="390"/>
  <c r="B204" i="390"/>
  <c r="A204" i="390"/>
  <c r="C203" i="390"/>
  <c r="B203" i="390"/>
  <c r="A203" i="390"/>
  <c r="C202" i="390"/>
  <c r="B202" i="390"/>
  <c r="A202" i="390"/>
  <c r="C201" i="390"/>
  <c r="B201" i="390"/>
  <c r="A201" i="390"/>
  <c r="P200" i="390"/>
  <c r="O200" i="390"/>
  <c r="N200" i="390"/>
  <c r="M200" i="390"/>
  <c r="L200" i="390"/>
  <c r="K200" i="390"/>
  <c r="J200" i="390"/>
  <c r="I200" i="390"/>
  <c r="H200" i="390"/>
  <c r="G200" i="390"/>
  <c r="F200" i="390"/>
  <c r="E200" i="390"/>
  <c r="C200" i="390"/>
  <c r="B200" i="390"/>
  <c r="A200" i="390"/>
  <c r="C199" i="390"/>
  <c r="B199" i="390"/>
  <c r="A199" i="390"/>
  <c r="C198" i="390"/>
  <c r="B198" i="390"/>
  <c r="A198" i="390"/>
  <c r="C197" i="390"/>
  <c r="B197" i="390"/>
  <c r="A197" i="390"/>
  <c r="C196" i="390"/>
  <c r="B196" i="390"/>
  <c r="A196" i="390"/>
  <c r="C195" i="390"/>
  <c r="B195" i="390"/>
  <c r="A195" i="390"/>
  <c r="C194" i="390"/>
  <c r="B194" i="390"/>
  <c r="A194" i="390"/>
  <c r="A193" i="390"/>
  <c r="C192" i="390"/>
  <c r="B192" i="390"/>
  <c r="A192" i="390"/>
  <c r="C191" i="390"/>
  <c r="B191" i="390"/>
  <c r="A191" i="390"/>
  <c r="C190" i="390"/>
  <c r="B190" i="390"/>
  <c r="A190" i="390"/>
  <c r="C189" i="390"/>
  <c r="B189" i="390"/>
  <c r="A189" i="390"/>
  <c r="A188" i="390"/>
  <c r="P187" i="390"/>
  <c r="O187" i="390"/>
  <c r="N187" i="390"/>
  <c r="M187" i="390"/>
  <c r="L187" i="390"/>
  <c r="L20" i="368" s="1"/>
  <c r="K187" i="390"/>
  <c r="K20" i="368" s="1"/>
  <c r="J187" i="390"/>
  <c r="J20" i="368" s="1"/>
  <c r="I20" i="368"/>
  <c r="H187" i="390"/>
  <c r="H20" i="368" s="1"/>
  <c r="G187" i="390"/>
  <c r="G20" i="368" s="1"/>
  <c r="F187" i="390"/>
  <c r="F20" i="368" s="1"/>
  <c r="E187" i="390"/>
  <c r="E20" i="368" s="1"/>
  <c r="C187" i="390"/>
  <c r="B187" i="390"/>
  <c r="A187" i="390"/>
  <c r="C186" i="390"/>
  <c r="B186" i="390"/>
  <c r="A186" i="390"/>
  <c r="A185" i="390"/>
  <c r="C184" i="390"/>
  <c r="B184" i="390"/>
  <c r="A184" i="390"/>
  <c r="C183" i="390"/>
  <c r="B183" i="390"/>
  <c r="A183" i="390"/>
  <c r="C182" i="390"/>
  <c r="B182" i="390"/>
  <c r="A182" i="390"/>
  <c r="C181" i="390"/>
  <c r="A181" i="390"/>
  <c r="C180" i="390"/>
  <c r="B180" i="390"/>
  <c r="A180" i="390"/>
  <c r="C179" i="390"/>
  <c r="B179" i="390"/>
  <c r="A179" i="390"/>
  <c r="D178" i="390"/>
  <c r="B178" i="390"/>
  <c r="C177" i="390"/>
  <c r="B177" i="390"/>
  <c r="A177" i="390"/>
  <c r="C176" i="390"/>
  <c r="B176" i="390"/>
  <c r="A176" i="390"/>
  <c r="C175" i="390"/>
  <c r="B175" i="390"/>
  <c r="A175" i="390"/>
  <c r="A174" i="390"/>
  <c r="C173" i="390"/>
  <c r="B173" i="390"/>
  <c r="A173" i="390"/>
  <c r="P172" i="390"/>
  <c r="O172" i="390"/>
  <c r="N172" i="390"/>
  <c r="M172" i="390"/>
  <c r="L172" i="390"/>
  <c r="K172" i="390"/>
  <c r="J172" i="390"/>
  <c r="I172" i="390"/>
  <c r="H172" i="390"/>
  <c r="G172" i="390"/>
  <c r="F172" i="390"/>
  <c r="E172" i="390"/>
  <c r="C172" i="390"/>
  <c r="B172" i="390"/>
  <c r="A172" i="390"/>
  <c r="C171" i="390"/>
  <c r="B171" i="390"/>
  <c r="A171" i="390"/>
  <c r="C170" i="390"/>
  <c r="B170" i="390"/>
  <c r="A170" i="390"/>
  <c r="C169" i="390"/>
  <c r="B169" i="390"/>
  <c r="A169" i="390"/>
  <c r="P168" i="390"/>
  <c r="P177" i="390" s="1"/>
  <c r="O168" i="390"/>
  <c r="O177" i="390" s="1"/>
  <c r="N168" i="390"/>
  <c r="N177" i="390" s="1"/>
  <c r="M168" i="390"/>
  <c r="M177" i="390" s="1"/>
  <c r="L168" i="390"/>
  <c r="K168" i="390"/>
  <c r="J168" i="390"/>
  <c r="I168" i="390"/>
  <c r="H168" i="390"/>
  <c r="G168" i="390"/>
  <c r="F168" i="390"/>
  <c r="E168" i="390"/>
  <c r="C168" i="390"/>
  <c r="B168" i="390"/>
  <c r="A168" i="390"/>
  <c r="C167" i="390"/>
  <c r="B167" i="390"/>
  <c r="A167" i="390"/>
  <c r="C166" i="390"/>
  <c r="B166" i="390"/>
  <c r="A166" i="390"/>
  <c r="C165" i="390"/>
  <c r="B165" i="390"/>
  <c r="A165" i="390"/>
  <c r="C164" i="390"/>
  <c r="B164" i="390"/>
  <c r="A164" i="390"/>
  <c r="C163" i="390"/>
  <c r="B163" i="390"/>
  <c r="A163" i="390"/>
  <c r="C162" i="390"/>
  <c r="B162" i="390"/>
  <c r="A162" i="390"/>
  <c r="C161" i="390"/>
  <c r="B161" i="390"/>
  <c r="A161" i="390"/>
  <c r="A160" i="390"/>
  <c r="P157" i="390"/>
  <c r="O157" i="390"/>
  <c r="N157" i="390"/>
  <c r="M157" i="390"/>
  <c r="L157" i="390"/>
  <c r="L20" i="318" s="1"/>
  <c r="K157" i="390"/>
  <c r="K20" i="318" s="1"/>
  <c r="J157" i="390"/>
  <c r="J20" i="318" s="1"/>
  <c r="I157" i="390"/>
  <c r="I20" i="318" s="1"/>
  <c r="H157" i="390"/>
  <c r="H20" i="318" s="1"/>
  <c r="G157" i="390"/>
  <c r="G20" i="318" s="1"/>
  <c r="F157" i="390"/>
  <c r="F20" i="318" s="1"/>
  <c r="E157" i="390"/>
  <c r="E20" i="318" s="1"/>
  <c r="C157" i="390"/>
  <c r="B157" i="390"/>
  <c r="A157" i="390"/>
  <c r="C156" i="390"/>
  <c r="B156" i="390"/>
  <c r="A156" i="390"/>
  <c r="P155" i="390"/>
  <c r="O155" i="390"/>
  <c r="N155" i="390"/>
  <c r="M155" i="390"/>
  <c r="L155" i="390"/>
  <c r="L20" i="389" s="1"/>
  <c r="K155" i="390"/>
  <c r="K20" i="389" s="1"/>
  <c r="J155" i="390"/>
  <c r="J20" i="389" s="1"/>
  <c r="I155" i="390"/>
  <c r="I20" i="389" s="1"/>
  <c r="H155" i="390"/>
  <c r="H20" i="389" s="1"/>
  <c r="G155" i="390"/>
  <c r="G20" i="389" s="1"/>
  <c r="F155" i="390"/>
  <c r="F20" i="389" s="1"/>
  <c r="E155" i="390"/>
  <c r="E20" i="389" s="1"/>
  <c r="C155" i="390"/>
  <c r="B155" i="390"/>
  <c r="A155" i="390"/>
  <c r="P154" i="390"/>
  <c r="O154" i="390"/>
  <c r="N154" i="390"/>
  <c r="M154" i="390"/>
  <c r="L154" i="390"/>
  <c r="L20" i="320" s="1"/>
  <c r="K154" i="390"/>
  <c r="K20" i="320" s="1"/>
  <c r="J154" i="390"/>
  <c r="J20" i="320" s="1"/>
  <c r="I154" i="390"/>
  <c r="I20" i="320" s="1"/>
  <c r="H154" i="390"/>
  <c r="H20" i="320" s="1"/>
  <c r="G154" i="390"/>
  <c r="G20" i="320" s="1"/>
  <c r="F154" i="390"/>
  <c r="F20" i="320" s="1"/>
  <c r="C154" i="390"/>
  <c r="B154" i="390"/>
  <c r="A154" i="390"/>
  <c r="P153" i="390"/>
  <c r="O153" i="390"/>
  <c r="N153" i="390"/>
  <c r="M153" i="390"/>
  <c r="L153" i="390"/>
  <c r="L20" i="317" s="1"/>
  <c r="K153" i="390"/>
  <c r="K20" i="317" s="1"/>
  <c r="J153" i="390"/>
  <c r="J20" i="317" s="1"/>
  <c r="I153" i="390"/>
  <c r="I20" i="317" s="1"/>
  <c r="H153" i="390"/>
  <c r="H20" i="317" s="1"/>
  <c r="G153" i="390"/>
  <c r="G20" i="317" s="1"/>
  <c r="F153" i="390"/>
  <c r="F20" i="317" s="1"/>
  <c r="E153" i="390"/>
  <c r="E20" i="317" s="1"/>
  <c r="C153" i="390"/>
  <c r="B153" i="390"/>
  <c r="A153" i="390"/>
  <c r="P152" i="390"/>
  <c r="O152" i="390"/>
  <c r="N152" i="390"/>
  <c r="M152" i="390"/>
  <c r="L152" i="390"/>
  <c r="L20" i="316" s="1"/>
  <c r="K152" i="390"/>
  <c r="K20" i="316" s="1"/>
  <c r="J152" i="390"/>
  <c r="J20" i="316" s="1"/>
  <c r="I152" i="390"/>
  <c r="I20" i="316" s="1"/>
  <c r="H152" i="390"/>
  <c r="H20" i="316" s="1"/>
  <c r="G152" i="390"/>
  <c r="G20" i="316" s="1"/>
  <c r="F152" i="390"/>
  <c r="F20" i="316" s="1"/>
  <c r="E152" i="390"/>
  <c r="E20" i="316" s="1"/>
  <c r="C152" i="390"/>
  <c r="B152" i="390"/>
  <c r="A152" i="390"/>
  <c r="C151" i="390"/>
  <c r="B151" i="390"/>
  <c r="A151" i="390"/>
  <c r="P150" i="390"/>
  <c r="O150" i="390"/>
  <c r="N150" i="390"/>
  <c r="M150" i="390"/>
  <c r="L150" i="390"/>
  <c r="L20" i="382" s="1"/>
  <c r="K150" i="390"/>
  <c r="K20" i="382" s="1"/>
  <c r="J150" i="390"/>
  <c r="J20" i="382" s="1"/>
  <c r="I150" i="390"/>
  <c r="I20" i="382" s="1"/>
  <c r="H150" i="390"/>
  <c r="H20" i="382" s="1"/>
  <c r="G150" i="390"/>
  <c r="G20" i="382" s="1"/>
  <c r="F150" i="390"/>
  <c r="F20" i="382" s="1"/>
  <c r="E150" i="390"/>
  <c r="E20" i="382" s="1"/>
  <c r="C150" i="390"/>
  <c r="B150" i="390"/>
  <c r="A150" i="390"/>
  <c r="P149" i="390"/>
  <c r="O149" i="390"/>
  <c r="N149" i="390"/>
  <c r="M149" i="390"/>
  <c r="L149" i="390"/>
  <c r="L20" i="319" s="1"/>
  <c r="K149" i="390"/>
  <c r="K20" i="319" s="1"/>
  <c r="J149" i="390"/>
  <c r="J20" i="319" s="1"/>
  <c r="I149" i="390"/>
  <c r="I20" i="319" s="1"/>
  <c r="H149" i="390"/>
  <c r="H20" i="319" s="1"/>
  <c r="G149" i="390"/>
  <c r="G20" i="319" s="1"/>
  <c r="F149" i="390"/>
  <c r="F20" i="319" s="1"/>
  <c r="C149" i="390"/>
  <c r="B149" i="390"/>
  <c r="A149" i="390"/>
  <c r="P148" i="390"/>
  <c r="O148" i="390"/>
  <c r="N148" i="390"/>
  <c r="M148" i="390"/>
  <c r="L148" i="390"/>
  <c r="L20" i="314" s="1"/>
  <c r="K148" i="390"/>
  <c r="K20" i="314" s="1"/>
  <c r="J148" i="390"/>
  <c r="J20" i="314" s="1"/>
  <c r="I148" i="390"/>
  <c r="I20" i="314" s="1"/>
  <c r="H148" i="390"/>
  <c r="H20" i="314" s="1"/>
  <c r="G148" i="390"/>
  <c r="G20" i="314" s="1"/>
  <c r="F148" i="390"/>
  <c r="F20" i="314" s="1"/>
  <c r="E148" i="390"/>
  <c r="E20" i="314" s="1"/>
  <c r="C148" i="390"/>
  <c r="B148" i="390"/>
  <c r="A148" i="390"/>
  <c r="P147" i="390"/>
  <c r="O147" i="390"/>
  <c r="N147" i="390"/>
  <c r="M147" i="390"/>
  <c r="L147" i="390"/>
  <c r="L20" i="313" s="1"/>
  <c r="K147" i="390"/>
  <c r="K20" i="313" s="1"/>
  <c r="J147" i="390"/>
  <c r="J20" i="313" s="1"/>
  <c r="I147" i="390"/>
  <c r="I20" i="313" s="1"/>
  <c r="H147" i="390"/>
  <c r="H20" i="313" s="1"/>
  <c r="G147" i="390"/>
  <c r="G20" i="313" s="1"/>
  <c r="F147" i="390"/>
  <c r="F20" i="313" s="1"/>
  <c r="E147" i="390"/>
  <c r="E20" i="313" s="1"/>
  <c r="C147" i="390"/>
  <c r="B147" i="390"/>
  <c r="A147" i="390"/>
  <c r="P146" i="390"/>
  <c r="O146" i="390"/>
  <c r="N146" i="390"/>
  <c r="M146" i="390"/>
  <c r="L146" i="390"/>
  <c r="L20" i="312" s="1"/>
  <c r="K146" i="390"/>
  <c r="K20" i="312" s="1"/>
  <c r="J146" i="390"/>
  <c r="J20" i="312" s="1"/>
  <c r="I146" i="390"/>
  <c r="I20" i="312" s="1"/>
  <c r="H146" i="390"/>
  <c r="H20" i="312" s="1"/>
  <c r="G146" i="390"/>
  <c r="G20" i="312" s="1"/>
  <c r="F146" i="390"/>
  <c r="F20" i="312" s="1"/>
  <c r="E146" i="390"/>
  <c r="E20" i="312" s="1"/>
  <c r="C146" i="390"/>
  <c r="B146" i="390"/>
  <c r="A146" i="390"/>
  <c r="P145" i="390"/>
  <c r="O145" i="390"/>
  <c r="N145" i="390"/>
  <c r="M145" i="390"/>
  <c r="L145" i="390"/>
  <c r="L20" i="311" s="1"/>
  <c r="K145" i="390"/>
  <c r="K20" i="311" s="1"/>
  <c r="J145" i="390"/>
  <c r="J20" i="311" s="1"/>
  <c r="I145" i="390"/>
  <c r="I20" i="311" s="1"/>
  <c r="H145" i="390"/>
  <c r="H20" i="311" s="1"/>
  <c r="G145" i="390"/>
  <c r="G20" i="311" s="1"/>
  <c r="F145" i="390"/>
  <c r="F20" i="311" s="1"/>
  <c r="E145" i="390"/>
  <c r="E20" i="311" s="1"/>
  <c r="C145" i="390"/>
  <c r="B145" i="390"/>
  <c r="A145" i="390"/>
  <c r="P144" i="390"/>
  <c r="O144" i="390"/>
  <c r="N144" i="390"/>
  <c r="M144" i="390"/>
  <c r="L144" i="390"/>
  <c r="L20" i="310" s="1"/>
  <c r="K144" i="390"/>
  <c r="K20" i="310" s="1"/>
  <c r="J144" i="390"/>
  <c r="J20" i="310" s="1"/>
  <c r="I144" i="390"/>
  <c r="I20" i="310" s="1"/>
  <c r="H144" i="390"/>
  <c r="H20" i="310" s="1"/>
  <c r="G144" i="390"/>
  <c r="G20" i="310" s="1"/>
  <c r="F144" i="390"/>
  <c r="F20" i="310" s="1"/>
  <c r="E144" i="390"/>
  <c r="E20" i="310" s="1"/>
  <c r="C144" i="390"/>
  <c r="B144" i="390"/>
  <c r="A144" i="390"/>
  <c r="P143" i="390"/>
  <c r="O143" i="390"/>
  <c r="N143" i="390"/>
  <c r="M143" i="390"/>
  <c r="L143" i="390"/>
  <c r="K143" i="390"/>
  <c r="J143" i="390"/>
  <c r="I143" i="390"/>
  <c r="H143" i="390"/>
  <c r="G143" i="390"/>
  <c r="E143" i="390"/>
  <c r="A143" i="390"/>
  <c r="A140" i="390"/>
  <c r="P139" i="390"/>
  <c r="O139" i="390"/>
  <c r="N139" i="390"/>
  <c r="M139" i="390"/>
  <c r="L139" i="390"/>
  <c r="L20" i="309" s="1"/>
  <c r="K139" i="390"/>
  <c r="K20" i="309" s="1"/>
  <c r="J139" i="390"/>
  <c r="J20" i="309" s="1"/>
  <c r="I139" i="390"/>
  <c r="I20" i="309" s="1"/>
  <c r="H139" i="390"/>
  <c r="H20" i="309" s="1"/>
  <c r="G139" i="390"/>
  <c r="G20" i="309" s="1"/>
  <c r="F139" i="390"/>
  <c r="F20" i="309" s="1"/>
  <c r="E139" i="390"/>
  <c r="E20" i="309" s="1"/>
  <c r="C139" i="390"/>
  <c r="B139" i="390"/>
  <c r="A139" i="390"/>
  <c r="C138" i="390"/>
  <c r="B138" i="390"/>
  <c r="A138" i="390"/>
  <c r="C137" i="390"/>
  <c r="B137" i="390"/>
  <c r="A137" i="390"/>
  <c r="C136" i="390"/>
  <c r="B136" i="390"/>
  <c r="A136" i="390"/>
  <c r="C135" i="390"/>
  <c r="B135" i="390"/>
  <c r="A135" i="390"/>
  <c r="P134" i="390"/>
  <c r="O134" i="390"/>
  <c r="N134" i="390"/>
  <c r="M134" i="390"/>
  <c r="L134" i="390"/>
  <c r="K134" i="390"/>
  <c r="J134" i="390"/>
  <c r="I134" i="390"/>
  <c r="H134" i="390"/>
  <c r="G134" i="390"/>
  <c r="F134" i="390"/>
  <c r="E134" i="390"/>
  <c r="C134" i="390"/>
  <c r="B134" i="390"/>
  <c r="A134" i="390"/>
  <c r="C133" i="390"/>
  <c r="B133" i="390"/>
  <c r="A133" i="390"/>
  <c r="E149" i="390"/>
  <c r="E20" i="319" s="1"/>
  <c r="C132" i="390"/>
  <c r="B132" i="390"/>
  <c r="A132" i="390"/>
  <c r="C131" i="390"/>
  <c r="B131" i="390"/>
  <c r="A131" i="390"/>
  <c r="C130" i="390"/>
  <c r="B130" i="390"/>
  <c r="A130" i="390"/>
  <c r="C129" i="390"/>
  <c r="B129" i="390"/>
  <c r="A129" i="390"/>
  <c r="C128" i="390"/>
  <c r="B128" i="390"/>
  <c r="A128" i="390"/>
  <c r="C127" i="390"/>
  <c r="B127" i="390"/>
  <c r="A127" i="390"/>
  <c r="A126" i="390"/>
  <c r="C123" i="390"/>
  <c r="B123" i="390"/>
  <c r="A123" i="390"/>
  <c r="P122" i="390"/>
  <c r="P20" i="398" s="1"/>
  <c r="O122" i="390"/>
  <c r="N122" i="390"/>
  <c r="M122" i="390"/>
  <c r="M20" i="398" s="1"/>
  <c r="M22" i="398" s="1"/>
  <c r="L122" i="390"/>
  <c r="L20" i="398" s="1"/>
  <c r="L22" i="398" s="1"/>
  <c r="K122" i="390"/>
  <c r="J122" i="390"/>
  <c r="I122" i="390"/>
  <c r="I20" i="398" s="1"/>
  <c r="I22" i="398" s="1"/>
  <c r="H122" i="390"/>
  <c r="H20" i="398" s="1"/>
  <c r="H22" i="398" s="1"/>
  <c r="G122" i="390"/>
  <c r="F122" i="390"/>
  <c r="F20" i="398" s="1"/>
  <c r="F22" i="398" s="1"/>
  <c r="C122" i="390"/>
  <c r="B122" i="390"/>
  <c r="A122" i="390"/>
  <c r="C121" i="390"/>
  <c r="B121" i="390"/>
  <c r="A121" i="390"/>
  <c r="E122" i="390"/>
  <c r="E20" i="398" s="1"/>
  <c r="C120" i="390"/>
  <c r="B120" i="390"/>
  <c r="A120" i="390"/>
  <c r="C119" i="390"/>
  <c r="B119" i="390"/>
  <c r="A119" i="390"/>
  <c r="C118" i="390"/>
  <c r="B118" i="390"/>
  <c r="A118" i="390"/>
  <c r="P117" i="390"/>
  <c r="P20" i="291" s="1"/>
  <c r="O117" i="390"/>
  <c r="O20" i="291" s="1"/>
  <c r="N117" i="390"/>
  <c r="N20" i="291" s="1"/>
  <c r="M117" i="390"/>
  <c r="M20" i="291" s="1"/>
  <c r="L117" i="390"/>
  <c r="K117" i="390"/>
  <c r="J117" i="390"/>
  <c r="I117" i="390"/>
  <c r="H117" i="390"/>
  <c r="G117" i="390"/>
  <c r="F117" i="390"/>
  <c r="C117" i="390"/>
  <c r="B117" i="390"/>
  <c r="A117" i="390"/>
  <c r="C116" i="390"/>
  <c r="B116" i="390"/>
  <c r="A116" i="390"/>
  <c r="E117" i="390"/>
  <c r="C115" i="390"/>
  <c r="B115" i="390"/>
  <c r="A115" i="390"/>
  <c r="C114" i="390"/>
  <c r="B114" i="390"/>
  <c r="A114" i="390"/>
  <c r="C113" i="390"/>
  <c r="B113" i="390"/>
  <c r="A113" i="390"/>
  <c r="C112" i="390"/>
  <c r="B112" i="390"/>
  <c r="A112" i="390"/>
  <c r="C111" i="390"/>
  <c r="B111" i="390"/>
  <c r="A111" i="390"/>
  <c r="C110" i="390"/>
  <c r="B110" i="390"/>
  <c r="A110" i="390"/>
  <c r="A109" i="390"/>
  <c r="C108" i="390"/>
  <c r="B108" i="390"/>
  <c r="A108" i="390"/>
  <c r="C107" i="390"/>
  <c r="B107" i="390"/>
  <c r="A107" i="390"/>
  <c r="C106" i="390"/>
  <c r="B106" i="390"/>
  <c r="A106" i="390"/>
  <c r="C105" i="390"/>
  <c r="B105" i="390"/>
  <c r="A105" i="390"/>
  <c r="C104" i="390"/>
  <c r="B104" i="390"/>
  <c r="A104" i="390"/>
  <c r="C103" i="390"/>
  <c r="B103" i="390"/>
  <c r="A103" i="390"/>
  <c r="C102" i="390"/>
  <c r="B102" i="390"/>
  <c r="A102" i="390"/>
  <c r="P101" i="390"/>
  <c r="O101" i="390"/>
  <c r="N101" i="390"/>
  <c r="M101" i="390"/>
  <c r="L101" i="390"/>
  <c r="J101" i="390"/>
  <c r="I101" i="390"/>
  <c r="H101" i="390"/>
  <c r="G101" i="390"/>
  <c r="E101" i="390"/>
  <c r="A101" i="390"/>
  <c r="C100" i="390"/>
  <c r="B100" i="390"/>
  <c r="A100" i="390"/>
  <c r="P99" i="390"/>
  <c r="P20" i="280" s="1"/>
  <c r="O99" i="390"/>
  <c r="O20" i="280" s="1"/>
  <c r="N99" i="390"/>
  <c r="N20" i="280" s="1"/>
  <c r="M99" i="390"/>
  <c r="M20" i="280" s="1"/>
  <c r="L99" i="390"/>
  <c r="L20" i="280" s="1"/>
  <c r="K99" i="390"/>
  <c r="K20" i="280" s="1"/>
  <c r="J99" i="390"/>
  <c r="J20" i="280" s="1"/>
  <c r="I99" i="390"/>
  <c r="I20" i="280" s="1"/>
  <c r="H99" i="390"/>
  <c r="H20" i="280" s="1"/>
  <c r="G99" i="390"/>
  <c r="G20" i="280" s="1"/>
  <c r="F99" i="390"/>
  <c r="F20" i="280" s="1"/>
  <c r="E99" i="390"/>
  <c r="E20" i="280" s="1"/>
  <c r="C99" i="390"/>
  <c r="B99" i="390"/>
  <c r="A99" i="390"/>
  <c r="C98" i="390"/>
  <c r="B98" i="390"/>
  <c r="A98" i="390"/>
  <c r="C97" i="390"/>
  <c r="B97" i="390"/>
  <c r="A97" i="390"/>
  <c r="C96" i="390"/>
  <c r="B96" i="390"/>
  <c r="A96" i="390"/>
  <c r="P95" i="390"/>
  <c r="O95" i="390"/>
  <c r="N95" i="390"/>
  <c r="M95" i="390"/>
  <c r="L95" i="390"/>
  <c r="K95" i="390"/>
  <c r="J95" i="390"/>
  <c r="I95" i="390"/>
  <c r="H95" i="390"/>
  <c r="G95" i="390"/>
  <c r="F95" i="390"/>
  <c r="E95" i="390"/>
  <c r="C95" i="390"/>
  <c r="B95" i="390"/>
  <c r="A95" i="390"/>
  <c r="D94" i="390"/>
  <c r="C94" i="390"/>
  <c r="B94" i="390"/>
  <c r="A94" i="390"/>
  <c r="C93" i="390"/>
  <c r="B93" i="390"/>
  <c r="A93" i="390"/>
  <c r="C92" i="390"/>
  <c r="B92" i="390"/>
  <c r="A92" i="390"/>
  <c r="C91" i="390"/>
  <c r="B91" i="390"/>
  <c r="A91" i="390"/>
  <c r="C90" i="390"/>
  <c r="B90" i="390"/>
  <c r="A90" i="390"/>
  <c r="C89" i="390"/>
  <c r="B89" i="390"/>
  <c r="A89" i="390"/>
  <c r="C88" i="390"/>
  <c r="B88" i="390"/>
  <c r="A88" i="390"/>
  <c r="A87" i="390"/>
  <c r="C83" i="390"/>
  <c r="B83" i="390"/>
  <c r="A83" i="390"/>
  <c r="P82" i="390"/>
  <c r="O82" i="390"/>
  <c r="N82" i="390"/>
  <c r="M82" i="390"/>
  <c r="L82" i="390"/>
  <c r="K82" i="390"/>
  <c r="J82" i="390"/>
  <c r="I82" i="390"/>
  <c r="H82" i="390"/>
  <c r="G82" i="390"/>
  <c r="F82" i="390"/>
  <c r="E82" i="390"/>
  <c r="C82" i="390"/>
  <c r="B82" i="390"/>
  <c r="A82" i="390"/>
  <c r="C81" i="390"/>
  <c r="B81" i="390"/>
  <c r="A81" i="390"/>
  <c r="C80" i="390"/>
  <c r="B80" i="390"/>
  <c r="A80" i="390"/>
  <c r="C79" i="390"/>
  <c r="B79" i="390"/>
  <c r="A79" i="390"/>
  <c r="C78" i="390"/>
  <c r="B78" i="390"/>
  <c r="A78" i="390"/>
  <c r="P77" i="390"/>
  <c r="P20" i="262" s="1"/>
  <c r="O77" i="390"/>
  <c r="O20" i="262" s="1"/>
  <c r="N77" i="390"/>
  <c r="N20" i="262" s="1"/>
  <c r="M77" i="390"/>
  <c r="M20" i="262" s="1"/>
  <c r="L77" i="390"/>
  <c r="L20" i="262" s="1"/>
  <c r="K77" i="390"/>
  <c r="K20" i="262" s="1"/>
  <c r="J77" i="390"/>
  <c r="J20" i="262" s="1"/>
  <c r="I77" i="390"/>
  <c r="I20" i="262" s="1"/>
  <c r="H77" i="390"/>
  <c r="H20" i="262" s="1"/>
  <c r="G77" i="390"/>
  <c r="G20" i="262" s="1"/>
  <c r="F77" i="390"/>
  <c r="F20" i="262" s="1"/>
  <c r="C77" i="390"/>
  <c r="B77" i="390"/>
  <c r="A77" i="390"/>
  <c r="D76" i="390"/>
  <c r="C76" i="390"/>
  <c r="B76" i="390"/>
  <c r="A76" i="390"/>
  <c r="E77" i="390"/>
  <c r="E20" i="262" s="1"/>
  <c r="C75" i="390"/>
  <c r="B75" i="390"/>
  <c r="A75" i="390"/>
  <c r="C74" i="390"/>
  <c r="B74" i="390"/>
  <c r="A74" i="390"/>
  <c r="C73" i="390"/>
  <c r="B73" i="390"/>
  <c r="A73" i="390"/>
  <c r="C72" i="390"/>
  <c r="B72" i="390"/>
  <c r="A72" i="390"/>
  <c r="C71" i="390"/>
  <c r="B71" i="390"/>
  <c r="A71" i="390"/>
  <c r="C70" i="390"/>
  <c r="B70" i="390"/>
  <c r="A70" i="390"/>
  <c r="A69" i="390"/>
  <c r="C68" i="390"/>
  <c r="B68" i="390"/>
  <c r="A68" i="390"/>
  <c r="P67" i="390"/>
  <c r="O67" i="390"/>
  <c r="N67" i="390"/>
  <c r="M67" i="390"/>
  <c r="L67" i="390"/>
  <c r="K67" i="390"/>
  <c r="J67" i="390"/>
  <c r="I67" i="390"/>
  <c r="H67" i="390"/>
  <c r="G67" i="390"/>
  <c r="F67" i="390"/>
  <c r="E67" i="390"/>
  <c r="C67" i="390"/>
  <c r="B67" i="390"/>
  <c r="A67" i="390"/>
  <c r="C66" i="390"/>
  <c r="B66" i="390"/>
  <c r="A66" i="390"/>
  <c r="C65" i="390"/>
  <c r="B65" i="390"/>
  <c r="A65" i="390"/>
  <c r="C64" i="390"/>
  <c r="B64" i="390"/>
  <c r="A64" i="390"/>
  <c r="P63" i="390"/>
  <c r="P20" i="250" s="1"/>
  <c r="O63" i="390"/>
  <c r="N63" i="390"/>
  <c r="M63" i="390"/>
  <c r="L63" i="390"/>
  <c r="J63" i="390"/>
  <c r="J20" i="250" s="1"/>
  <c r="I63" i="390"/>
  <c r="I20" i="250" s="1"/>
  <c r="H63" i="390"/>
  <c r="H20" i="250" s="1"/>
  <c r="G63" i="390"/>
  <c r="G20" i="250" s="1"/>
  <c r="F63" i="390"/>
  <c r="F20" i="250" s="1"/>
  <c r="E63" i="390"/>
  <c r="C63" i="390"/>
  <c r="B63" i="390"/>
  <c r="A63" i="390"/>
  <c r="C62" i="390"/>
  <c r="B62" i="390"/>
  <c r="A62" i="390"/>
  <c r="C61" i="390"/>
  <c r="B61" i="390"/>
  <c r="A61" i="390"/>
  <c r="K101" i="390"/>
  <c r="C60" i="390"/>
  <c r="B60" i="390"/>
  <c r="A60" i="390"/>
  <c r="C59" i="390"/>
  <c r="B59" i="390"/>
  <c r="A59" i="390"/>
  <c r="C58" i="390"/>
  <c r="B58" i="390"/>
  <c r="A58" i="390"/>
  <c r="C57" i="390"/>
  <c r="B57" i="390"/>
  <c r="A57" i="390"/>
  <c r="C56" i="390"/>
  <c r="B56" i="390"/>
  <c r="A56" i="390"/>
  <c r="A55" i="390"/>
  <c r="C52" i="390"/>
  <c r="B52" i="390"/>
  <c r="A52" i="390"/>
  <c r="P51" i="390"/>
  <c r="P20" i="244" s="1"/>
  <c r="O51" i="390"/>
  <c r="O20" i="244" s="1"/>
  <c r="N51" i="390"/>
  <c r="N20" i="244" s="1"/>
  <c r="M51" i="390"/>
  <c r="M20" i="244" s="1"/>
  <c r="L20" i="244"/>
  <c r="K51" i="390"/>
  <c r="K20" i="244" s="1"/>
  <c r="J51" i="390"/>
  <c r="J20" i="244" s="1"/>
  <c r="I51" i="390"/>
  <c r="I20" i="244" s="1"/>
  <c r="H51" i="390"/>
  <c r="H20" i="244" s="1"/>
  <c r="G51" i="390"/>
  <c r="G20" i="244" s="1"/>
  <c r="F51" i="390"/>
  <c r="F20" i="244" s="1"/>
  <c r="E51" i="390"/>
  <c r="E20" i="244" s="1"/>
  <c r="C51" i="390"/>
  <c r="B51" i="390"/>
  <c r="A51" i="390"/>
  <c r="D50" i="390"/>
  <c r="C50" i="390"/>
  <c r="B50" i="390"/>
  <c r="A50" i="390"/>
  <c r="C49" i="390"/>
  <c r="B49" i="390"/>
  <c r="A49" i="390"/>
  <c r="C48" i="390"/>
  <c r="B48" i="390"/>
  <c r="A48" i="390"/>
  <c r="C47" i="390"/>
  <c r="B47" i="390"/>
  <c r="A47" i="390"/>
  <c r="P46" i="390"/>
  <c r="P20" i="238" s="1"/>
  <c r="O46" i="390"/>
  <c r="O20" i="238" s="1"/>
  <c r="N46" i="390"/>
  <c r="N20" i="238" s="1"/>
  <c r="M46" i="390"/>
  <c r="M20" i="238" s="1"/>
  <c r="L46" i="390"/>
  <c r="L20" i="238" s="1"/>
  <c r="K46" i="390"/>
  <c r="K20" i="238" s="1"/>
  <c r="J46" i="390"/>
  <c r="J20" i="238" s="1"/>
  <c r="I46" i="390"/>
  <c r="I20" i="238" s="1"/>
  <c r="H46" i="390"/>
  <c r="H20" i="238" s="1"/>
  <c r="G46" i="390"/>
  <c r="G20" i="238" s="1"/>
  <c r="F46" i="390"/>
  <c r="F20" i="238" s="1"/>
  <c r="C46" i="390"/>
  <c r="B46" i="390"/>
  <c r="A46" i="390"/>
  <c r="C45" i="390"/>
  <c r="B45" i="390"/>
  <c r="A45" i="390"/>
  <c r="E46" i="390"/>
  <c r="E20" i="238" s="1"/>
  <c r="C44" i="390"/>
  <c r="B44" i="390"/>
  <c r="A44" i="390"/>
  <c r="C43" i="390"/>
  <c r="B43" i="390"/>
  <c r="A43" i="390"/>
  <c r="C42" i="390"/>
  <c r="B42" i="390"/>
  <c r="A42" i="390"/>
  <c r="C41" i="390"/>
  <c r="B41" i="390"/>
  <c r="A41" i="390"/>
  <c r="C40" i="390"/>
  <c r="B40" i="390"/>
  <c r="A40" i="390"/>
  <c r="C39" i="390"/>
  <c r="B39" i="390"/>
  <c r="A39" i="390"/>
  <c r="A38" i="390"/>
  <c r="C36" i="390"/>
  <c r="B36" i="390"/>
  <c r="A36" i="390"/>
  <c r="E35" i="390"/>
  <c r="E20" i="232" s="1"/>
  <c r="C35" i="390"/>
  <c r="B35" i="390"/>
  <c r="A35" i="390"/>
  <c r="P34" i="390"/>
  <c r="P20" i="231" s="1"/>
  <c r="O34" i="390"/>
  <c r="O20" i="231" s="1"/>
  <c r="N34" i="390"/>
  <c r="N20" i="231" s="1"/>
  <c r="M34" i="390"/>
  <c r="M20" i="231" s="1"/>
  <c r="L34" i="390"/>
  <c r="L20" i="231" s="1"/>
  <c r="K34" i="390"/>
  <c r="K20" i="231" s="1"/>
  <c r="J34" i="390"/>
  <c r="J20" i="231" s="1"/>
  <c r="I34" i="390"/>
  <c r="I20" i="231" s="1"/>
  <c r="H34" i="390"/>
  <c r="H20" i="231" s="1"/>
  <c r="G34" i="390"/>
  <c r="G20" i="231" s="1"/>
  <c r="F34" i="390"/>
  <c r="F20" i="231" s="1"/>
  <c r="C34" i="390"/>
  <c r="B34" i="390"/>
  <c r="A34" i="390"/>
  <c r="P33" i="390"/>
  <c r="O33" i="390"/>
  <c r="O20" i="227" s="1"/>
  <c r="N33" i="390"/>
  <c r="N20" i="227" s="1"/>
  <c r="M33" i="390"/>
  <c r="L33" i="390"/>
  <c r="K33" i="390"/>
  <c r="K20" i="227" s="1"/>
  <c r="J33" i="390"/>
  <c r="J20" i="227" s="1"/>
  <c r="I33" i="390"/>
  <c r="H33" i="390"/>
  <c r="G33" i="390"/>
  <c r="G20" i="227" s="1"/>
  <c r="F33" i="390"/>
  <c r="F20" i="227" s="1"/>
  <c r="C33" i="390"/>
  <c r="B33" i="390"/>
  <c r="A33" i="390"/>
  <c r="P32" i="390"/>
  <c r="P20" i="226" s="1"/>
  <c r="O32" i="390"/>
  <c r="N32" i="390"/>
  <c r="M32" i="390"/>
  <c r="M20" i="226" s="1"/>
  <c r="L32" i="390"/>
  <c r="L20" i="226" s="1"/>
  <c r="K32" i="390"/>
  <c r="J32" i="390"/>
  <c r="I32" i="390"/>
  <c r="I20" i="226" s="1"/>
  <c r="H32" i="390"/>
  <c r="H20" i="226" s="1"/>
  <c r="G32" i="390"/>
  <c r="F32" i="390"/>
  <c r="C32" i="390"/>
  <c r="B32" i="390"/>
  <c r="A32" i="390"/>
  <c r="P31" i="390"/>
  <c r="O31" i="390"/>
  <c r="N31" i="390"/>
  <c r="M31" i="390"/>
  <c r="L31" i="390"/>
  <c r="L107" i="390" s="1"/>
  <c r="K31" i="390"/>
  <c r="K107" i="390" s="1"/>
  <c r="J31" i="390"/>
  <c r="I31" i="390"/>
  <c r="H31" i="390"/>
  <c r="G31" i="390"/>
  <c r="G107" i="390" s="1"/>
  <c r="F31" i="390"/>
  <c r="E31" i="390"/>
  <c r="C31" i="390"/>
  <c r="B31" i="390"/>
  <c r="A31" i="390"/>
  <c r="C30" i="390"/>
  <c r="B30" i="390"/>
  <c r="A30" i="390"/>
  <c r="C29" i="390"/>
  <c r="B29" i="390"/>
  <c r="A29" i="390"/>
  <c r="C28" i="390"/>
  <c r="B28" i="390"/>
  <c r="A28" i="390"/>
  <c r="C27" i="390"/>
  <c r="B27" i="390"/>
  <c r="A27" i="390"/>
  <c r="C26" i="390"/>
  <c r="B26" i="390"/>
  <c r="A26" i="390"/>
  <c r="C25" i="390"/>
  <c r="B25" i="390"/>
  <c r="A25" i="390"/>
  <c r="C24" i="390"/>
  <c r="B24" i="390"/>
  <c r="A24" i="390"/>
  <c r="A23" i="390"/>
  <c r="C19" i="390"/>
  <c r="B19" i="390"/>
  <c r="A19" i="390"/>
  <c r="P18" i="390"/>
  <c r="P20" i="219" s="1"/>
  <c r="O18" i="390"/>
  <c r="O20" i="219" s="1"/>
  <c r="N18" i="390"/>
  <c r="N20" i="219" s="1"/>
  <c r="M18" i="390"/>
  <c r="M20" i="219" s="1"/>
  <c r="L18" i="390"/>
  <c r="L20" i="219" s="1"/>
  <c r="K18" i="390"/>
  <c r="K20" i="219" s="1"/>
  <c r="J18" i="390"/>
  <c r="J20" i="219" s="1"/>
  <c r="I18" i="390"/>
  <c r="H18" i="390"/>
  <c r="H20" i="219" s="1"/>
  <c r="G18" i="390"/>
  <c r="G20" i="219" s="1"/>
  <c r="F18" i="390"/>
  <c r="F20" i="219" s="1"/>
  <c r="E18" i="390"/>
  <c r="C18" i="390"/>
  <c r="B18" i="390"/>
  <c r="A18" i="390"/>
  <c r="C17" i="390"/>
  <c r="B17" i="390"/>
  <c r="A17" i="390"/>
  <c r="C16" i="390"/>
  <c r="B16" i="390"/>
  <c r="A16" i="390"/>
  <c r="C15" i="390"/>
  <c r="B15" i="390"/>
  <c r="A15" i="390"/>
  <c r="C14" i="390"/>
  <c r="B14" i="390"/>
  <c r="A14" i="390"/>
  <c r="P13" i="390"/>
  <c r="O13" i="390"/>
  <c r="N13" i="390"/>
  <c r="M13" i="390"/>
  <c r="L13" i="390"/>
  <c r="K13" i="390"/>
  <c r="J13" i="390"/>
  <c r="I13" i="390"/>
  <c r="H13" i="390"/>
  <c r="G13" i="390"/>
  <c r="F13" i="390"/>
  <c r="E13" i="390"/>
  <c r="C13" i="390"/>
  <c r="B13" i="390"/>
  <c r="A13" i="390"/>
  <c r="D12" i="390"/>
  <c r="C12" i="390"/>
  <c r="B12" i="390"/>
  <c r="A12" i="390"/>
  <c r="C11" i="390"/>
  <c r="B11" i="390"/>
  <c r="A11" i="390"/>
  <c r="C10" i="390"/>
  <c r="B10" i="390"/>
  <c r="A10" i="390"/>
  <c r="C9" i="390"/>
  <c r="B9" i="390"/>
  <c r="A9" i="390"/>
  <c r="C8" i="390"/>
  <c r="B8" i="390"/>
  <c r="A8" i="390"/>
  <c r="C7" i="390"/>
  <c r="B7" i="390"/>
  <c r="A7" i="390"/>
  <c r="C6" i="390"/>
  <c r="B6" i="390"/>
  <c r="A6" i="390"/>
  <c r="A5" i="390"/>
  <c r="A1" i="390"/>
  <c r="L177" i="390" l="1"/>
  <c r="L20" i="336" s="1"/>
  <c r="L20" i="327"/>
  <c r="L176" i="390"/>
  <c r="L20" i="335" s="1"/>
  <c r="L20" i="303"/>
  <c r="L20" i="291"/>
  <c r="L175" i="390"/>
  <c r="L20" i="334" s="1"/>
  <c r="K177" i="390"/>
  <c r="K20" i="336" s="1"/>
  <c r="K20" i="327"/>
  <c r="K20" i="303"/>
  <c r="K176" i="390"/>
  <c r="K20" i="335" s="1"/>
  <c r="K20" i="291"/>
  <c r="K175" i="390"/>
  <c r="K20" i="334" s="1"/>
  <c r="J177" i="390"/>
  <c r="J20" i="336" s="1"/>
  <c r="J20" i="327"/>
  <c r="J20" i="291"/>
  <c r="J175" i="390"/>
  <c r="J20" i="334" s="1"/>
  <c r="J20" i="225"/>
  <c r="J107" i="390"/>
  <c r="J176" i="390"/>
  <c r="J20" i="335" s="1"/>
  <c r="J20" i="303"/>
  <c r="I177" i="390"/>
  <c r="I20" i="336" s="1"/>
  <c r="I20" i="327"/>
  <c r="I176" i="390"/>
  <c r="I20" i="335" s="1"/>
  <c r="I20" i="303"/>
  <c r="I20" i="291"/>
  <c r="I175" i="390"/>
  <c r="I20" i="334" s="1"/>
  <c r="I20" i="225"/>
  <c r="I107" i="390"/>
  <c r="H177" i="390"/>
  <c r="H20" i="336" s="1"/>
  <c r="H20" i="327"/>
  <c r="H20" i="303"/>
  <c r="H176" i="390"/>
  <c r="H20" i="335" s="1"/>
  <c r="H20" i="291"/>
  <c r="H175" i="390"/>
  <c r="H20" i="334" s="1"/>
  <c r="H20" i="225"/>
  <c r="H107" i="390"/>
  <c r="G177" i="390"/>
  <c r="G20" i="336" s="1"/>
  <c r="G20" i="327"/>
  <c r="G20" i="303"/>
  <c r="G176" i="390"/>
  <c r="G20" i="335" s="1"/>
  <c r="G20" i="291"/>
  <c r="G175" i="390"/>
  <c r="G20" i="334" s="1"/>
  <c r="F177" i="390"/>
  <c r="F20" i="336" s="1"/>
  <c r="F20" i="327"/>
  <c r="F176" i="390"/>
  <c r="F20" i="335" s="1"/>
  <c r="F20" i="303"/>
  <c r="F20" i="291"/>
  <c r="F175" i="390"/>
  <c r="F20" i="334" s="1"/>
  <c r="E177" i="390"/>
  <c r="E20" i="336" s="1"/>
  <c r="E20" i="327"/>
  <c r="E176" i="390"/>
  <c r="E20" i="335" s="1"/>
  <c r="E20" i="303"/>
  <c r="E20" i="291"/>
  <c r="E175" i="390"/>
  <c r="E20" i="334" s="1"/>
  <c r="G106" i="390"/>
  <c r="G20" i="360" s="1"/>
  <c r="G20" i="213"/>
  <c r="F35" i="390"/>
  <c r="F20" i="226"/>
  <c r="E103" i="390"/>
  <c r="E20" i="282" s="1"/>
  <c r="E20" i="250"/>
  <c r="N103" i="390"/>
  <c r="N20" i="282" s="1"/>
  <c r="N20" i="250"/>
  <c r="F20" i="268"/>
  <c r="F104" i="390"/>
  <c r="F20" i="283" s="1"/>
  <c r="J20" i="268"/>
  <c r="J104" i="390"/>
  <c r="J20" i="283" s="1"/>
  <c r="N20" i="268"/>
  <c r="N104" i="390"/>
  <c r="N20" i="283" s="1"/>
  <c r="E105" i="390"/>
  <c r="E20" i="284" s="1"/>
  <c r="E20" i="274"/>
  <c r="I105" i="390"/>
  <c r="I20" i="284" s="1"/>
  <c r="I20" i="274"/>
  <c r="M105" i="390"/>
  <c r="M20" i="284" s="1"/>
  <c r="M20" i="274"/>
  <c r="P103" i="390"/>
  <c r="P20" i="282" s="1"/>
  <c r="E207" i="390"/>
  <c r="M207" i="390"/>
  <c r="P102" i="390"/>
  <c r="P20" i="281" s="1"/>
  <c r="L102" i="390"/>
  <c r="L20" i="281" s="1"/>
  <c r="H102" i="390"/>
  <c r="H20" i="281" s="1"/>
  <c r="P20" i="394"/>
  <c r="P27" i="394" s="1"/>
  <c r="L20" i="394"/>
  <c r="L27" i="394" s="1"/>
  <c r="H20" i="394"/>
  <c r="H27" i="394" s="1"/>
  <c r="O106" i="390"/>
  <c r="O20" i="360" s="1"/>
  <c r="O20" i="213"/>
  <c r="L37" i="390"/>
  <c r="L20" i="225"/>
  <c r="H106" i="390"/>
  <c r="H20" i="360" s="1"/>
  <c r="H20" i="213"/>
  <c r="L106" i="390"/>
  <c r="L20" i="360" s="1"/>
  <c r="L20" i="213"/>
  <c r="P106" i="390"/>
  <c r="P20" i="360" s="1"/>
  <c r="P20" i="213"/>
  <c r="E1" i="390"/>
  <c r="E20" i="219"/>
  <c r="I1" i="390"/>
  <c r="I20" i="219"/>
  <c r="E2" i="390"/>
  <c r="E20" i="225"/>
  <c r="M37" i="390"/>
  <c r="M20" i="225"/>
  <c r="O103" i="390"/>
  <c r="O20" i="282" s="1"/>
  <c r="O20" i="250"/>
  <c r="G20" i="268"/>
  <c r="G104" i="390"/>
  <c r="G20" i="283" s="1"/>
  <c r="K20" i="268"/>
  <c r="K104" i="390"/>
  <c r="K20" i="283" s="1"/>
  <c r="O20" i="268"/>
  <c r="O104" i="390"/>
  <c r="O20" i="283" s="1"/>
  <c r="F105" i="390"/>
  <c r="F20" i="284" s="1"/>
  <c r="F20" i="274"/>
  <c r="J105" i="390"/>
  <c r="J20" i="284" s="1"/>
  <c r="J20" i="274"/>
  <c r="N105" i="390"/>
  <c r="N20" i="284" s="1"/>
  <c r="N20" i="274"/>
  <c r="J156" i="390"/>
  <c r="J20" i="321" s="1"/>
  <c r="J20" i="398"/>
  <c r="J22" i="398" s="1"/>
  <c r="N156" i="390"/>
  <c r="N20" i="398"/>
  <c r="N22" i="398" s="1"/>
  <c r="O102" i="390"/>
  <c r="O20" i="281" s="1"/>
  <c r="K102" i="390"/>
  <c r="K20" i="281" s="1"/>
  <c r="G102" i="390"/>
  <c r="G20" i="281" s="1"/>
  <c r="O20" i="394"/>
  <c r="O27" i="394" s="1"/>
  <c r="K20" i="394"/>
  <c r="K27" i="394" s="1"/>
  <c r="G20" i="394"/>
  <c r="G27" i="394" s="1"/>
  <c r="K106" i="390"/>
  <c r="K20" i="360" s="1"/>
  <c r="K20" i="213"/>
  <c r="E106" i="390"/>
  <c r="E20" i="360" s="1"/>
  <c r="E20" i="213"/>
  <c r="I106" i="390"/>
  <c r="I20" i="360" s="1"/>
  <c r="I20" i="213"/>
  <c r="M106" i="390"/>
  <c r="M20" i="360" s="1"/>
  <c r="M20" i="213"/>
  <c r="F20" i="225"/>
  <c r="N37" i="390"/>
  <c r="N20" i="225"/>
  <c r="L103" i="390"/>
  <c r="L20" i="282" s="1"/>
  <c r="L20" i="250"/>
  <c r="H20" i="268"/>
  <c r="H104" i="390"/>
  <c r="H20" i="283" s="1"/>
  <c r="L20" i="268"/>
  <c r="L104" i="390"/>
  <c r="L20" i="283" s="1"/>
  <c r="P20" i="268"/>
  <c r="P104" i="390"/>
  <c r="P20" i="283" s="1"/>
  <c r="G105" i="390"/>
  <c r="G20" i="284" s="1"/>
  <c r="G20" i="274"/>
  <c r="K105" i="390"/>
  <c r="K20" i="284" s="1"/>
  <c r="K20" i="274"/>
  <c r="O105" i="390"/>
  <c r="O20" i="284" s="1"/>
  <c r="O20" i="274"/>
  <c r="E22" i="398"/>
  <c r="F27" i="398"/>
  <c r="E27" i="398"/>
  <c r="G156" i="390"/>
  <c r="G20" i="321" s="1"/>
  <c r="G20" i="398"/>
  <c r="G22" i="398" s="1"/>
  <c r="K156" i="390"/>
  <c r="K20" i="321" s="1"/>
  <c r="K20" i="398"/>
  <c r="K22" i="398" s="1"/>
  <c r="O156" i="390"/>
  <c r="O20" i="398"/>
  <c r="O22" i="398" s="1"/>
  <c r="E22" i="390"/>
  <c r="I22" i="390"/>
  <c r="N102" i="390"/>
  <c r="N20" i="281" s="1"/>
  <c r="J102" i="390"/>
  <c r="J20" i="281" s="1"/>
  <c r="F102" i="390"/>
  <c r="F20" i="281" s="1"/>
  <c r="N20" i="394"/>
  <c r="N22" i="394" s="1"/>
  <c r="J20" i="394"/>
  <c r="J22" i="394" s="1"/>
  <c r="F20" i="394"/>
  <c r="F22" i="394" s="1"/>
  <c r="P37" i="390"/>
  <c r="P20" i="225"/>
  <c r="F106" i="390"/>
  <c r="F20" i="360" s="1"/>
  <c r="F20" i="213"/>
  <c r="J106" i="390"/>
  <c r="J20" i="360" s="1"/>
  <c r="J20" i="213"/>
  <c r="N106" i="390"/>
  <c r="N20" i="360" s="1"/>
  <c r="N20" i="213"/>
  <c r="G37" i="390"/>
  <c r="G20" i="225"/>
  <c r="K37" i="390"/>
  <c r="K20" i="225"/>
  <c r="O37" i="390"/>
  <c r="O20" i="225"/>
  <c r="M103" i="390"/>
  <c r="M20" i="282" s="1"/>
  <c r="M20" i="250"/>
  <c r="E20" i="268"/>
  <c r="E104" i="390"/>
  <c r="E20" i="283" s="1"/>
  <c r="I20" i="268"/>
  <c r="I104" i="390"/>
  <c r="I20" i="283" s="1"/>
  <c r="M20" i="268"/>
  <c r="M104" i="390"/>
  <c r="M20" i="283" s="1"/>
  <c r="H105" i="390"/>
  <c r="H20" i="284" s="1"/>
  <c r="H20" i="274"/>
  <c r="L105" i="390"/>
  <c r="L20" i="284" s="1"/>
  <c r="L20" i="274"/>
  <c r="P105" i="390"/>
  <c r="P20" i="284" s="1"/>
  <c r="P20" i="274"/>
  <c r="P22" i="398"/>
  <c r="E102" i="390"/>
  <c r="E20" i="281" s="1"/>
  <c r="M102" i="390"/>
  <c r="M20" i="281" s="1"/>
  <c r="I102" i="390"/>
  <c r="I20" i="281" s="1"/>
  <c r="E20" i="394"/>
  <c r="E27" i="394" s="1"/>
  <c r="M20" i="394"/>
  <c r="I20" i="394"/>
  <c r="I23" i="394" s="1"/>
  <c r="F63" i="205"/>
  <c r="F26" i="392"/>
  <c r="F20" i="232"/>
  <c r="F20" i="361"/>
  <c r="O23" i="394"/>
  <c r="K23" i="394"/>
  <c r="J35" i="390"/>
  <c r="J2" i="390" s="1"/>
  <c r="J20" i="226"/>
  <c r="N35" i="390"/>
  <c r="N20" i="226"/>
  <c r="H35" i="390"/>
  <c r="H20" i="227"/>
  <c r="L35" i="390"/>
  <c r="L20" i="227"/>
  <c r="P35" i="390"/>
  <c r="P20" i="227"/>
  <c r="G35" i="390"/>
  <c r="G20" i="361" s="1"/>
  <c r="G20" i="226"/>
  <c r="K35" i="390"/>
  <c r="K20" i="226"/>
  <c r="O35" i="390"/>
  <c r="O20" i="226"/>
  <c r="I35" i="390"/>
  <c r="I2" i="390" s="1"/>
  <c r="I20" i="227"/>
  <c r="M35" i="390"/>
  <c r="M20" i="227"/>
  <c r="L26" i="393"/>
  <c r="L30" i="393" s="1"/>
  <c r="P23" i="393"/>
  <c r="F19" i="255"/>
  <c r="F64" i="205"/>
  <c r="S5" i="393"/>
  <c r="S6" i="393" s="1"/>
  <c r="M54" i="34"/>
  <c r="F19" i="251"/>
  <c r="E65" i="205"/>
  <c r="F62" i="205"/>
  <c r="G23" i="391"/>
  <c r="F58" i="205"/>
  <c r="F19" i="249"/>
  <c r="G19" i="252"/>
  <c r="G63" i="205"/>
  <c r="F47" i="205"/>
  <c r="F19" i="243"/>
  <c r="P30" i="393"/>
  <c r="M23" i="393"/>
  <c r="I23" i="393"/>
  <c r="P26" i="394"/>
  <c r="P23" i="394"/>
  <c r="G55" i="34"/>
  <c r="L26" i="394"/>
  <c r="H26" i="394"/>
  <c r="N23" i="394"/>
  <c r="J23" i="394"/>
  <c r="F26" i="394"/>
  <c r="E26" i="393"/>
  <c r="E30" i="393" s="1"/>
  <c r="E23" i="394"/>
  <c r="Q19" i="394"/>
  <c r="M23" i="394"/>
  <c r="P30" i="394"/>
  <c r="H22" i="394"/>
  <c r="P22" i="394"/>
  <c r="E22" i="394"/>
  <c r="M22" i="394"/>
  <c r="P25" i="394"/>
  <c r="G26" i="394"/>
  <c r="G30" i="394" s="1"/>
  <c r="K26" i="394"/>
  <c r="O26" i="394"/>
  <c r="O30" i="394" s="1"/>
  <c r="J27" i="394"/>
  <c r="J30" i="394" s="1"/>
  <c r="E28" i="394"/>
  <c r="E30" i="394" s="1"/>
  <c r="G22" i="394"/>
  <c r="O22" i="394"/>
  <c r="Q21" i="394"/>
  <c r="M27" i="394"/>
  <c r="M30" i="394" s="1"/>
  <c r="Q20" i="393"/>
  <c r="G30" i="393"/>
  <c r="K30" i="393"/>
  <c r="H30" i="393"/>
  <c r="I1" i="393"/>
  <c r="Q21" i="393"/>
  <c r="H22" i="393"/>
  <c r="L22" i="393"/>
  <c r="P22" i="393"/>
  <c r="G23" i="393"/>
  <c r="K23" i="393"/>
  <c r="O23" i="393"/>
  <c r="F26" i="393"/>
  <c r="F30" i="393" s="1"/>
  <c r="J26" i="393"/>
  <c r="J30" i="393" s="1"/>
  <c r="N26" i="393"/>
  <c r="N30" i="393" s="1"/>
  <c r="E27" i="393"/>
  <c r="N54" i="34" s="1"/>
  <c r="I27" i="393"/>
  <c r="I30" i="393" s="1"/>
  <c r="M27" i="393"/>
  <c r="M30" i="393" s="1"/>
  <c r="G22" i="393"/>
  <c r="K22" i="393"/>
  <c r="S4" i="393"/>
  <c r="Q19" i="393"/>
  <c r="E22" i="393"/>
  <c r="I22" i="393"/>
  <c r="M22" i="393"/>
  <c r="O26" i="393"/>
  <c r="O30" i="393" s="1"/>
  <c r="P178" i="390"/>
  <c r="P20" i="362" s="1"/>
  <c r="H207" i="390"/>
  <c r="L207" i="390"/>
  <c r="P207" i="390"/>
  <c r="H180" i="390"/>
  <c r="H20" i="338" s="1"/>
  <c r="I103" i="390"/>
  <c r="I20" i="282" s="1"/>
  <c r="F103" i="390"/>
  <c r="F20" i="282" s="1"/>
  <c r="J103" i="390"/>
  <c r="J20" i="282" s="1"/>
  <c r="J1" i="390"/>
  <c r="I207" i="390"/>
  <c r="N23" i="392"/>
  <c r="N22" i="392"/>
  <c r="M22" i="390"/>
  <c r="E20" i="392"/>
  <c r="H27" i="392" s="1"/>
  <c r="I20" i="392"/>
  <c r="G103" i="390"/>
  <c r="G20" i="282" s="1"/>
  <c r="P22" i="390"/>
  <c r="L22" i="390"/>
  <c r="P22" i="392"/>
  <c r="H22" i="392"/>
  <c r="H103" i="390"/>
  <c r="H20" i="282" s="1"/>
  <c r="F207" i="390"/>
  <c r="J207" i="390"/>
  <c r="N207" i="390"/>
  <c r="O22" i="390"/>
  <c r="K22" i="390"/>
  <c r="G22" i="390"/>
  <c r="O23" i="392"/>
  <c r="K23" i="392"/>
  <c r="H22" i="390"/>
  <c r="L23" i="392"/>
  <c r="G207" i="390"/>
  <c r="K207" i="390"/>
  <c r="O207" i="390"/>
  <c r="N22" i="390"/>
  <c r="J22" i="390"/>
  <c r="F22" i="390"/>
  <c r="J23" i="392"/>
  <c r="F23" i="392"/>
  <c r="J23" i="391"/>
  <c r="P23" i="391"/>
  <c r="H23" i="392"/>
  <c r="P23" i="392"/>
  <c r="P26" i="392"/>
  <c r="G22" i="34"/>
  <c r="Q22" i="34" s="1"/>
  <c r="M23" i="392"/>
  <c r="N26" i="392"/>
  <c r="K22" i="392"/>
  <c r="K28" i="392"/>
  <c r="Q21" i="392"/>
  <c r="J26" i="392"/>
  <c r="H28" i="392"/>
  <c r="P28" i="392"/>
  <c r="Q19" i="392"/>
  <c r="M22" i="392"/>
  <c r="P25" i="392"/>
  <c r="G26" i="392"/>
  <c r="K26" i="392"/>
  <c r="O26" i="392"/>
  <c r="E28" i="392"/>
  <c r="E30" i="392" s="1"/>
  <c r="I28" i="392"/>
  <c r="M28" i="392"/>
  <c r="G22" i="392"/>
  <c r="O22" i="392"/>
  <c r="I26" i="392"/>
  <c r="M26" i="392"/>
  <c r="G23" i="392"/>
  <c r="L28" i="392"/>
  <c r="E23" i="392"/>
  <c r="H26" i="392"/>
  <c r="L26" i="392"/>
  <c r="F28" i="392"/>
  <c r="J28" i="392"/>
  <c r="O27" i="391"/>
  <c r="H21" i="34"/>
  <c r="M26" i="391"/>
  <c r="L23" i="391"/>
  <c r="P26" i="391"/>
  <c r="I23" i="391"/>
  <c r="M23" i="391"/>
  <c r="G22" i="391"/>
  <c r="I26" i="391"/>
  <c r="H27" i="391"/>
  <c r="I1" i="391"/>
  <c r="Q21" i="391"/>
  <c r="H22" i="391"/>
  <c r="L22" i="391"/>
  <c r="P22" i="391"/>
  <c r="F26" i="391"/>
  <c r="J26" i="391"/>
  <c r="N26" i="391"/>
  <c r="E27" i="391"/>
  <c r="I27" i="391"/>
  <c r="M27" i="391"/>
  <c r="H28" i="391"/>
  <c r="L28" i="391"/>
  <c r="P28" i="391"/>
  <c r="Q20" i="391"/>
  <c r="P27" i="391"/>
  <c r="K28" i="391"/>
  <c r="Q19" i="391"/>
  <c r="E22" i="391"/>
  <c r="I22" i="391"/>
  <c r="M22" i="391"/>
  <c r="G26" i="391"/>
  <c r="K26" i="391"/>
  <c r="O26" i="391"/>
  <c r="F27" i="391"/>
  <c r="J27" i="391"/>
  <c r="N27" i="391"/>
  <c r="E28" i="391"/>
  <c r="E30" i="391" s="1"/>
  <c r="I28" i="391"/>
  <c r="M28" i="391"/>
  <c r="L27" i="391"/>
  <c r="E23" i="391"/>
  <c r="H26" i="391"/>
  <c r="L26" i="391"/>
  <c r="G27" i="391"/>
  <c r="K27" i="391"/>
  <c r="F28" i="391"/>
  <c r="J28" i="391"/>
  <c r="K178" i="390"/>
  <c r="K20" i="362" s="1"/>
  <c r="L178" i="390"/>
  <c r="L20" i="362" s="1"/>
  <c r="J179" i="390"/>
  <c r="J20" i="337" s="1"/>
  <c r="N178" i="390"/>
  <c r="N20" i="362" s="1"/>
  <c r="F156" i="390"/>
  <c r="F20" i="321" s="1"/>
  <c r="O179" i="390"/>
  <c r="H156" i="390"/>
  <c r="H20" i="321" s="1"/>
  <c r="L156" i="390"/>
  <c r="L20" i="321" s="1"/>
  <c r="P156" i="390"/>
  <c r="I156" i="390"/>
  <c r="I20" i="321" s="1"/>
  <c r="M156" i="390"/>
  <c r="H151" i="390"/>
  <c r="H20" i="315" s="1"/>
  <c r="L151" i="390"/>
  <c r="L20" i="315" s="1"/>
  <c r="P151" i="390"/>
  <c r="I151" i="390"/>
  <c r="I20" i="315" s="1"/>
  <c r="M151" i="390"/>
  <c r="E180" i="390"/>
  <c r="E20" i="338" s="1"/>
  <c r="I180" i="390"/>
  <c r="I20" i="338" s="1"/>
  <c r="M180" i="390"/>
  <c r="F180" i="390"/>
  <c r="F20" i="338" s="1"/>
  <c r="N180" i="390"/>
  <c r="P183" i="390"/>
  <c r="O108" i="390"/>
  <c r="O20" i="285" s="1"/>
  <c r="M108" i="390"/>
  <c r="M20" i="285" s="1"/>
  <c r="L108" i="390"/>
  <c r="L20" i="285" s="1"/>
  <c r="H1" i="390"/>
  <c r="H37" i="390"/>
  <c r="G1" i="390"/>
  <c r="L183" i="390"/>
  <c r="L20" i="366" s="1"/>
  <c r="I20" i="366"/>
  <c r="I108" i="390"/>
  <c r="I20" i="285" s="1"/>
  <c r="M183" i="390"/>
  <c r="L180" i="390"/>
  <c r="L20" i="338" s="1"/>
  <c r="J183" i="390"/>
  <c r="J20" i="366" s="1"/>
  <c r="N183" i="390"/>
  <c r="P180" i="390"/>
  <c r="G20" i="366"/>
  <c r="K183" i="390"/>
  <c r="K20" i="366" s="1"/>
  <c r="O183" i="390"/>
  <c r="E151" i="390"/>
  <c r="E20" i="315" s="1"/>
  <c r="E156" i="390"/>
  <c r="E20" i="321" s="1"/>
  <c r="G180" i="390"/>
  <c r="G20" i="338" s="1"/>
  <c r="O180" i="390"/>
  <c r="O178" i="390"/>
  <c r="O20" i="362" s="1"/>
  <c r="I37" i="390"/>
  <c r="F151" i="390"/>
  <c r="F20" i="315" s="1"/>
  <c r="J151" i="390"/>
  <c r="J20" i="315" s="1"/>
  <c r="N151" i="390"/>
  <c r="E154" i="390"/>
  <c r="E20" i="320" s="1"/>
  <c r="J37" i="390"/>
  <c r="G151" i="390"/>
  <c r="G20" i="315" s="1"/>
  <c r="K151" i="390"/>
  <c r="K20" i="315" s="1"/>
  <c r="O151" i="390"/>
  <c r="E37" i="390"/>
  <c r="E20" i="361" s="1"/>
  <c r="K63" i="390"/>
  <c r="P174" i="358"/>
  <c r="P29" i="358"/>
  <c r="P18" i="358"/>
  <c r="P13" i="358"/>
  <c r="P144" i="358"/>
  <c r="P130" i="358"/>
  <c r="P125" i="358"/>
  <c r="P110" i="358"/>
  <c r="P88" i="358"/>
  <c r="P73" i="358"/>
  <c r="P49" i="358"/>
  <c r="K179" i="390" l="1"/>
  <c r="K20" i="337" s="1"/>
  <c r="N21" i="34"/>
  <c r="K180" i="390"/>
  <c r="K20" i="338" s="1"/>
  <c r="K30" i="394"/>
  <c r="K22" i="394"/>
  <c r="H126" i="34"/>
  <c r="J180" i="390"/>
  <c r="J20" i="338" s="1"/>
  <c r="G178" i="390"/>
  <c r="G20" i="362" s="1"/>
  <c r="H179" i="390"/>
  <c r="H20" i="337" s="1"/>
  <c r="H178" i="390"/>
  <c r="H20" i="362" s="1"/>
  <c r="H20" i="366"/>
  <c r="H30" i="394"/>
  <c r="H23" i="394"/>
  <c r="G179" i="390"/>
  <c r="G20" i="337" s="1"/>
  <c r="G108" i="390"/>
  <c r="G20" i="285" s="1"/>
  <c r="F178" i="390"/>
  <c r="F20" i="362" s="1"/>
  <c r="F108" i="390"/>
  <c r="F20" i="285" s="1"/>
  <c r="F20" i="366"/>
  <c r="F27" i="394"/>
  <c r="F23" i="394"/>
  <c r="S4" i="394"/>
  <c r="H22" i="34"/>
  <c r="I22" i="34" s="1"/>
  <c r="N55" i="34"/>
  <c r="H55" i="34"/>
  <c r="I27" i="394"/>
  <c r="I30" i="394" s="1"/>
  <c r="N27" i="394"/>
  <c r="N30" i="394" s="1"/>
  <c r="L22" i="394"/>
  <c r="Q20" i="394"/>
  <c r="L23" i="394"/>
  <c r="G27" i="398"/>
  <c r="L30" i="394"/>
  <c r="I22" i="394"/>
  <c r="N179" i="390"/>
  <c r="P179" i="390"/>
  <c r="N27" i="398"/>
  <c r="K103" i="390"/>
  <c r="K20" i="250"/>
  <c r="F179" i="390"/>
  <c r="F20" i="337" s="1"/>
  <c r="K27" i="398"/>
  <c r="L27" i="398"/>
  <c r="E29" i="398"/>
  <c r="F29" i="398"/>
  <c r="K29" i="398"/>
  <c r="M29" i="398"/>
  <c r="G29" i="398"/>
  <c r="H29" i="398"/>
  <c r="N29" i="398"/>
  <c r="L29" i="398"/>
  <c r="P29" i="398"/>
  <c r="O29" i="398"/>
  <c r="Q22" i="398"/>
  <c r="I29" i="398"/>
  <c r="J29" i="398"/>
  <c r="I27" i="398"/>
  <c r="J27" i="398"/>
  <c r="O27" i="398"/>
  <c r="P27" i="398"/>
  <c r="H27" i="398"/>
  <c r="M27" i="398"/>
  <c r="G23" i="394"/>
  <c r="Q20" i="392"/>
  <c r="M30" i="391"/>
  <c r="P20" i="232"/>
  <c r="P20" i="361"/>
  <c r="H20" i="232"/>
  <c r="H20" i="361"/>
  <c r="L20" i="232"/>
  <c r="L20" i="361"/>
  <c r="N20" i="232"/>
  <c r="N20" i="361"/>
  <c r="I20" i="232"/>
  <c r="I20" i="361"/>
  <c r="K20" i="232"/>
  <c r="K20" i="361"/>
  <c r="J20" i="232"/>
  <c r="J20" i="361"/>
  <c r="H2" i="390"/>
  <c r="M20" i="232"/>
  <c r="M20" i="361"/>
  <c r="O20" i="232"/>
  <c r="O20" i="361"/>
  <c r="N27" i="392"/>
  <c r="N30" i="392" s="1"/>
  <c r="O27" i="392"/>
  <c r="O30" i="392" s="1"/>
  <c r="G2" i="390"/>
  <c r="G20" i="232"/>
  <c r="G30" i="391"/>
  <c r="L30" i="391"/>
  <c r="G62" i="205"/>
  <c r="G19" i="251"/>
  <c r="F65" i="205"/>
  <c r="F30" i="394"/>
  <c r="G64" i="205"/>
  <c r="G19" i="255"/>
  <c r="H63" i="205"/>
  <c r="H19" i="252"/>
  <c r="G58" i="205"/>
  <c r="G19" i="249"/>
  <c r="G47" i="205"/>
  <c r="G19" i="243"/>
  <c r="S5" i="394"/>
  <c r="S6" i="394" s="1"/>
  <c r="M55" i="34"/>
  <c r="I29" i="394"/>
  <c r="E29" i="394"/>
  <c r="N29" i="394"/>
  <c r="F29" i="394"/>
  <c r="H29" i="394"/>
  <c r="G29" i="394"/>
  <c r="M29" i="393"/>
  <c r="I29" i="393"/>
  <c r="E29" i="393"/>
  <c r="J29" i="393"/>
  <c r="F29" i="393"/>
  <c r="P29" i="393"/>
  <c r="L29" i="393"/>
  <c r="H29" i="393"/>
  <c r="Q22" i="393"/>
  <c r="N29" i="393"/>
  <c r="O29" i="393"/>
  <c r="K29" i="393"/>
  <c r="G29" i="393"/>
  <c r="K27" i="392"/>
  <c r="K30" i="392" s="1"/>
  <c r="I23" i="392"/>
  <c r="L179" i="390"/>
  <c r="L20" i="337" s="1"/>
  <c r="J108" i="390"/>
  <c r="J20" i="285" s="1"/>
  <c r="E27" i="392"/>
  <c r="I22" i="392"/>
  <c r="H108" i="390"/>
  <c r="H20" i="285" s="1"/>
  <c r="P27" i="392"/>
  <c r="G27" i="392"/>
  <c r="G30" i="392" s="1"/>
  <c r="J27" i="392"/>
  <c r="J30" i="392" s="1"/>
  <c r="E22" i="392"/>
  <c r="J178" i="390"/>
  <c r="J20" i="362" s="1"/>
  <c r="M27" i="392"/>
  <c r="M30" i="392" s="1"/>
  <c r="L27" i="392"/>
  <c r="L30" i="392" s="1"/>
  <c r="F27" i="392"/>
  <c r="F30" i="392" s="1"/>
  <c r="I27" i="392"/>
  <c r="I30" i="392" s="1"/>
  <c r="O30" i="391"/>
  <c r="S5" i="392"/>
  <c r="S6" i="392" s="1"/>
  <c r="M22" i="34"/>
  <c r="H30" i="392"/>
  <c r="S5" i="391"/>
  <c r="S6" i="391" s="1"/>
  <c r="M21" i="34"/>
  <c r="F30" i="391"/>
  <c r="K30" i="391"/>
  <c r="H30" i="391"/>
  <c r="N30" i="391"/>
  <c r="J30" i="391"/>
  <c r="I30" i="391"/>
  <c r="P30" i="391"/>
  <c r="S4" i="391"/>
  <c r="M29" i="391"/>
  <c r="I29" i="391"/>
  <c r="E29" i="391"/>
  <c r="J29" i="391"/>
  <c r="P29" i="391"/>
  <c r="L29" i="391"/>
  <c r="H29" i="391"/>
  <c r="Q22" i="391"/>
  <c r="N29" i="391"/>
  <c r="F29" i="391"/>
  <c r="O29" i="391"/>
  <c r="K29" i="391"/>
  <c r="G29" i="391"/>
  <c r="P108" i="390"/>
  <c r="P20" i="285" s="1"/>
  <c r="N108" i="390"/>
  <c r="N20" i="285" s="1"/>
  <c r="I178" i="390"/>
  <c r="I20" i="362" s="1"/>
  <c r="I179" i="390"/>
  <c r="I20" i="337" s="1"/>
  <c r="E183" i="390"/>
  <c r="E20" i="366" s="1"/>
  <c r="E108" i="390"/>
  <c r="E20" i="285" s="1"/>
  <c r="E178" i="390"/>
  <c r="E20" i="362" s="1"/>
  <c r="E179" i="390"/>
  <c r="E20" i="337" s="1"/>
  <c r="M178" i="390"/>
  <c r="M20" i="362" s="1"/>
  <c r="M179" i="390"/>
  <c r="O144" i="358"/>
  <c r="O130" i="358"/>
  <c r="O125" i="358"/>
  <c r="O110" i="358"/>
  <c r="O88" i="358"/>
  <c r="O73" i="358"/>
  <c r="O49" i="358"/>
  <c r="O29" i="358"/>
  <c r="O18" i="358"/>
  <c r="O13" i="358"/>
  <c r="Q22" i="394" l="1"/>
  <c r="N22" i="34"/>
  <c r="O22" i="34" s="1"/>
  <c r="J29" i="394"/>
  <c r="M29" i="394"/>
  <c r="L29" i="394"/>
  <c r="P29" i="394"/>
  <c r="K29" i="394"/>
  <c r="O29" i="394"/>
  <c r="N126" i="34"/>
  <c r="S4" i="398"/>
  <c r="K108" i="390"/>
  <c r="K20" i="285" s="1"/>
  <c r="K20" i="282"/>
  <c r="M29" i="392"/>
  <c r="F29" i="392"/>
  <c r="I63" i="205"/>
  <c r="I19" i="252"/>
  <c r="J29" i="392"/>
  <c r="H58" i="205"/>
  <c r="H19" i="249"/>
  <c r="H64" i="205"/>
  <c r="H19" i="255"/>
  <c r="H62" i="205"/>
  <c r="H19" i="251"/>
  <c r="G65" i="205"/>
  <c r="H47" i="205"/>
  <c r="H19" i="243"/>
  <c r="G29" i="392"/>
  <c r="Q22" i="392"/>
  <c r="I29" i="392"/>
  <c r="H29" i="392"/>
  <c r="N29" i="392"/>
  <c r="L29" i="392"/>
  <c r="O29" i="392"/>
  <c r="P30" i="392"/>
  <c r="S4" i="392"/>
  <c r="K29" i="392"/>
  <c r="P29" i="392"/>
  <c r="E29" i="392"/>
  <c r="R22" i="34"/>
  <c r="N144" i="358"/>
  <c r="N174" i="358"/>
  <c r="N88" i="358"/>
  <c r="N73" i="358"/>
  <c r="N49" i="358"/>
  <c r="N130" i="358"/>
  <c r="N125" i="358"/>
  <c r="N110" i="358"/>
  <c r="N29" i="358"/>
  <c r="N18" i="358"/>
  <c r="N13" i="358"/>
  <c r="I62" i="205" l="1"/>
  <c r="I19" i="251"/>
  <c r="H65" i="205"/>
  <c r="I58" i="205"/>
  <c r="I19" i="249"/>
  <c r="I64" i="205"/>
  <c r="I19" i="255"/>
  <c r="J63" i="205"/>
  <c r="J19" i="252"/>
  <c r="I47" i="205"/>
  <c r="I19" i="243"/>
  <c r="M167" i="358"/>
  <c r="J58" i="205" l="1"/>
  <c r="J19" i="249"/>
  <c r="K63" i="205"/>
  <c r="K19" i="252"/>
  <c r="J64" i="205"/>
  <c r="J19" i="255"/>
  <c r="J62" i="205"/>
  <c r="J19" i="251"/>
  <c r="I65" i="205"/>
  <c r="J47" i="205"/>
  <c r="J19" i="243"/>
  <c r="M144" i="358"/>
  <c r="K62" i="205" l="1"/>
  <c r="K19" i="251"/>
  <c r="J65" i="205"/>
  <c r="L63" i="205"/>
  <c r="L19" i="252"/>
  <c r="K64" i="205"/>
  <c r="K19" i="255"/>
  <c r="K58" i="205"/>
  <c r="K19" i="249"/>
  <c r="K47" i="205"/>
  <c r="K19" i="243"/>
  <c r="M29" i="358"/>
  <c r="M18" i="358"/>
  <c r="M13" i="358"/>
  <c r="M130" i="358"/>
  <c r="M125" i="358"/>
  <c r="M110" i="358"/>
  <c r="M88" i="358"/>
  <c r="M73" i="358"/>
  <c r="M49" i="358"/>
  <c r="L62" i="205" l="1"/>
  <c r="L19" i="251"/>
  <c r="K65" i="205"/>
  <c r="L58" i="205"/>
  <c r="L19" i="249"/>
  <c r="M63" i="205"/>
  <c r="M19" i="252"/>
  <c r="L64" i="205"/>
  <c r="L19" i="255"/>
  <c r="L47" i="205"/>
  <c r="L19" i="243"/>
  <c r="L73" i="358"/>
  <c r="M64" i="205" l="1"/>
  <c r="M19" i="255"/>
  <c r="M58" i="205"/>
  <c r="M19" i="249"/>
  <c r="N63" i="205"/>
  <c r="N19" i="252"/>
  <c r="M62" i="205"/>
  <c r="M19" i="251"/>
  <c r="L65" i="205"/>
  <c r="M47" i="205"/>
  <c r="M19" i="243"/>
  <c r="L144" i="358"/>
  <c r="L130" i="358"/>
  <c r="L125" i="358"/>
  <c r="L110" i="358"/>
  <c r="L29" i="358"/>
  <c r="L18" i="358"/>
  <c r="L13" i="358"/>
  <c r="L88" i="358"/>
  <c r="L49" i="358"/>
  <c r="N62" i="205" l="1"/>
  <c r="N19" i="251"/>
  <c r="M65" i="205"/>
  <c r="N58" i="205"/>
  <c r="N19" i="249"/>
  <c r="O63" i="205"/>
  <c r="P19" i="252" s="1"/>
  <c r="O19" i="252"/>
  <c r="N64" i="205"/>
  <c r="N19" i="255"/>
  <c r="N47" i="205"/>
  <c r="N19" i="243"/>
  <c r="K174" i="358"/>
  <c r="O64" i="205" l="1"/>
  <c r="P19" i="255" s="1"/>
  <c r="O19" i="255"/>
  <c r="O58" i="205"/>
  <c r="P19" i="249" s="1"/>
  <c r="O19" i="249"/>
  <c r="O62" i="205"/>
  <c r="O19" i="251"/>
  <c r="N65" i="205"/>
  <c r="O47" i="205"/>
  <c r="P19" i="243" s="1"/>
  <c r="O19" i="243"/>
  <c r="K144" i="358"/>
  <c r="K145" i="358"/>
  <c r="K130" i="358"/>
  <c r="K125" i="358"/>
  <c r="K110" i="358"/>
  <c r="K88" i="358"/>
  <c r="K73" i="358"/>
  <c r="K49" i="358"/>
  <c r="K29" i="358"/>
  <c r="K18" i="358"/>
  <c r="K13" i="358"/>
  <c r="P19" i="251" l="1"/>
  <c r="O65" i="205"/>
  <c r="J144" i="358"/>
  <c r="J145" i="358"/>
  <c r="J130" i="358"/>
  <c r="J125" i="358"/>
  <c r="J110" i="358"/>
  <c r="J88" i="358"/>
  <c r="J73" i="358"/>
  <c r="J49" i="358"/>
  <c r="J29" i="358"/>
  <c r="J18" i="358"/>
  <c r="J13" i="358"/>
  <c r="I144" i="358" l="1"/>
  <c r="I130" i="358"/>
  <c r="I125" i="358"/>
  <c r="I110" i="358"/>
  <c r="I29" i="358"/>
  <c r="I18" i="358"/>
  <c r="I13" i="358"/>
  <c r="I88" i="358"/>
  <c r="I73" i="358"/>
  <c r="I49" i="358"/>
  <c r="I174" i="358" l="1"/>
  <c r="J174" i="358"/>
  <c r="L174" i="358"/>
  <c r="M174" i="358"/>
  <c r="O174" i="358"/>
  <c r="F174" i="358"/>
  <c r="G174" i="358"/>
  <c r="H174" i="358"/>
  <c r="H144" i="358" l="1"/>
  <c r="H130" i="358"/>
  <c r="H125" i="358"/>
  <c r="H110" i="358"/>
  <c r="H29" i="358"/>
  <c r="H18" i="358"/>
  <c r="H13" i="358"/>
  <c r="H88" i="358"/>
  <c r="H73" i="358"/>
  <c r="H49" i="358"/>
  <c r="G144" i="358" l="1"/>
  <c r="G130" i="358"/>
  <c r="G125" i="358"/>
  <c r="G110" i="358"/>
  <c r="G88" i="358"/>
  <c r="G73" i="358"/>
  <c r="G49" i="358"/>
  <c r="G29" i="358"/>
  <c r="G18" i="358"/>
  <c r="G13" i="358"/>
  <c r="F144" i="358" l="1"/>
  <c r="F159" i="358" l="1"/>
  <c r="F130" i="358"/>
  <c r="F125" i="358"/>
  <c r="F110" i="358"/>
  <c r="E49" i="358"/>
  <c r="E18" i="358"/>
  <c r="F29" i="358"/>
  <c r="F18" i="358"/>
  <c r="F13" i="358"/>
  <c r="F88" i="358"/>
  <c r="F73" i="358" l="1"/>
  <c r="F63" i="358"/>
  <c r="F49" i="358"/>
  <c r="C1" i="389" l="1"/>
  <c r="B1" i="389"/>
  <c r="D30" i="389"/>
  <c r="D29" i="389"/>
  <c r="G28" i="389"/>
  <c r="D28" i="389"/>
  <c r="D27" i="389"/>
  <c r="D26" i="389"/>
  <c r="P25" i="389"/>
  <c r="O25" i="389"/>
  <c r="N25" i="389"/>
  <c r="M25" i="389"/>
  <c r="L25" i="389"/>
  <c r="K25" i="389"/>
  <c r="J25" i="389"/>
  <c r="I25" i="389"/>
  <c r="H25" i="389"/>
  <c r="G25" i="389"/>
  <c r="F25" i="389"/>
  <c r="E25" i="389"/>
  <c r="K28" i="389"/>
  <c r="N28" i="389"/>
  <c r="I1" i="389"/>
  <c r="F19" i="388"/>
  <c r="F22" i="388" s="1"/>
  <c r="G19" i="388"/>
  <c r="H19" i="388"/>
  <c r="H23" i="388" s="1"/>
  <c r="I19" i="388"/>
  <c r="J19" i="388"/>
  <c r="J23" i="388" s="1"/>
  <c r="K19" i="388"/>
  <c r="L19" i="388"/>
  <c r="M19" i="388"/>
  <c r="N19" i="388"/>
  <c r="O19" i="388"/>
  <c r="P19" i="388"/>
  <c r="E19" i="388"/>
  <c r="C1" i="388"/>
  <c r="B1" i="388"/>
  <c r="D30" i="388"/>
  <c r="D29" i="388"/>
  <c r="G28" i="388"/>
  <c r="D28" i="388"/>
  <c r="D27" i="388"/>
  <c r="E26" i="388"/>
  <c r="D26" i="388"/>
  <c r="P25" i="388"/>
  <c r="O25" i="388"/>
  <c r="N25" i="388"/>
  <c r="M25" i="388"/>
  <c r="L25" i="388"/>
  <c r="K25" i="388"/>
  <c r="J25" i="388"/>
  <c r="I25" i="388"/>
  <c r="H25" i="388"/>
  <c r="G25" i="388"/>
  <c r="F25" i="388"/>
  <c r="E25" i="388"/>
  <c r="O28" i="388"/>
  <c r="N28" i="388"/>
  <c r="I1" i="388"/>
  <c r="L23" i="387"/>
  <c r="O23" i="387"/>
  <c r="P23" i="387"/>
  <c r="B1" i="387"/>
  <c r="D30" i="387"/>
  <c r="D29" i="387"/>
  <c r="G28" i="387"/>
  <c r="D28" i="387"/>
  <c r="E26" i="387"/>
  <c r="J25" i="387"/>
  <c r="F25" i="387"/>
  <c r="K28" i="387"/>
  <c r="N28" i="387"/>
  <c r="D20" i="387"/>
  <c r="D27" i="387" s="1"/>
  <c r="D19" i="387"/>
  <c r="D26" i="387" s="1"/>
  <c r="P18" i="387"/>
  <c r="P25" i="387" s="1"/>
  <c r="O18" i="387"/>
  <c r="O25" i="387" s="1"/>
  <c r="N18" i="387"/>
  <c r="N25" i="387" s="1"/>
  <c r="M18" i="387"/>
  <c r="M25" i="387" s="1"/>
  <c r="L18" i="387"/>
  <c r="L25" i="387" s="1"/>
  <c r="K18" i="387"/>
  <c r="K25" i="387" s="1"/>
  <c r="J18" i="387"/>
  <c r="I18" i="387"/>
  <c r="I25" i="387" s="1"/>
  <c r="H18" i="387"/>
  <c r="H25" i="387" s="1"/>
  <c r="G18" i="387"/>
  <c r="G25" i="387" s="1"/>
  <c r="F18" i="387"/>
  <c r="E18" i="387"/>
  <c r="E25" i="387" s="1"/>
  <c r="I1" i="387"/>
  <c r="K27" i="386"/>
  <c r="L27" i="386"/>
  <c r="F19" i="386"/>
  <c r="F26" i="386" s="1"/>
  <c r="G19" i="386"/>
  <c r="G26" i="386" s="1"/>
  <c r="H19" i="386"/>
  <c r="H22" i="386" s="1"/>
  <c r="I19" i="386"/>
  <c r="I26" i="386" s="1"/>
  <c r="J19" i="386"/>
  <c r="J26" i="386" s="1"/>
  <c r="K19" i="386"/>
  <c r="K26" i="386" s="1"/>
  <c r="L19" i="386"/>
  <c r="L26" i="386" s="1"/>
  <c r="M19" i="386"/>
  <c r="M26" i="386" s="1"/>
  <c r="N19" i="386"/>
  <c r="N26" i="386" s="1"/>
  <c r="O19" i="386"/>
  <c r="O26" i="386" s="1"/>
  <c r="P19" i="386"/>
  <c r="P26" i="386" s="1"/>
  <c r="E19" i="386"/>
  <c r="E26" i="386" s="1"/>
  <c r="C1" i="386"/>
  <c r="B1" i="386"/>
  <c r="D30" i="386"/>
  <c r="D29" i="386"/>
  <c r="O28" i="386"/>
  <c r="K28" i="386"/>
  <c r="G28" i="386"/>
  <c r="D28" i="386"/>
  <c r="P27" i="386"/>
  <c r="H27" i="386"/>
  <c r="O25" i="386"/>
  <c r="N25" i="386"/>
  <c r="G25" i="386"/>
  <c r="F25" i="386"/>
  <c r="P28" i="386"/>
  <c r="N28" i="386"/>
  <c r="M28" i="386"/>
  <c r="L28" i="386"/>
  <c r="J28" i="386"/>
  <c r="I28" i="386"/>
  <c r="H28" i="386"/>
  <c r="F28" i="386"/>
  <c r="O27" i="386"/>
  <c r="D20" i="386"/>
  <c r="D27" i="386" s="1"/>
  <c r="D19" i="386"/>
  <c r="D26" i="386" s="1"/>
  <c r="P18" i="386"/>
  <c r="P25" i="386" s="1"/>
  <c r="O18" i="386"/>
  <c r="N18" i="386"/>
  <c r="M18" i="386"/>
  <c r="M25" i="386" s="1"/>
  <c r="L18" i="386"/>
  <c r="L25" i="386" s="1"/>
  <c r="K18" i="386"/>
  <c r="K25" i="386" s="1"/>
  <c r="J18" i="386"/>
  <c r="J25" i="386" s="1"/>
  <c r="I18" i="386"/>
  <c r="I25" i="386" s="1"/>
  <c r="H18" i="386"/>
  <c r="H25" i="386" s="1"/>
  <c r="G18" i="386"/>
  <c r="F18" i="386"/>
  <c r="E18" i="386"/>
  <c r="E25" i="386" s="1"/>
  <c r="I1" i="386"/>
  <c r="H27" i="385"/>
  <c r="F19" i="385"/>
  <c r="F26" i="385" s="1"/>
  <c r="G19" i="385"/>
  <c r="G26" i="385" s="1"/>
  <c r="H19" i="385"/>
  <c r="H26" i="385" s="1"/>
  <c r="I19" i="385"/>
  <c r="I26" i="385" s="1"/>
  <c r="J19" i="385"/>
  <c r="J26" i="385" s="1"/>
  <c r="K19" i="385"/>
  <c r="K26" i="385" s="1"/>
  <c r="L19" i="385"/>
  <c r="L26" i="385" s="1"/>
  <c r="M19" i="385"/>
  <c r="M26" i="385" s="1"/>
  <c r="N19" i="385"/>
  <c r="N22" i="385" s="1"/>
  <c r="O19" i="385"/>
  <c r="O26" i="385" s="1"/>
  <c r="P19" i="385"/>
  <c r="G50" i="34" s="1"/>
  <c r="E19" i="385"/>
  <c r="E26" i="385" s="1"/>
  <c r="C1" i="385"/>
  <c r="D1" i="385"/>
  <c r="B1" i="385"/>
  <c r="D30" i="385"/>
  <c r="D29" i="385"/>
  <c r="O28" i="385"/>
  <c r="K28" i="385"/>
  <c r="G28" i="385"/>
  <c r="D28" i="385"/>
  <c r="D27" i="385"/>
  <c r="N25" i="385"/>
  <c r="J25" i="385"/>
  <c r="N23" i="385"/>
  <c r="P28" i="385"/>
  <c r="N28" i="385"/>
  <c r="M28" i="385"/>
  <c r="L28" i="385"/>
  <c r="J28" i="385"/>
  <c r="I28" i="385"/>
  <c r="H28" i="385"/>
  <c r="F28" i="385"/>
  <c r="G27" i="385"/>
  <c r="D20" i="385"/>
  <c r="D19" i="385"/>
  <c r="D26" i="385" s="1"/>
  <c r="P18" i="385"/>
  <c r="P25" i="385" s="1"/>
  <c r="O18" i="385"/>
  <c r="O25" i="385" s="1"/>
  <c r="N18" i="385"/>
  <c r="M18" i="385"/>
  <c r="M25" i="385" s="1"/>
  <c r="L18" i="385"/>
  <c r="L25" i="385" s="1"/>
  <c r="K18" i="385"/>
  <c r="K25" i="385" s="1"/>
  <c r="J18" i="385"/>
  <c r="I18" i="385"/>
  <c r="I25" i="385" s="1"/>
  <c r="H18" i="385"/>
  <c r="H25" i="385" s="1"/>
  <c r="G18" i="385"/>
  <c r="G25" i="385" s="1"/>
  <c r="F18" i="385"/>
  <c r="F25" i="385" s="1"/>
  <c r="E18" i="385"/>
  <c r="E25" i="385" s="1"/>
  <c r="I1" i="385"/>
  <c r="F22" i="384"/>
  <c r="F19" i="384"/>
  <c r="F23" i="384" s="1"/>
  <c r="G19" i="384"/>
  <c r="H19" i="384"/>
  <c r="I19" i="384"/>
  <c r="I23" i="384" s="1"/>
  <c r="J19" i="384"/>
  <c r="J22" i="384" s="1"/>
  <c r="K19" i="384"/>
  <c r="L19" i="384"/>
  <c r="L23" i="384" s="1"/>
  <c r="M19" i="384"/>
  <c r="N19" i="384"/>
  <c r="N23" i="384" s="1"/>
  <c r="O19" i="384"/>
  <c r="P19" i="384"/>
  <c r="P23" i="384" s="1"/>
  <c r="E19" i="384"/>
  <c r="C1" i="384"/>
  <c r="D1" i="384"/>
  <c r="B1" i="384"/>
  <c r="D30" i="384"/>
  <c r="D29" i="384"/>
  <c r="G28" i="384"/>
  <c r="D28" i="384"/>
  <c r="F25" i="384"/>
  <c r="O28" i="384"/>
  <c r="J28" i="384"/>
  <c r="N28" i="384"/>
  <c r="D20" i="384"/>
  <c r="D27" i="384" s="1"/>
  <c r="D19" i="384"/>
  <c r="D26" i="384" s="1"/>
  <c r="P18" i="384"/>
  <c r="P25" i="384" s="1"/>
  <c r="O18" i="384"/>
  <c r="O25" i="384" s="1"/>
  <c r="N18" i="384"/>
  <c r="N25" i="384" s="1"/>
  <c r="M18" i="384"/>
  <c r="M25" i="384" s="1"/>
  <c r="L18" i="384"/>
  <c r="L25" i="384" s="1"/>
  <c r="K18" i="384"/>
  <c r="K25" i="384" s="1"/>
  <c r="J18" i="384"/>
  <c r="J25" i="384" s="1"/>
  <c r="I18" i="384"/>
  <c r="I25" i="384" s="1"/>
  <c r="H18" i="384"/>
  <c r="H25" i="384" s="1"/>
  <c r="G18" i="384"/>
  <c r="G25" i="384" s="1"/>
  <c r="F18" i="384"/>
  <c r="E18" i="384"/>
  <c r="E25" i="384" s="1"/>
  <c r="I1" i="384"/>
  <c r="E144" i="358"/>
  <c r="B144" i="358"/>
  <c r="C144" i="358"/>
  <c r="D144" i="358"/>
  <c r="A144" i="358"/>
  <c r="E128" i="358"/>
  <c r="E130" i="358" s="1"/>
  <c r="C129" i="358"/>
  <c r="B129" i="358"/>
  <c r="A129" i="358"/>
  <c r="F115" i="358"/>
  <c r="G115" i="358"/>
  <c r="H115" i="358"/>
  <c r="H145" i="358" s="1"/>
  <c r="I115" i="358"/>
  <c r="J115" i="358"/>
  <c r="K115" i="358"/>
  <c r="L115" i="358"/>
  <c r="M115" i="358"/>
  <c r="N115" i="358"/>
  <c r="O115" i="358"/>
  <c r="P115" i="358"/>
  <c r="E113" i="358"/>
  <c r="E115" i="358"/>
  <c r="C114" i="358"/>
  <c r="B114" i="358"/>
  <c r="A114" i="358"/>
  <c r="F44" i="358"/>
  <c r="G44" i="358"/>
  <c r="H44" i="358"/>
  <c r="I44" i="358"/>
  <c r="J44" i="358"/>
  <c r="K44" i="358"/>
  <c r="L44" i="358"/>
  <c r="M44" i="358"/>
  <c r="N44" i="358"/>
  <c r="O44" i="358"/>
  <c r="P44" i="358"/>
  <c r="F78" i="358"/>
  <c r="G78" i="358"/>
  <c r="H78" i="358"/>
  <c r="I78" i="358"/>
  <c r="J78" i="358"/>
  <c r="K78" i="358"/>
  <c r="L78" i="358"/>
  <c r="M78" i="358"/>
  <c r="N78" i="358"/>
  <c r="O78" i="358"/>
  <c r="P78" i="358"/>
  <c r="E88" i="358"/>
  <c r="E98" i="358" s="1"/>
  <c r="E92" i="358"/>
  <c r="E94" i="358"/>
  <c r="E108" i="358"/>
  <c r="E110" i="358"/>
  <c r="E162" i="358" s="1"/>
  <c r="E123" i="358"/>
  <c r="E125" i="358" s="1"/>
  <c r="E132" i="358"/>
  <c r="E133" i="358"/>
  <c r="E134" i="358"/>
  <c r="E135" i="358"/>
  <c r="E136" i="358"/>
  <c r="E137" i="358"/>
  <c r="E138" i="358"/>
  <c r="E139" i="358"/>
  <c r="E141" i="358"/>
  <c r="E142" i="358"/>
  <c r="E143" i="358"/>
  <c r="E146" i="358"/>
  <c r="E153" i="358"/>
  <c r="E155" i="358" s="1"/>
  <c r="E164" i="358" s="1"/>
  <c r="E167" i="358" s="1"/>
  <c r="E159" i="358"/>
  <c r="E78" i="358"/>
  <c r="C77" i="358"/>
  <c r="B77" i="358"/>
  <c r="A77" i="358"/>
  <c r="B48" i="358"/>
  <c r="C48" i="358"/>
  <c r="D48" i="358"/>
  <c r="A48" i="358"/>
  <c r="C17" i="358"/>
  <c r="B17" i="358"/>
  <c r="A17" i="358"/>
  <c r="F19" i="389"/>
  <c r="G19" i="389"/>
  <c r="G23" i="389" s="1"/>
  <c r="H19" i="389"/>
  <c r="I19" i="389"/>
  <c r="J19" i="389"/>
  <c r="J23" i="389" s="1"/>
  <c r="K19" i="389"/>
  <c r="K23" i="389" s="1"/>
  <c r="L19" i="389"/>
  <c r="M19" i="389"/>
  <c r="N19" i="389"/>
  <c r="N23" i="389" s="1"/>
  <c r="O19" i="389"/>
  <c r="O23" i="389" s="1"/>
  <c r="P19" i="389"/>
  <c r="P23" i="389" s="1"/>
  <c r="E19" i="389"/>
  <c r="C152" i="205"/>
  <c r="B152" i="205"/>
  <c r="A152" i="205"/>
  <c r="G136" i="205"/>
  <c r="K136" i="205"/>
  <c r="O136" i="205"/>
  <c r="E136" i="205"/>
  <c r="F136" i="205"/>
  <c r="H136" i="205"/>
  <c r="I136" i="205"/>
  <c r="J136" i="205"/>
  <c r="L136" i="205"/>
  <c r="M136" i="205"/>
  <c r="N136" i="205"/>
  <c r="D136" i="205"/>
  <c r="C135" i="205"/>
  <c r="B135" i="205"/>
  <c r="A135" i="205"/>
  <c r="E119" i="205"/>
  <c r="F19" i="398" s="1"/>
  <c r="F23" i="398" s="1"/>
  <c r="F119" i="205"/>
  <c r="G19" i="398" s="1"/>
  <c r="G23" i="398" s="1"/>
  <c r="G119" i="205"/>
  <c r="H19" i="398" s="1"/>
  <c r="H23" i="398" s="1"/>
  <c r="H119" i="205"/>
  <c r="I19" i="398" s="1"/>
  <c r="I23" i="398" s="1"/>
  <c r="I119" i="205"/>
  <c r="J19" i="398" s="1"/>
  <c r="J23" i="398" s="1"/>
  <c r="J119" i="205"/>
  <c r="K19" i="398" s="1"/>
  <c r="K23" i="398" s="1"/>
  <c r="K119" i="205"/>
  <c r="L19" i="398" s="1"/>
  <c r="L23" i="398" s="1"/>
  <c r="L119" i="205"/>
  <c r="M19" i="398" s="1"/>
  <c r="M23" i="398" s="1"/>
  <c r="M119" i="205"/>
  <c r="N19" i="398" s="1"/>
  <c r="N23" i="398" s="1"/>
  <c r="N119" i="205"/>
  <c r="O19" i="398" s="1"/>
  <c r="O23" i="398" s="1"/>
  <c r="O119" i="205"/>
  <c r="P19" i="398" s="1"/>
  <c r="D119" i="205"/>
  <c r="E19" i="398" s="1"/>
  <c r="C118" i="205"/>
  <c r="B118" i="205"/>
  <c r="A118" i="205"/>
  <c r="B79" i="205"/>
  <c r="C79" i="205"/>
  <c r="A79" i="205"/>
  <c r="B48" i="205"/>
  <c r="C48" i="205"/>
  <c r="A48" i="205"/>
  <c r="E18" i="205"/>
  <c r="F18" i="205"/>
  <c r="G18" i="205"/>
  <c r="H18" i="205"/>
  <c r="I18" i="205"/>
  <c r="J18" i="205"/>
  <c r="K18" i="205"/>
  <c r="L18" i="205"/>
  <c r="M18" i="205"/>
  <c r="N18" i="205"/>
  <c r="O18" i="205"/>
  <c r="D18" i="205"/>
  <c r="B17" i="205"/>
  <c r="C17" i="205"/>
  <c r="A17" i="205"/>
  <c r="E23" i="398" l="1"/>
  <c r="P26" i="398"/>
  <c r="E26" i="398"/>
  <c r="E30" i="398" s="1"/>
  <c r="K26" i="398"/>
  <c r="K30" i="398" s="1"/>
  <c r="I26" i="398"/>
  <c r="I30" i="398" s="1"/>
  <c r="F26" i="398"/>
  <c r="F30" i="398" s="1"/>
  <c r="O26" i="398"/>
  <c r="O30" i="398" s="1"/>
  <c r="M26" i="398"/>
  <c r="M30" i="398" s="1"/>
  <c r="H26" i="398"/>
  <c r="H30" i="398" s="1"/>
  <c r="J26" i="398"/>
  <c r="J30" i="398" s="1"/>
  <c r="Q19" i="398"/>
  <c r="L26" i="398"/>
  <c r="L30" i="398" s="1"/>
  <c r="N26" i="398"/>
  <c r="N30" i="398" s="1"/>
  <c r="G26" i="398"/>
  <c r="G30" i="398" s="1"/>
  <c r="G126" i="34"/>
  <c r="P23" i="398"/>
  <c r="J22" i="388"/>
  <c r="G17" i="34"/>
  <c r="P22" i="386"/>
  <c r="H26" i="386"/>
  <c r="H30" i="386" s="1"/>
  <c r="P26" i="385"/>
  <c r="M50" i="34" s="1"/>
  <c r="O22" i="386"/>
  <c r="G84" i="34"/>
  <c r="J23" i="384"/>
  <c r="P26" i="384"/>
  <c r="M17" i="34" s="1"/>
  <c r="O22" i="385"/>
  <c r="J22" i="386"/>
  <c r="O22" i="387"/>
  <c r="K22" i="387"/>
  <c r="G22" i="387"/>
  <c r="P22" i="389"/>
  <c r="L22" i="389"/>
  <c r="J23" i="387"/>
  <c r="Q19" i="385"/>
  <c r="I26" i="387"/>
  <c r="H22" i="389"/>
  <c r="N26" i="385"/>
  <c r="O23" i="388"/>
  <c r="K23" i="388"/>
  <c r="G23" i="388"/>
  <c r="N22" i="388"/>
  <c r="P26" i="388"/>
  <c r="M143" i="34" s="1"/>
  <c r="M23" i="388"/>
  <c r="I23" i="388"/>
  <c r="P23" i="388"/>
  <c r="L23" i="388"/>
  <c r="J22" i="389"/>
  <c r="N22" i="389"/>
  <c r="O22" i="389"/>
  <c r="K22" i="389"/>
  <c r="N22" i="387"/>
  <c r="F23" i="387"/>
  <c r="H23" i="387"/>
  <c r="G22" i="389"/>
  <c r="N23" i="386"/>
  <c r="J23" i="386"/>
  <c r="F22" i="386"/>
  <c r="G22" i="385"/>
  <c r="G30" i="385"/>
  <c r="J23" i="385"/>
  <c r="F23" i="385"/>
  <c r="E22" i="385"/>
  <c r="E29" i="385" s="1"/>
  <c r="K22" i="385"/>
  <c r="E23" i="385"/>
  <c r="P23" i="385"/>
  <c r="L23" i="385"/>
  <c r="H23" i="384"/>
  <c r="O22" i="384"/>
  <c r="K22" i="384"/>
  <c r="E26" i="384"/>
  <c r="N22" i="384"/>
  <c r="O22" i="388"/>
  <c r="O27" i="385"/>
  <c r="N23" i="388"/>
  <c r="N23" i="387"/>
  <c r="H17" i="34"/>
  <c r="H50" i="34"/>
  <c r="L22" i="386"/>
  <c r="K22" i="386"/>
  <c r="G23" i="387"/>
  <c r="E145" i="358"/>
  <c r="L27" i="385"/>
  <c r="L30" i="385" s="1"/>
  <c r="K23" i="387"/>
  <c r="K22" i="388"/>
  <c r="H23" i="385"/>
  <c r="P27" i="385"/>
  <c r="F23" i="386"/>
  <c r="K27" i="385"/>
  <c r="K30" i="385" s="1"/>
  <c r="N22" i="386"/>
  <c r="H143" i="34"/>
  <c r="H161" i="34"/>
  <c r="H84" i="34"/>
  <c r="J22" i="387"/>
  <c r="J22" i="385"/>
  <c r="G22" i="384"/>
  <c r="G22" i="386"/>
  <c r="O27" i="388"/>
  <c r="G22" i="388"/>
  <c r="G27" i="386"/>
  <c r="M23" i="384"/>
  <c r="S5" i="386"/>
  <c r="S6" i="386" s="1"/>
  <c r="M84" i="34"/>
  <c r="E22" i="386"/>
  <c r="E29" i="386" s="1"/>
  <c r="Q19" i="386"/>
  <c r="M26" i="388"/>
  <c r="G143" i="34"/>
  <c r="G161" i="34"/>
  <c r="E26" i="389"/>
  <c r="N26" i="389"/>
  <c r="H23" i="389"/>
  <c r="F22" i="389"/>
  <c r="P26" i="387"/>
  <c r="L23" i="389"/>
  <c r="F22" i="387"/>
  <c r="O27" i="384"/>
  <c r="F22" i="385"/>
  <c r="O27" i="389"/>
  <c r="M23" i="389"/>
  <c r="P26" i="389"/>
  <c r="I23" i="389"/>
  <c r="Q20" i="389"/>
  <c r="F23" i="389"/>
  <c r="O28" i="389"/>
  <c r="F26" i="389"/>
  <c r="J26" i="389"/>
  <c r="E27" i="389"/>
  <c r="I27" i="389"/>
  <c r="M27" i="389"/>
  <c r="H28" i="389"/>
  <c r="P28" i="389"/>
  <c r="E22" i="389"/>
  <c r="I22" i="389"/>
  <c r="M22" i="389"/>
  <c r="G26" i="389"/>
  <c r="K26" i="389"/>
  <c r="O26" i="389"/>
  <c r="F27" i="389"/>
  <c r="J27" i="389"/>
  <c r="N27" i="389"/>
  <c r="E28" i="389"/>
  <c r="I28" i="389"/>
  <c r="M28" i="389"/>
  <c r="I26" i="389"/>
  <c r="M26" i="389"/>
  <c r="H27" i="389"/>
  <c r="L27" i="389"/>
  <c r="P27" i="389"/>
  <c r="P30" i="389" s="1"/>
  <c r="Q21" i="389"/>
  <c r="L28" i="389"/>
  <c r="Q19" i="389"/>
  <c r="E23" i="389"/>
  <c r="H26" i="389"/>
  <c r="L26" i="389"/>
  <c r="G27" i="389"/>
  <c r="G30" i="389" s="1"/>
  <c r="K27" i="389"/>
  <c r="K30" i="389" s="1"/>
  <c r="F28" i="389"/>
  <c r="J28" i="389"/>
  <c r="Q20" i="388"/>
  <c r="F23" i="388"/>
  <c r="I26" i="388"/>
  <c r="H27" i="388"/>
  <c r="L27" i="388"/>
  <c r="P27" i="388"/>
  <c r="K28" i="388"/>
  <c r="Q21" i="388"/>
  <c r="H22" i="388"/>
  <c r="L22" i="388"/>
  <c r="P22" i="388"/>
  <c r="F26" i="388"/>
  <c r="J26" i="388"/>
  <c r="N26" i="388"/>
  <c r="E27" i="388"/>
  <c r="I27" i="388"/>
  <c r="M27" i="388"/>
  <c r="H28" i="388"/>
  <c r="L28" i="388"/>
  <c r="P28" i="388"/>
  <c r="E22" i="388"/>
  <c r="I22" i="388"/>
  <c r="M22" i="388"/>
  <c r="G26" i="388"/>
  <c r="K26" i="388"/>
  <c r="O26" i="388"/>
  <c r="F27" i="388"/>
  <c r="J27" i="388"/>
  <c r="N27" i="388"/>
  <c r="E28" i="388"/>
  <c r="E30" i="388" s="1"/>
  <c r="I28" i="388"/>
  <c r="M28" i="388"/>
  <c r="Q19" i="388"/>
  <c r="E23" i="388"/>
  <c r="H26" i="388"/>
  <c r="L26" i="388"/>
  <c r="G27" i="388"/>
  <c r="K27" i="388"/>
  <c r="F28" i="388"/>
  <c r="J28" i="388"/>
  <c r="M23" i="387"/>
  <c r="I23" i="387"/>
  <c r="O27" i="387"/>
  <c r="L27" i="387"/>
  <c r="O28" i="387"/>
  <c r="Q21" i="387"/>
  <c r="H22" i="387"/>
  <c r="L22" i="387"/>
  <c r="P22" i="387"/>
  <c r="F26" i="387"/>
  <c r="J26" i="387"/>
  <c r="N26" i="387"/>
  <c r="E27" i="387"/>
  <c r="I27" i="387"/>
  <c r="M27" i="387"/>
  <c r="H28" i="387"/>
  <c r="L28" i="387"/>
  <c r="P28" i="387"/>
  <c r="M26" i="387"/>
  <c r="Q19" i="387"/>
  <c r="E22" i="387"/>
  <c r="I22" i="387"/>
  <c r="M22" i="387"/>
  <c r="G26" i="387"/>
  <c r="K26" i="387"/>
  <c r="O26" i="387"/>
  <c r="F27" i="387"/>
  <c r="J27" i="387"/>
  <c r="N27" i="387"/>
  <c r="E28" i="387"/>
  <c r="E30" i="387" s="1"/>
  <c r="I28" i="387"/>
  <c r="M28" i="387"/>
  <c r="H27" i="387"/>
  <c r="P27" i="387"/>
  <c r="E23" i="387"/>
  <c r="H26" i="387"/>
  <c r="L26" i="387"/>
  <c r="G27" i="387"/>
  <c r="K27" i="387"/>
  <c r="F28" i="387"/>
  <c r="J28" i="387"/>
  <c r="L30" i="386"/>
  <c r="I23" i="386"/>
  <c r="M23" i="386"/>
  <c r="P30" i="386"/>
  <c r="E23" i="386"/>
  <c r="K30" i="386"/>
  <c r="O30" i="386"/>
  <c r="Q20" i="386"/>
  <c r="Q21" i="386"/>
  <c r="G23" i="386"/>
  <c r="K23" i="386"/>
  <c r="O23" i="386"/>
  <c r="E27" i="386"/>
  <c r="I27" i="386"/>
  <c r="I30" i="386" s="1"/>
  <c r="M27" i="386"/>
  <c r="M30" i="386" s="1"/>
  <c r="I22" i="386"/>
  <c r="M22" i="386"/>
  <c r="H23" i="386"/>
  <c r="L23" i="386"/>
  <c r="P23" i="386"/>
  <c r="F27" i="386"/>
  <c r="F30" i="386" s="1"/>
  <c r="J27" i="386"/>
  <c r="J30" i="386" s="1"/>
  <c r="N27" i="386"/>
  <c r="N30" i="386" s="1"/>
  <c r="E28" i="386"/>
  <c r="E30" i="386" s="1"/>
  <c r="O30" i="385"/>
  <c r="I23" i="385"/>
  <c r="M23" i="385"/>
  <c r="H30" i="385"/>
  <c r="Q20" i="385"/>
  <c r="Q21" i="385"/>
  <c r="H22" i="385"/>
  <c r="L22" i="385"/>
  <c r="P22" i="385"/>
  <c r="G23" i="385"/>
  <c r="K23" i="385"/>
  <c r="O23" i="385"/>
  <c r="E27" i="385"/>
  <c r="I27" i="385"/>
  <c r="I30" i="385" s="1"/>
  <c r="M27" i="385"/>
  <c r="M30" i="385" s="1"/>
  <c r="I22" i="385"/>
  <c r="M22" i="385"/>
  <c r="F27" i="385"/>
  <c r="F30" i="385" s="1"/>
  <c r="J27" i="385"/>
  <c r="J30" i="385" s="1"/>
  <c r="N27" i="385"/>
  <c r="E28" i="385"/>
  <c r="E30" i="385" s="1"/>
  <c r="M26" i="384"/>
  <c r="G23" i="384"/>
  <c r="K23" i="384"/>
  <c r="O23" i="384"/>
  <c r="Q21" i="384"/>
  <c r="H22" i="384"/>
  <c r="L22" i="384"/>
  <c r="P22" i="384"/>
  <c r="F26" i="384"/>
  <c r="J26" i="384"/>
  <c r="N26" i="384"/>
  <c r="E27" i="384"/>
  <c r="I27" i="384"/>
  <c r="M27" i="384"/>
  <c r="H28" i="384"/>
  <c r="L28" i="384"/>
  <c r="P28" i="384"/>
  <c r="Q20" i="384"/>
  <c r="I26" i="384"/>
  <c r="H27" i="384"/>
  <c r="P27" i="384"/>
  <c r="K28" i="384"/>
  <c r="Q19" i="384"/>
  <c r="E22" i="384"/>
  <c r="I22" i="384"/>
  <c r="M22" i="384"/>
  <c r="G26" i="384"/>
  <c r="K26" i="384"/>
  <c r="O26" i="384"/>
  <c r="F27" i="384"/>
  <c r="J27" i="384"/>
  <c r="N27" i="384"/>
  <c r="E28" i="384"/>
  <c r="I28" i="384"/>
  <c r="M28" i="384"/>
  <c r="L27" i="384"/>
  <c r="E23" i="384"/>
  <c r="H26" i="384"/>
  <c r="L26" i="384"/>
  <c r="G27" i="384"/>
  <c r="K27" i="384"/>
  <c r="F28" i="384"/>
  <c r="E140" i="358"/>
  <c r="E163" i="358"/>
  <c r="F19" i="383"/>
  <c r="G19" i="383"/>
  <c r="H19" i="383"/>
  <c r="I19" i="383"/>
  <c r="J19" i="383"/>
  <c r="K19" i="383"/>
  <c r="L19" i="383"/>
  <c r="M19" i="383"/>
  <c r="N19" i="383"/>
  <c r="O19" i="383"/>
  <c r="P19" i="383"/>
  <c r="E19" i="383"/>
  <c r="C1" i="383"/>
  <c r="B1" i="383"/>
  <c r="D30" i="383"/>
  <c r="D29" i="383"/>
  <c r="G28" i="383"/>
  <c r="D28" i="383"/>
  <c r="D27" i="383"/>
  <c r="E26" i="383"/>
  <c r="D26" i="383"/>
  <c r="P25" i="383"/>
  <c r="O25" i="383"/>
  <c r="N25" i="383"/>
  <c r="M25" i="383"/>
  <c r="L25" i="383"/>
  <c r="K25" i="383"/>
  <c r="J25" i="383"/>
  <c r="I25" i="383"/>
  <c r="H25" i="383"/>
  <c r="G25" i="383"/>
  <c r="F25" i="383"/>
  <c r="E25" i="383"/>
  <c r="O28" i="383"/>
  <c r="N28" i="383"/>
  <c r="I1" i="383"/>
  <c r="C1" i="382"/>
  <c r="B1" i="382"/>
  <c r="D30" i="382"/>
  <c r="D29" i="382"/>
  <c r="G28" i="382"/>
  <c r="D28" i="382"/>
  <c r="D27" i="382"/>
  <c r="D26" i="382"/>
  <c r="P25" i="382"/>
  <c r="O25" i="382"/>
  <c r="N25" i="382"/>
  <c r="M25" i="382"/>
  <c r="L25" i="382"/>
  <c r="K25" i="382"/>
  <c r="J25" i="382"/>
  <c r="I25" i="382"/>
  <c r="H25" i="382"/>
  <c r="G25" i="382"/>
  <c r="F25" i="382"/>
  <c r="E25" i="382"/>
  <c r="O28" i="382"/>
  <c r="N28" i="382"/>
  <c r="I1" i="382"/>
  <c r="F19" i="381"/>
  <c r="G19" i="381"/>
  <c r="H19" i="381"/>
  <c r="I19" i="381"/>
  <c r="J19" i="381"/>
  <c r="K19" i="381"/>
  <c r="L19" i="381"/>
  <c r="M19" i="381"/>
  <c r="N19" i="381"/>
  <c r="O19" i="381"/>
  <c r="P19" i="381"/>
  <c r="E19" i="381"/>
  <c r="E26" i="381" s="1"/>
  <c r="C1" i="381"/>
  <c r="D1" i="381"/>
  <c r="B1" i="381"/>
  <c r="D30" i="381"/>
  <c r="D29" i="381"/>
  <c r="G28" i="381"/>
  <c r="D28" i="381"/>
  <c r="D27" i="381"/>
  <c r="D26" i="381"/>
  <c r="P25" i="381"/>
  <c r="O25" i="381"/>
  <c r="N25" i="381"/>
  <c r="M25" i="381"/>
  <c r="L25" i="381"/>
  <c r="K25" i="381"/>
  <c r="J25" i="381"/>
  <c r="I25" i="381"/>
  <c r="H25" i="381"/>
  <c r="G25" i="381"/>
  <c r="F25" i="381"/>
  <c r="E25" i="381"/>
  <c r="O28" i="381"/>
  <c r="N28" i="381"/>
  <c r="I1" i="381"/>
  <c r="F19" i="380"/>
  <c r="G19" i="380"/>
  <c r="H19" i="380"/>
  <c r="I19" i="380"/>
  <c r="J19" i="380"/>
  <c r="J22" i="380" s="1"/>
  <c r="K19" i="380"/>
  <c r="L19" i="380"/>
  <c r="M19" i="380"/>
  <c r="N19" i="380"/>
  <c r="O19" i="380"/>
  <c r="P19" i="380"/>
  <c r="E19" i="380"/>
  <c r="E26" i="380" s="1"/>
  <c r="C1" i="380"/>
  <c r="B1" i="380"/>
  <c r="D30" i="380"/>
  <c r="D29" i="380"/>
  <c r="G28" i="380"/>
  <c r="D28" i="380"/>
  <c r="F25" i="380"/>
  <c r="O28" i="380"/>
  <c r="N28" i="380"/>
  <c r="D20" i="380"/>
  <c r="D27" i="380" s="1"/>
  <c r="D19" i="380"/>
  <c r="D26" i="380" s="1"/>
  <c r="P18" i="380"/>
  <c r="P25" i="380" s="1"/>
  <c r="O18" i="380"/>
  <c r="O25" i="380" s="1"/>
  <c r="N18" i="380"/>
  <c r="N25" i="380" s="1"/>
  <c r="M18" i="380"/>
  <c r="M25" i="380" s="1"/>
  <c r="L18" i="380"/>
  <c r="L25" i="380" s="1"/>
  <c r="K18" i="380"/>
  <c r="K25" i="380" s="1"/>
  <c r="J18" i="380"/>
  <c r="J25" i="380" s="1"/>
  <c r="I18" i="380"/>
  <c r="I25" i="380" s="1"/>
  <c r="H18" i="380"/>
  <c r="H25" i="380" s="1"/>
  <c r="G18" i="380"/>
  <c r="G25" i="380" s="1"/>
  <c r="F18" i="380"/>
  <c r="E18" i="380"/>
  <c r="E25" i="380" s="1"/>
  <c r="I1" i="380"/>
  <c r="C1" i="379"/>
  <c r="D1" i="379"/>
  <c r="B1" i="379"/>
  <c r="N27" i="379"/>
  <c r="O27" i="379"/>
  <c r="F19" i="379"/>
  <c r="F26" i="379" s="1"/>
  <c r="G19" i="379"/>
  <c r="G26" i="379" s="1"/>
  <c r="H19" i="379"/>
  <c r="H26" i="379" s="1"/>
  <c r="I19" i="379"/>
  <c r="I26" i="379" s="1"/>
  <c r="J19" i="379"/>
  <c r="K19" i="379"/>
  <c r="K26" i="379" s="1"/>
  <c r="L19" i="379"/>
  <c r="L26" i="379" s="1"/>
  <c r="M19" i="379"/>
  <c r="M26" i="379" s="1"/>
  <c r="N19" i="379"/>
  <c r="N26" i="379" s="1"/>
  <c r="O19" i="379"/>
  <c r="O26" i="379" s="1"/>
  <c r="P19" i="379"/>
  <c r="P26" i="379" s="1"/>
  <c r="E19" i="379"/>
  <c r="E26" i="379" s="1"/>
  <c r="D30" i="379"/>
  <c r="D29" i="379"/>
  <c r="N28" i="379"/>
  <c r="J28" i="379"/>
  <c r="F28" i="379"/>
  <c r="D28" i="379"/>
  <c r="N25" i="379"/>
  <c r="I25" i="379"/>
  <c r="P28" i="379"/>
  <c r="O28" i="379"/>
  <c r="M28" i="379"/>
  <c r="L28" i="379"/>
  <c r="K28" i="379"/>
  <c r="I28" i="379"/>
  <c r="H28" i="379"/>
  <c r="G28" i="379"/>
  <c r="E28" i="379"/>
  <c r="D20" i="379"/>
  <c r="D27" i="379" s="1"/>
  <c r="D19" i="379"/>
  <c r="D26" i="379" s="1"/>
  <c r="P18" i="379"/>
  <c r="P25" i="379" s="1"/>
  <c r="O18" i="379"/>
  <c r="O25" i="379" s="1"/>
  <c r="N18" i="379"/>
  <c r="M18" i="379"/>
  <c r="M25" i="379" s="1"/>
  <c r="L18" i="379"/>
  <c r="L25" i="379" s="1"/>
  <c r="K18" i="379"/>
  <c r="K25" i="379" s="1"/>
  <c r="J18" i="379"/>
  <c r="J25" i="379" s="1"/>
  <c r="I18" i="379"/>
  <c r="H18" i="379"/>
  <c r="H25" i="379" s="1"/>
  <c r="G18" i="379"/>
  <c r="G25" i="379" s="1"/>
  <c r="F18" i="379"/>
  <c r="F25" i="379" s="1"/>
  <c r="E18" i="379"/>
  <c r="E25" i="379" s="1"/>
  <c r="I1" i="379"/>
  <c r="G27" i="378"/>
  <c r="H27" i="378"/>
  <c r="L27" i="378"/>
  <c r="O27" i="378"/>
  <c r="D30" i="378"/>
  <c r="D29" i="378"/>
  <c r="O28" i="378"/>
  <c r="K28" i="378"/>
  <c r="G28" i="378"/>
  <c r="D28" i="378"/>
  <c r="P27" i="378"/>
  <c r="D27" i="378"/>
  <c r="O25" i="378"/>
  <c r="P28" i="378"/>
  <c r="N28" i="378"/>
  <c r="M28" i="378"/>
  <c r="L28" i="378"/>
  <c r="J28" i="378"/>
  <c r="I28" i="378"/>
  <c r="H28" i="378"/>
  <c r="F28" i="378"/>
  <c r="D20" i="378"/>
  <c r="D19" i="378"/>
  <c r="D26" i="378" s="1"/>
  <c r="P18" i="378"/>
  <c r="P25" i="378" s="1"/>
  <c r="O18" i="378"/>
  <c r="N18" i="378"/>
  <c r="N25" i="378" s="1"/>
  <c r="M18" i="378"/>
  <c r="M25" i="378" s="1"/>
  <c r="L18" i="378"/>
  <c r="L25" i="378" s="1"/>
  <c r="K18" i="378"/>
  <c r="K25" i="378" s="1"/>
  <c r="J18" i="378"/>
  <c r="J25" i="378" s="1"/>
  <c r="I18" i="378"/>
  <c r="I25" i="378" s="1"/>
  <c r="H18" i="378"/>
  <c r="H25" i="378" s="1"/>
  <c r="G18" i="378"/>
  <c r="G25" i="378" s="1"/>
  <c r="F18" i="378"/>
  <c r="F25" i="378" s="1"/>
  <c r="E18" i="378"/>
  <c r="E25" i="378" s="1"/>
  <c r="I1" i="378"/>
  <c r="B1" i="378"/>
  <c r="G27" i="377"/>
  <c r="H27" i="377"/>
  <c r="K27" i="377"/>
  <c r="L27" i="377"/>
  <c r="P27" i="377"/>
  <c r="F19" i="377"/>
  <c r="F26" i="377" s="1"/>
  <c r="G19" i="377"/>
  <c r="G26" i="377" s="1"/>
  <c r="H19" i="377"/>
  <c r="H26" i="377" s="1"/>
  <c r="I19" i="377"/>
  <c r="I26" i="377" s="1"/>
  <c r="J19" i="377"/>
  <c r="J26" i="377" s="1"/>
  <c r="K19" i="377"/>
  <c r="K26" i="377" s="1"/>
  <c r="L19" i="377"/>
  <c r="L26" i="377" s="1"/>
  <c r="M19" i="377"/>
  <c r="M26" i="377" s="1"/>
  <c r="N19" i="377"/>
  <c r="N22" i="377" s="1"/>
  <c r="O19" i="377"/>
  <c r="O26" i="377" s="1"/>
  <c r="P19" i="377"/>
  <c r="P26" i="377" s="1"/>
  <c r="E19" i="377"/>
  <c r="C1" i="377"/>
  <c r="D1" i="377"/>
  <c r="B1" i="377"/>
  <c r="D30" i="377"/>
  <c r="D29" i="377"/>
  <c r="O28" i="377"/>
  <c r="K28" i="377"/>
  <c r="G28" i="377"/>
  <c r="D28" i="377"/>
  <c r="N25" i="377"/>
  <c r="J25" i="377"/>
  <c r="P28" i="377"/>
  <c r="N28" i="377"/>
  <c r="M28" i="377"/>
  <c r="L28" i="377"/>
  <c r="J28" i="377"/>
  <c r="I28" i="377"/>
  <c r="H28" i="377"/>
  <c r="F28" i="377"/>
  <c r="D20" i="377"/>
  <c r="D27" i="377" s="1"/>
  <c r="D19" i="377"/>
  <c r="D26" i="377" s="1"/>
  <c r="P18" i="377"/>
  <c r="P25" i="377" s="1"/>
  <c r="O18" i="377"/>
  <c r="O25" i="377" s="1"/>
  <c r="N18" i="377"/>
  <c r="M18" i="377"/>
  <c r="M25" i="377" s="1"/>
  <c r="L18" i="377"/>
  <c r="L25" i="377" s="1"/>
  <c r="K18" i="377"/>
  <c r="K25" i="377" s="1"/>
  <c r="J18" i="377"/>
  <c r="I18" i="377"/>
  <c r="I25" i="377" s="1"/>
  <c r="H18" i="377"/>
  <c r="H25" i="377" s="1"/>
  <c r="G18" i="377"/>
  <c r="G25" i="377" s="1"/>
  <c r="F18" i="377"/>
  <c r="F25" i="377" s="1"/>
  <c r="E18" i="377"/>
  <c r="E25" i="377" s="1"/>
  <c r="I1" i="377"/>
  <c r="J27" i="376"/>
  <c r="M27" i="376"/>
  <c r="E19" i="376"/>
  <c r="D30" i="376"/>
  <c r="D29" i="376"/>
  <c r="P28" i="376"/>
  <c r="M28" i="376"/>
  <c r="L28" i="376"/>
  <c r="I28" i="376"/>
  <c r="H28" i="376"/>
  <c r="E28" i="376"/>
  <c r="D28" i="376"/>
  <c r="N27" i="376"/>
  <c r="P25" i="376"/>
  <c r="H25" i="376"/>
  <c r="E25" i="376"/>
  <c r="O28" i="376"/>
  <c r="N28" i="376"/>
  <c r="K28" i="376"/>
  <c r="J28" i="376"/>
  <c r="G28" i="376"/>
  <c r="F28" i="376"/>
  <c r="Q21" i="376"/>
  <c r="D20" i="376"/>
  <c r="D27" i="376" s="1"/>
  <c r="D19" i="376"/>
  <c r="D26" i="376" s="1"/>
  <c r="P18" i="376"/>
  <c r="O18" i="376"/>
  <c r="O25" i="376" s="1"/>
  <c r="N18" i="376"/>
  <c r="N25" i="376" s="1"/>
  <c r="M18" i="376"/>
  <c r="M25" i="376" s="1"/>
  <c r="L18" i="376"/>
  <c r="L25" i="376" s="1"/>
  <c r="K18" i="376"/>
  <c r="K25" i="376" s="1"/>
  <c r="J18" i="376"/>
  <c r="J25" i="376" s="1"/>
  <c r="I18" i="376"/>
  <c r="I25" i="376" s="1"/>
  <c r="H18" i="376"/>
  <c r="G18" i="376"/>
  <c r="G25" i="376" s="1"/>
  <c r="F18" i="376"/>
  <c r="F25" i="376" s="1"/>
  <c r="E18" i="376"/>
  <c r="I1" i="376"/>
  <c r="C1" i="376"/>
  <c r="B1" i="376"/>
  <c r="F22" i="375"/>
  <c r="I22" i="375"/>
  <c r="J22" i="375"/>
  <c r="L22" i="375"/>
  <c r="M22" i="375"/>
  <c r="N22" i="375"/>
  <c r="P22" i="375"/>
  <c r="H30" i="34"/>
  <c r="F19" i="375"/>
  <c r="G19" i="375"/>
  <c r="G23" i="375" s="1"/>
  <c r="H19" i="375"/>
  <c r="I19" i="375"/>
  <c r="I23" i="375" s="1"/>
  <c r="J19" i="375"/>
  <c r="K19" i="375"/>
  <c r="L19" i="375"/>
  <c r="L23" i="375" s="1"/>
  <c r="M19" i="375"/>
  <c r="M23" i="375" s="1"/>
  <c r="N19" i="375"/>
  <c r="O19" i="375"/>
  <c r="P19" i="375"/>
  <c r="E19" i="375"/>
  <c r="C1" i="375"/>
  <c r="B1" i="375"/>
  <c r="D30" i="375"/>
  <c r="D29" i="375"/>
  <c r="E28" i="375"/>
  <c r="D28" i="375"/>
  <c r="P25" i="375"/>
  <c r="M25" i="375"/>
  <c r="L25" i="375"/>
  <c r="H25" i="375"/>
  <c r="J28" i="375"/>
  <c r="P28" i="375"/>
  <c r="D20" i="375"/>
  <c r="D27" i="375" s="1"/>
  <c r="D19" i="375"/>
  <c r="D26" i="375" s="1"/>
  <c r="P18" i="375"/>
  <c r="O18" i="375"/>
  <c r="O25" i="375" s="1"/>
  <c r="N18" i="375"/>
  <c r="N25" i="375" s="1"/>
  <c r="M18" i="375"/>
  <c r="L18" i="375"/>
  <c r="K18" i="375"/>
  <c r="K25" i="375" s="1"/>
  <c r="J18" i="375"/>
  <c r="J25" i="375" s="1"/>
  <c r="I18" i="375"/>
  <c r="I25" i="375" s="1"/>
  <c r="H18" i="375"/>
  <c r="G18" i="375"/>
  <c r="G25" i="375" s="1"/>
  <c r="F18" i="375"/>
  <c r="F25" i="375" s="1"/>
  <c r="E18" i="375"/>
  <c r="E25" i="375" s="1"/>
  <c r="I1" i="375"/>
  <c r="F22" i="374"/>
  <c r="G22" i="374"/>
  <c r="J22" i="374"/>
  <c r="N22" i="374"/>
  <c r="H12" i="34"/>
  <c r="F19" i="374"/>
  <c r="G19" i="374"/>
  <c r="H19" i="374"/>
  <c r="H23" i="374" s="1"/>
  <c r="I19" i="374"/>
  <c r="J19" i="374"/>
  <c r="K19" i="374"/>
  <c r="L19" i="374"/>
  <c r="M19" i="374"/>
  <c r="N19" i="374"/>
  <c r="N23" i="374" s="1"/>
  <c r="O19" i="374"/>
  <c r="O23" i="374" s="1"/>
  <c r="P19" i="374"/>
  <c r="E19" i="374"/>
  <c r="C1" i="374"/>
  <c r="D1" i="374"/>
  <c r="B1" i="374"/>
  <c r="D30" i="374"/>
  <c r="D29" i="374"/>
  <c r="G28" i="374"/>
  <c r="D28" i="374"/>
  <c r="K28" i="374"/>
  <c r="N28" i="374"/>
  <c r="D20" i="374"/>
  <c r="D27" i="374" s="1"/>
  <c r="D19" i="374"/>
  <c r="D26" i="374" s="1"/>
  <c r="P18" i="374"/>
  <c r="P25" i="374" s="1"/>
  <c r="O18" i="374"/>
  <c r="O25" i="374" s="1"/>
  <c r="N18" i="374"/>
  <c r="N25" i="374" s="1"/>
  <c r="M18" i="374"/>
  <c r="M25" i="374" s="1"/>
  <c r="L18" i="374"/>
  <c r="L25" i="374" s="1"/>
  <c r="K18" i="374"/>
  <c r="K25" i="374" s="1"/>
  <c r="J18" i="374"/>
  <c r="J25" i="374" s="1"/>
  <c r="I18" i="374"/>
  <c r="I25" i="374" s="1"/>
  <c r="H18" i="374"/>
  <c r="H25" i="374" s="1"/>
  <c r="G18" i="374"/>
  <c r="G25" i="374" s="1"/>
  <c r="F18" i="374"/>
  <c r="F25" i="374" s="1"/>
  <c r="E18" i="374"/>
  <c r="E25" i="374" s="1"/>
  <c r="I1" i="374"/>
  <c r="F155" i="358"/>
  <c r="G155" i="358"/>
  <c r="H155" i="358"/>
  <c r="I155" i="358"/>
  <c r="J155" i="358"/>
  <c r="K155" i="358"/>
  <c r="L155" i="358"/>
  <c r="M155" i="358"/>
  <c r="N155" i="358"/>
  <c r="O155" i="358"/>
  <c r="P155" i="358"/>
  <c r="N124" i="34" l="1"/>
  <c r="S5" i="398"/>
  <c r="S6" i="398" s="1"/>
  <c r="M126" i="34"/>
  <c r="P30" i="398"/>
  <c r="M30" i="388"/>
  <c r="S5" i="387"/>
  <c r="S6" i="387" s="1"/>
  <c r="M124" i="34"/>
  <c r="N22" i="381"/>
  <c r="J22" i="381"/>
  <c r="F22" i="381"/>
  <c r="F29" i="385"/>
  <c r="G29" i="385"/>
  <c r="O22" i="380"/>
  <c r="K22" i="380"/>
  <c r="G22" i="380"/>
  <c r="N22" i="383"/>
  <c r="J22" i="383"/>
  <c r="F22" i="383"/>
  <c r="S5" i="385"/>
  <c r="S6" i="385" s="1"/>
  <c r="G63" i="34"/>
  <c r="N30" i="385"/>
  <c r="P30" i="384"/>
  <c r="F29" i="386"/>
  <c r="N22" i="380"/>
  <c r="F22" i="380"/>
  <c r="P30" i="385"/>
  <c r="S5" i="384"/>
  <c r="S6" i="384" s="1"/>
  <c r="G12" i="34"/>
  <c r="G30" i="34"/>
  <c r="I30" i="34" s="1"/>
  <c r="M22" i="379"/>
  <c r="I22" i="379"/>
  <c r="O23" i="383"/>
  <c r="K22" i="383"/>
  <c r="G22" i="383"/>
  <c r="F30" i="384"/>
  <c r="M30" i="384"/>
  <c r="I30" i="387"/>
  <c r="M23" i="383"/>
  <c r="I23" i="383"/>
  <c r="P23" i="383"/>
  <c r="L23" i="383"/>
  <c r="H23" i="383"/>
  <c r="K30" i="388"/>
  <c r="P30" i="388"/>
  <c r="N30" i="389"/>
  <c r="S5" i="388"/>
  <c r="S6" i="388" s="1"/>
  <c r="P22" i="381"/>
  <c r="L22" i="381"/>
  <c r="H22" i="381"/>
  <c r="O22" i="381"/>
  <c r="K22" i="381"/>
  <c r="G22" i="381"/>
  <c r="P30" i="387"/>
  <c r="P22" i="380"/>
  <c r="L22" i="380"/>
  <c r="H22" i="380"/>
  <c r="K22" i="379"/>
  <c r="G22" i="379"/>
  <c r="J22" i="379"/>
  <c r="F22" i="379"/>
  <c r="O22" i="377"/>
  <c r="J22" i="377"/>
  <c r="F22" i="377"/>
  <c r="E30" i="384"/>
  <c r="J30" i="384"/>
  <c r="O22" i="374"/>
  <c r="K22" i="374"/>
  <c r="P23" i="374"/>
  <c r="N22" i="379"/>
  <c r="N23" i="377"/>
  <c r="L23" i="374"/>
  <c r="K23" i="375"/>
  <c r="K23" i="374"/>
  <c r="H45" i="34"/>
  <c r="H29" i="386"/>
  <c r="N143" i="34"/>
  <c r="S4" i="388"/>
  <c r="N84" i="34"/>
  <c r="N50" i="34"/>
  <c r="G29" i="386"/>
  <c r="S4" i="385"/>
  <c r="N29" i="386"/>
  <c r="J23" i="374"/>
  <c r="O30" i="389"/>
  <c r="O30" i="388"/>
  <c r="S4" i="386"/>
  <c r="G30" i="386"/>
  <c r="S4" i="389"/>
  <c r="N161" i="34"/>
  <c r="H79" i="34"/>
  <c r="H63" i="34"/>
  <c r="O30" i="384"/>
  <c r="E30" i="389"/>
  <c r="H30" i="387"/>
  <c r="S5" i="389"/>
  <c r="S6" i="389" s="1"/>
  <c r="M161" i="34"/>
  <c r="S4" i="387"/>
  <c r="O30" i="387"/>
  <c r="S4" i="384"/>
  <c r="N17" i="34"/>
  <c r="F23" i="375"/>
  <c r="F23" i="374"/>
  <c r="L30" i="389"/>
  <c r="J30" i="389"/>
  <c r="H30" i="389"/>
  <c r="F30" i="389"/>
  <c r="M29" i="389"/>
  <c r="I29" i="389"/>
  <c r="E29" i="389"/>
  <c r="O29" i="389"/>
  <c r="G29" i="389"/>
  <c r="N29" i="389"/>
  <c r="F29" i="389"/>
  <c r="P29" i="389"/>
  <c r="L29" i="389"/>
  <c r="H29" i="389"/>
  <c r="Q22" i="389"/>
  <c r="K29" i="389"/>
  <c r="J29" i="389"/>
  <c r="I30" i="389"/>
  <c r="M30" i="389"/>
  <c r="F30" i="388"/>
  <c r="G30" i="388"/>
  <c r="L30" i="388"/>
  <c r="N30" i="388"/>
  <c r="M29" i="388"/>
  <c r="I29" i="388"/>
  <c r="E29" i="388"/>
  <c r="P29" i="388"/>
  <c r="L29" i="388"/>
  <c r="H29" i="388"/>
  <c r="Q22" i="388"/>
  <c r="O29" i="388"/>
  <c r="K29" i="388"/>
  <c r="G29" i="388"/>
  <c r="N29" i="388"/>
  <c r="J29" i="388"/>
  <c r="F29" i="388"/>
  <c r="J30" i="388"/>
  <c r="I30" i="388"/>
  <c r="H30" i="388"/>
  <c r="G30" i="387"/>
  <c r="N30" i="387"/>
  <c r="J30" i="387"/>
  <c r="K30" i="387"/>
  <c r="L30" i="387"/>
  <c r="M29" i="387"/>
  <c r="I29" i="387"/>
  <c r="E29" i="387"/>
  <c r="J29" i="387"/>
  <c r="P29" i="387"/>
  <c r="L29" i="387"/>
  <c r="H29" i="387"/>
  <c r="Q22" i="387"/>
  <c r="F29" i="387"/>
  <c r="O29" i="387"/>
  <c r="K29" i="387"/>
  <c r="G29" i="387"/>
  <c r="N29" i="387"/>
  <c r="F30" i="387"/>
  <c r="M30" i="387"/>
  <c r="P29" i="386"/>
  <c r="J29" i="386"/>
  <c r="M29" i="386"/>
  <c r="O29" i="386"/>
  <c r="Q22" i="386"/>
  <c r="I29" i="386"/>
  <c r="K29" i="386"/>
  <c r="L29" i="386"/>
  <c r="I29" i="385"/>
  <c r="J29" i="385"/>
  <c r="L29" i="385"/>
  <c r="M29" i="385"/>
  <c r="N29" i="385"/>
  <c r="P29" i="385"/>
  <c r="K29" i="385"/>
  <c r="Q22" i="385"/>
  <c r="O29" i="385"/>
  <c r="H29" i="385"/>
  <c r="K30" i="384"/>
  <c r="I30" i="384"/>
  <c r="G30" i="384"/>
  <c r="L30" i="384"/>
  <c r="N30" i="384"/>
  <c r="M29" i="384"/>
  <c r="I29" i="384"/>
  <c r="E29" i="384"/>
  <c r="J29" i="384"/>
  <c r="P29" i="384"/>
  <c r="L29" i="384"/>
  <c r="H29" i="384"/>
  <c r="Q22" i="384"/>
  <c r="N29" i="384"/>
  <c r="F29" i="384"/>
  <c r="O29" i="384"/>
  <c r="K29" i="384"/>
  <c r="G29" i="384"/>
  <c r="H30" i="384"/>
  <c r="O23" i="380"/>
  <c r="K23" i="380"/>
  <c r="J23" i="375"/>
  <c r="O23" i="381"/>
  <c r="K23" i="381"/>
  <c r="G23" i="381"/>
  <c r="G23" i="383"/>
  <c r="J23" i="380"/>
  <c r="O22" i="383"/>
  <c r="N23" i="380"/>
  <c r="F23" i="380"/>
  <c r="J23" i="381"/>
  <c r="N23" i="381"/>
  <c r="N23" i="383"/>
  <c r="J23" i="383"/>
  <c r="P23" i="380"/>
  <c r="L23" i="380"/>
  <c r="H23" i="380"/>
  <c r="P23" i="381"/>
  <c r="H23" i="381"/>
  <c r="E165" i="358"/>
  <c r="E166" i="358"/>
  <c r="N23" i="375"/>
  <c r="E27" i="376"/>
  <c r="K23" i="383"/>
  <c r="E22" i="375"/>
  <c r="E29" i="375" s="1"/>
  <c r="F27" i="379"/>
  <c r="F30" i="379" s="1"/>
  <c r="G27" i="379"/>
  <c r="G30" i="379" s="1"/>
  <c r="F27" i="376"/>
  <c r="J27" i="379"/>
  <c r="O22" i="379"/>
  <c r="P23" i="375"/>
  <c r="G22" i="377"/>
  <c r="J23" i="379"/>
  <c r="K27" i="379"/>
  <c r="K30" i="379" s="1"/>
  <c r="H23" i="377"/>
  <c r="O27" i="374"/>
  <c r="K22" i="377"/>
  <c r="Q20" i="378"/>
  <c r="K27" i="378"/>
  <c r="Q20" i="376"/>
  <c r="F27" i="375"/>
  <c r="M27" i="375"/>
  <c r="I27" i="376"/>
  <c r="J23" i="377"/>
  <c r="E26" i="377"/>
  <c r="S5" i="377" s="1"/>
  <c r="S6" i="377" s="1"/>
  <c r="P23" i="377"/>
  <c r="P26" i="374"/>
  <c r="M12" i="34" s="1"/>
  <c r="E26" i="374"/>
  <c r="N26" i="377"/>
  <c r="P26" i="380"/>
  <c r="S5" i="380" s="1"/>
  <c r="S6" i="380" s="1"/>
  <c r="I26" i="374"/>
  <c r="H23" i="379"/>
  <c r="G97" i="34"/>
  <c r="F26" i="380"/>
  <c r="L23" i="379"/>
  <c r="F23" i="377"/>
  <c r="P23" i="379"/>
  <c r="E23" i="377"/>
  <c r="L23" i="377"/>
  <c r="P26" i="383"/>
  <c r="S5" i="383" s="1"/>
  <c r="S6" i="383" s="1"/>
  <c r="M63" i="34"/>
  <c r="M120" i="34"/>
  <c r="S5" i="379"/>
  <c r="S6" i="379" s="1"/>
  <c r="M97" i="34"/>
  <c r="E30" i="379"/>
  <c r="G23" i="374"/>
  <c r="H23" i="375"/>
  <c r="I23" i="379"/>
  <c r="G174" i="34"/>
  <c r="O23" i="375"/>
  <c r="M23" i="377"/>
  <c r="I23" i="377"/>
  <c r="E26" i="378"/>
  <c r="E23" i="379"/>
  <c r="L23" i="381"/>
  <c r="Q19" i="377"/>
  <c r="I26" i="383"/>
  <c r="E23" i="378"/>
  <c r="N26" i="380"/>
  <c r="G120" i="34"/>
  <c r="J26" i="381"/>
  <c r="G138" i="34"/>
  <c r="K28" i="383"/>
  <c r="Q21" i="383"/>
  <c r="H22" i="383"/>
  <c r="L22" i="383"/>
  <c r="P22" i="383"/>
  <c r="F26" i="383"/>
  <c r="J26" i="383"/>
  <c r="N26" i="383"/>
  <c r="H28" i="383"/>
  <c r="L28" i="383"/>
  <c r="P28" i="383"/>
  <c r="F23" i="383"/>
  <c r="M26" i="383"/>
  <c r="I22" i="383"/>
  <c r="M22" i="383"/>
  <c r="G26" i="383"/>
  <c r="K26" i="383"/>
  <c r="O26" i="383"/>
  <c r="E28" i="383"/>
  <c r="E30" i="383" s="1"/>
  <c r="I28" i="383"/>
  <c r="M28" i="383"/>
  <c r="Q19" i="383"/>
  <c r="E23" i="383"/>
  <c r="H26" i="383"/>
  <c r="L26" i="383"/>
  <c r="F28" i="383"/>
  <c r="J28" i="383"/>
  <c r="K28" i="382"/>
  <c r="Q21" i="382"/>
  <c r="H28" i="382"/>
  <c r="L28" i="382"/>
  <c r="P28" i="382"/>
  <c r="E28" i="382"/>
  <c r="I28" i="382"/>
  <c r="M28" i="382"/>
  <c r="F28" i="382"/>
  <c r="J28" i="382"/>
  <c r="I23" i="381"/>
  <c r="M23" i="381"/>
  <c r="P26" i="381"/>
  <c r="S5" i="381" s="1"/>
  <c r="S6" i="381" s="1"/>
  <c r="F23" i="381"/>
  <c r="K28" i="381"/>
  <c r="Q21" i="381"/>
  <c r="F26" i="381"/>
  <c r="N26" i="381"/>
  <c r="L28" i="381"/>
  <c r="P28" i="381"/>
  <c r="I22" i="381"/>
  <c r="M22" i="381"/>
  <c r="G26" i="381"/>
  <c r="K26" i="381"/>
  <c r="O26" i="381"/>
  <c r="E28" i="381"/>
  <c r="E30" i="381" s="1"/>
  <c r="I28" i="381"/>
  <c r="M28" i="381"/>
  <c r="I26" i="381"/>
  <c r="M26" i="381"/>
  <c r="H28" i="381"/>
  <c r="Q19" i="381"/>
  <c r="E23" i="381"/>
  <c r="H26" i="381"/>
  <c r="L26" i="381"/>
  <c r="F28" i="381"/>
  <c r="J28" i="381"/>
  <c r="I23" i="380"/>
  <c r="M23" i="380"/>
  <c r="I26" i="380"/>
  <c r="M26" i="380"/>
  <c r="K28" i="380"/>
  <c r="J26" i="380"/>
  <c r="L28" i="380"/>
  <c r="Q19" i="380"/>
  <c r="I22" i="380"/>
  <c r="M22" i="380"/>
  <c r="G26" i="380"/>
  <c r="K26" i="380"/>
  <c r="O26" i="380"/>
  <c r="E28" i="380"/>
  <c r="E30" i="380" s="1"/>
  <c r="I28" i="380"/>
  <c r="M28" i="380"/>
  <c r="Q21" i="380"/>
  <c r="G23" i="380"/>
  <c r="H28" i="380"/>
  <c r="P28" i="380"/>
  <c r="E23" i="380"/>
  <c r="H26" i="380"/>
  <c r="L26" i="380"/>
  <c r="F28" i="380"/>
  <c r="J28" i="380"/>
  <c r="O30" i="379"/>
  <c r="Q19" i="379"/>
  <c r="M23" i="379"/>
  <c r="G23" i="379"/>
  <c r="K23" i="379"/>
  <c r="O23" i="379"/>
  <c r="N30" i="379"/>
  <c r="F23" i="379"/>
  <c r="N23" i="379"/>
  <c r="L27" i="379"/>
  <c r="L30" i="379" s="1"/>
  <c r="Q21" i="379"/>
  <c r="H22" i="379"/>
  <c r="L22" i="379"/>
  <c r="P22" i="379"/>
  <c r="J26" i="379"/>
  <c r="I27" i="379"/>
  <c r="I30" i="379" s="1"/>
  <c r="M27" i="379"/>
  <c r="M30" i="379" s="1"/>
  <c r="H27" i="379"/>
  <c r="H30" i="379" s="1"/>
  <c r="P27" i="379"/>
  <c r="P30" i="379" s="1"/>
  <c r="Q21" i="378"/>
  <c r="E27" i="378"/>
  <c r="I27" i="378"/>
  <c r="M27" i="378"/>
  <c r="E22" i="378"/>
  <c r="F27" i="378"/>
  <c r="J27" i="378"/>
  <c r="N27" i="378"/>
  <c r="E28" i="378"/>
  <c r="O27" i="377"/>
  <c r="Q20" i="377"/>
  <c r="G30" i="377"/>
  <c r="K30" i="377"/>
  <c r="O30" i="377"/>
  <c r="P30" i="377"/>
  <c r="L30" i="377"/>
  <c r="H30" i="377"/>
  <c r="Q21" i="377"/>
  <c r="H22" i="377"/>
  <c r="L22" i="377"/>
  <c r="P22" i="377"/>
  <c r="G23" i="377"/>
  <c r="K23" i="377"/>
  <c r="O23" i="377"/>
  <c r="E27" i="377"/>
  <c r="I27" i="377"/>
  <c r="I30" i="377" s="1"/>
  <c r="M27" i="377"/>
  <c r="M30" i="377" s="1"/>
  <c r="E22" i="377"/>
  <c r="I22" i="377"/>
  <c r="M22" i="377"/>
  <c r="F27" i="377"/>
  <c r="F30" i="377" s="1"/>
  <c r="J27" i="377"/>
  <c r="J30" i="377" s="1"/>
  <c r="N27" i="377"/>
  <c r="E28" i="377"/>
  <c r="E22" i="376"/>
  <c r="E23" i="376"/>
  <c r="G27" i="376"/>
  <c r="K27" i="376"/>
  <c r="O27" i="376"/>
  <c r="E26" i="376"/>
  <c r="H27" i="376"/>
  <c r="L27" i="376"/>
  <c r="P27" i="376"/>
  <c r="H22" i="375"/>
  <c r="N26" i="375"/>
  <c r="G26" i="375"/>
  <c r="O26" i="375"/>
  <c r="J27" i="375"/>
  <c r="I28" i="375"/>
  <c r="M28" i="375"/>
  <c r="P26" i="375"/>
  <c r="K27" i="375"/>
  <c r="O27" i="375"/>
  <c r="F28" i="375"/>
  <c r="N28" i="375"/>
  <c r="Q20" i="375"/>
  <c r="G22" i="375"/>
  <c r="K22" i="375"/>
  <c r="O22" i="375"/>
  <c r="E26" i="375"/>
  <c r="I26" i="375"/>
  <c r="M26" i="375"/>
  <c r="H27" i="375"/>
  <c r="L27" i="375"/>
  <c r="P27" i="375"/>
  <c r="G28" i="375"/>
  <c r="K28" i="375"/>
  <c r="O28" i="375"/>
  <c r="Q19" i="375"/>
  <c r="K26" i="375"/>
  <c r="N27" i="375"/>
  <c r="E23" i="375"/>
  <c r="H26" i="375"/>
  <c r="L26" i="375"/>
  <c r="G27" i="375"/>
  <c r="Q21" i="375"/>
  <c r="F26" i="375"/>
  <c r="J26" i="375"/>
  <c r="E27" i="375"/>
  <c r="I27" i="375"/>
  <c r="H28" i="375"/>
  <c r="L28" i="375"/>
  <c r="I23" i="374"/>
  <c r="M23" i="374"/>
  <c r="P27" i="374"/>
  <c r="P30" i="374" s="1"/>
  <c r="O28" i="374"/>
  <c r="Q21" i="374"/>
  <c r="H22" i="374"/>
  <c r="L22" i="374"/>
  <c r="P22" i="374"/>
  <c r="F26" i="374"/>
  <c r="J26" i="374"/>
  <c r="N26" i="374"/>
  <c r="E27" i="374"/>
  <c r="I27" i="374"/>
  <c r="M27" i="374"/>
  <c r="H28" i="374"/>
  <c r="L28" i="374"/>
  <c r="P28" i="374"/>
  <c r="Q20" i="374"/>
  <c r="M26" i="374"/>
  <c r="L27" i="374"/>
  <c r="Q19" i="374"/>
  <c r="E22" i="374"/>
  <c r="I22" i="374"/>
  <c r="M22" i="374"/>
  <c r="G26" i="374"/>
  <c r="K26" i="374"/>
  <c r="O26" i="374"/>
  <c r="F27" i="374"/>
  <c r="J27" i="374"/>
  <c r="N27" i="374"/>
  <c r="E28" i="374"/>
  <c r="I28" i="374"/>
  <c r="M28" i="374"/>
  <c r="H27" i="374"/>
  <c r="E23" i="374"/>
  <c r="H26" i="374"/>
  <c r="L26" i="374"/>
  <c r="G27" i="374"/>
  <c r="K27" i="374"/>
  <c r="F28" i="374"/>
  <c r="J28" i="374"/>
  <c r="C154" i="358"/>
  <c r="B154" i="358"/>
  <c r="A154" i="358"/>
  <c r="F139" i="358"/>
  <c r="G139" i="358"/>
  <c r="H139" i="358"/>
  <c r="I139" i="358"/>
  <c r="J139" i="358"/>
  <c r="K139" i="358"/>
  <c r="L139" i="358"/>
  <c r="M139" i="358"/>
  <c r="N139" i="358"/>
  <c r="O139" i="358"/>
  <c r="P139" i="358"/>
  <c r="C109" i="358"/>
  <c r="B109" i="358"/>
  <c r="A109" i="358"/>
  <c r="C139" i="358"/>
  <c r="B139" i="358"/>
  <c r="A139" i="358"/>
  <c r="C124" i="358"/>
  <c r="B124" i="358"/>
  <c r="A124" i="358"/>
  <c r="B87" i="358"/>
  <c r="C87" i="358"/>
  <c r="D87" i="358"/>
  <c r="A87" i="358"/>
  <c r="E71" i="358"/>
  <c r="E73" i="358" s="1"/>
  <c r="E97" i="358" s="1"/>
  <c r="E170" i="358" s="1"/>
  <c r="C72" i="358"/>
  <c r="D72" i="358"/>
  <c r="B72" i="358"/>
  <c r="A72" i="358"/>
  <c r="F59" i="358"/>
  <c r="G59" i="358"/>
  <c r="H59" i="358"/>
  <c r="I59" i="358"/>
  <c r="J59" i="358"/>
  <c r="L59" i="358"/>
  <c r="M59" i="358"/>
  <c r="M96" i="358" s="1"/>
  <c r="N59" i="358"/>
  <c r="O59" i="358"/>
  <c r="P59" i="358"/>
  <c r="E59" i="358"/>
  <c r="C58" i="358"/>
  <c r="B58" i="358"/>
  <c r="A58" i="358"/>
  <c r="E42" i="358"/>
  <c r="E44" i="358" s="1"/>
  <c r="E95" i="358" s="1"/>
  <c r="C43" i="358"/>
  <c r="B43" i="358"/>
  <c r="A43" i="358"/>
  <c r="E29" i="358"/>
  <c r="C28" i="358"/>
  <c r="B28" i="358"/>
  <c r="A28" i="358"/>
  <c r="E13" i="358"/>
  <c r="E99" i="358" s="1"/>
  <c r="D12" i="358"/>
  <c r="C12" i="358"/>
  <c r="B12" i="358"/>
  <c r="A12" i="358"/>
  <c r="F165" i="205"/>
  <c r="G165" i="205"/>
  <c r="H165" i="205"/>
  <c r="I165" i="205"/>
  <c r="J165" i="205"/>
  <c r="K165" i="205"/>
  <c r="L165" i="205"/>
  <c r="M165" i="205"/>
  <c r="N165" i="205"/>
  <c r="O165" i="205"/>
  <c r="E165" i="205"/>
  <c r="D165" i="205"/>
  <c r="C164" i="205"/>
  <c r="B164" i="205"/>
  <c r="A164" i="205"/>
  <c r="F19" i="382"/>
  <c r="G19" i="382"/>
  <c r="H19" i="382"/>
  <c r="I19" i="382"/>
  <c r="J19" i="382"/>
  <c r="K19" i="382"/>
  <c r="L19" i="382"/>
  <c r="M19" i="382"/>
  <c r="N19" i="382"/>
  <c r="O19" i="382"/>
  <c r="P19" i="382"/>
  <c r="E19" i="382"/>
  <c r="E114" i="205"/>
  <c r="F114" i="205"/>
  <c r="G114" i="205"/>
  <c r="H114" i="205"/>
  <c r="I114" i="205"/>
  <c r="J114" i="205"/>
  <c r="K114" i="205"/>
  <c r="L114" i="205"/>
  <c r="M114" i="205"/>
  <c r="N114" i="205"/>
  <c r="O114" i="205"/>
  <c r="D114" i="205"/>
  <c r="C113" i="205"/>
  <c r="B113" i="205"/>
  <c r="A113" i="205"/>
  <c r="C147" i="205"/>
  <c r="B147" i="205"/>
  <c r="A147" i="205"/>
  <c r="L131" i="205"/>
  <c r="E131" i="205"/>
  <c r="F131" i="205"/>
  <c r="G131" i="205"/>
  <c r="H131" i="205"/>
  <c r="I131" i="205"/>
  <c r="J131" i="205"/>
  <c r="K131" i="205"/>
  <c r="M131" i="205"/>
  <c r="N131" i="205"/>
  <c r="O131" i="205"/>
  <c r="D131" i="205"/>
  <c r="C130" i="205"/>
  <c r="B130" i="205"/>
  <c r="A130" i="205"/>
  <c r="C91" i="205"/>
  <c r="B91" i="205"/>
  <c r="A91" i="205"/>
  <c r="C74" i="205"/>
  <c r="B74" i="205"/>
  <c r="A74" i="205"/>
  <c r="B60" i="205"/>
  <c r="C60" i="205"/>
  <c r="A60" i="205"/>
  <c r="B43" i="205"/>
  <c r="C43" i="205"/>
  <c r="A43" i="205"/>
  <c r="E30" i="205"/>
  <c r="F30" i="205"/>
  <c r="G30" i="205"/>
  <c r="H30" i="205"/>
  <c r="I30" i="205"/>
  <c r="J30" i="205"/>
  <c r="K30" i="205"/>
  <c r="L30" i="205"/>
  <c r="M30" i="205"/>
  <c r="N30" i="205"/>
  <c r="O30" i="205"/>
  <c r="D30" i="205"/>
  <c r="C29" i="205"/>
  <c r="B29" i="205"/>
  <c r="A29" i="205"/>
  <c r="E13" i="205"/>
  <c r="E103" i="205" s="1"/>
  <c r="F13" i="205"/>
  <c r="F103" i="205" s="1"/>
  <c r="G13" i="205"/>
  <c r="G103" i="205" s="1"/>
  <c r="H13" i="205"/>
  <c r="H103" i="205" s="1"/>
  <c r="I13" i="205"/>
  <c r="I103" i="205" s="1"/>
  <c r="J13" i="205"/>
  <c r="J103" i="205" s="1"/>
  <c r="K13" i="205"/>
  <c r="K103" i="205" s="1"/>
  <c r="L13" i="205"/>
  <c r="L103" i="205" s="1"/>
  <c r="M13" i="205"/>
  <c r="M103" i="205" s="1"/>
  <c r="N13" i="205"/>
  <c r="N103" i="205" s="1"/>
  <c r="O13" i="205"/>
  <c r="O103" i="205" s="1"/>
  <c r="D13" i="205"/>
  <c r="D103" i="205" s="1"/>
  <c r="C12" i="205"/>
  <c r="A12" i="205"/>
  <c r="B12" i="205"/>
  <c r="I30" i="374" l="1"/>
  <c r="N22" i="382"/>
  <c r="J22" i="382"/>
  <c r="M174" i="34"/>
  <c r="M22" i="382"/>
  <c r="M138" i="34"/>
  <c r="N30" i="377"/>
  <c r="P22" i="382"/>
  <c r="L22" i="382"/>
  <c r="O22" i="382"/>
  <c r="K22" i="382"/>
  <c r="G22" i="382"/>
  <c r="I30" i="375"/>
  <c r="N30" i="375"/>
  <c r="F19" i="376"/>
  <c r="S5" i="374"/>
  <c r="S6" i="374" s="1"/>
  <c r="N45" i="34"/>
  <c r="S4" i="376"/>
  <c r="I23" i="382"/>
  <c r="H23" i="382"/>
  <c r="F22" i="382"/>
  <c r="P26" i="382"/>
  <c r="M23" i="382"/>
  <c r="I22" i="382"/>
  <c r="F29" i="375"/>
  <c r="P23" i="382"/>
  <c r="H22" i="382"/>
  <c r="L23" i="382"/>
  <c r="J23" i="382"/>
  <c r="F23" i="382"/>
  <c r="N23" i="382"/>
  <c r="O23" i="382"/>
  <c r="O30" i="374"/>
  <c r="M30" i="375"/>
  <c r="G23" i="382"/>
  <c r="K23" i="382"/>
  <c r="F30" i="375"/>
  <c r="J30" i="379"/>
  <c r="S4" i="377"/>
  <c r="N63" i="34"/>
  <c r="S4" i="375"/>
  <c r="N30" i="34"/>
  <c r="S4" i="378"/>
  <c r="N79" i="34"/>
  <c r="S4" i="374"/>
  <c r="N12" i="34"/>
  <c r="E30" i="374"/>
  <c r="E30" i="377"/>
  <c r="H26" i="382"/>
  <c r="K26" i="382"/>
  <c r="F26" i="382"/>
  <c r="E23" i="382"/>
  <c r="G26" i="382"/>
  <c r="I26" i="382"/>
  <c r="Q19" i="382"/>
  <c r="N26" i="382"/>
  <c r="M26" i="382"/>
  <c r="L30" i="375"/>
  <c r="L26" i="382"/>
  <c r="O26" i="382"/>
  <c r="J26" i="382"/>
  <c r="G156" i="34"/>
  <c r="E26" i="382"/>
  <c r="J29" i="375"/>
  <c r="N30" i="374"/>
  <c r="G30" i="375"/>
  <c r="E30" i="378"/>
  <c r="J30" i="375"/>
  <c r="G29" i="375"/>
  <c r="P29" i="375"/>
  <c r="H29" i="375"/>
  <c r="L29" i="375"/>
  <c r="N29" i="375"/>
  <c r="O29" i="375"/>
  <c r="I29" i="375"/>
  <c r="S5" i="375"/>
  <c r="S6" i="375" s="1"/>
  <c r="M30" i="34"/>
  <c r="K29" i="375"/>
  <c r="E29" i="378"/>
  <c r="M29" i="377"/>
  <c r="I29" i="377"/>
  <c r="E29" i="377"/>
  <c r="F29" i="377"/>
  <c r="P29" i="377"/>
  <c r="L29" i="377"/>
  <c r="H29" i="377"/>
  <c r="Q22" i="377"/>
  <c r="N29" i="377"/>
  <c r="J29" i="377"/>
  <c r="O29" i="377"/>
  <c r="K29" i="377"/>
  <c r="G29" i="377"/>
  <c r="E29" i="376"/>
  <c r="E30" i="376"/>
  <c r="H30" i="375"/>
  <c r="M29" i="375"/>
  <c r="Q22" i="375"/>
  <c r="O30" i="375"/>
  <c r="P30" i="375"/>
  <c r="K30" i="375"/>
  <c r="E30" i="375"/>
  <c r="J30" i="374"/>
  <c r="K30" i="374"/>
  <c r="F30" i="374"/>
  <c r="L30" i="374"/>
  <c r="G30" i="374"/>
  <c r="H30" i="374"/>
  <c r="M29" i="374"/>
  <c r="I29" i="374"/>
  <c r="E29" i="374"/>
  <c r="N29" i="374"/>
  <c r="F29" i="374"/>
  <c r="P29" i="374"/>
  <c r="L29" i="374"/>
  <c r="H29" i="374"/>
  <c r="Q22" i="374"/>
  <c r="O29" i="374"/>
  <c r="K29" i="374"/>
  <c r="G29" i="374"/>
  <c r="J29" i="374"/>
  <c r="M30" i="374"/>
  <c r="H27" i="373"/>
  <c r="K27" i="373"/>
  <c r="L27" i="373"/>
  <c r="P27" i="373"/>
  <c r="C1" i="373"/>
  <c r="D30" i="373"/>
  <c r="D29" i="373"/>
  <c r="P28" i="373"/>
  <c r="O28" i="373"/>
  <c r="N28" i="373"/>
  <c r="M28" i="373"/>
  <c r="L28" i="373"/>
  <c r="K28" i="373"/>
  <c r="J28" i="373"/>
  <c r="I28" i="373"/>
  <c r="H28" i="373"/>
  <c r="G28" i="373"/>
  <c r="F28" i="373"/>
  <c r="E28" i="373"/>
  <c r="D28" i="373"/>
  <c r="D27" i="373"/>
  <c r="D26" i="373"/>
  <c r="P25" i="373"/>
  <c r="O25" i="373"/>
  <c r="N25" i="373"/>
  <c r="M25" i="373"/>
  <c r="L25" i="373"/>
  <c r="K25" i="373"/>
  <c r="J25" i="373"/>
  <c r="I25" i="373"/>
  <c r="H25" i="373"/>
  <c r="G25" i="373"/>
  <c r="F25" i="373"/>
  <c r="E25" i="373"/>
  <c r="Q21" i="373"/>
  <c r="I1" i="373"/>
  <c r="B1" i="373"/>
  <c r="A172" i="358"/>
  <c r="A173" i="358"/>
  <c r="A182" i="205"/>
  <c r="B182" i="205"/>
  <c r="E174" i="358"/>
  <c r="G19" i="376" l="1"/>
  <c r="F23" i="376"/>
  <c r="F26" i="376"/>
  <c r="F30" i="376" s="1"/>
  <c r="F26" i="378"/>
  <c r="F30" i="378" s="1"/>
  <c r="F22" i="378"/>
  <c r="F23" i="378"/>
  <c r="H97" i="34"/>
  <c r="E27" i="379"/>
  <c r="E22" i="379"/>
  <c r="Q20" i="379"/>
  <c r="Q20" i="373"/>
  <c r="S5" i="382"/>
  <c r="S6" i="382" s="1"/>
  <c r="M156" i="34"/>
  <c r="E30" i="382"/>
  <c r="G27" i="373"/>
  <c r="O27" i="373"/>
  <c r="E27" i="373"/>
  <c r="F27" i="373"/>
  <c r="J27" i="373"/>
  <c r="N27" i="373"/>
  <c r="I27" i="373"/>
  <c r="M27" i="373"/>
  <c r="H27" i="372"/>
  <c r="O27" i="372"/>
  <c r="P27" i="372"/>
  <c r="F19" i="372"/>
  <c r="F23" i="372" s="1"/>
  <c r="G19" i="372"/>
  <c r="G26" i="372" s="1"/>
  <c r="H19" i="372"/>
  <c r="H23" i="372" s="1"/>
  <c r="I19" i="372"/>
  <c r="J19" i="372"/>
  <c r="J26" i="372" s="1"/>
  <c r="K19" i="372"/>
  <c r="K26" i="372" s="1"/>
  <c r="L19" i="372"/>
  <c r="L23" i="372" s="1"/>
  <c r="M19" i="372"/>
  <c r="N19" i="372"/>
  <c r="N23" i="372" s="1"/>
  <c r="O19" i="372"/>
  <c r="O26" i="372" s="1"/>
  <c r="P19" i="372"/>
  <c r="P23" i="372" s="1"/>
  <c r="E19" i="372"/>
  <c r="C1" i="372"/>
  <c r="D30" i="372"/>
  <c r="D29" i="372"/>
  <c r="P28" i="372"/>
  <c r="O28" i="372"/>
  <c r="N28" i="372"/>
  <c r="M28" i="372"/>
  <c r="L28" i="372"/>
  <c r="K28" i="372"/>
  <c r="J28" i="372"/>
  <c r="I28" i="372"/>
  <c r="H28" i="372"/>
  <c r="G28" i="372"/>
  <c r="F28" i="372"/>
  <c r="E28" i="372"/>
  <c r="D28" i="372"/>
  <c r="D27" i="372"/>
  <c r="D26" i="372"/>
  <c r="P25" i="372"/>
  <c r="O25" i="372"/>
  <c r="N25" i="372"/>
  <c r="M25" i="372"/>
  <c r="L25" i="372"/>
  <c r="K25" i="372"/>
  <c r="J25" i="372"/>
  <c r="I25" i="372"/>
  <c r="H25" i="372"/>
  <c r="G25" i="372"/>
  <c r="F25" i="372"/>
  <c r="E25" i="372"/>
  <c r="Q21" i="372"/>
  <c r="I1" i="372"/>
  <c r="B1" i="372"/>
  <c r="I27" i="371"/>
  <c r="K27" i="371"/>
  <c r="M27" i="371"/>
  <c r="O27" i="371"/>
  <c r="P27" i="371"/>
  <c r="F19" i="371"/>
  <c r="F26" i="371" s="1"/>
  <c r="G19" i="371"/>
  <c r="G26" i="371" s="1"/>
  <c r="H19" i="371"/>
  <c r="H26" i="371" s="1"/>
  <c r="I19" i="371"/>
  <c r="I23" i="371" s="1"/>
  <c r="J19" i="371"/>
  <c r="J23" i="371" s="1"/>
  <c r="K19" i="371"/>
  <c r="K26" i="371" s="1"/>
  <c r="L19" i="371"/>
  <c r="L26" i="371" s="1"/>
  <c r="M19" i="371"/>
  <c r="M23" i="371" s="1"/>
  <c r="N19" i="371"/>
  <c r="N26" i="371" s="1"/>
  <c r="O19" i="371"/>
  <c r="O26" i="371" s="1"/>
  <c r="P19" i="371"/>
  <c r="P26" i="371" s="1"/>
  <c r="E19" i="371"/>
  <c r="E23" i="371" s="1"/>
  <c r="C1" i="371"/>
  <c r="D30" i="371"/>
  <c r="D29" i="371"/>
  <c r="P28" i="371"/>
  <c r="O28" i="371"/>
  <c r="N28" i="371"/>
  <c r="M28" i="371"/>
  <c r="L28" i="371"/>
  <c r="K28" i="371"/>
  <c r="J28" i="371"/>
  <c r="I28" i="371"/>
  <c r="H28" i="371"/>
  <c r="G28" i="371"/>
  <c r="F28" i="371"/>
  <c r="E28" i="371"/>
  <c r="D28" i="371"/>
  <c r="D27" i="371"/>
  <c r="D26" i="371"/>
  <c r="P25" i="371"/>
  <c r="O25" i="371"/>
  <c r="N25" i="371"/>
  <c r="M25" i="371"/>
  <c r="L25" i="371"/>
  <c r="K25" i="371"/>
  <c r="J25" i="371"/>
  <c r="I25" i="371"/>
  <c r="H25" i="371"/>
  <c r="G25" i="371"/>
  <c r="F25" i="371"/>
  <c r="E25" i="371"/>
  <c r="Q21" i="371"/>
  <c r="I1" i="371"/>
  <c r="B1" i="371"/>
  <c r="F27" i="370"/>
  <c r="G27" i="370"/>
  <c r="O27" i="370"/>
  <c r="F19" i="370"/>
  <c r="F26" i="370" s="1"/>
  <c r="G19" i="370"/>
  <c r="G26" i="370" s="1"/>
  <c r="H19" i="370"/>
  <c r="I19" i="370"/>
  <c r="I26" i="370" s="1"/>
  <c r="J19" i="370"/>
  <c r="J26" i="370" s="1"/>
  <c r="K19" i="370"/>
  <c r="K26" i="370" s="1"/>
  <c r="L19" i="370"/>
  <c r="L26" i="370" s="1"/>
  <c r="M19" i="370"/>
  <c r="M26" i="370" s="1"/>
  <c r="N19" i="370"/>
  <c r="N26" i="370" s="1"/>
  <c r="O19" i="370"/>
  <c r="O26" i="370" s="1"/>
  <c r="P19" i="370"/>
  <c r="E19" i="370"/>
  <c r="E26" i="370" s="1"/>
  <c r="C1" i="370"/>
  <c r="D30" i="370"/>
  <c r="D29" i="370"/>
  <c r="P28" i="370"/>
  <c r="O28" i="370"/>
  <c r="N28" i="370"/>
  <c r="M28" i="370"/>
  <c r="L28" i="370"/>
  <c r="K28" i="370"/>
  <c r="J28" i="370"/>
  <c r="I28" i="370"/>
  <c r="H28" i="370"/>
  <c r="G28" i="370"/>
  <c r="F28" i="370"/>
  <c r="E28" i="370"/>
  <c r="D28" i="370"/>
  <c r="D27" i="370"/>
  <c r="D26" i="370"/>
  <c r="P25" i="370"/>
  <c r="O25" i="370"/>
  <c r="N25" i="370"/>
  <c r="M25" i="370"/>
  <c r="L25" i="370"/>
  <c r="K25" i="370"/>
  <c r="J25" i="370"/>
  <c r="I25" i="370"/>
  <c r="H25" i="370"/>
  <c r="G25" i="370"/>
  <c r="F25" i="370"/>
  <c r="E25" i="370"/>
  <c r="Q21" i="370"/>
  <c r="I1" i="370"/>
  <c r="B1" i="370"/>
  <c r="C1" i="369"/>
  <c r="G27" i="369"/>
  <c r="K27" i="369"/>
  <c r="O27" i="369"/>
  <c r="F19" i="369"/>
  <c r="F23" i="369" s="1"/>
  <c r="G19" i="369"/>
  <c r="G26" i="369" s="1"/>
  <c r="H19" i="369"/>
  <c r="H26" i="369" s="1"/>
  <c r="I19" i="369"/>
  <c r="I26" i="369" s="1"/>
  <c r="J19" i="369"/>
  <c r="J26" i="369" s="1"/>
  <c r="K19" i="369"/>
  <c r="K23" i="369" s="1"/>
  <c r="L19" i="369"/>
  <c r="L26" i="369" s="1"/>
  <c r="M19" i="369"/>
  <c r="M23" i="369" s="1"/>
  <c r="N19" i="369"/>
  <c r="N26" i="369" s="1"/>
  <c r="O19" i="369"/>
  <c r="O26" i="369" s="1"/>
  <c r="P19" i="369"/>
  <c r="P26" i="369" s="1"/>
  <c r="E19" i="369"/>
  <c r="E26" i="369" s="1"/>
  <c r="B177" i="358"/>
  <c r="C177" i="358"/>
  <c r="B178" i="358"/>
  <c r="C178" i="358"/>
  <c r="B179" i="358"/>
  <c r="C179" i="358"/>
  <c r="C176" i="358"/>
  <c r="B176" i="358"/>
  <c r="A176" i="358"/>
  <c r="A177" i="358"/>
  <c r="A178" i="358"/>
  <c r="A179" i="358"/>
  <c r="A175" i="358"/>
  <c r="C187" i="205"/>
  <c r="C188" i="205"/>
  <c r="C189" i="205"/>
  <c r="C186" i="205"/>
  <c r="D30" i="369"/>
  <c r="D29" i="369"/>
  <c r="P28" i="369"/>
  <c r="O28" i="369"/>
  <c r="N28" i="369"/>
  <c r="M28" i="369"/>
  <c r="L28" i="369"/>
  <c r="K28" i="369"/>
  <c r="J28" i="369"/>
  <c r="I28" i="369"/>
  <c r="H28" i="369"/>
  <c r="G28" i="369"/>
  <c r="F28" i="369"/>
  <c r="E28" i="369"/>
  <c r="D28" i="369"/>
  <c r="D27" i="369"/>
  <c r="D26" i="369"/>
  <c r="P25" i="369"/>
  <c r="O25" i="369"/>
  <c r="N25" i="369"/>
  <c r="M25" i="369"/>
  <c r="L25" i="369"/>
  <c r="K25" i="369"/>
  <c r="J25" i="369"/>
  <c r="I25" i="369"/>
  <c r="H25" i="369"/>
  <c r="G25" i="369"/>
  <c r="F25" i="369"/>
  <c r="E25" i="369"/>
  <c r="Q21" i="369"/>
  <c r="I1" i="369"/>
  <c r="B1" i="369"/>
  <c r="B187" i="205"/>
  <c r="B188" i="205"/>
  <c r="B189" i="205"/>
  <c r="B186" i="205"/>
  <c r="A187" i="205"/>
  <c r="A188" i="205"/>
  <c r="A189" i="205"/>
  <c r="A186" i="205"/>
  <c r="A185" i="205"/>
  <c r="C1" i="368"/>
  <c r="D30" i="368"/>
  <c r="D29" i="368"/>
  <c r="P28" i="368"/>
  <c r="O28" i="368"/>
  <c r="N28" i="368"/>
  <c r="M28" i="368"/>
  <c r="L28" i="368"/>
  <c r="K28" i="368"/>
  <c r="J28" i="368"/>
  <c r="I28" i="368"/>
  <c r="H28" i="368"/>
  <c r="G28" i="368"/>
  <c r="F28" i="368"/>
  <c r="E28" i="368"/>
  <c r="D28" i="368"/>
  <c r="D27" i="368"/>
  <c r="D26" i="368"/>
  <c r="P25" i="368"/>
  <c r="O25" i="368"/>
  <c r="N25" i="368"/>
  <c r="M25" i="368"/>
  <c r="L25" i="368"/>
  <c r="K25" i="368"/>
  <c r="J25" i="368"/>
  <c r="I25" i="368"/>
  <c r="H25" i="368"/>
  <c r="G25" i="368"/>
  <c r="F25" i="368"/>
  <c r="E25" i="368"/>
  <c r="Q21" i="368"/>
  <c r="I1" i="368"/>
  <c r="B1" i="368"/>
  <c r="H27" i="367"/>
  <c r="I27" i="367"/>
  <c r="K27" i="367"/>
  <c r="L27" i="367"/>
  <c r="E27" i="367"/>
  <c r="C1" i="367"/>
  <c r="D30" i="367"/>
  <c r="D29" i="367"/>
  <c r="P28" i="367"/>
  <c r="O28" i="367"/>
  <c r="N28" i="367"/>
  <c r="M28" i="367"/>
  <c r="L28" i="367"/>
  <c r="K28" i="367"/>
  <c r="J28" i="367"/>
  <c r="I28" i="367"/>
  <c r="H28" i="367"/>
  <c r="G28" i="367"/>
  <c r="F28" i="367"/>
  <c r="E28" i="367"/>
  <c r="D28" i="367"/>
  <c r="D27" i="367"/>
  <c r="D26" i="367"/>
  <c r="P25" i="367"/>
  <c r="O25" i="367"/>
  <c r="N25" i="367"/>
  <c r="M25" i="367"/>
  <c r="L25" i="367"/>
  <c r="K25" i="367"/>
  <c r="J25" i="367"/>
  <c r="I25" i="367"/>
  <c r="H25" i="367"/>
  <c r="G25" i="367"/>
  <c r="F25" i="367"/>
  <c r="E25" i="367"/>
  <c r="Q21" i="367"/>
  <c r="I1" i="367"/>
  <c r="B1" i="367"/>
  <c r="C1" i="366"/>
  <c r="D30" i="366"/>
  <c r="D29" i="366"/>
  <c r="P28" i="366"/>
  <c r="O28" i="366"/>
  <c r="N28" i="366"/>
  <c r="M28" i="366"/>
  <c r="L28" i="366"/>
  <c r="K28" i="366"/>
  <c r="J28" i="366"/>
  <c r="I28" i="366"/>
  <c r="H28" i="366"/>
  <c r="G28" i="366"/>
  <c r="F28" i="366"/>
  <c r="E28" i="366"/>
  <c r="D28" i="366"/>
  <c r="D27" i="366"/>
  <c r="D26" i="366"/>
  <c r="P25" i="366"/>
  <c r="O25" i="366"/>
  <c r="N25" i="366"/>
  <c r="M25" i="366"/>
  <c r="L25" i="366"/>
  <c r="K25" i="366"/>
  <c r="J25" i="366"/>
  <c r="I25" i="366"/>
  <c r="H25" i="366"/>
  <c r="G25" i="366"/>
  <c r="F25" i="366"/>
  <c r="E25" i="366"/>
  <c r="Q21" i="366"/>
  <c r="I1" i="366"/>
  <c r="B1" i="366"/>
  <c r="C1" i="365"/>
  <c r="D30" i="365"/>
  <c r="D29" i="365"/>
  <c r="E28" i="365"/>
  <c r="D28" i="365"/>
  <c r="D27" i="365"/>
  <c r="D26" i="365"/>
  <c r="P25" i="365"/>
  <c r="O25" i="365"/>
  <c r="N25" i="365"/>
  <c r="M25" i="365"/>
  <c r="L25" i="365"/>
  <c r="K25" i="365"/>
  <c r="J25" i="365"/>
  <c r="I25" i="365"/>
  <c r="H25" i="365"/>
  <c r="G25" i="365"/>
  <c r="F25" i="365"/>
  <c r="E25" i="365"/>
  <c r="M28" i="365"/>
  <c r="N28" i="365"/>
  <c r="I1" i="365"/>
  <c r="B1" i="365"/>
  <c r="C179" i="205"/>
  <c r="C180" i="205"/>
  <c r="C183" i="205"/>
  <c r="C184" i="205"/>
  <c r="C168" i="358"/>
  <c r="C169" i="358"/>
  <c r="C170" i="358"/>
  <c r="C171" i="358"/>
  <c r="C173" i="358"/>
  <c r="C174" i="358"/>
  <c r="B170" i="358"/>
  <c r="B171" i="358"/>
  <c r="B173" i="358"/>
  <c r="B174" i="358"/>
  <c r="B169" i="358"/>
  <c r="A169" i="358"/>
  <c r="A170" i="358"/>
  <c r="A171" i="358"/>
  <c r="A174" i="358"/>
  <c r="A168" i="358"/>
  <c r="A184" i="205"/>
  <c r="B184" i="205"/>
  <c r="B183" i="205"/>
  <c r="A181" i="205"/>
  <c r="A183" i="205"/>
  <c r="B180" i="205"/>
  <c r="B179" i="205"/>
  <c r="A180" i="205"/>
  <c r="A179" i="205"/>
  <c r="A178" i="205"/>
  <c r="N193" i="34" l="1"/>
  <c r="J30" i="372"/>
  <c r="F30" i="371"/>
  <c r="L30" i="370"/>
  <c r="O30" i="369"/>
  <c r="G30" i="369"/>
  <c r="I30" i="369"/>
  <c r="N22" i="370"/>
  <c r="L22" i="372"/>
  <c r="M22" i="370"/>
  <c r="I22" i="370"/>
  <c r="N22" i="371"/>
  <c r="J22" i="371"/>
  <c r="F22" i="371"/>
  <c r="K22" i="372"/>
  <c r="G22" i="372"/>
  <c r="J22" i="370"/>
  <c r="N22" i="369"/>
  <c r="J22" i="369"/>
  <c r="F22" i="369"/>
  <c r="P22" i="370"/>
  <c r="L22" i="370"/>
  <c r="H22" i="370"/>
  <c r="N22" i="372"/>
  <c r="J22" i="372"/>
  <c r="F22" i="372"/>
  <c r="S5" i="369"/>
  <c r="S6" i="369" s="1"/>
  <c r="K22" i="370"/>
  <c r="H22" i="371"/>
  <c r="M22" i="372"/>
  <c r="I22" i="372"/>
  <c r="G26" i="376"/>
  <c r="G30" i="376" s="1"/>
  <c r="G23" i="376"/>
  <c r="G22" i="376"/>
  <c r="F29" i="378"/>
  <c r="H19" i="376"/>
  <c r="F29" i="376"/>
  <c r="G22" i="378"/>
  <c r="G23" i="378"/>
  <c r="G26" i="378"/>
  <c r="G30" i="378" s="1"/>
  <c r="S4" i="373"/>
  <c r="H194" i="34"/>
  <c r="H199" i="34"/>
  <c r="H197" i="34"/>
  <c r="E29" i="379"/>
  <c r="I29" i="379"/>
  <c r="L29" i="379"/>
  <c r="H29" i="379"/>
  <c r="N29" i="379"/>
  <c r="J29" i="379"/>
  <c r="F29" i="379"/>
  <c r="Q22" i="379"/>
  <c r="G29" i="379"/>
  <c r="P29" i="379"/>
  <c r="O29" i="379"/>
  <c r="K29" i="379"/>
  <c r="M29" i="379"/>
  <c r="S4" i="379"/>
  <c r="N97" i="34"/>
  <c r="O22" i="372"/>
  <c r="N27" i="370"/>
  <c r="G22" i="370"/>
  <c r="O22" i="370"/>
  <c r="K27" i="370"/>
  <c r="F22" i="370"/>
  <c r="I22" i="371"/>
  <c r="G27" i="372"/>
  <c r="J30" i="369"/>
  <c r="H26" i="372"/>
  <c r="N30" i="369"/>
  <c r="N23" i="371"/>
  <c r="H30" i="369"/>
  <c r="L30" i="369"/>
  <c r="P30" i="369"/>
  <c r="O23" i="369"/>
  <c r="E22" i="370"/>
  <c r="P29" i="370" s="1"/>
  <c r="G197" i="34"/>
  <c r="Q197" i="34" s="1"/>
  <c r="M197" i="34"/>
  <c r="M26" i="369"/>
  <c r="M30" i="369" s="1"/>
  <c r="F23" i="371"/>
  <c r="J26" i="371"/>
  <c r="J30" i="371" s="1"/>
  <c r="M22" i="371"/>
  <c r="K27" i="372"/>
  <c r="H22" i="372"/>
  <c r="L27" i="372"/>
  <c r="E22" i="371"/>
  <c r="E27" i="371"/>
  <c r="P26" i="370"/>
  <c r="P30" i="370" s="1"/>
  <c r="P23" i="370"/>
  <c r="H26" i="370"/>
  <c r="H30" i="370" s="1"/>
  <c r="H23" i="370"/>
  <c r="E26" i="372"/>
  <c r="G200" i="34"/>
  <c r="M26" i="372"/>
  <c r="M30" i="372" s="1"/>
  <c r="M23" i="372"/>
  <c r="I26" i="372"/>
  <c r="I30" i="372" s="1"/>
  <c r="I23" i="372"/>
  <c r="E22" i="372"/>
  <c r="I29" i="372" s="1"/>
  <c r="H200" i="34"/>
  <c r="G23" i="369"/>
  <c r="L23" i="370"/>
  <c r="L22" i="371"/>
  <c r="L27" i="371"/>
  <c r="G198" i="34"/>
  <c r="H198" i="34"/>
  <c r="N23" i="369"/>
  <c r="J23" i="369"/>
  <c r="N30" i="371"/>
  <c r="O30" i="371"/>
  <c r="K30" i="371"/>
  <c r="G30" i="371"/>
  <c r="Q20" i="371"/>
  <c r="E23" i="369"/>
  <c r="I23" i="369"/>
  <c r="E30" i="369"/>
  <c r="P26" i="372"/>
  <c r="P30" i="372" s="1"/>
  <c r="G199" i="34"/>
  <c r="Q199" i="34" s="1"/>
  <c r="P23" i="369"/>
  <c r="L23" i="369"/>
  <c r="H23" i="369"/>
  <c r="M30" i="370"/>
  <c r="I30" i="370"/>
  <c r="G27" i="371"/>
  <c r="P22" i="372"/>
  <c r="H30" i="372"/>
  <c r="L26" i="372"/>
  <c r="L30" i="372" s="1"/>
  <c r="G30" i="372"/>
  <c r="K30" i="372"/>
  <c r="O30" i="372"/>
  <c r="E23" i="372"/>
  <c r="Q20" i="372"/>
  <c r="J23" i="372"/>
  <c r="G23" i="372"/>
  <c r="K23" i="372"/>
  <c r="O23" i="372"/>
  <c r="F26" i="372"/>
  <c r="F30" i="372" s="1"/>
  <c r="N26" i="372"/>
  <c r="N30" i="372" s="1"/>
  <c r="E27" i="372"/>
  <c r="I27" i="372"/>
  <c r="M27" i="372"/>
  <c r="F27" i="372"/>
  <c r="J27" i="372"/>
  <c r="N27" i="372"/>
  <c r="Q19" i="372"/>
  <c r="H27" i="371"/>
  <c r="P22" i="371"/>
  <c r="L30" i="371"/>
  <c r="H30" i="371"/>
  <c r="P30" i="371"/>
  <c r="G23" i="371"/>
  <c r="O23" i="371"/>
  <c r="H23" i="371"/>
  <c r="P23" i="371"/>
  <c r="J27" i="371"/>
  <c r="G22" i="371"/>
  <c r="K22" i="371"/>
  <c r="O22" i="371"/>
  <c r="E26" i="371"/>
  <c r="I26" i="371"/>
  <c r="I30" i="371" s="1"/>
  <c r="M26" i="371"/>
  <c r="M30" i="371" s="1"/>
  <c r="K23" i="371"/>
  <c r="L23" i="371"/>
  <c r="F27" i="371"/>
  <c r="N27" i="371"/>
  <c r="Q19" i="371"/>
  <c r="J27" i="370"/>
  <c r="E30" i="370"/>
  <c r="G30" i="370"/>
  <c r="K30" i="370"/>
  <c r="O30" i="370"/>
  <c r="F30" i="370"/>
  <c r="J30" i="370"/>
  <c r="N30" i="370"/>
  <c r="Q19" i="370"/>
  <c r="E23" i="370"/>
  <c r="I23" i="370"/>
  <c r="M23" i="370"/>
  <c r="Q20" i="370"/>
  <c r="F23" i="370"/>
  <c r="J23" i="370"/>
  <c r="N23" i="370"/>
  <c r="H27" i="370"/>
  <c r="L27" i="370"/>
  <c r="P27" i="370"/>
  <c r="G23" i="370"/>
  <c r="K23" i="370"/>
  <c r="O23" i="370"/>
  <c r="E27" i="370"/>
  <c r="I27" i="370"/>
  <c r="M27" i="370"/>
  <c r="N27" i="367"/>
  <c r="J27" i="367"/>
  <c r="F27" i="367"/>
  <c r="M27" i="367"/>
  <c r="P27" i="367"/>
  <c r="K22" i="369"/>
  <c r="O27" i="367"/>
  <c r="G27" i="367"/>
  <c r="H22" i="369"/>
  <c r="P22" i="369"/>
  <c r="P27" i="369"/>
  <c r="Q20" i="369"/>
  <c r="L22" i="369"/>
  <c r="H27" i="369"/>
  <c r="G22" i="369"/>
  <c r="O22" i="369"/>
  <c r="L27" i="369"/>
  <c r="F26" i="369"/>
  <c r="F30" i="369" s="1"/>
  <c r="E27" i="369"/>
  <c r="I27" i="369"/>
  <c r="M27" i="369"/>
  <c r="E22" i="369"/>
  <c r="I22" i="369"/>
  <c r="M22" i="369"/>
  <c r="K26" i="369"/>
  <c r="K30" i="369" s="1"/>
  <c r="F27" i="369"/>
  <c r="J27" i="369"/>
  <c r="N27" i="369"/>
  <c r="Q19" i="369"/>
  <c r="Q20" i="367"/>
  <c r="G28" i="365"/>
  <c r="K28" i="365"/>
  <c r="O28" i="365"/>
  <c r="Q21" i="365"/>
  <c r="H28" i="365"/>
  <c r="L28" i="365"/>
  <c r="P28" i="365"/>
  <c r="I28" i="365"/>
  <c r="F28" i="365"/>
  <c r="J28" i="365"/>
  <c r="BB128" i="363"/>
  <c r="BB127" i="363"/>
  <c r="BB107" i="363"/>
  <c r="BB142" i="363" s="1"/>
  <c r="C105" i="363"/>
  <c r="C104" i="363"/>
  <c r="C103" i="363"/>
  <c r="C102" i="363"/>
  <c r="C72" i="363"/>
  <c r="C69" i="363"/>
  <c r="C68" i="363"/>
  <c r="C67" i="363"/>
  <c r="C55" i="363"/>
  <c r="C54" i="363"/>
  <c r="C51" i="363"/>
  <c r="C48" i="363"/>
  <c r="C47" i="363"/>
  <c r="C46" i="363"/>
  <c r="C45" i="363"/>
  <c r="C41" i="363"/>
  <c r="C40" i="363"/>
  <c r="C39" i="363"/>
  <c r="C38" i="363"/>
  <c r="C33" i="363"/>
  <c r="C29" i="363"/>
  <c r="C23" i="363"/>
  <c r="C19" i="363"/>
  <c r="C18" i="363"/>
  <c r="C13" i="363"/>
  <c r="C9" i="363"/>
  <c r="C8" i="363"/>
  <c r="C7" i="363"/>
  <c r="C4" i="363" s="1"/>
  <c r="I29" i="371" l="1"/>
  <c r="S5" i="370"/>
  <c r="S6" i="370" s="1"/>
  <c r="S5" i="372"/>
  <c r="S6" i="372" s="1"/>
  <c r="M198" i="34"/>
  <c r="H23" i="378"/>
  <c r="H26" i="378"/>
  <c r="H30" i="378" s="1"/>
  <c r="H22" i="378"/>
  <c r="H29" i="378" s="1"/>
  <c r="G29" i="376"/>
  <c r="H22" i="376"/>
  <c r="H23" i="376"/>
  <c r="H26" i="376"/>
  <c r="H30" i="376" s="1"/>
  <c r="I19" i="376"/>
  <c r="G29" i="378"/>
  <c r="S4" i="372"/>
  <c r="S4" i="370"/>
  <c r="N199" i="34"/>
  <c r="S4" i="367"/>
  <c r="N198" i="34"/>
  <c r="N200" i="34"/>
  <c r="N194" i="34"/>
  <c r="N197" i="34"/>
  <c r="S4" i="371"/>
  <c r="S4" i="369"/>
  <c r="I200" i="34"/>
  <c r="M29" i="370"/>
  <c r="H29" i="370"/>
  <c r="Q22" i="370"/>
  <c r="I29" i="370"/>
  <c r="N29" i="370"/>
  <c r="G29" i="370"/>
  <c r="F29" i="370"/>
  <c r="K29" i="370"/>
  <c r="L29" i="370"/>
  <c r="E29" i="370"/>
  <c r="J29" i="370"/>
  <c r="O29" i="370"/>
  <c r="I198" i="34"/>
  <c r="Q200" i="34"/>
  <c r="Q198" i="34"/>
  <c r="J29" i="372"/>
  <c r="Q22" i="372"/>
  <c r="N29" i="372"/>
  <c r="O29" i="372"/>
  <c r="F29" i="372"/>
  <c r="M29" i="372"/>
  <c r="P29" i="372"/>
  <c r="G29" i="372"/>
  <c r="H29" i="372"/>
  <c r="E29" i="372"/>
  <c r="K29" i="372"/>
  <c r="L29" i="372"/>
  <c r="E29" i="371"/>
  <c r="F29" i="371"/>
  <c r="G29" i="371"/>
  <c r="N29" i="371"/>
  <c r="S5" i="371"/>
  <c r="S6" i="371" s="1"/>
  <c r="M199" i="34"/>
  <c r="E30" i="372"/>
  <c r="M200" i="34"/>
  <c r="H29" i="371"/>
  <c r="O29" i="371"/>
  <c r="K29" i="371"/>
  <c r="J29" i="371"/>
  <c r="P29" i="371"/>
  <c r="M29" i="371"/>
  <c r="E30" i="371"/>
  <c r="Q22" i="371"/>
  <c r="L29" i="371"/>
  <c r="M29" i="369"/>
  <c r="I29" i="369"/>
  <c r="E29" i="369"/>
  <c r="J29" i="369"/>
  <c r="P29" i="369"/>
  <c r="L29" i="369"/>
  <c r="H29" i="369"/>
  <c r="Q22" i="369"/>
  <c r="O29" i="369"/>
  <c r="K29" i="369"/>
  <c r="G29" i="369"/>
  <c r="N29" i="369"/>
  <c r="F29" i="369"/>
  <c r="I197" i="34"/>
  <c r="I199" i="34"/>
  <c r="D80" i="205"/>
  <c r="D49" i="205"/>
  <c r="D61" i="205" l="1"/>
  <c r="D92" i="205"/>
  <c r="D44" i="205"/>
  <c r="D99" i="205" s="1"/>
  <c r="I26" i="376"/>
  <c r="I30" i="376" s="1"/>
  <c r="I23" i="376"/>
  <c r="I22" i="376"/>
  <c r="I29" i="376" s="1"/>
  <c r="J19" i="376"/>
  <c r="I26" i="378"/>
  <c r="I30" i="378" s="1"/>
  <c r="I22" i="378"/>
  <c r="I29" i="378" s="1"/>
  <c r="I23" i="378"/>
  <c r="H29" i="376"/>
  <c r="D75" i="205"/>
  <c r="D101" i="205" s="1"/>
  <c r="R198" i="34"/>
  <c r="O198" i="34"/>
  <c r="R199" i="34"/>
  <c r="O199" i="34"/>
  <c r="R200" i="34"/>
  <c r="O200" i="34"/>
  <c r="R197" i="34"/>
  <c r="O197" i="34"/>
  <c r="B103" i="358"/>
  <c r="J26" i="376" l="1"/>
  <c r="J30" i="376" s="1"/>
  <c r="J22" i="376"/>
  <c r="J29" i="376" s="1"/>
  <c r="J23" i="376"/>
  <c r="J22" i="378"/>
  <c r="J23" i="378"/>
  <c r="J26" i="378"/>
  <c r="J30" i="378" s="1"/>
  <c r="K19" i="376"/>
  <c r="K56" i="358"/>
  <c r="K59" i="358" s="1"/>
  <c r="K26" i="376" l="1"/>
  <c r="K30" i="376" s="1"/>
  <c r="K23" i="376"/>
  <c r="K22" i="376"/>
  <c r="L19" i="376"/>
  <c r="J29" i="378"/>
  <c r="K26" i="378"/>
  <c r="K30" i="378" s="1"/>
  <c r="K23" i="378"/>
  <c r="K22" i="378"/>
  <c r="H30" i="358"/>
  <c r="I30" i="358"/>
  <c r="J30" i="358"/>
  <c r="K30" i="358"/>
  <c r="L30" i="358"/>
  <c r="M30" i="358"/>
  <c r="N30" i="358"/>
  <c r="O30" i="358"/>
  <c r="P30" i="358"/>
  <c r="H31" i="358"/>
  <c r="I31" i="358"/>
  <c r="J31" i="358"/>
  <c r="K31" i="358"/>
  <c r="L31" i="358"/>
  <c r="M31" i="358"/>
  <c r="N31" i="358"/>
  <c r="O31" i="358"/>
  <c r="P31" i="358"/>
  <c r="H32" i="358"/>
  <c r="I32" i="358"/>
  <c r="J32" i="358"/>
  <c r="K32" i="358"/>
  <c r="L32" i="358"/>
  <c r="M32" i="358"/>
  <c r="N32" i="358"/>
  <c r="O32" i="358"/>
  <c r="P32" i="358"/>
  <c r="G30" i="358"/>
  <c r="G31" i="358"/>
  <c r="G32" i="358"/>
  <c r="F31" i="358"/>
  <c r="F32" i="358"/>
  <c r="F30" i="358"/>
  <c r="L26" i="378" l="1"/>
  <c r="L30" i="378" s="1"/>
  <c r="L22" i="378"/>
  <c r="L29" i="378" s="1"/>
  <c r="L23" i="378"/>
  <c r="K29" i="378"/>
  <c r="K29" i="376"/>
  <c r="L26" i="376"/>
  <c r="L30" i="376" s="1"/>
  <c r="L22" i="376"/>
  <c r="L23" i="376"/>
  <c r="M19" i="376"/>
  <c r="M33" i="358"/>
  <c r="I143" i="358"/>
  <c r="L29" i="376" l="1"/>
  <c r="M26" i="376"/>
  <c r="M30" i="376" s="1"/>
  <c r="M22" i="376"/>
  <c r="M23" i="376"/>
  <c r="N19" i="376"/>
  <c r="M26" i="378"/>
  <c r="M30" i="378" s="1"/>
  <c r="M23" i="378"/>
  <c r="M22" i="378"/>
  <c r="E92" i="205" l="1"/>
  <c r="N26" i="376"/>
  <c r="N30" i="376" s="1"/>
  <c r="N22" i="376"/>
  <c r="N29" i="376" s="1"/>
  <c r="N23" i="376"/>
  <c r="M29" i="376"/>
  <c r="M29" i="378"/>
  <c r="P19" i="376"/>
  <c r="O19" i="376"/>
  <c r="N23" i="378"/>
  <c r="N26" i="378"/>
  <c r="N30" i="378" s="1"/>
  <c r="N22" i="378"/>
  <c r="N29" i="378" s="1"/>
  <c r="F92" i="205" l="1"/>
  <c r="E80" i="205"/>
  <c r="E75" i="205"/>
  <c r="E101" i="205" s="1"/>
  <c r="O26" i="376"/>
  <c r="O30" i="376" s="1"/>
  <c r="O22" i="376"/>
  <c r="O29" i="376" s="1"/>
  <c r="O23" i="376"/>
  <c r="P26" i="376"/>
  <c r="P22" i="376"/>
  <c r="P23" i="376"/>
  <c r="G45" i="34"/>
  <c r="Q19" i="376"/>
  <c r="O23" i="378"/>
  <c r="O26" i="378"/>
  <c r="O30" i="378" s="1"/>
  <c r="O22" i="378"/>
  <c r="O29" i="378" s="1"/>
  <c r="P22" i="378"/>
  <c r="P23" i="378"/>
  <c r="G79" i="34"/>
  <c r="P26" i="378"/>
  <c r="Q19" i="378"/>
  <c r="B147" i="206"/>
  <c r="D165" i="358"/>
  <c r="B165" i="358"/>
  <c r="B175" i="205"/>
  <c r="C1" i="362"/>
  <c r="D30" i="362"/>
  <c r="D29" i="362"/>
  <c r="D28" i="362"/>
  <c r="D27" i="362"/>
  <c r="D26" i="362"/>
  <c r="P25" i="362"/>
  <c r="O25" i="362"/>
  <c r="N25" i="362"/>
  <c r="M25" i="362"/>
  <c r="L25" i="362"/>
  <c r="K25" i="362"/>
  <c r="J25" i="362"/>
  <c r="I25" i="362"/>
  <c r="H25" i="362"/>
  <c r="G25" i="362"/>
  <c r="F25" i="362"/>
  <c r="E25" i="362"/>
  <c r="I1" i="362"/>
  <c r="B1" i="362"/>
  <c r="G92" i="205" l="1"/>
  <c r="F80" i="205"/>
  <c r="P29" i="378"/>
  <c r="Q22" i="378"/>
  <c r="M45" i="34"/>
  <c r="P30" i="376"/>
  <c r="S5" i="376"/>
  <c r="S6" i="376" s="1"/>
  <c r="P30" i="378"/>
  <c r="S5" i="378"/>
  <c r="S6" i="378" s="1"/>
  <c r="M79" i="34"/>
  <c r="Q22" i="376"/>
  <c r="P29" i="376"/>
  <c r="F75" i="205"/>
  <c r="F101" i="205" s="1"/>
  <c r="B122" i="358"/>
  <c r="H92" i="205" l="1"/>
  <c r="G80" i="205"/>
  <c r="G75" i="205"/>
  <c r="G101" i="205" s="1"/>
  <c r="F191" i="358"/>
  <c r="F187" i="358"/>
  <c r="I92" i="205" l="1"/>
  <c r="H80" i="205"/>
  <c r="H75" i="205"/>
  <c r="F194" i="358"/>
  <c r="C1" i="361"/>
  <c r="D30" i="361"/>
  <c r="D29" i="361"/>
  <c r="O28" i="361"/>
  <c r="K28" i="361"/>
  <c r="G28" i="361"/>
  <c r="D28" i="361"/>
  <c r="N25" i="361"/>
  <c r="P28" i="361"/>
  <c r="N28" i="361"/>
  <c r="M28" i="361"/>
  <c r="L28" i="361"/>
  <c r="J28" i="361"/>
  <c r="I28" i="361"/>
  <c r="H28" i="361"/>
  <c r="F28" i="361"/>
  <c r="D20" i="361"/>
  <c r="D27" i="361" s="1"/>
  <c r="D19" i="361"/>
  <c r="D26" i="361" s="1"/>
  <c r="P18" i="361"/>
  <c r="P25" i="361" s="1"/>
  <c r="O18" i="361"/>
  <c r="O25" i="361" s="1"/>
  <c r="N18" i="361"/>
  <c r="M18" i="361"/>
  <c r="M25" i="361" s="1"/>
  <c r="L18" i="361"/>
  <c r="L25" i="361" s="1"/>
  <c r="K18" i="361"/>
  <c r="K25" i="361" s="1"/>
  <c r="J18" i="361"/>
  <c r="J25" i="361" s="1"/>
  <c r="I18" i="361"/>
  <c r="I25" i="361" s="1"/>
  <c r="H18" i="361"/>
  <c r="H25" i="361" s="1"/>
  <c r="G18" i="361"/>
  <c r="G25" i="361" s="1"/>
  <c r="F18" i="361"/>
  <c r="F25" i="361" s="1"/>
  <c r="E18" i="361"/>
  <c r="E25" i="361" s="1"/>
  <c r="I1" i="361"/>
  <c r="B1" i="361"/>
  <c r="C1" i="360"/>
  <c r="D30" i="360"/>
  <c r="D29" i="360"/>
  <c r="O28" i="360"/>
  <c r="K28" i="360"/>
  <c r="G28" i="360"/>
  <c r="D28" i="360"/>
  <c r="F25" i="360"/>
  <c r="P28" i="360"/>
  <c r="N28" i="360"/>
  <c r="M28" i="360"/>
  <c r="L28" i="360"/>
  <c r="J28" i="360"/>
  <c r="I28" i="360"/>
  <c r="H28" i="360"/>
  <c r="F28" i="360"/>
  <c r="D20" i="360"/>
  <c r="D27" i="360" s="1"/>
  <c r="D19" i="360"/>
  <c r="D26" i="360" s="1"/>
  <c r="P18" i="360"/>
  <c r="P25" i="360" s="1"/>
  <c r="O18" i="360"/>
  <c r="O25" i="360" s="1"/>
  <c r="N18" i="360"/>
  <c r="N25" i="360" s="1"/>
  <c r="M18" i="360"/>
  <c r="M25" i="360" s="1"/>
  <c r="L18" i="360"/>
  <c r="L25" i="360" s="1"/>
  <c r="K18" i="360"/>
  <c r="K25" i="360" s="1"/>
  <c r="J18" i="360"/>
  <c r="J25" i="360" s="1"/>
  <c r="I18" i="360"/>
  <c r="I25" i="360" s="1"/>
  <c r="H18" i="360"/>
  <c r="H25" i="360" s="1"/>
  <c r="G18" i="360"/>
  <c r="G25" i="360" s="1"/>
  <c r="F18" i="360"/>
  <c r="E18" i="360"/>
  <c r="E25" i="360" s="1"/>
  <c r="I1" i="360"/>
  <c r="B1" i="360"/>
  <c r="C100" i="358"/>
  <c r="B100" i="358"/>
  <c r="A100" i="358"/>
  <c r="C99" i="358"/>
  <c r="B99" i="358"/>
  <c r="A99" i="358"/>
  <c r="C104" i="205"/>
  <c r="B104" i="205"/>
  <c r="A104" i="205"/>
  <c r="C103" i="205"/>
  <c r="B103" i="205"/>
  <c r="A103" i="205"/>
  <c r="H101" i="205" l="1"/>
  <c r="J92" i="205"/>
  <c r="I80" i="205"/>
  <c r="I75" i="205"/>
  <c r="H120" i="34"/>
  <c r="E22" i="380"/>
  <c r="N27" i="380"/>
  <c r="N30" i="380" s="1"/>
  <c r="L27" i="380"/>
  <c r="L30" i="380" s="1"/>
  <c r="I27" i="380"/>
  <c r="I30" i="380" s="1"/>
  <c r="K27" i="380"/>
  <c r="K30" i="380" s="1"/>
  <c r="M27" i="380"/>
  <c r="M30" i="380" s="1"/>
  <c r="H27" i="380"/>
  <c r="H30" i="380" s="1"/>
  <c r="F27" i="380"/>
  <c r="F30" i="380" s="1"/>
  <c r="O27" i="380"/>
  <c r="O30" i="380" s="1"/>
  <c r="Q20" i="380"/>
  <c r="J27" i="380"/>
  <c r="J30" i="380" s="1"/>
  <c r="G27" i="380"/>
  <c r="G30" i="380" s="1"/>
  <c r="P27" i="380"/>
  <c r="P30" i="380" s="1"/>
  <c r="E27" i="380"/>
  <c r="Q21" i="361"/>
  <c r="E28" i="361"/>
  <c r="Q21" i="360"/>
  <c r="E28" i="360"/>
  <c r="E19" i="234"/>
  <c r="F33" i="358"/>
  <c r="F35" i="358"/>
  <c r="F100" i="358" s="1"/>
  <c r="F22" i="361" s="1"/>
  <c r="F99" i="358"/>
  <c r="F164" i="358"/>
  <c r="F133" i="358"/>
  <c r="F134" i="358"/>
  <c r="F135" i="358"/>
  <c r="F136" i="358"/>
  <c r="F137" i="358"/>
  <c r="F138" i="358"/>
  <c r="F141" i="358"/>
  <c r="F142" i="358"/>
  <c r="F143" i="358"/>
  <c r="F146" i="358"/>
  <c r="F163" i="358"/>
  <c r="F92" i="358"/>
  <c r="F96" i="358"/>
  <c r="E19" i="237"/>
  <c r="F19" i="233"/>
  <c r="G19" i="233"/>
  <c r="H19" i="233"/>
  <c r="I19" i="233"/>
  <c r="J19" i="233"/>
  <c r="K19" i="233"/>
  <c r="L19" i="233"/>
  <c r="M19" i="233"/>
  <c r="N19" i="233"/>
  <c r="E19" i="233"/>
  <c r="I101" i="205" l="1"/>
  <c r="K92" i="205"/>
  <c r="J80" i="205"/>
  <c r="J75" i="205"/>
  <c r="S4" i="380"/>
  <c r="N120" i="34"/>
  <c r="I29" i="380"/>
  <c r="P29" i="380"/>
  <c r="O29" i="380"/>
  <c r="H29" i="380"/>
  <c r="J29" i="380"/>
  <c r="F29" i="380"/>
  <c r="E29" i="380"/>
  <c r="L29" i="380"/>
  <c r="G29" i="380"/>
  <c r="K29" i="380"/>
  <c r="N29" i="380"/>
  <c r="M29" i="380"/>
  <c r="Q22" i="380"/>
  <c r="F95" i="358"/>
  <c r="F98" i="358"/>
  <c r="F167" i="358" s="1"/>
  <c r="F97" i="358"/>
  <c r="F165" i="358"/>
  <c r="F162" i="358"/>
  <c r="F166" i="358" s="1"/>
  <c r="F140" i="358"/>
  <c r="F20" i="358"/>
  <c r="F19" i="234"/>
  <c r="F145" i="358"/>
  <c r="E19" i="242"/>
  <c r="J101" i="205" l="1"/>
  <c r="L92" i="205"/>
  <c r="K80" i="205"/>
  <c r="O19" i="233"/>
  <c r="K75" i="205"/>
  <c r="G19" i="234"/>
  <c r="Q45" i="34"/>
  <c r="I45" i="34"/>
  <c r="F101" i="358"/>
  <c r="F170" i="358"/>
  <c r="F19" i="277"/>
  <c r="G19" i="277"/>
  <c r="H19" i="277"/>
  <c r="I19" i="277"/>
  <c r="J19" i="277"/>
  <c r="K19" i="277"/>
  <c r="L19" i="277"/>
  <c r="M19" i="277"/>
  <c r="N19" i="277"/>
  <c r="O19" i="277"/>
  <c r="P19" i="277"/>
  <c r="E19" i="277"/>
  <c r="F19" i="278"/>
  <c r="G19" i="278"/>
  <c r="H19" i="278"/>
  <c r="I19" i="278"/>
  <c r="J19" i="278"/>
  <c r="K19" i="278"/>
  <c r="L19" i="278"/>
  <c r="M19" i="278"/>
  <c r="N19" i="278"/>
  <c r="O19" i="278"/>
  <c r="P19" i="278"/>
  <c r="E19" i="278"/>
  <c r="F19" i="272"/>
  <c r="G19" i="272"/>
  <c r="H19" i="272"/>
  <c r="I19" i="272"/>
  <c r="J19" i="272"/>
  <c r="K19" i="272"/>
  <c r="L19" i="272"/>
  <c r="M19" i="272"/>
  <c r="N19" i="272"/>
  <c r="O19" i="272"/>
  <c r="P19" i="272"/>
  <c r="E19" i="272"/>
  <c r="F19" i="271"/>
  <c r="G19" i="271"/>
  <c r="H19" i="271"/>
  <c r="I19" i="271"/>
  <c r="J19" i="271"/>
  <c r="K19" i="271"/>
  <c r="L19" i="271"/>
  <c r="M19" i="271"/>
  <c r="N19" i="271"/>
  <c r="O19" i="271"/>
  <c r="P19" i="271"/>
  <c r="E19" i="271"/>
  <c r="F19" i="270"/>
  <c r="G19" i="270"/>
  <c r="H19" i="270"/>
  <c r="I19" i="270"/>
  <c r="J19" i="270"/>
  <c r="K19" i="270"/>
  <c r="L19" i="270"/>
  <c r="M19" i="270"/>
  <c r="N19" i="270"/>
  <c r="O19" i="270"/>
  <c r="P19" i="270"/>
  <c r="E19" i="270"/>
  <c r="F19" i="269"/>
  <c r="G19" i="269"/>
  <c r="H19" i="269"/>
  <c r="I19" i="269"/>
  <c r="J19" i="269"/>
  <c r="K19" i="269"/>
  <c r="L19" i="269"/>
  <c r="M19" i="269"/>
  <c r="N19" i="269"/>
  <c r="E19" i="269"/>
  <c r="F19" i="267"/>
  <c r="G19" i="267"/>
  <c r="H19" i="267"/>
  <c r="I19" i="267"/>
  <c r="J19" i="267"/>
  <c r="K19" i="267"/>
  <c r="L19" i="267"/>
  <c r="M19" i="267"/>
  <c r="N19" i="267"/>
  <c r="O19" i="267"/>
  <c r="P19" i="267"/>
  <c r="E19" i="267"/>
  <c r="F19" i="264"/>
  <c r="G19" i="264"/>
  <c r="H19" i="264"/>
  <c r="I19" i="264"/>
  <c r="J19" i="264"/>
  <c r="K19" i="264"/>
  <c r="L19" i="264"/>
  <c r="M19" i="264"/>
  <c r="N19" i="264"/>
  <c r="O19" i="264"/>
  <c r="P19" i="264"/>
  <c r="E19" i="264"/>
  <c r="F19" i="263"/>
  <c r="G19" i="263"/>
  <c r="H19" i="263"/>
  <c r="I19" i="263"/>
  <c r="J19" i="263"/>
  <c r="K19" i="263"/>
  <c r="L19" i="263"/>
  <c r="M19" i="263"/>
  <c r="E19" i="263"/>
  <c r="F19" i="266"/>
  <c r="G19" i="266"/>
  <c r="H19" i="266"/>
  <c r="I19" i="266"/>
  <c r="J19" i="266"/>
  <c r="K19" i="266"/>
  <c r="L19" i="266"/>
  <c r="M19" i="266"/>
  <c r="N19" i="266"/>
  <c r="O19" i="266"/>
  <c r="P19" i="266"/>
  <c r="E19" i="266"/>
  <c r="F19" i="261"/>
  <c r="G19" i="261"/>
  <c r="H19" i="261"/>
  <c r="I19" i="261"/>
  <c r="J19" i="261"/>
  <c r="K19" i="261"/>
  <c r="L19" i="261"/>
  <c r="M19" i="261"/>
  <c r="N19" i="261"/>
  <c r="O19" i="261"/>
  <c r="P19" i="261"/>
  <c r="E19" i="261"/>
  <c r="F19" i="260"/>
  <c r="G19" i="260"/>
  <c r="H19" i="260"/>
  <c r="I19" i="260"/>
  <c r="J19" i="260"/>
  <c r="K19" i="260"/>
  <c r="L19" i="260"/>
  <c r="M19" i="260"/>
  <c r="N19" i="260"/>
  <c r="O19" i="260"/>
  <c r="P19" i="260"/>
  <c r="E19" i="260"/>
  <c r="F19" i="259"/>
  <c r="G19" i="259"/>
  <c r="H19" i="259"/>
  <c r="I19" i="259"/>
  <c r="J19" i="259"/>
  <c r="K19" i="259"/>
  <c r="L19" i="259"/>
  <c r="M19" i="259"/>
  <c r="N19" i="259"/>
  <c r="O19" i="259"/>
  <c r="P19" i="259"/>
  <c r="E19" i="259"/>
  <c r="F19" i="210"/>
  <c r="G19" i="210"/>
  <c r="H19" i="210"/>
  <c r="I19" i="210"/>
  <c r="J19" i="210"/>
  <c r="K19" i="210"/>
  <c r="L19" i="210"/>
  <c r="M19" i="210"/>
  <c r="N19" i="210"/>
  <c r="O19" i="210"/>
  <c r="P19" i="210"/>
  <c r="E19" i="210"/>
  <c r="F19" i="209"/>
  <c r="G19" i="209"/>
  <c r="H19" i="209"/>
  <c r="I19" i="209"/>
  <c r="J19" i="209"/>
  <c r="K19" i="209"/>
  <c r="L19" i="209"/>
  <c r="M19" i="209"/>
  <c r="N19" i="209"/>
  <c r="O19" i="209"/>
  <c r="P19" i="209"/>
  <c r="E19" i="209"/>
  <c r="K101" i="205" l="1"/>
  <c r="Q88" i="34"/>
  <c r="I88" i="34"/>
  <c r="M92" i="205"/>
  <c r="L80" i="205"/>
  <c r="L75" i="205"/>
  <c r="L101" i="205" s="1"/>
  <c r="P19" i="233"/>
  <c r="Q84" i="34"/>
  <c r="Q79" i="34"/>
  <c r="Q97" i="34"/>
  <c r="N92" i="205" l="1"/>
  <c r="O19" i="269"/>
  <c r="M80" i="205"/>
  <c r="N19" i="263"/>
  <c r="M75" i="205"/>
  <c r="E19" i="258"/>
  <c r="M101" i="205" l="1"/>
  <c r="O92" i="205"/>
  <c r="P19" i="269"/>
  <c r="N80" i="205"/>
  <c r="O19" i="263"/>
  <c r="O75" i="205"/>
  <c r="N75" i="205"/>
  <c r="F19" i="258"/>
  <c r="E19" i="268"/>
  <c r="E19" i="274"/>
  <c r="E19" i="241"/>
  <c r="E19" i="240"/>
  <c r="N101" i="205" l="1"/>
  <c r="O80" i="205"/>
  <c r="O101" i="205" s="1"/>
  <c r="P19" i="263"/>
  <c r="Q50" i="34"/>
  <c r="I50" i="34"/>
  <c r="E19" i="239"/>
  <c r="G19" i="258"/>
  <c r="E19" i="244" l="1"/>
  <c r="H19" i="258"/>
  <c r="P143" i="358"/>
  <c r="O143" i="358"/>
  <c r="N143" i="358"/>
  <c r="M143" i="358"/>
  <c r="L143" i="358"/>
  <c r="K143" i="358"/>
  <c r="J143" i="358"/>
  <c r="H143" i="358"/>
  <c r="G143" i="358"/>
  <c r="P142" i="358"/>
  <c r="O142" i="358"/>
  <c r="N142" i="358"/>
  <c r="M142" i="358"/>
  <c r="L142" i="358"/>
  <c r="K142" i="358"/>
  <c r="J142" i="358"/>
  <c r="I142" i="358"/>
  <c r="H142" i="358"/>
  <c r="G142" i="358"/>
  <c r="P141" i="358"/>
  <c r="O141" i="358"/>
  <c r="N141" i="358"/>
  <c r="M141" i="358"/>
  <c r="L141" i="358"/>
  <c r="K141" i="358"/>
  <c r="J141" i="358"/>
  <c r="I141" i="358"/>
  <c r="H141" i="358"/>
  <c r="G141" i="358"/>
  <c r="P138" i="358"/>
  <c r="O138" i="358"/>
  <c r="N138" i="358"/>
  <c r="M138" i="358"/>
  <c r="L138" i="358"/>
  <c r="K138" i="358"/>
  <c r="J138" i="358"/>
  <c r="I138" i="358"/>
  <c r="H138" i="358"/>
  <c r="G138" i="358"/>
  <c r="P137" i="358"/>
  <c r="O137" i="358"/>
  <c r="N137" i="358"/>
  <c r="M137" i="358"/>
  <c r="L137" i="358"/>
  <c r="K137" i="358"/>
  <c r="J137" i="358"/>
  <c r="I137" i="358"/>
  <c r="H137" i="358"/>
  <c r="G137" i="358"/>
  <c r="P136" i="358"/>
  <c r="O136" i="358"/>
  <c r="N136" i="358"/>
  <c r="M136" i="358"/>
  <c r="L136" i="358"/>
  <c r="K136" i="358"/>
  <c r="J136" i="358"/>
  <c r="I136" i="358"/>
  <c r="H136" i="358"/>
  <c r="G136" i="358"/>
  <c r="P135" i="358"/>
  <c r="O135" i="358"/>
  <c r="N135" i="358"/>
  <c r="M135" i="358"/>
  <c r="L135" i="358"/>
  <c r="K135" i="358"/>
  <c r="J135" i="358"/>
  <c r="I135" i="358"/>
  <c r="H135" i="358"/>
  <c r="G135" i="358"/>
  <c r="P134" i="358"/>
  <c r="O134" i="358"/>
  <c r="N134" i="358"/>
  <c r="M134" i="358"/>
  <c r="L134" i="358"/>
  <c r="K134" i="358"/>
  <c r="J134" i="358"/>
  <c r="I134" i="358"/>
  <c r="H134" i="358"/>
  <c r="G134" i="358"/>
  <c r="P133" i="358"/>
  <c r="O133" i="358"/>
  <c r="N133" i="358"/>
  <c r="M133" i="358"/>
  <c r="L133" i="358"/>
  <c r="K133" i="358"/>
  <c r="J133" i="358"/>
  <c r="I133" i="358"/>
  <c r="H133" i="358"/>
  <c r="G133" i="358"/>
  <c r="P132" i="358"/>
  <c r="O132" i="358"/>
  <c r="N132" i="358"/>
  <c r="M132" i="358"/>
  <c r="L132" i="358"/>
  <c r="K132" i="358"/>
  <c r="J132" i="358"/>
  <c r="I132" i="358"/>
  <c r="H132" i="358"/>
  <c r="G132" i="358"/>
  <c r="P94" i="358"/>
  <c r="O94" i="358"/>
  <c r="N94" i="358"/>
  <c r="M94" i="358"/>
  <c r="L94" i="358"/>
  <c r="K94" i="358"/>
  <c r="J94" i="358"/>
  <c r="I94" i="358"/>
  <c r="H94" i="358"/>
  <c r="G94" i="358"/>
  <c r="H138" i="34" l="1"/>
  <c r="O27" i="381"/>
  <c r="O30" i="381" s="1"/>
  <c r="J27" i="381"/>
  <c r="J30" i="381" s="1"/>
  <c r="L27" i="381"/>
  <c r="L30" i="381" s="1"/>
  <c r="H27" i="381"/>
  <c r="H30" i="381" s="1"/>
  <c r="E22" i="381"/>
  <c r="N27" i="381"/>
  <c r="N30" i="381" s="1"/>
  <c r="Q20" i="381"/>
  <c r="E27" i="381"/>
  <c r="G27" i="381"/>
  <c r="G30" i="381" s="1"/>
  <c r="P27" i="381"/>
  <c r="P30" i="381" s="1"/>
  <c r="I27" i="381"/>
  <c r="I30" i="381" s="1"/>
  <c r="K27" i="381"/>
  <c r="K30" i="381" s="1"/>
  <c r="F27" i="381"/>
  <c r="F30" i="381" s="1"/>
  <c r="M27" i="381"/>
  <c r="M30" i="381" s="1"/>
  <c r="I19" i="258"/>
  <c r="M29" i="381" l="1"/>
  <c r="G29" i="381"/>
  <c r="H29" i="381"/>
  <c r="F29" i="381"/>
  <c r="P29" i="381"/>
  <c r="O29" i="381"/>
  <c r="N29" i="381"/>
  <c r="I29" i="381"/>
  <c r="J29" i="381"/>
  <c r="Q22" i="381"/>
  <c r="E29" i="381"/>
  <c r="K29" i="381"/>
  <c r="L29" i="381"/>
  <c r="S4" i="381"/>
  <c r="N138" i="34"/>
  <c r="J19" i="258"/>
  <c r="E19" i="253" l="1"/>
  <c r="F19" i="240"/>
  <c r="F19" i="241"/>
  <c r="F19" i="242"/>
  <c r="E19" i="236"/>
  <c r="F19" i="237"/>
  <c r="K19" i="258"/>
  <c r="F19" i="239" l="1"/>
  <c r="E49" i="205"/>
  <c r="G19" i="240"/>
  <c r="G19" i="242"/>
  <c r="F19" i="236"/>
  <c r="G19" i="241"/>
  <c r="F19" i="253"/>
  <c r="G19" i="237"/>
  <c r="L19" i="258"/>
  <c r="G19" i="239" l="1"/>
  <c r="F49" i="205"/>
  <c r="G19" i="253"/>
  <c r="G19" i="236"/>
  <c r="H19" i="242"/>
  <c r="F19" i="244"/>
  <c r="H19" i="241"/>
  <c r="H19" i="240"/>
  <c r="H19" i="237"/>
  <c r="H19" i="234"/>
  <c r="M19" i="258"/>
  <c r="F19" i="274"/>
  <c r="G19" i="274"/>
  <c r="H19" i="274"/>
  <c r="I19" i="274"/>
  <c r="J19" i="274"/>
  <c r="K19" i="274"/>
  <c r="L19" i="274"/>
  <c r="M19" i="274"/>
  <c r="N19" i="274"/>
  <c r="O19" i="274"/>
  <c r="P19" i="274"/>
  <c r="D96" i="205"/>
  <c r="E19" i="280" l="1"/>
  <c r="D102" i="205"/>
  <c r="H19" i="239"/>
  <c r="G49" i="205"/>
  <c r="H19" i="236"/>
  <c r="G19" i="244"/>
  <c r="I19" i="240"/>
  <c r="I19" i="241"/>
  <c r="I19" i="242"/>
  <c r="H19" i="253"/>
  <c r="I19" i="237"/>
  <c r="I19" i="234"/>
  <c r="N19" i="258"/>
  <c r="E19" i="245"/>
  <c r="I19" i="239" l="1"/>
  <c r="H49" i="205"/>
  <c r="H19" i="244"/>
  <c r="F19" i="248"/>
  <c r="E19" i="248"/>
  <c r="F19" i="254"/>
  <c r="E19" i="254"/>
  <c r="J19" i="240"/>
  <c r="E19" i="246"/>
  <c r="E19" i="235"/>
  <c r="J19" i="242"/>
  <c r="F19" i="247"/>
  <c r="E19" i="247"/>
  <c r="I19" i="253"/>
  <c r="J19" i="241"/>
  <c r="I19" i="236"/>
  <c r="J19" i="237"/>
  <c r="J19" i="234"/>
  <c r="P19" i="258"/>
  <c r="O19" i="258"/>
  <c r="E61" i="205"/>
  <c r="F20" i="351"/>
  <c r="G20" i="351"/>
  <c r="H20" i="351"/>
  <c r="I20" i="351"/>
  <c r="J20" i="351"/>
  <c r="K20" i="351"/>
  <c r="L20" i="351"/>
  <c r="M20" i="351"/>
  <c r="N20" i="351"/>
  <c r="O20" i="351"/>
  <c r="P20" i="351"/>
  <c r="F21" i="351"/>
  <c r="G21" i="351"/>
  <c r="H21" i="351"/>
  <c r="J21" i="351"/>
  <c r="M21" i="351"/>
  <c r="N21" i="351"/>
  <c r="O21" i="351"/>
  <c r="P21" i="351"/>
  <c r="E20" i="351"/>
  <c r="E21" i="351"/>
  <c r="F20" i="349"/>
  <c r="G20" i="349"/>
  <c r="H20" i="349"/>
  <c r="I20" i="349"/>
  <c r="J20" i="349"/>
  <c r="K20" i="349"/>
  <c r="L20" i="349"/>
  <c r="M20" i="349"/>
  <c r="N20" i="349"/>
  <c r="O20" i="349"/>
  <c r="P20" i="349"/>
  <c r="F21" i="349"/>
  <c r="G21" i="349"/>
  <c r="J21" i="349"/>
  <c r="L21" i="349"/>
  <c r="M21" i="349"/>
  <c r="N21" i="349"/>
  <c r="O21" i="349"/>
  <c r="P21" i="349"/>
  <c r="E20" i="349"/>
  <c r="P21" i="340"/>
  <c r="F20" i="348"/>
  <c r="G20" i="348"/>
  <c r="H20" i="348"/>
  <c r="I20" i="348"/>
  <c r="J20" i="348"/>
  <c r="K20" i="348"/>
  <c r="L20" i="348"/>
  <c r="M20" i="348"/>
  <c r="N20" i="348"/>
  <c r="O20" i="348"/>
  <c r="P20" i="348"/>
  <c r="F21" i="348"/>
  <c r="G21" i="348"/>
  <c r="H21" i="348"/>
  <c r="I21" i="348"/>
  <c r="J21" i="348"/>
  <c r="K21" i="348"/>
  <c r="L21" i="348"/>
  <c r="M21" i="348"/>
  <c r="N21" i="348"/>
  <c r="O21" i="348"/>
  <c r="P21" i="348"/>
  <c r="E20" i="348"/>
  <c r="E21" i="348"/>
  <c r="F20" i="347"/>
  <c r="G20" i="347"/>
  <c r="H20" i="347"/>
  <c r="I20" i="347"/>
  <c r="J20" i="347"/>
  <c r="K20" i="347"/>
  <c r="L20" i="347"/>
  <c r="M20" i="347"/>
  <c r="N20" i="347"/>
  <c r="O20" i="347"/>
  <c r="P20" i="347"/>
  <c r="F21" i="347"/>
  <c r="G21" i="347"/>
  <c r="H21" i="347"/>
  <c r="J21" i="347"/>
  <c r="L21" i="347"/>
  <c r="M21" i="347"/>
  <c r="N21" i="347"/>
  <c r="O21" i="347"/>
  <c r="P21" i="347"/>
  <c r="E20" i="347"/>
  <c r="F20" i="350"/>
  <c r="G20" i="350"/>
  <c r="H20" i="350"/>
  <c r="I20" i="350"/>
  <c r="J20" i="350"/>
  <c r="K20" i="350"/>
  <c r="L20" i="350"/>
  <c r="M20" i="350"/>
  <c r="N20" i="350"/>
  <c r="O20" i="350"/>
  <c r="P20" i="350"/>
  <c r="F21" i="350"/>
  <c r="G21" i="350"/>
  <c r="H21" i="350"/>
  <c r="I21" i="350"/>
  <c r="J21" i="350"/>
  <c r="K21" i="350"/>
  <c r="L21" i="350"/>
  <c r="M21" i="350"/>
  <c r="N21" i="350"/>
  <c r="O21" i="350"/>
  <c r="P21" i="350"/>
  <c r="E20" i="350"/>
  <c r="F20" i="346"/>
  <c r="G20" i="346"/>
  <c r="H20" i="346"/>
  <c r="I20" i="346"/>
  <c r="J20" i="346"/>
  <c r="K20" i="346"/>
  <c r="L20" i="346"/>
  <c r="M20" i="346"/>
  <c r="N20" i="346"/>
  <c r="O20" i="346"/>
  <c r="P20" i="346"/>
  <c r="F21" i="346"/>
  <c r="G21" i="346"/>
  <c r="H21" i="346"/>
  <c r="I21" i="346"/>
  <c r="J21" i="346"/>
  <c r="L21" i="346"/>
  <c r="M21" i="346"/>
  <c r="N21" i="346"/>
  <c r="O21" i="346"/>
  <c r="P21" i="346"/>
  <c r="E20" i="346"/>
  <c r="E21" i="346"/>
  <c r="F20" i="345"/>
  <c r="G20" i="345"/>
  <c r="H20" i="345"/>
  <c r="I20" i="345"/>
  <c r="J20" i="345"/>
  <c r="K20" i="345"/>
  <c r="L20" i="345"/>
  <c r="M20" i="345"/>
  <c r="N20" i="345"/>
  <c r="O20" i="345"/>
  <c r="P20" i="345"/>
  <c r="F21" i="345"/>
  <c r="G21" i="345"/>
  <c r="H21" i="345"/>
  <c r="I21" i="345"/>
  <c r="J21" i="345"/>
  <c r="K21" i="345"/>
  <c r="L21" i="345"/>
  <c r="M21" i="345"/>
  <c r="N21" i="345"/>
  <c r="O21" i="345"/>
  <c r="P21" i="345"/>
  <c r="E20" i="345"/>
  <c r="E21" i="345"/>
  <c r="F20" i="344"/>
  <c r="G20" i="344"/>
  <c r="H20" i="344"/>
  <c r="I20" i="344"/>
  <c r="J20" i="344"/>
  <c r="K20" i="344"/>
  <c r="L20" i="344"/>
  <c r="M20" i="344"/>
  <c r="N20" i="344"/>
  <c r="O20" i="344"/>
  <c r="P20" i="344"/>
  <c r="F21" i="344"/>
  <c r="G21" i="344"/>
  <c r="H21" i="344"/>
  <c r="I21" i="344"/>
  <c r="J21" i="344"/>
  <c r="K21" i="344"/>
  <c r="L21" i="344"/>
  <c r="M21" i="344"/>
  <c r="N21" i="344"/>
  <c r="O21" i="344"/>
  <c r="P21" i="344"/>
  <c r="E20" i="344"/>
  <c r="F20" i="343"/>
  <c r="G20" i="343"/>
  <c r="H20" i="343"/>
  <c r="I20" i="343"/>
  <c r="J20" i="343"/>
  <c r="K20" i="343"/>
  <c r="L20" i="343"/>
  <c r="M20" i="343"/>
  <c r="N20" i="343"/>
  <c r="O20" i="343"/>
  <c r="P20" i="343"/>
  <c r="F21" i="343"/>
  <c r="G21" i="343"/>
  <c r="H21" i="343"/>
  <c r="I21" i="343"/>
  <c r="J21" i="343"/>
  <c r="L21" i="343"/>
  <c r="M21" i="343"/>
  <c r="N21" i="343"/>
  <c r="O21" i="343"/>
  <c r="P21" i="343"/>
  <c r="E21" i="343"/>
  <c r="E20" i="343"/>
  <c r="P191" i="358"/>
  <c r="P20" i="340" s="1"/>
  <c r="F20" i="342"/>
  <c r="G20" i="342"/>
  <c r="H20" i="342"/>
  <c r="I20" i="342"/>
  <c r="J20" i="342"/>
  <c r="K20" i="342"/>
  <c r="L20" i="342"/>
  <c r="M20" i="342"/>
  <c r="N20" i="342"/>
  <c r="O20" i="342"/>
  <c r="P20" i="342"/>
  <c r="F21" i="342"/>
  <c r="G21" i="342"/>
  <c r="H21" i="342"/>
  <c r="I21" i="342"/>
  <c r="J21" i="342"/>
  <c r="K21" i="342"/>
  <c r="L21" i="342"/>
  <c r="M21" i="342"/>
  <c r="N21" i="342"/>
  <c r="O21" i="342"/>
  <c r="P21" i="342"/>
  <c r="E20" i="342"/>
  <c r="J19" i="239" l="1"/>
  <c r="I49" i="205"/>
  <c r="F19" i="235"/>
  <c r="E44" i="205"/>
  <c r="E99" i="205" s="1"/>
  <c r="Q63" i="34"/>
  <c r="I63" i="34"/>
  <c r="G19" i="254"/>
  <c r="G19" i="247"/>
  <c r="I19" i="244"/>
  <c r="J19" i="236"/>
  <c r="K19" i="242"/>
  <c r="E19" i="238"/>
  <c r="K19" i="240"/>
  <c r="D100" i="205"/>
  <c r="E19" i="250"/>
  <c r="K19" i="241"/>
  <c r="J19" i="253"/>
  <c r="G19" i="246"/>
  <c r="F19" i="245"/>
  <c r="F19" i="246"/>
  <c r="K19" i="237"/>
  <c r="K19" i="234"/>
  <c r="P21" i="306"/>
  <c r="I97" i="34"/>
  <c r="I84" i="34"/>
  <c r="I79" i="34"/>
  <c r="E22" i="260"/>
  <c r="H19" i="245" l="1"/>
  <c r="G19" i="245"/>
  <c r="F61" i="205"/>
  <c r="F100" i="205" s="1"/>
  <c r="K19" i="239"/>
  <c r="J49" i="205"/>
  <c r="G19" i="235"/>
  <c r="F44" i="205"/>
  <c r="F99" i="205" s="1"/>
  <c r="F27" i="286"/>
  <c r="G19" i="248"/>
  <c r="J19" i="244"/>
  <c r="E100" i="205"/>
  <c r="F19" i="250"/>
  <c r="H19" i="248"/>
  <c r="K19" i="236"/>
  <c r="H19" i="246"/>
  <c r="H19" i="254"/>
  <c r="K19" i="253"/>
  <c r="L19" i="241"/>
  <c r="L19" i="240"/>
  <c r="L19" i="242"/>
  <c r="L19" i="237"/>
  <c r="F19" i="238"/>
  <c r="L19" i="234"/>
  <c r="E19" i="216"/>
  <c r="D20" i="212"/>
  <c r="E19" i="123"/>
  <c r="I19" i="245" l="1"/>
  <c r="H61" i="205"/>
  <c r="G61" i="205"/>
  <c r="G100" i="205" s="1"/>
  <c r="H19" i="247"/>
  <c r="L19" i="239"/>
  <c r="K49" i="205"/>
  <c r="H19" i="235"/>
  <c r="G44" i="205"/>
  <c r="G99" i="205" s="1"/>
  <c r="G19" i="250"/>
  <c r="I19" i="246"/>
  <c r="I19" i="248"/>
  <c r="M19" i="241"/>
  <c r="M19" i="242"/>
  <c r="I19" i="247"/>
  <c r="L19" i="253"/>
  <c r="I19" i="254"/>
  <c r="K19" i="244"/>
  <c r="M19" i="240"/>
  <c r="L19" i="236"/>
  <c r="M19" i="237"/>
  <c r="M19" i="234"/>
  <c r="G19" i="238"/>
  <c r="F18" i="218"/>
  <c r="G18" i="218"/>
  <c r="H18" i="218"/>
  <c r="I18" i="218"/>
  <c r="J18" i="218"/>
  <c r="K18" i="218"/>
  <c r="L18" i="218"/>
  <c r="M18" i="218"/>
  <c r="N18" i="218"/>
  <c r="O18" i="218"/>
  <c r="P18" i="218"/>
  <c r="F18" i="219"/>
  <c r="G18" i="219"/>
  <c r="H18" i="219"/>
  <c r="I18" i="219"/>
  <c r="J18" i="219"/>
  <c r="K18" i="219"/>
  <c r="L18" i="219"/>
  <c r="M18" i="219"/>
  <c r="N18" i="219"/>
  <c r="O18" i="219"/>
  <c r="P18" i="219"/>
  <c r="F18" i="220"/>
  <c r="G18" i="220"/>
  <c r="H18" i="220"/>
  <c r="I18" i="220"/>
  <c r="J18" i="220"/>
  <c r="K18" i="220"/>
  <c r="L18" i="220"/>
  <c r="M18" i="220"/>
  <c r="N18" i="220"/>
  <c r="O18" i="220"/>
  <c r="P18" i="220"/>
  <c r="F18" i="221"/>
  <c r="G18" i="221"/>
  <c r="H18" i="221"/>
  <c r="I18" i="221"/>
  <c r="J18" i="221"/>
  <c r="K18" i="221"/>
  <c r="L18" i="221"/>
  <c r="M18" i="221"/>
  <c r="N18" i="221"/>
  <c r="O18" i="221"/>
  <c r="P18" i="221"/>
  <c r="F18" i="222"/>
  <c r="G18" i="222"/>
  <c r="H18" i="222"/>
  <c r="I18" i="222"/>
  <c r="J18" i="222"/>
  <c r="K18" i="222"/>
  <c r="L18" i="222"/>
  <c r="M18" i="222"/>
  <c r="N18" i="222"/>
  <c r="O18" i="222"/>
  <c r="P18" i="222"/>
  <c r="F18" i="223"/>
  <c r="G18" i="223"/>
  <c r="H18" i="223"/>
  <c r="I18" i="223"/>
  <c r="J18" i="223"/>
  <c r="K18" i="223"/>
  <c r="L18" i="223"/>
  <c r="M18" i="223"/>
  <c r="N18" i="223"/>
  <c r="O18" i="223"/>
  <c r="P18" i="223"/>
  <c r="F18" i="224"/>
  <c r="G18" i="224"/>
  <c r="H18" i="224"/>
  <c r="I18" i="224"/>
  <c r="J18" i="224"/>
  <c r="K18" i="224"/>
  <c r="L18" i="224"/>
  <c r="M18" i="224"/>
  <c r="N18" i="224"/>
  <c r="O18" i="224"/>
  <c r="P18" i="224"/>
  <c r="F18" i="225"/>
  <c r="G18" i="225"/>
  <c r="H18" i="225"/>
  <c r="I18" i="225"/>
  <c r="J18" i="225"/>
  <c r="K18" i="225"/>
  <c r="L18" i="225"/>
  <c r="M18" i="225"/>
  <c r="N18" i="225"/>
  <c r="O18" i="225"/>
  <c r="P18" i="225"/>
  <c r="F18" i="226"/>
  <c r="G18" i="226"/>
  <c r="H18" i="226"/>
  <c r="I18" i="226"/>
  <c r="J18" i="226"/>
  <c r="K18" i="226"/>
  <c r="L18" i="226"/>
  <c r="M18" i="226"/>
  <c r="N18" i="226"/>
  <c r="O18" i="226"/>
  <c r="P18" i="226"/>
  <c r="F18" i="227"/>
  <c r="G18" i="227"/>
  <c r="H18" i="227"/>
  <c r="I18" i="227"/>
  <c r="J18" i="227"/>
  <c r="K18" i="227"/>
  <c r="L18" i="227"/>
  <c r="M18" i="227"/>
  <c r="N18" i="227"/>
  <c r="O18" i="227"/>
  <c r="P18" i="227"/>
  <c r="F18" i="228"/>
  <c r="G18" i="228"/>
  <c r="H18" i="228"/>
  <c r="I18" i="228"/>
  <c r="J18" i="228"/>
  <c r="K18" i="228"/>
  <c r="L18" i="228"/>
  <c r="M18" i="228"/>
  <c r="N18" i="228"/>
  <c r="O18" i="228"/>
  <c r="P18" i="228"/>
  <c r="F18" i="230"/>
  <c r="G18" i="230"/>
  <c r="H18" i="230"/>
  <c r="I18" i="230"/>
  <c r="J18" i="230"/>
  <c r="K18" i="230"/>
  <c r="L18" i="230"/>
  <c r="M18" i="230"/>
  <c r="N18" i="230"/>
  <c r="O18" i="230"/>
  <c r="P18" i="230"/>
  <c r="F18" i="231"/>
  <c r="G18" i="231"/>
  <c r="H18" i="231"/>
  <c r="I18" i="231"/>
  <c r="J18" i="231"/>
  <c r="K18" i="231"/>
  <c r="L18" i="231"/>
  <c r="M18" i="231"/>
  <c r="N18" i="231"/>
  <c r="O18" i="231"/>
  <c r="P18" i="231"/>
  <c r="F18" i="232"/>
  <c r="G18" i="232"/>
  <c r="H18" i="232"/>
  <c r="I18" i="232"/>
  <c r="J18" i="232"/>
  <c r="K18" i="232"/>
  <c r="L18" i="232"/>
  <c r="M18" i="232"/>
  <c r="N18" i="232"/>
  <c r="O18" i="232"/>
  <c r="P18" i="232"/>
  <c r="F18" i="233"/>
  <c r="G18" i="233"/>
  <c r="H18" i="233"/>
  <c r="I18" i="233"/>
  <c r="J18" i="233"/>
  <c r="K18" i="233"/>
  <c r="L18" i="233"/>
  <c r="M18" i="233"/>
  <c r="N18" i="233"/>
  <c r="O18" i="233"/>
  <c r="P18" i="233"/>
  <c r="F18" i="234"/>
  <c r="G18" i="234"/>
  <c r="H18" i="234"/>
  <c r="I18" i="234"/>
  <c r="J18" i="234"/>
  <c r="K18" i="234"/>
  <c r="L18" i="234"/>
  <c r="M18" i="234"/>
  <c r="N18" i="234"/>
  <c r="O18" i="234"/>
  <c r="P18" i="234"/>
  <c r="F18" i="235"/>
  <c r="G18" i="235"/>
  <c r="H18" i="235"/>
  <c r="I18" i="235"/>
  <c r="J18" i="235"/>
  <c r="K18" i="235"/>
  <c r="L18" i="235"/>
  <c r="M18" i="235"/>
  <c r="N18" i="235"/>
  <c r="O18" i="235"/>
  <c r="P18" i="235"/>
  <c r="F18" i="236"/>
  <c r="G18" i="236"/>
  <c r="H18" i="236"/>
  <c r="I18" i="236"/>
  <c r="J18" i="236"/>
  <c r="K18" i="236"/>
  <c r="L18" i="236"/>
  <c r="M18" i="236"/>
  <c r="N18" i="236"/>
  <c r="O18" i="236"/>
  <c r="P18" i="236"/>
  <c r="F18" i="237"/>
  <c r="G18" i="237"/>
  <c r="H18" i="237"/>
  <c r="I18" i="237"/>
  <c r="J18" i="237"/>
  <c r="K18" i="237"/>
  <c r="L18" i="237"/>
  <c r="M18" i="237"/>
  <c r="N18" i="237"/>
  <c r="O18" i="237"/>
  <c r="P18" i="237"/>
  <c r="F18" i="238"/>
  <c r="G18" i="238"/>
  <c r="H18" i="238"/>
  <c r="I18" i="238"/>
  <c r="J18" i="238"/>
  <c r="K18" i="238"/>
  <c r="L18" i="238"/>
  <c r="M18" i="238"/>
  <c r="N18" i="238"/>
  <c r="O18" i="238"/>
  <c r="P18" i="238"/>
  <c r="F18" i="239"/>
  <c r="G18" i="239"/>
  <c r="H18" i="239"/>
  <c r="I18" i="239"/>
  <c r="J18" i="239"/>
  <c r="K18" i="239"/>
  <c r="L18" i="239"/>
  <c r="M18" i="239"/>
  <c r="N18" i="239"/>
  <c r="O18" i="239"/>
  <c r="P18" i="239"/>
  <c r="F18" i="240"/>
  <c r="G18" i="240"/>
  <c r="H18" i="240"/>
  <c r="I18" i="240"/>
  <c r="J18" i="240"/>
  <c r="K18" i="240"/>
  <c r="L18" i="240"/>
  <c r="M18" i="240"/>
  <c r="N18" i="240"/>
  <c r="O18" i="240"/>
  <c r="P18" i="240"/>
  <c r="F18" i="241"/>
  <c r="G18" i="241"/>
  <c r="H18" i="241"/>
  <c r="I18" i="241"/>
  <c r="J18" i="241"/>
  <c r="K18" i="241"/>
  <c r="L18" i="241"/>
  <c r="M18" i="241"/>
  <c r="N18" i="241"/>
  <c r="O18" i="241"/>
  <c r="P18" i="241"/>
  <c r="F18" i="242"/>
  <c r="G18" i="242"/>
  <c r="H18" i="242"/>
  <c r="I18" i="242"/>
  <c r="J18" i="242"/>
  <c r="K18" i="242"/>
  <c r="L18" i="242"/>
  <c r="M18" i="242"/>
  <c r="N18" i="242"/>
  <c r="O18" i="242"/>
  <c r="P18" i="242"/>
  <c r="F18" i="243"/>
  <c r="G18" i="243"/>
  <c r="H18" i="243"/>
  <c r="I18" i="243"/>
  <c r="J18" i="243"/>
  <c r="K18" i="243"/>
  <c r="L18" i="243"/>
  <c r="M18" i="243"/>
  <c r="N18" i="243"/>
  <c r="O18" i="243"/>
  <c r="P18" i="243"/>
  <c r="F18" i="244"/>
  <c r="G18" i="244"/>
  <c r="H18" i="244"/>
  <c r="I18" i="244"/>
  <c r="J18" i="244"/>
  <c r="K18" i="244"/>
  <c r="L18" i="244"/>
  <c r="M18" i="244"/>
  <c r="N18" i="244"/>
  <c r="O18" i="244"/>
  <c r="P18" i="244"/>
  <c r="F18" i="245"/>
  <c r="G18" i="245"/>
  <c r="H18" i="245"/>
  <c r="I18" i="245"/>
  <c r="J18" i="245"/>
  <c r="K18" i="245"/>
  <c r="L18" i="245"/>
  <c r="M18" i="245"/>
  <c r="N18" i="245"/>
  <c r="O18" i="245"/>
  <c r="P18" i="245"/>
  <c r="F18" i="246"/>
  <c r="G18" i="246"/>
  <c r="H18" i="246"/>
  <c r="I18" i="246"/>
  <c r="J18" i="246"/>
  <c r="K18" i="246"/>
  <c r="L18" i="246"/>
  <c r="M18" i="246"/>
  <c r="N18" i="246"/>
  <c r="O18" i="246"/>
  <c r="P18" i="246"/>
  <c r="F18" i="247"/>
  <c r="G18" i="247"/>
  <c r="H18" i="247"/>
  <c r="I18" i="247"/>
  <c r="J18" i="247"/>
  <c r="K18" i="247"/>
  <c r="L18" i="247"/>
  <c r="M18" i="247"/>
  <c r="N18" i="247"/>
  <c r="O18" i="247"/>
  <c r="P18" i="247"/>
  <c r="F18" i="248"/>
  <c r="G18" i="248"/>
  <c r="H18" i="248"/>
  <c r="I18" i="248"/>
  <c r="J18" i="248"/>
  <c r="K18" i="248"/>
  <c r="L18" i="248"/>
  <c r="M18" i="248"/>
  <c r="N18" i="248"/>
  <c r="O18" i="248"/>
  <c r="P18" i="248"/>
  <c r="F18" i="249"/>
  <c r="G18" i="249"/>
  <c r="H18" i="249"/>
  <c r="I18" i="249"/>
  <c r="J18" i="249"/>
  <c r="K18" i="249"/>
  <c r="L18" i="249"/>
  <c r="M18" i="249"/>
  <c r="N18" i="249"/>
  <c r="O18" i="249"/>
  <c r="P18" i="249"/>
  <c r="F18" i="250"/>
  <c r="G18" i="250"/>
  <c r="H18" i="250"/>
  <c r="I18" i="250"/>
  <c r="J18" i="250"/>
  <c r="K18" i="250"/>
  <c r="L18" i="250"/>
  <c r="M18" i="250"/>
  <c r="N18" i="250"/>
  <c r="O18" i="250"/>
  <c r="P18" i="250"/>
  <c r="F18" i="251"/>
  <c r="G18" i="251"/>
  <c r="H18" i="251"/>
  <c r="I18" i="251"/>
  <c r="J18" i="251"/>
  <c r="K18" i="251"/>
  <c r="L18" i="251"/>
  <c r="M18" i="251"/>
  <c r="N18" i="251"/>
  <c r="O18" i="251"/>
  <c r="P18" i="251"/>
  <c r="F18" i="252"/>
  <c r="G18" i="252"/>
  <c r="H18" i="252"/>
  <c r="I18" i="252"/>
  <c r="J18" i="252"/>
  <c r="K18" i="252"/>
  <c r="L18" i="252"/>
  <c r="M18" i="252"/>
  <c r="N18" i="252"/>
  <c r="O18" i="252"/>
  <c r="P18" i="252"/>
  <c r="F18" i="253"/>
  <c r="G18" i="253"/>
  <c r="H18" i="253"/>
  <c r="I18" i="253"/>
  <c r="J18" i="253"/>
  <c r="K18" i="253"/>
  <c r="L18" i="253"/>
  <c r="M18" i="253"/>
  <c r="N18" i="253"/>
  <c r="O18" i="253"/>
  <c r="P18" i="253"/>
  <c r="F18" i="254"/>
  <c r="G18" i="254"/>
  <c r="H18" i="254"/>
  <c r="I18" i="254"/>
  <c r="J18" i="254"/>
  <c r="K18" i="254"/>
  <c r="L18" i="254"/>
  <c r="M18" i="254"/>
  <c r="N18" i="254"/>
  <c r="O18" i="254"/>
  <c r="P18" i="254"/>
  <c r="F18" i="255"/>
  <c r="G18" i="255"/>
  <c r="H18" i="255"/>
  <c r="I18" i="255"/>
  <c r="J18" i="255"/>
  <c r="K18" i="255"/>
  <c r="L18" i="255"/>
  <c r="M18" i="255"/>
  <c r="N18" i="255"/>
  <c r="O18" i="255"/>
  <c r="P18" i="255"/>
  <c r="F18" i="256"/>
  <c r="G18" i="256"/>
  <c r="H18" i="256"/>
  <c r="I18" i="256"/>
  <c r="J18" i="256"/>
  <c r="K18" i="256"/>
  <c r="L18" i="256"/>
  <c r="M18" i="256"/>
  <c r="N18" i="256"/>
  <c r="O18" i="256"/>
  <c r="P18" i="256"/>
  <c r="F18" i="257"/>
  <c r="G18" i="257"/>
  <c r="H18" i="257"/>
  <c r="I18" i="257"/>
  <c r="J18" i="257"/>
  <c r="K18" i="257"/>
  <c r="L18" i="257"/>
  <c r="M18" i="257"/>
  <c r="N18" i="257"/>
  <c r="O18" i="257"/>
  <c r="P18" i="257"/>
  <c r="F18" i="258"/>
  <c r="G18" i="258"/>
  <c r="H18" i="258"/>
  <c r="I18" i="258"/>
  <c r="J18" i="258"/>
  <c r="K18" i="258"/>
  <c r="L18" i="258"/>
  <c r="M18" i="258"/>
  <c r="N18" i="258"/>
  <c r="O18" i="258"/>
  <c r="P18" i="258"/>
  <c r="F18" i="259"/>
  <c r="G18" i="259"/>
  <c r="H18" i="259"/>
  <c r="I18" i="259"/>
  <c r="J18" i="259"/>
  <c r="K18" i="259"/>
  <c r="L18" i="259"/>
  <c r="M18" i="259"/>
  <c r="N18" i="259"/>
  <c r="O18" i="259"/>
  <c r="P18" i="259"/>
  <c r="F18" i="260"/>
  <c r="G18" i="260"/>
  <c r="H18" i="260"/>
  <c r="I18" i="260"/>
  <c r="J18" i="260"/>
  <c r="K18" i="260"/>
  <c r="L18" i="260"/>
  <c r="M18" i="260"/>
  <c r="N18" i="260"/>
  <c r="O18" i="260"/>
  <c r="P18" i="260"/>
  <c r="F18" i="261"/>
  <c r="G18" i="261"/>
  <c r="H18" i="261"/>
  <c r="I18" i="261"/>
  <c r="J18" i="261"/>
  <c r="K18" i="261"/>
  <c r="L18" i="261"/>
  <c r="M18" i="261"/>
  <c r="N18" i="261"/>
  <c r="O18" i="261"/>
  <c r="P18" i="261"/>
  <c r="F18" i="262"/>
  <c r="G18" i="262"/>
  <c r="H18" i="262"/>
  <c r="I18" i="262"/>
  <c r="J18" i="262"/>
  <c r="K18" i="262"/>
  <c r="L18" i="262"/>
  <c r="M18" i="262"/>
  <c r="N18" i="262"/>
  <c r="O18" i="262"/>
  <c r="P18" i="262"/>
  <c r="F18" i="263"/>
  <c r="G18" i="263"/>
  <c r="H18" i="263"/>
  <c r="I18" i="263"/>
  <c r="J18" i="263"/>
  <c r="K18" i="263"/>
  <c r="L18" i="263"/>
  <c r="M18" i="263"/>
  <c r="N18" i="263"/>
  <c r="O18" i="263"/>
  <c r="P18" i="263"/>
  <c r="F18" i="264"/>
  <c r="G18" i="264"/>
  <c r="H18" i="264"/>
  <c r="I18" i="264"/>
  <c r="J18" i="264"/>
  <c r="K18" i="264"/>
  <c r="L18" i="264"/>
  <c r="M18" i="264"/>
  <c r="N18" i="264"/>
  <c r="O18" i="264"/>
  <c r="P18" i="264"/>
  <c r="F18" i="265"/>
  <c r="G18" i="265"/>
  <c r="H18" i="265"/>
  <c r="I18" i="265"/>
  <c r="J18" i="265"/>
  <c r="K18" i="265"/>
  <c r="L18" i="265"/>
  <c r="M18" i="265"/>
  <c r="N18" i="265"/>
  <c r="O18" i="265"/>
  <c r="P18" i="265"/>
  <c r="F18" i="266"/>
  <c r="G18" i="266"/>
  <c r="H18" i="266"/>
  <c r="I18" i="266"/>
  <c r="J18" i="266"/>
  <c r="K18" i="266"/>
  <c r="L18" i="266"/>
  <c r="M18" i="266"/>
  <c r="N18" i="266"/>
  <c r="O18" i="266"/>
  <c r="P18" i="266"/>
  <c r="F18" i="267"/>
  <c r="G18" i="267"/>
  <c r="H18" i="267"/>
  <c r="I18" i="267"/>
  <c r="J18" i="267"/>
  <c r="K18" i="267"/>
  <c r="L18" i="267"/>
  <c r="M18" i="267"/>
  <c r="N18" i="267"/>
  <c r="O18" i="267"/>
  <c r="P18" i="267"/>
  <c r="F18" i="268"/>
  <c r="G18" i="268"/>
  <c r="H18" i="268"/>
  <c r="I18" i="268"/>
  <c r="J18" i="268"/>
  <c r="K18" i="268"/>
  <c r="L18" i="268"/>
  <c r="M18" i="268"/>
  <c r="N18" i="268"/>
  <c r="O18" i="268"/>
  <c r="P18" i="268"/>
  <c r="F18" i="269"/>
  <c r="G18" i="269"/>
  <c r="H18" i="269"/>
  <c r="I18" i="269"/>
  <c r="J18" i="269"/>
  <c r="K18" i="269"/>
  <c r="L18" i="269"/>
  <c r="M18" i="269"/>
  <c r="N18" i="269"/>
  <c r="O18" i="269"/>
  <c r="P18" i="269"/>
  <c r="F18" i="270"/>
  <c r="G18" i="270"/>
  <c r="H18" i="270"/>
  <c r="I18" i="270"/>
  <c r="J18" i="270"/>
  <c r="K18" i="270"/>
  <c r="L18" i="270"/>
  <c r="M18" i="270"/>
  <c r="N18" i="270"/>
  <c r="O18" i="270"/>
  <c r="P18" i="270"/>
  <c r="F18" i="271"/>
  <c r="G18" i="271"/>
  <c r="H18" i="271"/>
  <c r="I18" i="271"/>
  <c r="J18" i="271"/>
  <c r="K18" i="271"/>
  <c r="L18" i="271"/>
  <c r="M18" i="271"/>
  <c r="N18" i="271"/>
  <c r="O18" i="271"/>
  <c r="P18" i="271"/>
  <c r="F18" i="272"/>
  <c r="G18" i="272"/>
  <c r="H18" i="272"/>
  <c r="I18" i="272"/>
  <c r="J18" i="272"/>
  <c r="K18" i="272"/>
  <c r="L18" i="272"/>
  <c r="M18" i="272"/>
  <c r="N18" i="272"/>
  <c r="O18" i="272"/>
  <c r="P18" i="272"/>
  <c r="F18" i="273"/>
  <c r="G18" i="273"/>
  <c r="H18" i="273"/>
  <c r="I18" i="273"/>
  <c r="J18" i="273"/>
  <c r="K18" i="273"/>
  <c r="L18" i="273"/>
  <c r="M18" i="273"/>
  <c r="N18" i="273"/>
  <c r="O18" i="273"/>
  <c r="P18" i="273"/>
  <c r="F18" i="274"/>
  <c r="G18" i="274"/>
  <c r="H18" i="274"/>
  <c r="I18" i="274"/>
  <c r="J18" i="274"/>
  <c r="K18" i="274"/>
  <c r="L18" i="274"/>
  <c r="M18" i="274"/>
  <c r="N18" i="274"/>
  <c r="O18" i="274"/>
  <c r="P18" i="274"/>
  <c r="F18" i="275"/>
  <c r="G18" i="275"/>
  <c r="H18" i="275"/>
  <c r="I18" i="275"/>
  <c r="J18" i="275"/>
  <c r="K18" i="275"/>
  <c r="L18" i="275"/>
  <c r="M18" i="275"/>
  <c r="N18" i="275"/>
  <c r="O18" i="275"/>
  <c r="P18" i="275"/>
  <c r="F18" i="276"/>
  <c r="G18" i="276"/>
  <c r="H18" i="276"/>
  <c r="I18" i="276"/>
  <c r="J18" i="276"/>
  <c r="K18" i="276"/>
  <c r="L18" i="276"/>
  <c r="M18" i="276"/>
  <c r="N18" i="276"/>
  <c r="O18" i="276"/>
  <c r="P18" i="276"/>
  <c r="F18" i="277"/>
  <c r="G18" i="277"/>
  <c r="H18" i="277"/>
  <c r="I18" i="277"/>
  <c r="J18" i="277"/>
  <c r="K18" i="277"/>
  <c r="L18" i="277"/>
  <c r="M18" i="277"/>
  <c r="N18" i="277"/>
  <c r="O18" i="277"/>
  <c r="P18" i="277"/>
  <c r="F18" i="278"/>
  <c r="G18" i="278"/>
  <c r="H18" i="278"/>
  <c r="I18" i="278"/>
  <c r="J18" i="278"/>
  <c r="K18" i="278"/>
  <c r="L18" i="278"/>
  <c r="M18" i="278"/>
  <c r="N18" i="278"/>
  <c r="O18" i="278"/>
  <c r="P18" i="278"/>
  <c r="F18" i="279"/>
  <c r="G18" i="279"/>
  <c r="H18" i="279"/>
  <c r="I18" i="279"/>
  <c r="J18" i="279"/>
  <c r="K18" i="279"/>
  <c r="L18" i="279"/>
  <c r="M18" i="279"/>
  <c r="N18" i="279"/>
  <c r="O18" i="279"/>
  <c r="P18" i="279"/>
  <c r="F18" i="280"/>
  <c r="G18" i="280"/>
  <c r="H18" i="280"/>
  <c r="I18" i="280"/>
  <c r="J18" i="280"/>
  <c r="K18" i="280"/>
  <c r="L18" i="280"/>
  <c r="M18" i="280"/>
  <c r="N18" i="280"/>
  <c r="O18" i="280"/>
  <c r="P18" i="280"/>
  <c r="F18" i="281"/>
  <c r="G18" i="281"/>
  <c r="H18" i="281"/>
  <c r="I18" i="281"/>
  <c r="J18" i="281"/>
  <c r="K18" i="281"/>
  <c r="L18" i="281"/>
  <c r="M18" i="281"/>
  <c r="N18" i="281"/>
  <c r="O18" i="281"/>
  <c r="P18" i="281"/>
  <c r="F18" i="282"/>
  <c r="G18" i="282"/>
  <c r="H18" i="282"/>
  <c r="I18" i="282"/>
  <c r="J18" i="282"/>
  <c r="K18" i="282"/>
  <c r="L18" i="282"/>
  <c r="M18" i="282"/>
  <c r="N18" i="282"/>
  <c r="O18" i="282"/>
  <c r="P18" i="282"/>
  <c r="F18" i="283"/>
  <c r="G18" i="283"/>
  <c r="H18" i="283"/>
  <c r="I18" i="283"/>
  <c r="J18" i="283"/>
  <c r="K18" i="283"/>
  <c r="L18" i="283"/>
  <c r="M18" i="283"/>
  <c r="N18" i="283"/>
  <c r="O18" i="283"/>
  <c r="P18" i="283"/>
  <c r="F18" i="284"/>
  <c r="G18" i="284"/>
  <c r="H18" i="284"/>
  <c r="I18" i="284"/>
  <c r="J18" i="284"/>
  <c r="K18" i="284"/>
  <c r="L18" i="284"/>
  <c r="M18" i="284"/>
  <c r="N18" i="284"/>
  <c r="O18" i="284"/>
  <c r="P18" i="284"/>
  <c r="F18" i="285"/>
  <c r="G18" i="285"/>
  <c r="H18" i="285"/>
  <c r="I18" i="285"/>
  <c r="J18" i="285"/>
  <c r="K18" i="285"/>
  <c r="L18" i="285"/>
  <c r="M18" i="285"/>
  <c r="N18" i="285"/>
  <c r="O18" i="285"/>
  <c r="P18" i="285"/>
  <c r="F18" i="286"/>
  <c r="G18" i="286"/>
  <c r="H18" i="286"/>
  <c r="I18" i="286"/>
  <c r="J18" i="286"/>
  <c r="K18" i="286"/>
  <c r="L18" i="286"/>
  <c r="M18" i="286"/>
  <c r="N18" i="286"/>
  <c r="O18" i="286"/>
  <c r="P18" i="286"/>
  <c r="F18" i="287"/>
  <c r="G18" i="287"/>
  <c r="H18" i="287"/>
  <c r="I18" i="287"/>
  <c r="J18" i="287"/>
  <c r="K18" i="287"/>
  <c r="L18" i="287"/>
  <c r="M18" i="287"/>
  <c r="N18" i="287"/>
  <c r="O18" i="287"/>
  <c r="P18" i="287"/>
  <c r="F18" i="288"/>
  <c r="G18" i="288"/>
  <c r="H18" i="288"/>
  <c r="I18" i="288"/>
  <c r="J18" i="288"/>
  <c r="K18" i="288"/>
  <c r="L18" i="288"/>
  <c r="M18" i="288"/>
  <c r="N18" i="288"/>
  <c r="O18" i="288"/>
  <c r="P18" i="288"/>
  <c r="F18" i="289"/>
  <c r="G18" i="289"/>
  <c r="H18" i="289"/>
  <c r="I18" i="289"/>
  <c r="J18" i="289"/>
  <c r="K18" i="289"/>
  <c r="L18" i="289"/>
  <c r="M18" i="289"/>
  <c r="N18" i="289"/>
  <c r="O18" i="289"/>
  <c r="P18" i="289"/>
  <c r="F18" i="290"/>
  <c r="G18" i="290"/>
  <c r="H18" i="290"/>
  <c r="I18" i="290"/>
  <c r="J18" i="290"/>
  <c r="K18" i="290"/>
  <c r="L18" i="290"/>
  <c r="M18" i="290"/>
  <c r="N18" i="290"/>
  <c r="O18" i="290"/>
  <c r="P18" i="290"/>
  <c r="F18" i="291"/>
  <c r="G18" i="291"/>
  <c r="H18" i="291"/>
  <c r="I18" i="291"/>
  <c r="J18" i="291"/>
  <c r="K18" i="291"/>
  <c r="L18" i="291"/>
  <c r="M18" i="291"/>
  <c r="N18" i="291"/>
  <c r="O18" i="291"/>
  <c r="P18" i="291"/>
  <c r="F18" i="292"/>
  <c r="G18" i="292"/>
  <c r="H18" i="292"/>
  <c r="I18" i="292"/>
  <c r="J18" i="292"/>
  <c r="K18" i="292"/>
  <c r="L18" i="292"/>
  <c r="M18" i="292"/>
  <c r="N18" i="292"/>
  <c r="O18" i="292"/>
  <c r="P18" i="292"/>
  <c r="F18" i="293"/>
  <c r="G18" i="293"/>
  <c r="H18" i="293"/>
  <c r="I18" i="293"/>
  <c r="J18" i="293"/>
  <c r="K18" i="293"/>
  <c r="L18" i="293"/>
  <c r="M18" i="293"/>
  <c r="N18" i="293"/>
  <c r="O18" i="293"/>
  <c r="P18" i="293"/>
  <c r="F18" i="294"/>
  <c r="G18" i="294"/>
  <c r="H18" i="294"/>
  <c r="I18" i="294"/>
  <c r="J18" i="294"/>
  <c r="K18" i="294"/>
  <c r="L18" i="294"/>
  <c r="M18" i="294"/>
  <c r="N18" i="294"/>
  <c r="O18" i="294"/>
  <c r="P18" i="294"/>
  <c r="F18" i="295"/>
  <c r="G18" i="295"/>
  <c r="H18" i="295"/>
  <c r="I18" i="295"/>
  <c r="J18" i="295"/>
  <c r="K18" i="295"/>
  <c r="L18" i="295"/>
  <c r="M18" i="295"/>
  <c r="N18" i="295"/>
  <c r="O18" i="295"/>
  <c r="P18" i="295"/>
  <c r="F18" i="296"/>
  <c r="G18" i="296"/>
  <c r="H18" i="296"/>
  <c r="I18" i="296"/>
  <c r="J18" i="296"/>
  <c r="K18" i="296"/>
  <c r="L18" i="296"/>
  <c r="M18" i="296"/>
  <c r="N18" i="296"/>
  <c r="O18" i="296"/>
  <c r="P18" i="296"/>
  <c r="F18" i="297"/>
  <c r="G18" i="297"/>
  <c r="H18" i="297"/>
  <c r="I18" i="297"/>
  <c r="J18" i="297"/>
  <c r="K18" i="297"/>
  <c r="L18" i="297"/>
  <c r="M18" i="297"/>
  <c r="N18" i="297"/>
  <c r="O18" i="297"/>
  <c r="P18" i="297"/>
  <c r="F18" i="298"/>
  <c r="G18" i="298"/>
  <c r="H18" i="298"/>
  <c r="I18" i="298"/>
  <c r="J18" i="298"/>
  <c r="K18" i="298"/>
  <c r="L18" i="298"/>
  <c r="M18" i="298"/>
  <c r="N18" i="298"/>
  <c r="O18" i="298"/>
  <c r="P18" i="298"/>
  <c r="F18" i="299"/>
  <c r="G18" i="299"/>
  <c r="H18" i="299"/>
  <c r="I18" i="299"/>
  <c r="J18" i="299"/>
  <c r="K18" i="299"/>
  <c r="L18" i="299"/>
  <c r="M18" i="299"/>
  <c r="N18" i="299"/>
  <c r="O18" i="299"/>
  <c r="P18" i="299"/>
  <c r="F18" i="300"/>
  <c r="G18" i="300"/>
  <c r="H18" i="300"/>
  <c r="I18" i="300"/>
  <c r="J18" i="300"/>
  <c r="K18" i="300"/>
  <c r="L18" i="300"/>
  <c r="M18" i="300"/>
  <c r="N18" i="300"/>
  <c r="O18" i="300"/>
  <c r="P18" i="300"/>
  <c r="F18" i="301"/>
  <c r="G18" i="301"/>
  <c r="H18" i="301"/>
  <c r="I18" i="301"/>
  <c r="J18" i="301"/>
  <c r="K18" i="301"/>
  <c r="L18" i="301"/>
  <c r="M18" i="301"/>
  <c r="N18" i="301"/>
  <c r="O18" i="301"/>
  <c r="P18" i="301"/>
  <c r="F18" i="302"/>
  <c r="G18" i="302"/>
  <c r="H18" i="302"/>
  <c r="I18" i="302"/>
  <c r="J18" i="302"/>
  <c r="K18" i="302"/>
  <c r="L18" i="302"/>
  <c r="M18" i="302"/>
  <c r="N18" i="302"/>
  <c r="O18" i="302"/>
  <c r="P18" i="302"/>
  <c r="F18" i="303"/>
  <c r="G18" i="303"/>
  <c r="H18" i="303"/>
  <c r="I18" i="303"/>
  <c r="J18" i="303"/>
  <c r="K18" i="303"/>
  <c r="L18" i="303"/>
  <c r="M18" i="303"/>
  <c r="N18" i="303"/>
  <c r="O18" i="303"/>
  <c r="P18" i="303"/>
  <c r="F18" i="304"/>
  <c r="G18" i="304"/>
  <c r="H18" i="304"/>
  <c r="I18" i="304"/>
  <c r="J18" i="304"/>
  <c r="K18" i="304"/>
  <c r="L18" i="304"/>
  <c r="M18" i="304"/>
  <c r="N18" i="304"/>
  <c r="O18" i="304"/>
  <c r="P18" i="304"/>
  <c r="F18" i="305"/>
  <c r="G18" i="305"/>
  <c r="H18" i="305"/>
  <c r="I18" i="305"/>
  <c r="J18" i="305"/>
  <c r="K18" i="305"/>
  <c r="L18" i="305"/>
  <c r="M18" i="305"/>
  <c r="N18" i="305"/>
  <c r="O18" i="305"/>
  <c r="P18" i="305"/>
  <c r="F18" i="346"/>
  <c r="G18" i="346"/>
  <c r="H18" i="346"/>
  <c r="I18" i="346"/>
  <c r="J18" i="346"/>
  <c r="K18" i="346"/>
  <c r="L18" i="346"/>
  <c r="M18" i="346"/>
  <c r="N18" i="346"/>
  <c r="O18" i="346"/>
  <c r="P18" i="346"/>
  <c r="F18" i="341"/>
  <c r="G18" i="341"/>
  <c r="H18" i="341"/>
  <c r="I18" i="341"/>
  <c r="J18" i="341"/>
  <c r="K18" i="341"/>
  <c r="L18" i="341"/>
  <c r="M18" i="341"/>
  <c r="N18" i="341"/>
  <c r="O18" i="341"/>
  <c r="P18" i="341"/>
  <c r="F18" i="347"/>
  <c r="G18" i="347"/>
  <c r="H18" i="347"/>
  <c r="I18" i="347"/>
  <c r="J18" i="347"/>
  <c r="K18" i="347"/>
  <c r="L18" i="347"/>
  <c r="M18" i="347"/>
  <c r="N18" i="347"/>
  <c r="O18" i="347"/>
  <c r="P18" i="347"/>
  <c r="F18" i="348"/>
  <c r="G18" i="348"/>
  <c r="H18" i="348"/>
  <c r="I18" i="348"/>
  <c r="J18" i="348"/>
  <c r="K18" i="348"/>
  <c r="L18" i="348"/>
  <c r="M18" i="348"/>
  <c r="N18" i="348"/>
  <c r="O18" i="348"/>
  <c r="P18" i="348"/>
  <c r="F18" i="349"/>
  <c r="G18" i="349"/>
  <c r="H18" i="349"/>
  <c r="I18" i="349"/>
  <c r="J18" i="349"/>
  <c r="K18" i="349"/>
  <c r="L18" i="349"/>
  <c r="M18" i="349"/>
  <c r="N18" i="349"/>
  <c r="O18" i="349"/>
  <c r="P18" i="349"/>
  <c r="F18" i="217"/>
  <c r="G18" i="217"/>
  <c r="H18" i="217"/>
  <c r="I18" i="217"/>
  <c r="J18" i="217"/>
  <c r="K18" i="217"/>
  <c r="L18" i="217"/>
  <c r="M18" i="217"/>
  <c r="N18" i="217"/>
  <c r="O18" i="217"/>
  <c r="P18" i="217"/>
  <c r="D20" i="218"/>
  <c r="D20" i="219"/>
  <c r="D20" i="220"/>
  <c r="D20" i="221"/>
  <c r="D20" i="222"/>
  <c r="D20" i="223"/>
  <c r="D20" i="224"/>
  <c r="D20" i="225"/>
  <c r="D20" i="226"/>
  <c r="D20" i="227"/>
  <c r="D20" i="228"/>
  <c r="D20" i="230"/>
  <c r="D20" i="231"/>
  <c r="D20" i="232"/>
  <c r="D20" i="233"/>
  <c r="D20" i="234"/>
  <c r="D20" i="235"/>
  <c r="D20" i="236"/>
  <c r="D20" i="237"/>
  <c r="D20" i="238"/>
  <c r="D20" i="239"/>
  <c r="D20" i="240"/>
  <c r="D20" i="241"/>
  <c r="D20" i="242"/>
  <c r="D20" i="243"/>
  <c r="D20" i="244"/>
  <c r="D20" i="245"/>
  <c r="D20" i="246"/>
  <c r="D20" i="247"/>
  <c r="D20" i="248"/>
  <c r="D20" i="249"/>
  <c r="D20" i="250"/>
  <c r="D20" i="251"/>
  <c r="D20" i="252"/>
  <c r="D20" i="253"/>
  <c r="D20" i="254"/>
  <c r="D20" i="255"/>
  <c r="D20" i="256"/>
  <c r="D20" i="257"/>
  <c r="D20" i="258"/>
  <c r="D20" i="259"/>
  <c r="D20" i="260"/>
  <c r="D20" i="261"/>
  <c r="D20" i="262"/>
  <c r="D20" i="263"/>
  <c r="D20" i="264"/>
  <c r="D20" i="265"/>
  <c r="D20" i="266"/>
  <c r="D20" i="267"/>
  <c r="D20" i="268"/>
  <c r="D20" i="269"/>
  <c r="D20" i="270"/>
  <c r="D20" i="271"/>
  <c r="D20" i="272"/>
  <c r="D20" i="273"/>
  <c r="D20" i="274"/>
  <c r="D20" i="275"/>
  <c r="D20" i="276"/>
  <c r="D20" i="277"/>
  <c r="D20" i="278"/>
  <c r="D20" i="279"/>
  <c r="D20" i="280"/>
  <c r="D20" i="281"/>
  <c r="D20" i="282"/>
  <c r="D20" i="283"/>
  <c r="D20" i="284"/>
  <c r="D20" i="285"/>
  <c r="D20" i="286"/>
  <c r="D20" i="287"/>
  <c r="D20" i="288"/>
  <c r="D20" i="289"/>
  <c r="D20" i="290"/>
  <c r="D20" i="291"/>
  <c r="D20" i="292"/>
  <c r="D20" i="293"/>
  <c r="D20" i="294"/>
  <c r="D20" i="295"/>
  <c r="D20" i="296"/>
  <c r="D20" i="297"/>
  <c r="D20" i="298"/>
  <c r="D20" i="299"/>
  <c r="D20" i="300"/>
  <c r="D20" i="301"/>
  <c r="D20" i="302"/>
  <c r="D20" i="303"/>
  <c r="D20" i="304"/>
  <c r="D20" i="305"/>
  <c r="D20" i="341"/>
  <c r="D20" i="347"/>
  <c r="D20" i="348"/>
  <c r="D20" i="349"/>
  <c r="D20" i="217"/>
  <c r="D19" i="218"/>
  <c r="D19" i="219"/>
  <c r="D19" i="220"/>
  <c r="D19" i="221"/>
  <c r="D19" i="222"/>
  <c r="D19" i="223"/>
  <c r="D19" i="224"/>
  <c r="D19" i="225"/>
  <c r="D19" i="226"/>
  <c r="D19" i="227"/>
  <c r="D19" i="228"/>
  <c r="D19" i="230"/>
  <c r="D19" i="231"/>
  <c r="D19" i="232"/>
  <c r="D19" i="233"/>
  <c r="D19" i="234"/>
  <c r="D19" i="235"/>
  <c r="D19" i="236"/>
  <c r="D19" i="237"/>
  <c r="D19" i="238"/>
  <c r="D19" i="239"/>
  <c r="D19" i="240"/>
  <c r="D19" i="241"/>
  <c r="D19" i="242"/>
  <c r="D19" i="243"/>
  <c r="D19" i="244"/>
  <c r="D19" i="245"/>
  <c r="D19" i="246"/>
  <c r="D19" i="247"/>
  <c r="D19" i="248"/>
  <c r="D19" i="249"/>
  <c r="D19" i="250"/>
  <c r="D19" i="251"/>
  <c r="D19" i="252"/>
  <c r="D19" i="253"/>
  <c r="D19" i="254"/>
  <c r="D19" i="255"/>
  <c r="D19" i="256"/>
  <c r="D19" i="257"/>
  <c r="D19" i="258"/>
  <c r="D19" i="259"/>
  <c r="D19" i="260"/>
  <c r="D19" i="261"/>
  <c r="D19" i="262"/>
  <c r="D19" i="263"/>
  <c r="D19" i="264"/>
  <c r="D19" i="265"/>
  <c r="D19" i="266"/>
  <c r="D19" i="267"/>
  <c r="D19" i="268"/>
  <c r="D19" i="269"/>
  <c r="D19" i="270"/>
  <c r="D19" i="271"/>
  <c r="D19" i="272"/>
  <c r="D19" i="273"/>
  <c r="D19" i="274"/>
  <c r="D19" i="275"/>
  <c r="D19" i="276"/>
  <c r="D19" i="277"/>
  <c r="D19" i="278"/>
  <c r="D19" i="279"/>
  <c r="D19" i="280"/>
  <c r="D19" i="281"/>
  <c r="D19" i="282"/>
  <c r="D19" i="283"/>
  <c r="D19" i="284"/>
  <c r="D19" i="285"/>
  <c r="D19" i="286"/>
  <c r="D19" i="287"/>
  <c r="D19" i="288"/>
  <c r="D19" i="289"/>
  <c r="D19" i="290"/>
  <c r="D19" i="291"/>
  <c r="D19" i="292"/>
  <c r="D19" i="293"/>
  <c r="D19" i="294"/>
  <c r="D19" i="295"/>
  <c r="D19" i="296"/>
  <c r="D19" i="297"/>
  <c r="D19" i="298"/>
  <c r="D19" i="299"/>
  <c r="D19" i="300"/>
  <c r="D19" i="301"/>
  <c r="D19" i="302"/>
  <c r="D19" i="303"/>
  <c r="D19" i="304"/>
  <c r="D19" i="305"/>
  <c r="D19" i="341"/>
  <c r="D19" i="347"/>
  <c r="D19" i="348"/>
  <c r="D19" i="349"/>
  <c r="D19" i="217"/>
  <c r="E18" i="218"/>
  <c r="E18" i="219"/>
  <c r="E18" i="220"/>
  <c r="E18" i="221"/>
  <c r="E18" i="222"/>
  <c r="E18" i="223"/>
  <c r="E18" i="224"/>
  <c r="E18" i="225"/>
  <c r="E18" i="226"/>
  <c r="E18" i="227"/>
  <c r="E18" i="228"/>
  <c r="E18" i="230"/>
  <c r="E18" i="231"/>
  <c r="E18" i="232"/>
  <c r="E18" i="233"/>
  <c r="E18" i="234"/>
  <c r="E18" i="235"/>
  <c r="E18" i="236"/>
  <c r="E18" i="237"/>
  <c r="E18" i="238"/>
  <c r="E18" i="239"/>
  <c r="E18" i="240"/>
  <c r="E18" i="241"/>
  <c r="E18" i="242"/>
  <c r="E18" i="243"/>
  <c r="E18" i="244"/>
  <c r="E18" i="245"/>
  <c r="E18" i="246"/>
  <c r="E18" i="247"/>
  <c r="E18" i="248"/>
  <c r="E18" i="249"/>
  <c r="E18" i="250"/>
  <c r="E18" i="251"/>
  <c r="E18" i="252"/>
  <c r="E18" i="253"/>
  <c r="E18" i="254"/>
  <c r="E18" i="255"/>
  <c r="E18" i="256"/>
  <c r="E18" i="257"/>
  <c r="E18" i="258"/>
  <c r="E18" i="259"/>
  <c r="E18" i="260"/>
  <c r="E18" i="261"/>
  <c r="E18" i="262"/>
  <c r="E18" i="263"/>
  <c r="E18" i="264"/>
  <c r="E18" i="265"/>
  <c r="E18" i="266"/>
  <c r="E18" i="267"/>
  <c r="E18" i="268"/>
  <c r="E18" i="269"/>
  <c r="E18" i="270"/>
  <c r="E18" i="271"/>
  <c r="E18" i="272"/>
  <c r="E18" i="273"/>
  <c r="E18" i="274"/>
  <c r="E18" i="275"/>
  <c r="E18" i="276"/>
  <c r="E18" i="277"/>
  <c r="E18" i="278"/>
  <c r="E18" i="279"/>
  <c r="E18" i="280"/>
  <c r="E18" i="281"/>
  <c r="E18" i="282"/>
  <c r="E18" i="283"/>
  <c r="E18" i="284"/>
  <c r="E18" i="285"/>
  <c r="E18" i="286"/>
  <c r="E18" i="287"/>
  <c r="E18" i="288"/>
  <c r="E18" i="289"/>
  <c r="E18" i="290"/>
  <c r="E18" i="291"/>
  <c r="E18" i="292"/>
  <c r="E18" i="293"/>
  <c r="E18" i="294"/>
  <c r="E18" i="295"/>
  <c r="E18" i="296"/>
  <c r="E18" i="297"/>
  <c r="E18" i="298"/>
  <c r="E18" i="299"/>
  <c r="E18" i="300"/>
  <c r="E18" i="301"/>
  <c r="E18" i="302"/>
  <c r="E18" i="303"/>
  <c r="E18" i="304"/>
  <c r="E18" i="305"/>
  <c r="E18" i="346"/>
  <c r="E18" i="341"/>
  <c r="E18" i="347"/>
  <c r="E18" i="348"/>
  <c r="E18" i="349"/>
  <c r="E18" i="217"/>
  <c r="F18" i="211"/>
  <c r="G18" i="211"/>
  <c r="H18" i="211"/>
  <c r="I18" i="211"/>
  <c r="J18" i="211"/>
  <c r="K18" i="211"/>
  <c r="L18" i="211"/>
  <c r="M18" i="211"/>
  <c r="N18" i="211"/>
  <c r="O18" i="211"/>
  <c r="P18" i="211"/>
  <c r="F18" i="212"/>
  <c r="G18" i="212"/>
  <c r="H18" i="212"/>
  <c r="I18" i="212"/>
  <c r="J18" i="212"/>
  <c r="K18" i="212"/>
  <c r="L18" i="212"/>
  <c r="M18" i="212"/>
  <c r="N18" i="212"/>
  <c r="O18" i="212"/>
  <c r="P18" i="212"/>
  <c r="F18" i="213"/>
  <c r="G18" i="213"/>
  <c r="H18" i="213"/>
  <c r="I18" i="213"/>
  <c r="J18" i="213"/>
  <c r="K18" i="213"/>
  <c r="L18" i="213"/>
  <c r="M18" i="213"/>
  <c r="N18" i="213"/>
  <c r="O18" i="213"/>
  <c r="P18" i="213"/>
  <c r="F18" i="214"/>
  <c r="G18" i="214"/>
  <c r="H18" i="214"/>
  <c r="I18" i="214"/>
  <c r="J18" i="214"/>
  <c r="K18" i="214"/>
  <c r="L18" i="214"/>
  <c r="M18" i="214"/>
  <c r="N18" i="214"/>
  <c r="O18" i="214"/>
  <c r="P18" i="214"/>
  <c r="F18" i="215"/>
  <c r="G18" i="215"/>
  <c r="H18" i="215"/>
  <c r="I18" i="215"/>
  <c r="J18" i="215"/>
  <c r="K18" i="215"/>
  <c r="L18" i="215"/>
  <c r="M18" i="215"/>
  <c r="N18" i="215"/>
  <c r="O18" i="215"/>
  <c r="P18" i="215"/>
  <c r="F18" i="216"/>
  <c r="G18" i="216"/>
  <c r="H18" i="216"/>
  <c r="I18" i="216"/>
  <c r="J18" i="216"/>
  <c r="K18" i="216"/>
  <c r="L18" i="216"/>
  <c r="M18" i="216"/>
  <c r="N18" i="216"/>
  <c r="O18" i="216"/>
  <c r="P18" i="216"/>
  <c r="F18" i="209"/>
  <c r="G18" i="209"/>
  <c r="H18" i="209"/>
  <c r="I18" i="209"/>
  <c r="J18" i="209"/>
  <c r="K18" i="209"/>
  <c r="L18" i="209"/>
  <c r="M18" i="209"/>
  <c r="N18" i="209"/>
  <c r="O18" i="209"/>
  <c r="P18" i="209"/>
  <c r="D20" i="211"/>
  <c r="D20" i="213"/>
  <c r="D20" i="214"/>
  <c r="D20" i="215"/>
  <c r="D20" i="216"/>
  <c r="D20" i="209"/>
  <c r="D19" i="211"/>
  <c r="D19" i="212"/>
  <c r="D19" i="213"/>
  <c r="D19" i="214"/>
  <c r="D19" i="215"/>
  <c r="D19" i="216"/>
  <c r="D19" i="209"/>
  <c r="E18" i="211"/>
  <c r="E18" i="212"/>
  <c r="E18" i="213"/>
  <c r="E18" i="214"/>
  <c r="E18" i="215"/>
  <c r="E18" i="216"/>
  <c r="E18" i="209"/>
  <c r="C202" i="358"/>
  <c r="B202" i="358"/>
  <c r="A202" i="358"/>
  <c r="C201" i="358"/>
  <c r="B201" i="358"/>
  <c r="A201" i="358"/>
  <c r="C200" i="358"/>
  <c r="B200" i="358"/>
  <c r="A200" i="358"/>
  <c r="A199" i="358"/>
  <c r="P198" i="358"/>
  <c r="O198" i="358"/>
  <c r="N198" i="358"/>
  <c r="M198" i="358"/>
  <c r="L198" i="358"/>
  <c r="K198" i="358"/>
  <c r="J198" i="358"/>
  <c r="I198" i="358"/>
  <c r="H198" i="358"/>
  <c r="G198" i="358"/>
  <c r="E198" i="358"/>
  <c r="C198" i="358"/>
  <c r="B198" i="358"/>
  <c r="A198" i="358"/>
  <c r="C197" i="358"/>
  <c r="B197" i="358"/>
  <c r="A197" i="358"/>
  <c r="C196" i="358"/>
  <c r="B196" i="358"/>
  <c r="A196" i="358"/>
  <c r="A195" i="358"/>
  <c r="C194" i="358"/>
  <c r="B194" i="358"/>
  <c r="A194" i="358"/>
  <c r="A193" i="358"/>
  <c r="C192" i="358"/>
  <c r="B192" i="358"/>
  <c r="A192" i="358"/>
  <c r="O191" i="358"/>
  <c r="O20" i="340" s="1"/>
  <c r="N191" i="358"/>
  <c r="M191" i="358"/>
  <c r="M20" i="340" s="1"/>
  <c r="J191" i="358"/>
  <c r="J20" i="340" s="1"/>
  <c r="H191" i="358"/>
  <c r="H20" i="340" s="1"/>
  <c r="G191" i="358"/>
  <c r="G20" i="340" s="1"/>
  <c r="F20" i="340"/>
  <c r="C191" i="358"/>
  <c r="B191" i="358"/>
  <c r="A191" i="358"/>
  <c r="L191" i="358"/>
  <c r="L20" i="340" s="1"/>
  <c r="C190" i="358"/>
  <c r="B190" i="358"/>
  <c r="A190" i="358"/>
  <c r="C189" i="358"/>
  <c r="B189" i="358"/>
  <c r="A189" i="358"/>
  <c r="K191" i="358"/>
  <c r="K20" i="340" s="1"/>
  <c r="I191" i="358"/>
  <c r="I20" i="340" s="1"/>
  <c r="E191" i="358"/>
  <c r="E20" i="340" s="1"/>
  <c r="C188" i="358"/>
  <c r="B188" i="358"/>
  <c r="A188" i="358"/>
  <c r="P187" i="358"/>
  <c r="O187" i="358"/>
  <c r="O20" i="341" s="1"/>
  <c r="N187" i="358"/>
  <c r="N20" i="341" s="1"/>
  <c r="M187" i="358"/>
  <c r="M20" i="341" s="1"/>
  <c r="L187" i="358"/>
  <c r="L20" i="341" s="1"/>
  <c r="J187" i="358"/>
  <c r="J20" i="341" s="1"/>
  <c r="I187" i="358"/>
  <c r="I20" i="341" s="1"/>
  <c r="H187" i="358"/>
  <c r="H20" i="341" s="1"/>
  <c r="G187" i="358"/>
  <c r="G20" i="341" s="1"/>
  <c r="F20" i="341"/>
  <c r="C187" i="358"/>
  <c r="B187" i="358"/>
  <c r="A187" i="358"/>
  <c r="C186" i="358"/>
  <c r="B186" i="358"/>
  <c r="A186" i="358"/>
  <c r="C185" i="358"/>
  <c r="B185" i="358"/>
  <c r="A185" i="358"/>
  <c r="C184" i="358"/>
  <c r="B184" i="358"/>
  <c r="A184" i="358"/>
  <c r="C183" i="358"/>
  <c r="B183" i="358"/>
  <c r="A183" i="358"/>
  <c r="K187" i="358"/>
  <c r="K20" i="341" s="1"/>
  <c r="C182" i="358"/>
  <c r="B182" i="358"/>
  <c r="A182" i="358"/>
  <c r="E187" i="358"/>
  <c r="E20" i="341" s="1"/>
  <c r="C181" i="358"/>
  <c r="B181" i="358"/>
  <c r="A181" i="358"/>
  <c r="A180" i="358"/>
  <c r="C167" i="358"/>
  <c r="B167" i="358"/>
  <c r="A167" i="358"/>
  <c r="C166" i="358"/>
  <c r="B166" i="358"/>
  <c r="A166" i="358"/>
  <c r="C164" i="358"/>
  <c r="B164" i="358"/>
  <c r="A164" i="358"/>
  <c r="C163" i="358"/>
  <c r="B163" i="358"/>
  <c r="A163" i="358"/>
  <c r="C162" i="358"/>
  <c r="B162" i="358"/>
  <c r="A162" i="358"/>
  <c r="A161" i="358"/>
  <c r="C160" i="358"/>
  <c r="B160" i="358"/>
  <c r="A160" i="358"/>
  <c r="P159" i="358"/>
  <c r="O159" i="358"/>
  <c r="N159" i="358"/>
  <c r="M159" i="358"/>
  <c r="L159" i="358"/>
  <c r="K159" i="358"/>
  <c r="J159" i="358"/>
  <c r="I159" i="358"/>
  <c r="H159" i="358"/>
  <c r="G159" i="358"/>
  <c r="C159" i="358"/>
  <c r="B159" i="358"/>
  <c r="A159" i="358"/>
  <c r="C158" i="358"/>
  <c r="B158" i="358"/>
  <c r="A158" i="358"/>
  <c r="C157" i="358"/>
  <c r="B157" i="358"/>
  <c r="A157" i="358"/>
  <c r="C156" i="358"/>
  <c r="B156" i="358"/>
  <c r="A156" i="358"/>
  <c r="C155" i="358"/>
  <c r="B155" i="358"/>
  <c r="A155" i="358"/>
  <c r="C153" i="358"/>
  <c r="B153" i="358"/>
  <c r="A153" i="358"/>
  <c r="C152" i="358"/>
  <c r="B152" i="358"/>
  <c r="A152" i="358"/>
  <c r="C151" i="358"/>
  <c r="B151" i="358"/>
  <c r="A151" i="358"/>
  <c r="C150" i="358"/>
  <c r="B150" i="358"/>
  <c r="A150" i="358"/>
  <c r="C149" i="358"/>
  <c r="B149" i="358"/>
  <c r="A149" i="358"/>
  <c r="C148" i="358"/>
  <c r="B148" i="358"/>
  <c r="A148" i="358"/>
  <c r="A147" i="358"/>
  <c r="C146" i="358"/>
  <c r="B146" i="358"/>
  <c r="A146" i="358"/>
  <c r="C145" i="358"/>
  <c r="B145" i="358"/>
  <c r="A145" i="358"/>
  <c r="C143" i="358"/>
  <c r="B143" i="358"/>
  <c r="A143" i="358"/>
  <c r="C142" i="358"/>
  <c r="B142" i="358"/>
  <c r="A142" i="358"/>
  <c r="C141" i="358"/>
  <c r="B141" i="358"/>
  <c r="A141" i="358"/>
  <c r="C140" i="358"/>
  <c r="B140" i="358"/>
  <c r="A140" i="358"/>
  <c r="C138" i="358"/>
  <c r="B138" i="358"/>
  <c r="A138" i="358"/>
  <c r="C137" i="358"/>
  <c r="B137" i="358"/>
  <c r="A137" i="358"/>
  <c r="C136" i="358"/>
  <c r="B136" i="358"/>
  <c r="A136" i="358"/>
  <c r="C135" i="358"/>
  <c r="B135" i="358"/>
  <c r="A135" i="358"/>
  <c r="C134" i="358"/>
  <c r="B134" i="358"/>
  <c r="A134" i="358"/>
  <c r="C133" i="358"/>
  <c r="B133" i="358"/>
  <c r="A133" i="358"/>
  <c r="A132" i="358"/>
  <c r="C131" i="358"/>
  <c r="B131" i="358"/>
  <c r="A131" i="358"/>
  <c r="C130" i="358"/>
  <c r="B130" i="358"/>
  <c r="A130" i="358"/>
  <c r="C128" i="358"/>
  <c r="B128" i="358"/>
  <c r="A128" i="358"/>
  <c r="C127" i="358"/>
  <c r="B127" i="358"/>
  <c r="A127" i="358"/>
  <c r="C126" i="358"/>
  <c r="B126" i="358"/>
  <c r="A126" i="358"/>
  <c r="C125" i="358"/>
  <c r="B125" i="358"/>
  <c r="A125" i="358"/>
  <c r="C123" i="358"/>
  <c r="B123" i="358"/>
  <c r="A123" i="358"/>
  <c r="C122" i="358"/>
  <c r="A122" i="358"/>
  <c r="C121" i="358"/>
  <c r="B121" i="358"/>
  <c r="A121" i="358"/>
  <c r="C120" i="358"/>
  <c r="B120" i="358"/>
  <c r="A120" i="358"/>
  <c r="C119" i="358"/>
  <c r="B119" i="358"/>
  <c r="A119" i="358"/>
  <c r="C118" i="358"/>
  <c r="B118" i="358"/>
  <c r="A118" i="358"/>
  <c r="A117" i="358"/>
  <c r="C116" i="358"/>
  <c r="B116" i="358"/>
  <c r="A116" i="358"/>
  <c r="C115" i="358"/>
  <c r="B115" i="358"/>
  <c r="A115" i="358"/>
  <c r="C113" i="358"/>
  <c r="B113" i="358"/>
  <c r="A113" i="358"/>
  <c r="C112" i="358"/>
  <c r="B112" i="358"/>
  <c r="A112" i="358"/>
  <c r="C111" i="358"/>
  <c r="B111" i="358"/>
  <c r="A111" i="358"/>
  <c r="G162" i="358"/>
  <c r="C110" i="358"/>
  <c r="B110" i="358"/>
  <c r="A110" i="358"/>
  <c r="C108" i="358"/>
  <c r="B108" i="358"/>
  <c r="A108" i="358"/>
  <c r="C107" i="358"/>
  <c r="B107" i="358"/>
  <c r="A107" i="358"/>
  <c r="C106" i="358"/>
  <c r="B106" i="358"/>
  <c r="A106" i="358"/>
  <c r="C105" i="358"/>
  <c r="B105" i="358"/>
  <c r="A105" i="358"/>
  <c r="C104" i="358"/>
  <c r="B104" i="358"/>
  <c r="A104" i="358"/>
  <c r="C103" i="358"/>
  <c r="A103" i="358"/>
  <c r="A102" i="358"/>
  <c r="C101" i="358"/>
  <c r="B101" i="358"/>
  <c r="A101" i="358"/>
  <c r="C98" i="358"/>
  <c r="B98" i="358"/>
  <c r="A98" i="358"/>
  <c r="C97" i="358"/>
  <c r="B97" i="358"/>
  <c r="A97" i="358"/>
  <c r="C96" i="358"/>
  <c r="B96" i="358"/>
  <c r="A96" i="358"/>
  <c r="C95" i="358"/>
  <c r="B95" i="358"/>
  <c r="A95" i="358"/>
  <c r="A94" i="358"/>
  <c r="C93" i="358"/>
  <c r="B93" i="358"/>
  <c r="A93" i="358"/>
  <c r="P92" i="358"/>
  <c r="O92" i="358"/>
  <c r="N92" i="358"/>
  <c r="M92" i="358"/>
  <c r="L92" i="358"/>
  <c r="K92" i="358"/>
  <c r="J92" i="358"/>
  <c r="I92" i="358"/>
  <c r="H92" i="358"/>
  <c r="G92" i="358"/>
  <c r="C92" i="358"/>
  <c r="B92" i="358"/>
  <c r="A92" i="358"/>
  <c r="C91" i="358"/>
  <c r="B91" i="358"/>
  <c r="A91" i="358"/>
  <c r="C90" i="358"/>
  <c r="B90" i="358"/>
  <c r="A90" i="358"/>
  <c r="C89" i="358"/>
  <c r="B89" i="358"/>
  <c r="A89" i="358"/>
  <c r="C88" i="358"/>
  <c r="B88" i="358"/>
  <c r="A88" i="358"/>
  <c r="C86" i="358"/>
  <c r="B86" i="358"/>
  <c r="A86" i="358"/>
  <c r="C85" i="358"/>
  <c r="B85" i="358"/>
  <c r="A85" i="358"/>
  <c r="C84" i="358"/>
  <c r="B84" i="358"/>
  <c r="A84" i="358"/>
  <c r="C83" i="358"/>
  <c r="B83" i="358"/>
  <c r="A83" i="358"/>
  <c r="C82" i="358"/>
  <c r="B82" i="358"/>
  <c r="A82" i="358"/>
  <c r="C81" i="358"/>
  <c r="B81" i="358"/>
  <c r="A81" i="358"/>
  <c r="A80" i="358"/>
  <c r="C79" i="358"/>
  <c r="B79" i="358"/>
  <c r="A79" i="358"/>
  <c r="C78" i="358"/>
  <c r="B78" i="358"/>
  <c r="A78" i="358"/>
  <c r="C76" i="358"/>
  <c r="B76" i="358"/>
  <c r="A76" i="358"/>
  <c r="C75" i="358"/>
  <c r="B75" i="358"/>
  <c r="A75" i="358"/>
  <c r="C74" i="358"/>
  <c r="B74" i="358"/>
  <c r="A74" i="358"/>
  <c r="C73" i="358"/>
  <c r="B73" i="358"/>
  <c r="A73" i="358"/>
  <c r="C71" i="358"/>
  <c r="B71" i="358"/>
  <c r="A71" i="358"/>
  <c r="C70" i="358"/>
  <c r="B70" i="358"/>
  <c r="A70" i="358"/>
  <c r="C69" i="358"/>
  <c r="B69" i="358"/>
  <c r="A69" i="358"/>
  <c r="C68" i="358"/>
  <c r="B68" i="358"/>
  <c r="A68" i="358"/>
  <c r="C67" i="358"/>
  <c r="B67" i="358"/>
  <c r="A67" i="358"/>
  <c r="C66" i="358"/>
  <c r="B66" i="358"/>
  <c r="A66" i="358"/>
  <c r="A65" i="358"/>
  <c r="C64" i="358"/>
  <c r="B64" i="358"/>
  <c r="A64" i="358"/>
  <c r="P63" i="358"/>
  <c r="O63" i="358"/>
  <c r="N63" i="358"/>
  <c r="M63" i="358"/>
  <c r="L63" i="358"/>
  <c r="K63" i="358"/>
  <c r="J63" i="358"/>
  <c r="I63" i="358"/>
  <c r="H63" i="358"/>
  <c r="G63" i="358"/>
  <c r="E63" i="358"/>
  <c r="E96" i="358" s="1"/>
  <c r="E101" i="358" s="1"/>
  <c r="C63" i="358"/>
  <c r="B63" i="358"/>
  <c r="A63" i="358"/>
  <c r="C62" i="358"/>
  <c r="B62" i="358"/>
  <c r="A62" i="358"/>
  <c r="C61" i="358"/>
  <c r="B61" i="358"/>
  <c r="A61" i="358"/>
  <c r="C60" i="358"/>
  <c r="B60" i="358"/>
  <c r="A60" i="358"/>
  <c r="C59" i="358"/>
  <c r="B59" i="358"/>
  <c r="A59" i="358"/>
  <c r="C57" i="358"/>
  <c r="B57" i="358"/>
  <c r="A57" i="358"/>
  <c r="C56" i="358"/>
  <c r="B56" i="358"/>
  <c r="A56" i="358"/>
  <c r="C55" i="358"/>
  <c r="B55" i="358"/>
  <c r="A55" i="358"/>
  <c r="C54" i="358"/>
  <c r="B54" i="358"/>
  <c r="A54" i="358"/>
  <c r="C53" i="358"/>
  <c r="B53" i="358"/>
  <c r="A53" i="358"/>
  <c r="C52" i="358"/>
  <c r="B52" i="358"/>
  <c r="A52" i="358"/>
  <c r="A51" i="358"/>
  <c r="C50" i="358"/>
  <c r="B50" i="358"/>
  <c r="A50" i="358"/>
  <c r="C49" i="358"/>
  <c r="B49" i="358"/>
  <c r="A49" i="358"/>
  <c r="C47" i="358"/>
  <c r="B47" i="358"/>
  <c r="A47" i="358"/>
  <c r="C46" i="358"/>
  <c r="B46" i="358"/>
  <c r="A46" i="358"/>
  <c r="C45" i="358"/>
  <c r="B45" i="358"/>
  <c r="A45" i="358"/>
  <c r="C44" i="358"/>
  <c r="B44" i="358"/>
  <c r="A44" i="358"/>
  <c r="C42" i="358"/>
  <c r="B42" i="358"/>
  <c r="A42" i="358"/>
  <c r="C41" i="358"/>
  <c r="B41" i="358"/>
  <c r="A41" i="358"/>
  <c r="C40" i="358"/>
  <c r="B40" i="358"/>
  <c r="A40" i="358"/>
  <c r="C39" i="358"/>
  <c r="B39" i="358"/>
  <c r="A39" i="358"/>
  <c r="C38" i="358"/>
  <c r="B38" i="358"/>
  <c r="A38" i="358"/>
  <c r="C37" i="358"/>
  <c r="B37" i="358"/>
  <c r="A37" i="358"/>
  <c r="A36" i="358"/>
  <c r="C34" i="358"/>
  <c r="B34" i="358"/>
  <c r="A34" i="358"/>
  <c r="P33" i="358"/>
  <c r="O33" i="358"/>
  <c r="N33" i="358"/>
  <c r="C33" i="358"/>
  <c r="B33" i="358"/>
  <c r="A33" i="358"/>
  <c r="C32" i="358"/>
  <c r="B32" i="358"/>
  <c r="A32" i="358"/>
  <c r="C31" i="358"/>
  <c r="B31" i="358"/>
  <c r="A31" i="358"/>
  <c r="L33" i="358"/>
  <c r="K33" i="358"/>
  <c r="J33" i="358"/>
  <c r="I33" i="358"/>
  <c r="H33" i="358"/>
  <c r="G33" i="358"/>
  <c r="E33" i="358"/>
  <c r="C30" i="358"/>
  <c r="B30" i="358"/>
  <c r="A30" i="358"/>
  <c r="C29" i="358"/>
  <c r="B29" i="358"/>
  <c r="A29" i="358"/>
  <c r="C27" i="358"/>
  <c r="B27" i="358"/>
  <c r="A27" i="358"/>
  <c r="C26" i="358"/>
  <c r="B26" i="358"/>
  <c r="A26" i="358"/>
  <c r="C25" i="358"/>
  <c r="B25" i="358"/>
  <c r="A25" i="358"/>
  <c r="C24" i="358"/>
  <c r="B24" i="358"/>
  <c r="A24" i="358"/>
  <c r="C23" i="358"/>
  <c r="B23" i="358"/>
  <c r="A23" i="358"/>
  <c r="G35" i="358"/>
  <c r="G100" i="358" s="1"/>
  <c r="E35" i="358"/>
  <c r="C22" i="358"/>
  <c r="B22" i="358"/>
  <c r="A22" i="358"/>
  <c r="A21" i="358"/>
  <c r="C19" i="358"/>
  <c r="B19" i="358"/>
  <c r="A19" i="358"/>
  <c r="C18" i="358"/>
  <c r="B18" i="358"/>
  <c r="A18" i="358"/>
  <c r="C16" i="358"/>
  <c r="B16" i="358"/>
  <c r="A16" i="358"/>
  <c r="C15" i="358"/>
  <c r="B15" i="358"/>
  <c r="A15" i="358"/>
  <c r="C14" i="358"/>
  <c r="B14" i="358"/>
  <c r="A14" i="358"/>
  <c r="C13" i="358"/>
  <c r="B13" i="358"/>
  <c r="A13" i="358"/>
  <c r="C11" i="358"/>
  <c r="B11" i="358"/>
  <c r="A11" i="358"/>
  <c r="C10" i="358"/>
  <c r="B10" i="358"/>
  <c r="A10" i="358"/>
  <c r="C9" i="358"/>
  <c r="B9" i="358"/>
  <c r="A9" i="358"/>
  <c r="C8" i="358"/>
  <c r="B8" i="358"/>
  <c r="A8" i="358"/>
  <c r="C7" i="358"/>
  <c r="B7" i="358"/>
  <c r="A7" i="358"/>
  <c r="C6" i="358"/>
  <c r="B6" i="358"/>
  <c r="A6" i="358"/>
  <c r="A5" i="358"/>
  <c r="A1" i="358"/>
  <c r="H19" i="250" l="1"/>
  <c r="J19" i="245"/>
  <c r="I61" i="205"/>
  <c r="M19" i="239"/>
  <c r="L49" i="205"/>
  <c r="I19" i="235"/>
  <c r="H44" i="205"/>
  <c r="H99" i="205" s="1"/>
  <c r="O20" i="358"/>
  <c r="N20" i="358"/>
  <c r="E100" i="358"/>
  <c r="H156" i="34"/>
  <c r="E27" i="382"/>
  <c r="P27" i="382"/>
  <c r="P30" i="382" s="1"/>
  <c r="J27" i="382"/>
  <c r="J30" i="382" s="1"/>
  <c r="H27" i="382"/>
  <c r="H30" i="382" s="1"/>
  <c r="G27" i="382"/>
  <c r="G30" i="382" s="1"/>
  <c r="L27" i="382"/>
  <c r="L30" i="382" s="1"/>
  <c r="E22" i="382"/>
  <c r="I27" i="382"/>
  <c r="I30" i="382" s="1"/>
  <c r="M27" i="382"/>
  <c r="M30" i="382" s="1"/>
  <c r="N27" i="382"/>
  <c r="N30" i="382" s="1"/>
  <c r="F27" i="382"/>
  <c r="F30" i="382" s="1"/>
  <c r="O27" i="382"/>
  <c r="O30" i="382" s="1"/>
  <c r="Q20" i="382"/>
  <c r="K27" i="382"/>
  <c r="K30" i="382" s="1"/>
  <c r="H98" i="358"/>
  <c r="G163" i="358"/>
  <c r="I98" i="358"/>
  <c r="I20" i="358"/>
  <c r="G98" i="358"/>
  <c r="O97" i="358"/>
  <c r="P96" i="358"/>
  <c r="L20" i="358"/>
  <c r="H99" i="358"/>
  <c r="H20" i="358"/>
  <c r="P97" i="358"/>
  <c r="P20" i="358"/>
  <c r="M20" i="358"/>
  <c r="K20" i="358"/>
  <c r="J20" i="358"/>
  <c r="I99" i="358"/>
  <c r="M99" i="358"/>
  <c r="N99" i="358"/>
  <c r="G20" i="358"/>
  <c r="G22" i="361"/>
  <c r="K35" i="358"/>
  <c r="K100" i="358" s="1"/>
  <c r="J96" i="358"/>
  <c r="N96" i="358"/>
  <c r="J97" i="358"/>
  <c r="N97" i="358"/>
  <c r="I96" i="358"/>
  <c r="E20" i="358"/>
  <c r="J99" i="358"/>
  <c r="O99" i="358"/>
  <c r="L35" i="358"/>
  <c r="L100" i="358" s="1"/>
  <c r="N35" i="358"/>
  <c r="N100" i="358" s="1"/>
  <c r="G96" i="358"/>
  <c r="K96" i="358"/>
  <c r="O96" i="358"/>
  <c r="K97" i="358"/>
  <c r="L99" i="358"/>
  <c r="J35" i="358"/>
  <c r="J100" i="358" s="1"/>
  <c r="P35" i="358"/>
  <c r="P100" i="358" s="1"/>
  <c r="M97" i="358"/>
  <c r="K99" i="358"/>
  <c r="P99" i="358"/>
  <c r="I35" i="358"/>
  <c r="I100" i="358" s="1"/>
  <c r="M35" i="358"/>
  <c r="M100" i="358" s="1"/>
  <c r="O35" i="358"/>
  <c r="O100" i="358" s="1"/>
  <c r="L96" i="358"/>
  <c r="H97" i="358"/>
  <c r="L97" i="358"/>
  <c r="I97" i="358"/>
  <c r="H96" i="358"/>
  <c r="H35" i="358"/>
  <c r="H100" i="358" s="1"/>
  <c r="G97" i="358"/>
  <c r="G99" i="358"/>
  <c r="L19" i="244"/>
  <c r="N19" i="240"/>
  <c r="J19" i="246"/>
  <c r="M19" i="236"/>
  <c r="J19" i="254"/>
  <c r="N19" i="241"/>
  <c r="M19" i="253"/>
  <c r="N19" i="242"/>
  <c r="J19" i="248"/>
  <c r="J19" i="247"/>
  <c r="H100" i="205"/>
  <c r="I19" i="250"/>
  <c r="N19" i="237"/>
  <c r="H19" i="238"/>
  <c r="N19" i="234"/>
  <c r="I140" i="358"/>
  <c r="L145" i="358"/>
  <c r="H164" i="358"/>
  <c r="P164" i="358"/>
  <c r="K162" i="358"/>
  <c r="O162" i="358"/>
  <c r="J140" i="358"/>
  <c r="N140" i="358"/>
  <c r="I164" i="358"/>
  <c r="M164" i="358"/>
  <c r="P194" i="358"/>
  <c r="P20" i="339" s="1"/>
  <c r="P20" i="341"/>
  <c r="E1" i="358"/>
  <c r="J162" i="358"/>
  <c r="N162" i="358"/>
  <c r="M140" i="358"/>
  <c r="L164" i="358"/>
  <c r="H162" i="358"/>
  <c r="L162" i="358"/>
  <c r="P162" i="358"/>
  <c r="G140" i="358"/>
  <c r="K140" i="358"/>
  <c r="O140" i="358"/>
  <c r="J164" i="358"/>
  <c r="N164" i="358"/>
  <c r="I1" i="358"/>
  <c r="H1" i="358"/>
  <c r="G2" i="358"/>
  <c r="I162" i="358"/>
  <c r="M162" i="358"/>
  <c r="H140" i="358"/>
  <c r="L140" i="358"/>
  <c r="G164" i="358"/>
  <c r="K164" i="358"/>
  <c r="O164" i="358"/>
  <c r="N194" i="358"/>
  <c r="N20" i="339" s="1"/>
  <c r="N20" i="340"/>
  <c r="G194" i="358"/>
  <c r="G20" i="339" s="1"/>
  <c r="O194" i="358"/>
  <c r="O20" i="339" s="1"/>
  <c r="J194" i="358"/>
  <c r="J20" i="339" s="1"/>
  <c r="H194" i="358"/>
  <c r="H20" i="339" s="1"/>
  <c r="L194" i="358"/>
  <c r="L20" i="339" s="1"/>
  <c r="F20" i="339"/>
  <c r="M194" i="358"/>
  <c r="M20" i="339" s="1"/>
  <c r="O145" i="358"/>
  <c r="I145" i="358"/>
  <c r="M145" i="358"/>
  <c r="N145" i="358"/>
  <c r="G145" i="358"/>
  <c r="P145" i="358"/>
  <c r="H2" i="358"/>
  <c r="J1" i="358"/>
  <c r="K194" i="358"/>
  <c r="K20" i="339" s="1"/>
  <c r="I2" i="358"/>
  <c r="E194" i="358"/>
  <c r="J2" i="358"/>
  <c r="G1" i="358"/>
  <c r="E2" i="358"/>
  <c r="I194" i="358"/>
  <c r="I20" i="339" s="1"/>
  <c r="N114" i="206"/>
  <c r="K19" i="245" l="1"/>
  <c r="J61" i="205"/>
  <c r="N19" i="239"/>
  <c r="M49" i="205"/>
  <c r="J19" i="235"/>
  <c r="I44" i="205"/>
  <c r="I99" i="205" s="1"/>
  <c r="G27" i="361"/>
  <c r="E22" i="361"/>
  <c r="E29" i="361" s="1"/>
  <c r="E27" i="361"/>
  <c r="F27" i="361"/>
  <c r="N156" i="34"/>
  <c r="S4" i="382"/>
  <c r="I29" i="382"/>
  <c r="F29" i="382"/>
  <c r="Q22" i="382"/>
  <c r="E29" i="382"/>
  <c r="G29" i="382"/>
  <c r="H29" i="382"/>
  <c r="P29" i="382"/>
  <c r="J29" i="382"/>
  <c r="M29" i="382"/>
  <c r="O29" i="382"/>
  <c r="K29" i="382"/>
  <c r="N29" i="382"/>
  <c r="L29" i="382"/>
  <c r="I170" i="358"/>
  <c r="H170" i="358"/>
  <c r="J170" i="358"/>
  <c r="P170" i="358"/>
  <c r="G170" i="358"/>
  <c r="M170" i="358"/>
  <c r="K170" i="358"/>
  <c r="L170" i="358"/>
  <c r="N170" i="358"/>
  <c r="O170" i="358"/>
  <c r="H110" i="34"/>
  <c r="H111" i="34"/>
  <c r="O22" i="361"/>
  <c r="P22" i="361"/>
  <c r="L22" i="361"/>
  <c r="E27" i="360"/>
  <c r="F27" i="360"/>
  <c r="K22" i="361"/>
  <c r="M22" i="361"/>
  <c r="J22" i="361"/>
  <c r="I22" i="361"/>
  <c r="N22" i="361"/>
  <c r="G165" i="358"/>
  <c r="H27" i="361"/>
  <c r="L27" i="361"/>
  <c r="K27" i="361"/>
  <c r="I27" i="361"/>
  <c r="P27" i="361"/>
  <c r="J27" i="361"/>
  <c r="N27" i="361"/>
  <c r="Q20" i="361"/>
  <c r="M27" i="361"/>
  <c r="O27" i="361"/>
  <c r="H22" i="361"/>
  <c r="M27" i="360"/>
  <c r="I27" i="360"/>
  <c r="P27" i="360"/>
  <c r="L27" i="360"/>
  <c r="H27" i="360"/>
  <c r="N27" i="360"/>
  <c r="O27" i="360"/>
  <c r="K27" i="360"/>
  <c r="G27" i="360"/>
  <c r="J27" i="360"/>
  <c r="Q20" i="360"/>
  <c r="K19" i="248"/>
  <c r="N19" i="253"/>
  <c r="K19" i="254"/>
  <c r="O19" i="240"/>
  <c r="P19" i="240"/>
  <c r="M19" i="244"/>
  <c r="K19" i="246"/>
  <c r="P19" i="242"/>
  <c r="O19" i="242"/>
  <c r="P19" i="241"/>
  <c r="O19" i="241"/>
  <c r="N19" i="236"/>
  <c r="K19" i="247"/>
  <c r="I100" i="205"/>
  <c r="J19" i="250"/>
  <c r="P19" i="237"/>
  <c r="O19" i="237"/>
  <c r="O19" i="234"/>
  <c r="I19" i="238"/>
  <c r="E20" i="339"/>
  <c r="L98" i="358"/>
  <c r="K98" i="358"/>
  <c r="J98" i="358"/>
  <c r="O115" i="206"/>
  <c r="Q54" i="34" l="1"/>
  <c r="I54" i="34"/>
  <c r="G29" i="361"/>
  <c r="F29" i="361"/>
  <c r="L19" i="245"/>
  <c r="K61" i="205"/>
  <c r="O19" i="239"/>
  <c r="N49" i="205"/>
  <c r="P19" i="234"/>
  <c r="K19" i="235"/>
  <c r="J44" i="205"/>
  <c r="J99" i="205" s="1"/>
  <c r="H195" i="34"/>
  <c r="L27" i="368"/>
  <c r="M27" i="368"/>
  <c r="F27" i="368"/>
  <c r="P27" i="368"/>
  <c r="J27" i="368"/>
  <c r="N27" i="368"/>
  <c r="G27" i="368"/>
  <c r="O27" i="368"/>
  <c r="E27" i="368"/>
  <c r="H27" i="368"/>
  <c r="K27" i="368"/>
  <c r="Q20" i="368"/>
  <c r="I27" i="368"/>
  <c r="N95" i="358"/>
  <c r="G95" i="358"/>
  <c r="P95" i="358"/>
  <c r="K95" i="358"/>
  <c r="O95" i="358"/>
  <c r="M95" i="358"/>
  <c r="J95" i="358"/>
  <c r="L95" i="358"/>
  <c r="I95" i="358"/>
  <c r="N111" i="34"/>
  <c r="S4" i="361"/>
  <c r="H95" i="358"/>
  <c r="H29" i="361"/>
  <c r="P29" i="361"/>
  <c r="J29" i="361"/>
  <c r="N29" i="361"/>
  <c r="O29" i="361"/>
  <c r="K29" i="361"/>
  <c r="M29" i="361"/>
  <c r="L29" i="361"/>
  <c r="I29" i="361"/>
  <c r="Q22" i="361"/>
  <c r="N110" i="34"/>
  <c r="S4" i="360"/>
  <c r="L19" i="246"/>
  <c r="P19" i="253"/>
  <c r="O19" i="253"/>
  <c r="L19" i="247"/>
  <c r="P19" i="236"/>
  <c r="O19" i="236"/>
  <c r="J100" i="205"/>
  <c r="K19" i="250"/>
  <c r="N19" i="244"/>
  <c r="L19" i="254"/>
  <c r="L19" i="248"/>
  <c r="J19" i="238"/>
  <c r="N98" i="358"/>
  <c r="O98" i="358"/>
  <c r="M98" i="358"/>
  <c r="P98" i="358"/>
  <c r="O49" i="205"/>
  <c r="M19" i="245" l="1"/>
  <c r="L61" i="205"/>
  <c r="L19" i="235"/>
  <c r="K44" i="205"/>
  <c r="K99" i="205" s="1"/>
  <c r="N195" i="34"/>
  <c r="S4" i="368"/>
  <c r="M19" i="248"/>
  <c r="P19" i="239"/>
  <c r="K100" i="205"/>
  <c r="L19" i="250"/>
  <c r="M19" i="254"/>
  <c r="M19" i="247"/>
  <c r="O19" i="244"/>
  <c r="M19" i="246"/>
  <c r="K19" i="238"/>
  <c r="K101" i="358"/>
  <c r="O167" i="358"/>
  <c r="J167" i="358"/>
  <c r="I101" i="358"/>
  <c r="G167" i="358"/>
  <c r="L167" i="358"/>
  <c r="N167" i="358"/>
  <c r="P167" i="358"/>
  <c r="H101" i="358"/>
  <c r="K167" i="358"/>
  <c r="H167" i="358"/>
  <c r="P101" i="358"/>
  <c r="M101" i="358"/>
  <c r="J101" i="358"/>
  <c r="I167" i="358"/>
  <c r="G101" i="358"/>
  <c r="L101" i="358"/>
  <c r="N101" i="358"/>
  <c r="L29" i="206"/>
  <c r="L28" i="206"/>
  <c r="L27" i="206"/>
  <c r="L21" i="206"/>
  <c r="L22" i="206"/>
  <c r="L23" i="206"/>
  <c r="L24" i="206"/>
  <c r="L25" i="206"/>
  <c r="L20" i="206"/>
  <c r="L17" i="206"/>
  <c r="L14" i="206"/>
  <c r="L15" i="206"/>
  <c r="L13" i="206"/>
  <c r="L7" i="206"/>
  <c r="L8" i="206"/>
  <c r="L9" i="206"/>
  <c r="L10" i="206"/>
  <c r="L11" i="206"/>
  <c r="L6" i="206"/>
  <c r="N19" i="245" l="1"/>
  <c r="M61" i="205"/>
  <c r="M19" i="235"/>
  <c r="L44" i="205"/>
  <c r="L99" i="205" s="1"/>
  <c r="L30" i="206"/>
  <c r="O101" i="358"/>
  <c r="N19" i="254"/>
  <c r="P19" i="244"/>
  <c r="L100" i="205"/>
  <c r="M19" i="250"/>
  <c r="N19" i="246"/>
  <c r="N19" i="247"/>
  <c r="N19" i="248"/>
  <c r="L19" i="238"/>
  <c r="K160" i="206"/>
  <c r="L21" i="351" s="1"/>
  <c r="Q55" i="34" l="1"/>
  <c r="I55" i="34"/>
  <c r="O19" i="245"/>
  <c r="N61" i="205"/>
  <c r="N19" i="235"/>
  <c r="M44" i="205"/>
  <c r="M99" i="205" s="1"/>
  <c r="O146" i="358"/>
  <c r="O19" i="246"/>
  <c r="M100" i="205"/>
  <c r="N19" i="250"/>
  <c r="P19" i="247"/>
  <c r="O19" i="247"/>
  <c r="P19" i="248"/>
  <c r="O19" i="248"/>
  <c r="P19" i="254"/>
  <c r="O19" i="254"/>
  <c r="M19" i="238"/>
  <c r="M146" i="358"/>
  <c r="M163" i="358"/>
  <c r="M165" i="358" s="1"/>
  <c r="N146" i="358"/>
  <c r="N163" i="358"/>
  <c r="N165" i="358" s="1"/>
  <c r="J146" i="358"/>
  <c r="J163" i="358"/>
  <c r="J165" i="358" s="1"/>
  <c r="L146" i="358"/>
  <c r="L163" i="358"/>
  <c r="L165" i="358" s="1"/>
  <c r="K146" i="358"/>
  <c r="K163" i="358"/>
  <c r="K165" i="358" s="1"/>
  <c r="H146" i="358"/>
  <c r="H163" i="358"/>
  <c r="H165" i="358" s="1"/>
  <c r="P146" i="358"/>
  <c r="G146" i="358"/>
  <c r="I146" i="358"/>
  <c r="I163" i="358"/>
  <c r="I165" i="358" s="1"/>
  <c r="K27" i="206"/>
  <c r="K28" i="206"/>
  <c r="K29" i="206"/>
  <c r="K20" i="206"/>
  <c r="K21" i="206"/>
  <c r="K22" i="206"/>
  <c r="K23" i="206"/>
  <c r="K24" i="206"/>
  <c r="K25" i="206"/>
  <c r="K17" i="206"/>
  <c r="K13" i="206"/>
  <c r="K14" i="206"/>
  <c r="K15" i="206"/>
  <c r="K6" i="206"/>
  <c r="K7" i="206"/>
  <c r="K8" i="206"/>
  <c r="K9" i="206"/>
  <c r="K10" i="206"/>
  <c r="K11" i="206"/>
  <c r="O61" i="205" l="1"/>
  <c r="O19" i="235"/>
  <c r="N44" i="205"/>
  <c r="N99" i="205" s="1"/>
  <c r="O163" i="358"/>
  <c r="O165" i="358" s="1"/>
  <c r="N100" i="205"/>
  <c r="O19" i="250"/>
  <c r="P19" i="245"/>
  <c r="P19" i="246"/>
  <c r="N19" i="238"/>
  <c r="J166" i="358"/>
  <c r="M166" i="358"/>
  <c r="H166" i="358"/>
  <c r="L166" i="358"/>
  <c r="N166" i="358"/>
  <c r="G166" i="358"/>
  <c r="I166" i="358"/>
  <c r="K166" i="358"/>
  <c r="O44" i="205"/>
  <c r="O99" i="205" s="1"/>
  <c r="H174" i="34" l="1"/>
  <c r="M27" i="383"/>
  <c r="M30" i="383" s="1"/>
  <c r="Q20" i="383"/>
  <c r="E22" i="383"/>
  <c r="N27" i="383"/>
  <c r="N30" i="383" s="1"/>
  <c r="L27" i="383"/>
  <c r="L30" i="383" s="1"/>
  <c r="O27" i="383"/>
  <c r="O30" i="383" s="1"/>
  <c r="P27" i="383"/>
  <c r="P30" i="383" s="1"/>
  <c r="G27" i="383"/>
  <c r="G30" i="383" s="1"/>
  <c r="E27" i="383"/>
  <c r="F27" i="383"/>
  <c r="F30" i="383" s="1"/>
  <c r="K27" i="383"/>
  <c r="K30" i="383" s="1"/>
  <c r="I27" i="383"/>
  <c r="I30" i="383" s="1"/>
  <c r="H27" i="383"/>
  <c r="H30" i="383" s="1"/>
  <c r="J27" i="383"/>
  <c r="J30" i="383" s="1"/>
  <c r="O166" i="358"/>
  <c r="O100" i="205"/>
  <c r="P19" i="250"/>
  <c r="P19" i="235"/>
  <c r="O19" i="238"/>
  <c r="J160" i="206"/>
  <c r="K21" i="351" s="1"/>
  <c r="J158" i="206"/>
  <c r="K21" i="347" s="1"/>
  <c r="J155" i="206"/>
  <c r="K21" i="346" s="1"/>
  <c r="J152" i="206"/>
  <c r="K21" i="343" s="1"/>
  <c r="J162" i="206"/>
  <c r="K21" i="349" s="1"/>
  <c r="M29" i="383" l="1"/>
  <c r="L29" i="383"/>
  <c r="O29" i="383"/>
  <c r="F29" i="383"/>
  <c r="Q22" i="383"/>
  <c r="N29" i="383"/>
  <c r="I29" i="383"/>
  <c r="H29" i="383"/>
  <c r="K29" i="383"/>
  <c r="E29" i="383"/>
  <c r="G29" i="383"/>
  <c r="P29" i="383"/>
  <c r="J29" i="383"/>
  <c r="S4" i="383"/>
  <c r="N174" i="34"/>
  <c r="P19" i="238"/>
  <c r="J31" i="206"/>
  <c r="J29" i="206"/>
  <c r="J28" i="206"/>
  <c r="J27" i="206"/>
  <c r="J25" i="206"/>
  <c r="J24" i="206"/>
  <c r="J23" i="206"/>
  <c r="J22" i="206"/>
  <c r="J21" i="206"/>
  <c r="J20" i="206"/>
  <c r="J17" i="206"/>
  <c r="J15" i="206"/>
  <c r="J14" i="206"/>
  <c r="J13" i="206"/>
  <c r="J7" i="206"/>
  <c r="J8" i="206"/>
  <c r="J9" i="206"/>
  <c r="J10" i="206"/>
  <c r="J11" i="206"/>
  <c r="J6" i="206"/>
  <c r="K2" i="207" l="1"/>
  <c r="L2" i="207"/>
  <c r="M2" i="207"/>
  <c r="N2" i="207"/>
  <c r="O2" i="207"/>
  <c r="J2" i="207"/>
  <c r="K1" i="207"/>
  <c r="L1" i="207"/>
  <c r="M1" i="207"/>
  <c r="N1" i="207"/>
  <c r="O1" i="207"/>
  <c r="J1" i="207"/>
  <c r="I31" i="206"/>
  <c r="I29" i="206"/>
  <c r="I28" i="206"/>
  <c r="I27" i="206"/>
  <c r="I21" i="206"/>
  <c r="I22" i="206"/>
  <c r="I23" i="206"/>
  <c r="I24" i="206"/>
  <c r="I25" i="206"/>
  <c r="I20" i="206"/>
  <c r="I17" i="206"/>
  <c r="I14" i="206"/>
  <c r="I15" i="206"/>
  <c r="I13" i="206"/>
  <c r="I7" i="206"/>
  <c r="I8" i="206"/>
  <c r="I9" i="206"/>
  <c r="I10" i="206"/>
  <c r="I11" i="206"/>
  <c r="I6" i="206"/>
  <c r="H160" i="206"/>
  <c r="I21" i="351" s="1"/>
  <c r="H162" i="206"/>
  <c r="I21" i="349" s="1"/>
  <c r="H158" i="206"/>
  <c r="I21" i="347" s="1"/>
  <c r="H31" i="206"/>
  <c r="H27" i="206"/>
  <c r="H28" i="206"/>
  <c r="I22" i="227" s="1"/>
  <c r="H29" i="206"/>
  <c r="H20" i="206"/>
  <c r="H21" i="206"/>
  <c r="H22" i="206"/>
  <c r="H23" i="206"/>
  <c r="H24" i="206"/>
  <c r="I22" i="224" s="1"/>
  <c r="H17" i="206"/>
  <c r="H13" i="206"/>
  <c r="H14" i="206"/>
  <c r="H15" i="206"/>
  <c r="H6" i="206"/>
  <c r="H7" i="206"/>
  <c r="H8" i="206"/>
  <c r="H9" i="206"/>
  <c r="H10" i="206"/>
  <c r="H11" i="206"/>
  <c r="G31" i="206"/>
  <c r="G27" i="206"/>
  <c r="G28" i="206"/>
  <c r="G29" i="206"/>
  <c r="H22" i="231" s="1"/>
  <c r="G20" i="206"/>
  <c r="G21" i="206"/>
  <c r="G22" i="206"/>
  <c r="G23" i="206"/>
  <c r="G24" i="206"/>
  <c r="H22" i="224" s="1"/>
  <c r="G17" i="206"/>
  <c r="G13" i="206"/>
  <c r="G14" i="206"/>
  <c r="G15" i="206"/>
  <c r="G7" i="206"/>
  <c r="G9" i="206"/>
  <c r="G10" i="206"/>
  <c r="G162" i="206"/>
  <c r="H21" i="349" s="1"/>
  <c r="H98" i="206"/>
  <c r="H102" i="206"/>
  <c r="H111" i="206"/>
  <c r="H115" i="206"/>
  <c r="I98" i="206"/>
  <c r="I102" i="206"/>
  <c r="I111" i="206"/>
  <c r="I115" i="206"/>
  <c r="F31" i="206"/>
  <c r="F27" i="206"/>
  <c r="F28" i="206"/>
  <c r="F29" i="206"/>
  <c r="F20" i="206"/>
  <c r="F21" i="206"/>
  <c r="F22" i="206"/>
  <c r="F23" i="206"/>
  <c r="F24" i="206"/>
  <c r="G22" i="224" s="1"/>
  <c r="F17" i="206"/>
  <c r="F13" i="206"/>
  <c r="F14" i="206"/>
  <c r="F15" i="206"/>
  <c r="F6" i="206"/>
  <c r="F7" i="206"/>
  <c r="F8" i="206"/>
  <c r="F9" i="206"/>
  <c r="F10" i="206"/>
  <c r="F11" i="206"/>
  <c r="D151" i="206"/>
  <c r="E21" i="342" s="1"/>
  <c r="E31" i="206"/>
  <c r="E28" i="206"/>
  <c r="E29" i="206"/>
  <c r="F22" i="231" s="1"/>
  <c r="E27" i="206"/>
  <c r="E21" i="206"/>
  <c r="E22" i="206"/>
  <c r="E23" i="206"/>
  <c r="E24" i="206"/>
  <c r="E25" i="206"/>
  <c r="E20" i="206"/>
  <c r="E17" i="206"/>
  <c r="E14" i="206"/>
  <c r="E15" i="206"/>
  <c r="E13" i="206"/>
  <c r="E7" i="206"/>
  <c r="E8" i="206"/>
  <c r="E9" i="206"/>
  <c r="E10" i="206"/>
  <c r="E11" i="206"/>
  <c r="E6" i="206"/>
  <c r="E157" i="206"/>
  <c r="F21" i="341" s="1"/>
  <c r="F157" i="206"/>
  <c r="G21" i="341" s="1"/>
  <c r="G157" i="206"/>
  <c r="H21" i="341" s="1"/>
  <c r="H157" i="206"/>
  <c r="I21" i="341" s="1"/>
  <c r="I157" i="206"/>
  <c r="J21" i="341" s="1"/>
  <c r="J157" i="206"/>
  <c r="K21" i="341" s="1"/>
  <c r="K157" i="206"/>
  <c r="L21" i="341" s="1"/>
  <c r="L157" i="206"/>
  <c r="M21" i="341" s="1"/>
  <c r="M157" i="206"/>
  <c r="N21" i="341" s="1"/>
  <c r="N157" i="206"/>
  <c r="O21" i="341" s="1"/>
  <c r="O157" i="206"/>
  <c r="P21" i="341" s="1"/>
  <c r="I161" i="206"/>
  <c r="J21" i="340" s="1"/>
  <c r="E19" i="341"/>
  <c r="E26" i="341" s="1"/>
  <c r="E19" i="340"/>
  <c r="E26" i="340" s="1"/>
  <c r="E161" i="206"/>
  <c r="F21" i="340" s="1"/>
  <c r="F161" i="206"/>
  <c r="G21" i="340" s="1"/>
  <c r="G161" i="206"/>
  <c r="H21" i="340" s="1"/>
  <c r="J161" i="206"/>
  <c r="K21" i="340" s="1"/>
  <c r="K161" i="206"/>
  <c r="L21" i="340" s="1"/>
  <c r="L161" i="206"/>
  <c r="M21" i="340" s="1"/>
  <c r="M161" i="206"/>
  <c r="N21" i="340" s="1"/>
  <c r="N161" i="206"/>
  <c r="O21" i="340" s="1"/>
  <c r="F19" i="340"/>
  <c r="G19" i="340"/>
  <c r="H19" i="340"/>
  <c r="I19" i="340"/>
  <c r="J19" i="340"/>
  <c r="K19" i="340"/>
  <c r="L19" i="340"/>
  <c r="M19" i="340"/>
  <c r="N19" i="340"/>
  <c r="O19" i="340"/>
  <c r="P19" i="340"/>
  <c r="E137" i="206"/>
  <c r="F137" i="206"/>
  <c r="G137" i="206"/>
  <c r="H137" i="206"/>
  <c r="I137" i="206"/>
  <c r="J137" i="206"/>
  <c r="K137" i="206"/>
  <c r="L137" i="206"/>
  <c r="M137" i="206"/>
  <c r="N137" i="206"/>
  <c r="O137" i="206"/>
  <c r="F19" i="327"/>
  <c r="F23" i="327" s="1"/>
  <c r="G19" i="327"/>
  <c r="H19" i="327"/>
  <c r="I19" i="327"/>
  <c r="J19" i="327"/>
  <c r="K19" i="327"/>
  <c r="L19" i="327"/>
  <c r="M19" i="327"/>
  <c r="M23" i="327" s="1"/>
  <c r="N19" i="327"/>
  <c r="O19" i="327"/>
  <c r="P19" i="327"/>
  <c r="D137" i="206"/>
  <c r="E19" i="327"/>
  <c r="E115" i="206"/>
  <c r="F115" i="206"/>
  <c r="G115" i="206"/>
  <c r="J115" i="206"/>
  <c r="K115" i="206"/>
  <c r="L115" i="206"/>
  <c r="M115" i="206"/>
  <c r="N115" i="206"/>
  <c r="G19" i="309"/>
  <c r="H19" i="309"/>
  <c r="J19" i="309"/>
  <c r="L19" i="309"/>
  <c r="M19" i="309"/>
  <c r="N19" i="309"/>
  <c r="O19" i="309"/>
  <c r="P19" i="309"/>
  <c r="D115" i="206"/>
  <c r="E19" i="309"/>
  <c r="E111" i="206"/>
  <c r="F111" i="206"/>
  <c r="G111" i="206"/>
  <c r="J111" i="206"/>
  <c r="K111" i="206"/>
  <c r="L111" i="206"/>
  <c r="M111" i="206"/>
  <c r="N111" i="206"/>
  <c r="O111" i="206"/>
  <c r="F19" i="303"/>
  <c r="H19" i="303"/>
  <c r="I19" i="303"/>
  <c r="J19" i="303"/>
  <c r="L19" i="303"/>
  <c r="M19" i="303"/>
  <c r="M22" i="303" s="1"/>
  <c r="N19" i="303"/>
  <c r="P19" i="303"/>
  <c r="D111" i="206"/>
  <c r="E19" i="303"/>
  <c r="E26" i="303" s="1"/>
  <c r="E102" i="206"/>
  <c r="F102" i="206"/>
  <c r="G102" i="206"/>
  <c r="J102" i="206"/>
  <c r="K102" i="206"/>
  <c r="L102" i="206"/>
  <c r="M102" i="206"/>
  <c r="N102" i="206"/>
  <c r="O102" i="206"/>
  <c r="D102" i="206"/>
  <c r="E98" i="206"/>
  <c r="F98" i="206"/>
  <c r="G98" i="206"/>
  <c r="J98" i="206"/>
  <c r="K98" i="206"/>
  <c r="L98" i="206"/>
  <c r="M98" i="206"/>
  <c r="N98" i="206"/>
  <c r="O98" i="206"/>
  <c r="D98" i="206"/>
  <c r="E83" i="206"/>
  <c r="F83" i="206"/>
  <c r="G27" i="280" s="1"/>
  <c r="G83" i="206"/>
  <c r="H22" i="280" s="1"/>
  <c r="H83" i="206"/>
  <c r="I83" i="206"/>
  <c r="J22" i="280" s="1"/>
  <c r="J83" i="206"/>
  <c r="K83" i="206"/>
  <c r="L83" i="206"/>
  <c r="M22" i="280" s="1"/>
  <c r="M83" i="206"/>
  <c r="N83" i="206"/>
  <c r="O83" i="206"/>
  <c r="P27" i="280" s="1"/>
  <c r="D83" i="206"/>
  <c r="E79" i="206"/>
  <c r="F79" i="206"/>
  <c r="G79" i="206"/>
  <c r="H79" i="206"/>
  <c r="I79" i="206"/>
  <c r="J79" i="206"/>
  <c r="K79" i="206"/>
  <c r="L79" i="206"/>
  <c r="M79" i="206"/>
  <c r="N79" i="206"/>
  <c r="O79" i="206"/>
  <c r="D79" i="206"/>
  <c r="E70" i="206"/>
  <c r="F70" i="206"/>
  <c r="G70" i="206"/>
  <c r="H70" i="206"/>
  <c r="I70" i="206"/>
  <c r="J70" i="206"/>
  <c r="K70" i="206"/>
  <c r="L70" i="206"/>
  <c r="M70" i="206"/>
  <c r="N70" i="206"/>
  <c r="O70" i="206"/>
  <c r="D70" i="206"/>
  <c r="E66" i="206"/>
  <c r="F66" i="206"/>
  <c r="G66" i="206"/>
  <c r="H66" i="206"/>
  <c r="I66" i="206"/>
  <c r="J66" i="206"/>
  <c r="K66" i="206"/>
  <c r="L66" i="206"/>
  <c r="M66" i="206"/>
  <c r="N66" i="206"/>
  <c r="O66" i="206"/>
  <c r="D66" i="206"/>
  <c r="E57" i="206"/>
  <c r="F20" i="256" s="1"/>
  <c r="F57" i="206"/>
  <c r="G20" i="256" s="1"/>
  <c r="G57" i="206"/>
  <c r="H20" i="256" s="1"/>
  <c r="H22" i="256" s="1"/>
  <c r="H57" i="206"/>
  <c r="I20" i="256" s="1"/>
  <c r="I22" i="256" s="1"/>
  <c r="I57" i="206"/>
  <c r="J20" i="256" s="1"/>
  <c r="J57" i="206"/>
  <c r="K20" i="256" s="1"/>
  <c r="K57" i="206"/>
  <c r="L20" i="256" s="1"/>
  <c r="L22" i="256" s="1"/>
  <c r="L57" i="206"/>
  <c r="M20" i="256" s="1"/>
  <c r="M57" i="206"/>
  <c r="N20" i="256" s="1"/>
  <c r="N27" i="256" s="1"/>
  <c r="N57" i="206"/>
  <c r="O20" i="256" s="1"/>
  <c r="O22" i="256" s="1"/>
  <c r="O57" i="206"/>
  <c r="P20" i="256" s="1"/>
  <c r="P22" i="256" s="1"/>
  <c r="E96" i="205"/>
  <c r="F19" i="280" s="1"/>
  <c r="F26" i="280" s="1"/>
  <c r="F96" i="205"/>
  <c r="G19" i="280" s="1"/>
  <c r="G26" i="280" s="1"/>
  <c r="G96" i="205"/>
  <c r="H19" i="280" s="1"/>
  <c r="H26" i="280" s="1"/>
  <c r="H96" i="205"/>
  <c r="I19" i="280" s="1"/>
  <c r="I26" i="280" s="1"/>
  <c r="I96" i="205"/>
  <c r="J19" i="280" s="1"/>
  <c r="J96" i="205"/>
  <c r="K19" i="280" s="1"/>
  <c r="K96" i="205"/>
  <c r="L19" i="280" s="1"/>
  <c r="L96" i="205"/>
  <c r="M19" i="280" s="1"/>
  <c r="M26" i="280" s="1"/>
  <c r="M96" i="205"/>
  <c r="N19" i="280" s="1"/>
  <c r="N26" i="280" s="1"/>
  <c r="N96" i="205"/>
  <c r="O19" i="280" s="1"/>
  <c r="O26" i="280" s="1"/>
  <c r="O96" i="205"/>
  <c r="P19" i="280" s="1"/>
  <c r="D57" i="206"/>
  <c r="E20" i="256" s="1"/>
  <c r="E19" i="256"/>
  <c r="E53" i="206"/>
  <c r="F53" i="206"/>
  <c r="G53" i="206"/>
  <c r="H53" i="206"/>
  <c r="I53" i="206"/>
  <c r="J53" i="206"/>
  <c r="K53" i="206"/>
  <c r="L53" i="206"/>
  <c r="M53" i="206"/>
  <c r="N53" i="206"/>
  <c r="O53" i="206"/>
  <c r="I26" i="250"/>
  <c r="L26" i="250"/>
  <c r="M26" i="250"/>
  <c r="N26" i="250"/>
  <c r="P26" i="250"/>
  <c r="D53" i="206"/>
  <c r="E44" i="206"/>
  <c r="F44" i="206"/>
  <c r="G44" i="206"/>
  <c r="H44" i="206"/>
  <c r="I44" i="206"/>
  <c r="J44" i="206"/>
  <c r="K44" i="206"/>
  <c r="L44" i="206"/>
  <c r="M44" i="206"/>
  <c r="N44" i="206"/>
  <c r="O44" i="206"/>
  <c r="F19" i="268"/>
  <c r="G19" i="268"/>
  <c r="G26" i="268" s="1"/>
  <c r="H19" i="268"/>
  <c r="H26" i="268" s="1"/>
  <c r="I19" i="268"/>
  <c r="J19" i="268"/>
  <c r="K19" i="268"/>
  <c r="L19" i="268"/>
  <c r="L26" i="268" s="1"/>
  <c r="M19" i="268"/>
  <c r="M26" i="268" s="1"/>
  <c r="N19" i="268"/>
  <c r="O19" i="268"/>
  <c r="P19" i="268"/>
  <c r="D44" i="206"/>
  <c r="E40" i="206"/>
  <c r="F40" i="206"/>
  <c r="G40" i="206"/>
  <c r="G86" i="206" s="1"/>
  <c r="H40" i="206"/>
  <c r="I40" i="206"/>
  <c r="J40" i="206"/>
  <c r="K40" i="206"/>
  <c r="L40" i="206"/>
  <c r="M27" i="238" s="1"/>
  <c r="M40" i="206"/>
  <c r="N40" i="206"/>
  <c r="O27" i="238" s="1"/>
  <c r="O40" i="206"/>
  <c r="P27" i="238" s="1"/>
  <c r="F26" i="238"/>
  <c r="G26" i="238"/>
  <c r="H26" i="238"/>
  <c r="I26" i="238"/>
  <c r="J26" i="238"/>
  <c r="K26" i="238"/>
  <c r="L26" i="238"/>
  <c r="M26" i="238"/>
  <c r="N26" i="238"/>
  <c r="O26" i="238"/>
  <c r="P26" i="238"/>
  <c r="D40" i="206"/>
  <c r="E26" i="238"/>
  <c r="J30" i="206"/>
  <c r="K22" i="232" s="1"/>
  <c r="K30" i="206"/>
  <c r="M22" i="232"/>
  <c r="M30" i="206"/>
  <c r="N30" i="206"/>
  <c r="O22" i="232" s="1"/>
  <c r="O30" i="206"/>
  <c r="P22" i="232" s="1"/>
  <c r="E34" i="205"/>
  <c r="F34" i="205"/>
  <c r="G34" i="205"/>
  <c r="H34" i="205"/>
  <c r="H104" i="205" s="1"/>
  <c r="I19" i="361" s="1"/>
  <c r="I23" i="361" s="1"/>
  <c r="I34" i="205"/>
  <c r="J34" i="205"/>
  <c r="K34" i="205"/>
  <c r="L34" i="205"/>
  <c r="M34" i="205"/>
  <c r="N34" i="205"/>
  <c r="O34" i="205"/>
  <c r="J26" i="206"/>
  <c r="K26" i="206"/>
  <c r="L26" i="206"/>
  <c r="M26" i="206"/>
  <c r="N26" i="206"/>
  <c r="O26" i="206"/>
  <c r="F19" i="225"/>
  <c r="G19" i="225"/>
  <c r="H19" i="225"/>
  <c r="I19" i="225"/>
  <c r="J19" i="225"/>
  <c r="K19" i="225"/>
  <c r="L19" i="225"/>
  <c r="M19" i="225"/>
  <c r="N19" i="225"/>
  <c r="O19" i="225"/>
  <c r="P19" i="225"/>
  <c r="E19" i="225"/>
  <c r="E26" i="225" s="1"/>
  <c r="J16" i="206"/>
  <c r="K16" i="206"/>
  <c r="L16" i="206"/>
  <c r="M16" i="206"/>
  <c r="N16" i="206"/>
  <c r="O16" i="206"/>
  <c r="F19" i="219"/>
  <c r="G19" i="219"/>
  <c r="H19" i="219"/>
  <c r="I19" i="219"/>
  <c r="J19" i="219"/>
  <c r="K19" i="219"/>
  <c r="K23" i="219" s="1"/>
  <c r="L19" i="219"/>
  <c r="M19" i="219"/>
  <c r="N19" i="219"/>
  <c r="O19" i="219"/>
  <c r="P19" i="219"/>
  <c r="E19" i="219"/>
  <c r="J12" i="206"/>
  <c r="K12" i="206"/>
  <c r="L12" i="206"/>
  <c r="M12" i="206"/>
  <c r="N12" i="206"/>
  <c r="O12" i="206"/>
  <c r="A7" i="205"/>
  <c r="A8" i="205"/>
  <c r="A9" i="205"/>
  <c r="A10" i="205"/>
  <c r="A13" i="205"/>
  <c r="A14" i="205"/>
  <c r="A15" i="205"/>
  <c r="A19" i="205"/>
  <c r="A11" i="205"/>
  <c r="A16" i="205"/>
  <c r="A18" i="205"/>
  <c r="A22" i="205"/>
  <c r="A23" i="205"/>
  <c r="A24" i="205"/>
  <c r="A25" i="205"/>
  <c r="A26" i="205"/>
  <c r="A27" i="205"/>
  <c r="A30" i="205"/>
  <c r="A31" i="205"/>
  <c r="A32" i="205"/>
  <c r="A35" i="205"/>
  <c r="A28" i="205"/>
  <c r="A33" i="205"/>
  <c r="A34" i="205"/>
  <c r="A36" i="205"/>
  <c r="A37" i="205"/>
  <c r="A38" i="205"/>
  <c r="A39" i="205"/>
  <c r="A40" i="205"/>
  <c r="A41" i="205"/>
  <c r="A44" i="205"/>
  <c r="A45" i="205"/>
  <c r="A46" i="205"/>
  <c r="A50" i="205"/>
  <c r="A42" i="205"/>
  <c r="A47" i="205"/>
  <c r="A49" i="205"/>
  <c r="A53" i="205"/>
  <c r="A54" i="205"/>
  <c r="A55" i="205"/>
  <c r="A56" i="205"/>
  <c r="A57" i="205"/>
  <c r="A58" i="205"/>
  <c r="A61" i="205"/>
  <c r="A62" i="205"/>
  <c r="A63" i="205"/>
  <c r="A66" i="205"/>
  <c r="A59" i="205"/>
  <c r="A64" i="205"/>
  <c r="A65" i="205"/>
  <c r="A67" i="205"/>
  <c r="A68" i="205"/>
  <c r="A69" i="205"/>
  <c r="A70" i="205"/>
  <c r="A71" i="205"/>
  <c r="A72" i="205"/>
  <c r="A75" i="205"/>
  <c r="A76" i="205"/>
  <c r="A77" i="205"/>
  <c r="A81" i="205"/>
  <c r="A73" i="205"/>
  <c r="A78" i="205"/>
  <c r="A80" i="205"/>
  <c r="A84" i="205"/>
  <c r="A85" i="205"/>
  <c r="A86" i="205"/>
  <c r="A87" i="205"/>
  <c r="A88" i="205"/>
  <c r="A89" i="205"/>
  <c r="A92" i="205"/>
  <c r="A93" i="205"/>
  <c r="A94" i="205"/>
  <c r="A97" i="205"/>
  <c r="A90" i="205"/>
  <c r="A95" i="205"/>
  <c r="A96" i="205"/>
  <c r="A98" i="205"/>
  <c r="A99" i="205"/>
  <c r="A100" i="205"/>
  <c r="A101" i="205"/>
  <c r="A102" i="205"/>
  <c r="A105" i="205"/>
  <c r="A106" i="205"/>
  <c r="A107" i="205"/>
  <c r="A108" i="205"/>
  <c r="A109" i="205"/>
  <c r="A110" i="205"/>
  <c r="A111" i="205"/>
  <c r="A114" i="205"/>
  <c r="A115" i="205"/>
  <c r="A116" i="205"/>
  <c r="A120" i="205"/>
  <c r="A112" i="205"/>
  <c r="A117" i="205"/>
  <c r="A119" i="205"/>
  <c r="A123" i="205"/>
  <c r="A124" i="205"/>
  <c r="A125" i="205"/>
  <c r="A126" i="205"/>
  <c r="A127" i="205"/>
  <c r="A128" i="205"/>
  <c r="A131" i="205"/>
  <c r="A132" i="205"/>
  <c r="A133" i="205"/>
  <c r="A137" i="205"/>
  <c r="A129" i="205"/>
  <c r="A134" i="205"/>
  <c r="A136" i="205"/>
  <c r="A140" i="205"/>
  <c r="A141" i="205"/>
  <c r="A142" i="205"/>
  <c r="A143" i="205"/>
  <c r="A144" i="205"/>
  <c r="A145" i="205"/>
  <c r="A148" i="205"/>
  <c r="A149" i="205"/>
  <c r="A150" i="205"/>
  <c r="A154" i="205"/>
  <c r="A146" i="205"/>
  <c r="A151" i="205"/>
  <c r="A153" i="205"/>
  <c r="A157" i="205"/>
  <c r="A158" i="205"/>
  <c r="A159" i="205"/>
  <c r="A160" i="205"/>
  <c r="A161" i="205"/>
  <c r="A162" i="205"/>
  <c r="A165" i="205"/>
  <c r="A166" i="205"/>
  <c r="A167" i="205"/>
  <c r="A170" i="205"/>
  <c r="A163" i="205"/>
  <c r="A168" i="205"/>
  <c r="A169" i="205"/>
  <c r="A171" i="205"/>
  <c r="A172" i="205"/>
  <c r="A173" i="205"/>
  <c r="A174" i="205"/>
  <c r="A176" i="205"/>
  <c r="A177" i="205"/>
  <c r="A190" i="205"/>
  <c r="A191" i="205"/>
  <c r="A192" i="205"/>
  <c r="A193" i="205"/>
  <c r="A194" i="205"/>
  <c r="A195" i="205"/>
  <c r="A197" i="205"/>
  <c r="A198" i="205"/>
  <c r="A199" i="205"/>
  <c r="A202" i="205"/>
  <c r="A196" i="205"/>
  <c r="A200" i="205"/>
  <c r="A201" i="205"/>
  <c r="A203" i="205"/>
  <c r="A204" i="205"/>
  <c r="A205" i="205"/>
  <c r="A206" i="205"/>
  <c r="A207" i="205"/>
  <c r="A208" i="205"/>
  <c r="A209" i="205"/>
  <c r="A210" i="205"/>
  <c r="A211" i="205"/>
  <c r="A212" i="205"/>
  <c r="G89" i="206"/>
  <c r="D153" i="206"/>
  <c r="E21" i="344" s="1"/>
  <c r="D156" i="206"/>
  <c r="E21" i="350" s="1"/>
  <c r="D162" i="206"/>
  <c r="E21" i="349" s="1"/>
  <c r="D158" i="206"/>
  <c r="E21" i="347" s="1"/>
  <c r="D29" i="206"/>
  <c r="E27" i="231" s="1"/>
  <c r="D25" i="206"/>
  <c r="D31" i="206"/>
  <c r="D28" i="206"/>
  <c r="D27" i="206"/>
  <c r="D24" i="206"/>
  <c r="E27" i="224" s="1"/>
  <c r="D23" i="206"/>
  <c r="D22" i="206"/>
  <c r="D21" i="206"/>
  <c r="D20" i="206"/>
  <c r="D15" i="206"/>
  <c r="D11" i="206"/>
  <c r="D17" i="206"/>
  <c r="E28" i="216" s="1"/>
  <c r="D14" i="206"/>
  <c r="D13" i="206"/>
  <c r="E28" i="214" s="1"/>
  <c r="D7" i="206"/>
  <c r="D8" i="206"/>
  <c r="D9" i="206"/>
  <c r="D10" i="206"/>
  <c r="D6" i="206"/>
  <c r="E161" i="207"/>
  <c r="F161" i="207"/>
  <c r="G161" i="207"/>
  <c r="H161" i="207"/>
  <c r="I161" i="207"/>
  <c r="J161" i="207"/>
  <c r="K161" i="207"/>
  <c r="L161" i="207"/>
  <c r="M161" i="207"/>
  <c r="N161" i="207"/>
  <c r="O161" i="207"/>
  <c r="D161" i="207"/>
  <c r="E206" i="205"/>
  <c r="F19" i="352" s="1"/>
  <c r="F206" i="205"/>
  <c r="G19" i="352" s="1"/>
  <c r="G206" i="205"/>
  <c r="H19" i="352" s="1"/>
  <c r="H206" i="205"/>
  <c r="I206" i="205"/>
  <c r="I207" i="205" s="1"/>
  <c r="J19" i="353" s="1"/>
  <c r="J206" i="205"/>
  <c r="K206" i="205"/>
  <c r="L206" i="205"/>
  <c r="M206" i="205"/>
  <c r="N206" i="205"/>
  <c r="O19" i="352" s="1"/>
  <c r="O206" i="205"/>
  <c r="D206" i="205"/>
  <c r="E207" i="205"/>
  <c r="F19" i="353" s="1"/>
  <c r="E168" i="206"/>
  <c r="F20" i="354" s="1"/>
  <c r="F168" i="206"/>
  <c r="G20" i="354" s="1"/>
  <c r="G168" i="206"/>
  <c r="H20" i="354" s="1"/>
  <c r="H168" i="206"/>
  <c r="I20" i="354" s="1"/>
  <c r="I22" i="354" s="1"/>
  <c r="I168" i="206"/>
  <c r="J20" i="354" s="1"/>
  <c r="J168" i="206"/>
  <c r="K20" i="354" s="1"/>
  <c r="K22" i="354" s="1"/>
  <c r="K168" i="206"/>
  <c r="L20" i="354" s="1"/>
  <c r="L22" i="354" s="1"/>
  <c r="L168" i="206"/>
  <c r="M20" i="354" s="1"/>
  <c r="M22" i="354" s="1"/>
  <c r="M168" i="206"/>
  <c r="N20" i="354" s="1"/>
  <c r="N22" i="354" s="1"/>
  <c r="N168" i="206"/>
  <c r="O20" i="354" s="1"/>
  <c r="O22" i="354" s="1"/>
  <c r="O168" i="206"/>
  <c r="P20" i="354" s="1"/>
  <c r="D168" i="206"/>
  <c r="E20" i="354" s="1"/>
  <c r="E21" i="357"/>
  <c r="E28" i="357" s="1"/>
  <c r="F19" i="357"/>
  <c r="G19" i="357"/>
  <c r="H19" i="357"/>
  <c r="I19" i="357"/>
  <c r="J19" i="357"/>
  <c r="K19" i="357"/>
  <c r="L19" i="357"/>
  <c r="M19" i="357"/>
  <c r="N19" i="357"/>
  <c r="O19" i="357"/>
  <c r="P19" i="357"/>
  <c r="F20" i="357"/>
  <c r="G20" i="357"/>
  <c r="H20" i="357"/>
  <c r="H22" i="357" s="1"/>
  <c r="I20" i="357"/>
  <c r="I22" i="357" s="1"/>
  <c r="J20" i="357"/>
  <c r="K20" i="357"/>
  <c r="L20" i="357"/>
  <c r="L22" i="357" s="1"/>
  <c r="M20" i="357"/>
  <c r="M22" i="357" s="1"/>
  <c r="N20" i="357"/>
  <c r="O20" i="357"/>
  <c r="O22" i="357" s="1"/>
  <c r="P20" i="357"/>
  <c r="P22" i="357" s="1"/>
  <c r="F21" i="357"/>
  <c r="G21" i="357"/>
  <c r="H21" i="357"/>
  <c r="I21" i="357"/>
  <c r="J21" i="357"/>
  <c r="K21" i="357"/>
  <c r="L21" i="357"/>
  <c r="M21" i="357"/>
  <c r="N21" i="357"/>
  <c r="O21" i="357"/>
  <c r="P21" i="357"/>
  <c r="E20" i="357"/>
  <c r="E27" i="357" s="1"/>
  <c r="E19" i="357"/>
  <c r="C1" i="357"/>
  <c r="B1" i="357"/>
  <c r="F19" i="356"/>
  <c r="G19" i="356"/>
  <c r="H19" i="356"/>
  <c r="I19" i="356"/>
  <c r="J19" i="356"/>
  <c r="K19" i="356"/>
  <c r="L19" i="356"/>
  <c r="M19" i="356"/>
  <c r="N19" i="356"/>
  <c r="O19" i="356"/>
  <c r="P19" i="356"/>
  <c r="F20" i="356"/>
  <c r="G20" i="356"/>
  <c r="H20" i="356"/>
  <c r="I20" i="356"/>
  <c r="J20" i="356"/>
  <c r="J22" i="356" s="1"/>
  <c r="K20" i="356"/>
  <c r="L20" i="356"/>
  <c r="M20" i="356"/>
  <c r="M22" i="356" s="1"/>
  <c r="N20" i="356"/>
  <c r="O20" i="356"/>
  <c r="P20" i="356"/>
  <c r="F21" i="356"/>
  <c r="G21" i="356"/>
  <c r="H21" i="356"/>
  <c r="I21" i="356"/>
  <c r="J21" i="356"/>
  <c r="K21" i="356"/>
  <c r="L21" i="356"/>
  <c r="M21" i="356"/>
  <c r="N21" i="356"/>
  <c r="O21" i="356"/>
  <c r="P21" i="356"/>
  <c r="E21" i="356"/>
  <c r="E20" i="356"/>
  <c r="E19" i="356"/>
  <c r="C1" i="356"/>
  <c r="B1" i="356"/>
  <c r="F19" i="355"/>
  <c r="G19" i="355"/>
  <c r="H19" i="355"/>
  <c r="I19" i="355"/>
  <c r="J19" i="355"/>
  <c r="K19" i="355"/>
  <c r="L19" i="355"/>
  <c r="M19" i="355"/>
  <c r="N19" i="355"/>
  <c r="O19" i="355"/>
  <c r="P19" i="355"/>
  <c r="F20" i="355"/>
  <c r="G20" i="355"/>
  <c r="H20" i="355"/>
  <c r="I20" i="355"/>
  <c r="I22" i="355" s="1"/>
  <c r="J20" i="355"/>
  <c r="K20" i="355"/>
  <c r="L20" i="355"/>
  <c r="L22" i="355" s="1"/>
  <c r="M20" i="355"/>
  <c r="N20" i="355"/>
  <c r="O20" i="355"/>
  <c r="O22" i="355" s="1"/>
  <c r="P20" i="355"/>
  <c r="P22" i="355" s="1"/>
  <c r="F21" i="355"/>
  <c r="G21" i="355"/>
  <c r="H21" i="355"/>
  <c r="I21" i="355"/>
  <c r="J21" i="355"/>
  <c r="K21" i="355"/>
  <c r="L21" i="355"/>
  <c r="M21" i="355"/>
  <c r="N21" i="355"/>
  <c r="O21" i="355"/>
  <c r="P21" i="355"/>
  <c r="E21" i="355"/>
  <c r="E20" i="355"/>
  <c r="E19" i="355"/>
  <c r="C1" i="355"/>
  <c r="B1" i="355"/>
  <c r="C1" i="354"/>
  <c r="B1" i="354"/>
  <c r="F19" i="354"/>
  <c r="G19" i="354"/>
  <c r="H19" i="354"/>
  <c r="I19" i="354"/>
  <c r="J19" i="354"/>
  <c r="K19" i="354"/>
  <c r="L19" i="354"/>
  <c r="M19" i="354"/>
  <c r="N19" i="354"/>
  <c r="O19" i="354"/>
  <c r="P19" i="354"/>
  <c r="F21" i="354"/>
  <c r="G21" i="354"/>
  <c r="H21" i="354"/>
  <c r="I21" i="354"/>
  <c r="J21" i="354"/>
  <c r="K21" i="354"/>
  <c r="L21" i="354"/>
  <c r="M21" i="354"/>
  <c r="N21" i="354"/>
  <c r="O21" i="354"/>
  <c r="P21" i="354"/>
  <c r="E21" i="354"/>
  <c r="E19" i="354"/>
  <c r="F20" i="353"/>
  <c r="G20" i="353"/>
  <c r="G22" i="353" s="1"/>
  <c r="H20" i="353"/>
  <c r="H22" i="353" s="1"/>
  <c r="I20" i="353"/>
  <c r="I22" i="353" s="1"/>
  <c r="J20" i="353"/>
  <c r="K20" i="353"/>
  <c r="K22" i="353" s="1"/>
  <c r="L20" i="353"/>
  <c r="L22" i="353" s="1"/>
  <c r="M20" i="353"/>
  <c r="M22" i="353" s="1"/>
  <c r="N20" i="353"/>
  <c r="O20" i="353"/>
  <c r="O22" i="353" s="1"/>
  <c r="P20" i="353"/>
  <c r="P22" i="353" s="1"/>
  <c r="F21" i="353"/>
  <c r="G21" i="353"/>
  <c r="H21" i="353"/>
  <c r="I21" i="353"/>
  <c r="J21" i="353"/>
  <c r="K21" i="353"/>
  <c r="L21" i="353"/>
  <c r="M21" i="353"/>
  <c r="N21" i="353"/>
  <c r="O21" i="353"/>
  <c r="P21" i="353"/>
  <c r="E21" i="353"/>
  <c r="E28" i="353" s="1"/>
  <c r="E20" i="353"/>
  <c r="C1" i="353"/>
  <c r="B1" i="353"/>
  <c r="F20" i="352"/>
  <c r="G20" i="352"/>
  <c r="H20" i="352"/>
  <c r="H22" i="352" s="1"/>
  <c r="I20" i="352"/>
  <c r="I22" i="352" s="1"/>
  <c r="J20" i="352"/>
  <c r="K20" i="352"/>
  <c r="L20" i="352"/>
  <c r="L22" i="352" s="1"/>
  <c r="M20" i="352"/>
  <c r="N20" i="352"/>
  <c r="O20" i="352"/>
  <c r="P20" i="352"/>
  <c r="P22" i="352" s="1"/>
  <c r="F21" i="352"/>
  <c r="G21" i="352"/>
  <c r="H21" i="352"/>
  <c r="I21" i="352"/>
  <c r="J21" i="352"/>
  <c r="K21" i="352"/>
  <c r="L21" i="352"/>
  <c r="M21" i="352"/>
  <c r="N21" i="352"/>
  <c r="O21" i="352"/>
  <c r="P21" i="352"/>
  <c r="E21" i="352"/>
  <c r="E28" i="352" s="1"/>
  <c r="E20" i="352"/>
  <c r="C1" i="352"/>
  <c r="B1" i="352"/>
  <c r="A170" i="206"/>
  <c r="B170" i="206"/>
  <c r="C170" i="206"/>
  <c r="A171" i="206"/>
  <c r="B171" i="206"/>
  <c r="C171" i="206"/>
  <c r="A172" i="206"/>
  <c r="B172" i="206"/>
  <c r="C172" i="206"/>
  <c r="A167" i="207"/>
  <c r="B167" i="207"/>
  <c r="C167" i="207"/>
  <c r="A168" i="207"/>
  <c r="B168" i="207"/>
  <c r="C168" i="207"/>
  <c r="A169" i="207"/>
  <c r="B169" i="207"/>
  <c r="C169" i="207"/>
  <c r="B210" i="205"/>
  <c r="C210" i="205"/>
  <c r="B211" i="205"/>
  <c r="C211" i="205"/>
  <c r="B212" i="205"/>
  <c r="C212" i="205"/>
  <c r="A165" i="206"/>
  <c r="A166" i="206"/>
  <c r="B166" i="206"/>
  <c r="C166" i="206"/>
  <c r="A167" i="206"/>
  <c r="B167" i="206"/>
  <c r="C167" i="206"/>
  <c r="A168" i="206"/>
  <c r="B168" i="206"/>
  <c r="C168" i="206"/>
  <c r="A169" i="206"/>
  <c r="A162" i="207"/>
  <c r="A163" i="207"/>
  <c r="B163" i="207"/>
  <c r="C163" i="207"/>
  <c r="A164" i="207"/>
  <c r="B164" i="207"/>
  <c r="C164" i="207"/>
  <c r="A165" i="207"/>
  <c r="B165" i="207"/>
  <c r="C165" i="207"/>
  <c r="A166" i="207"/>
  <c r="B206" i="205"/>
  <c r="C206" i="205"/>
  <c r="B207" i="205"/>
  <c r="C207" i="205"/>
  <c r="B208" i="205"/>
  <c r="C208" i="205"/>
  <c r="D30" i="357"/>
  <c r="D29" i="357"/>
  <c r="D28" i="357"/>
  <c r="D27" i="357"/>
  <c r="D26" i="357"/>
  <c r="P25" i="357"/>
  <c r="O25" i="357"/>
  <c r="N25" i="357"/>
  <c r="M25" i="357"/>
  <c r="L25" i="357"/>
  <c r="K25" i="357"/>
  <c r="J25" i="357"/>
  <c r="I25" i="357"/>
  <c r="H25" i="357"/>
  <c r="G25" i="357"/>
  <c r="F25" i="357"/>
  <c r="E25" i="357"/>
  <c r="I1" i="357"/>
  <c r="D30" i="356"/>
  <c r="D29" i="356"/>
  <c r="D28" i="356"/>
  <c r="D27" i="356"/>
  <c r="D26" i="356"/>
  <c r="P25" i="356"/>
  <c r="O25" i="356"/>
  <c r="N25" i="356"/>
  <c r="M25" i="356"/>
  <c r="L25" i="356"/>
  <c r="K25" i="356"/>
  <c r="J25" i="356"/>
  <c r="I25" i="356"/>
  <c r="H25" i="356"/>
  <c r="G25" i="356"/>
  <c r="F25" i="356"/>
  <c r="E25" i="356"/>
  <c r="I1" i="356"/>
  <c r="D30" i="355"/>
  <c r="D29" i="355"/>
  <c r="D28" i="355"/>
  <c r="D27" i="355"/>
  <c r="D26" i="355"/>
  <c r="P25" i="355"/>
  <c r="O25" i="355"/>
  <c r="N25" i="355"/>
  <c r="M25" i="355"/>
  <c r="L25" i="355"/>
  <c r="K25" i="355"/>
  <c r="J25" i="355"/>
  <c r="I25" i="355"/>
  <c r="H25" i="355"/>
  <c r="G25" i="355"/>
  <c r="F25" i="355"/>
  <c r="E25" i="355"/>
  <c r="I1" i="355"/>
  <c r="D30" i="354"/>
  <c r="D29" i="354"/>
  <c r="D28" i="354"/>
  <c r="D27" i="354"/>
  <c r="D26" i="354"/>
  <c r="P25" i="354"/>
  <c r="O25" i="354"/>
  <c r="N25" i="354"/>
  <c r="M25" i="354"/>
  <c r="L25" i="354"/>
  <c r="K25" i="354"/>
  <c r="J25" i="354"/>
  <c r="I25" i="354"/>
  <c r="H25" i="354"/>
  <c r="G25" i="354"/>
  <c r="F25" i="354"/>
  <c r="E25" i="354"/>
  <c r="I1" i="354"/>
  <c r="D30" i="353"/>
  <c r="D29" i="353"/>
  <c r="D28" i="353"/>
  <c r="D27" i="353"/>
  <c r="D26" i="353"/>
  <c r="P25" i="353"/>
  <c r="O25" i="353"/>
  <c r="N25" i="353"/>
  <c r="M25" i="353"/>
  <c r="L25" i="353"/>
  <c r="K25" i="353"/>
  <c r="J25" i="353"/>
  <c r="I25" i="353"/>
  <c r="H25" i="353"/>
  <c r="G25" i="353"/>
  <c r="F25" i="353"/>
  <c r="E25" i="353"/>
  <c r="I1" i="353"/>
  <c r="D30" i="352"/>
  <c r="D29" i="352"/>
  <c r="D28" i="352"/>
  <c r="D27" i="352"/>
  <c r="D26" i="352"/>
  <c r="P25" i="352"/>
  <c r="O25" i="352"/>
  <c r="N25" i="352"/>
  <c r="M25" i="352"/>
  <c r="L25" i="352"/>
  <c r="K25" i="352"/>
  <c r="J25" i="352"/>
  <c r="I25" i="352"/>
  <c r="H25" i="352"/>
  <c r="G25" i="352"/>
  <c r="F25" i="352"/>
  <c r="E25" i="352"/>
  <c r="I1" i="352"/>
  <c r="K22" i="231"/>
  <c r="F27" i="248"/>
  <c r="F27" i="249"/>
  <c r="F27" i="233"/>
  <c r="E27" i="290"/>
  <c r="H118" i="34"/>
  <c r="H117" i="34"/>
  <c r="H116" i="34"/>
  <c r="H115" i="34"/>
  <c r="H114" i="34"/>
  <c r="I27" i="279"/>
  <c r="M27" i="279"/>
  <c r="E27" i="279"/>
  <c r="G27" i="278"/>
  <c r="I27" i="278"/>
  <c r="M27" i="278"/>
  <c r="N27" i="278"/>
  <c r="E27" i="278"/>
  <c r="I27" i="277"/>
  <c r="M27" i="277"/>
  <c r="P27" i="277"/>
  <c r="E27" i="277"/>
  <c r="I27" i="276"/>
  <c r="J22" i="276"/>
  <c r="M27" i="276"/>
  <c r="E27" i="276"/>
  <c r="I27" i="275"/>
  <c r="L27" i="275"/>
  <c r="M27" i="275"/>
  <c r="N27" i="275"/>
  <c r="P27" i="275"/>
  <c r="E27" i="275"/>
  <c r="I27" i="273"/>
  <c r="K27" i="273"/>
  <c r="N27" i="273"/>
  <c r="F27" i="272"/>
  <c r="G27" i="272"/>
  <c r="I27" i="272"/>
  <c r="O27" i="272"/>
  <c r="P27" i="272"/>
  <c r="H27" i="271"/>
  <c r="I27" i="271"/>
  <c r="G27" i="270"/>
  <c r="H27" i="270"/>
  <c r="I27" i="270"/>
  <c r="K27" i="270"/>
  <c r="F27" i="269"/>
  <c r="G27" i="269"/>
  <c r="H27" i="269"/>
  <c r="I27" i="269"/>
  <c r="L27" i="269"/>
  <c r="N27" i="269"/>
  <c r="P27" i="269"/>
  <c r="G27" i="267"/>
  <c r="P27" i="267"/>
  <c r="F27" i="266"/>
  <c r="L27" i="266"/>
  <c r="M27" i="266"/>
  <c r="F27" i="265"/>
  <c r="G27" i="265"/>
  <c r="H27" i="265"/>
  <c r="L22" i="265"/>
  <c r="N27" i="265"/>
  <c r="O27" i="265"/>
  <c r="F27" i="264"/>
  <c r="H27" i="264"/>
  <c r="L27" i="264"/>
  <c r="N27" i="264"/>
  <c r="G27" i="263"/>
  <c r="H27" i="263"/>
  <c r="I27" i="263"/>
  <c r="N27" i="263"/>
  <c r="L27" i="261"/>
  <c r="N27" i="261"/>
  <c r="H27" i="260"/>
  <c r="L27" i="260"/>
  <c r="N27" i="260"/>
  <c r="G27" i="259"/>
  <c r="H27" i="259"/>
  <c r="I27" i="259"/>
  <c r="M27" i="259"/>
  <c r="F27" i="258"/>
  <c r="H27" i="258"/>
  <c r="K27" i="258"/>
  <c r="P27" i="258"/>
  <c r="E27" i="258"/>
  <c r="G27" i="257"/>
  <c r="I27" i="257"/>
  <c r="J27" i="257"/>
  <c r="K27" i="257"/>
  <c r="M27" i="257"/>
  <c r="E27" i="257"/>
  <c r="L27" i="255"/>
  <c r="N27" i="255"/>
  <c r="P22" i="255"/>
  <c r="F27" i="254"/>
  <c r="G27" i="254"/>
  <c r="M27" i="254"/>
  <c r="N27" i="254"/>
  <c r="O27" i="254"/>
  <c r="E27" i="254"/>
  <c r="F27" i="253"/>
  <c r="K27" i="253"/>
  <c r="M27" i="253"/>
  <c r="N27" i="253"/>
  <c r="E27" i="253"/>
  <c r="K27" i="252"/>
  <c r="M27" i="252"/>
  <c r="E27" i="252"/>
  <c r="L27" i="251"/>
  <c r="M27" i="251"/>
  <c r="N27" i="251"/>
  <c r="P22" i="251"/>
  <c r="K27" i="249"/>
  <c r="L22" i="249"/>
  <c r="M27" i="249"/>
  <c r="O27" i="249"/>
  <c r="P22" i="249"/>
  <c r="E27" i="249"/>
  <c r="K27" i="248"/>
  <c r="M27" i="248"/>
  <c r="O27" i="248"/>
  <c r="E27" i="248"/>
  <c r="G27" i="247"/>
  <c r="L27" i="247"/>
  <c r="N22" i="247"/>
  <c r="E27" i="247"/>
  <c r="F27" i="246"/>
  <c r="G27" i="246"/>
  <c r="M27" i="246"/>
  <c r="E27" i="246"/>
  <c r="M22" i="245"/>
  <c r="N27" i="245"/>
  <c r="O27" i="245"/>
  <c r="K27" i="243"/>
  <c r="L27" i="243"/>
  <c r="O27" i="243"/>
  <c r="P27" i="243"/>
  <c r="E27" i="243"/>
  <c r="K27" i="242"/>
  <c r="E27" i="242"/>
  <c r="F27" i="241"/>
  <c r="L27" i="241"/>
  <c r="P27" i="241"/>
  <c r="E27" i="241"/>
  <c r="F27" i="240"/>
  <c r="L27" i="240"/>
  <c r="M27" i="240"/>
  <c r="O27" i="240"/>
  <c r="P27" i="240"/>
  <c r="E27" i="240"/>
  <c r="F27" i="239"/>
  <c r="K27" i="239"/>
  <c r="M27" i="239"/>
  <c r="P27" i="239"/>
  <c r="E27" i="239"/>
  <c r="P27" i="237"/>
  <c r="E27" i="237"/>
  <c r="F27" i="236"/>
  <c r="L27" i="236"/>
  <c r="N27" i="236"/>
  <c r="P27" i="236"/>
  <c r="E27" i="236"/>
  <c r="F27" i="235"/>
  <c r="L27" i="235"/>
  <c r="M27" i="235"/>
  <c r="N27" i="235"/>
  <c r="P27" i="235"/>
  <c r="F27" i="234"/>
  <c r="L27" i="234"/>
  <c r="M27" i="234"/>
  <c r="P27" i="234"/>
  <c r="E27" i="234"/>
  <c r="K27" i="233"/>
  <c r="M27" i="233"/>
  <c r="O27" i="233"/>
  <c r="P27" i="233"/>
  <c r="E27" i="233"/>
  <c r="L22" i="231"/>
  <c r="M22" i="231"/>
  <c r="O22" i="231"/>
  <c r="P22" i="231"/>
  <c r="P22" i="230"/>
  <c r="O22" i="228"/>
  <c r="L22" i="227"/>
  <c r="M22" i="227"/>
  <c r="N22" i="227"/>
  <c r="O22" i="227"/>
  <c r="P22" i="227"/>
  <c r="E28" i="227"/>
  <c r="K22" i="226"/>
  <c r="L22" i="226"/>
  <c r="N22" i="226"/>
  <c r="O22" i="226"/>
  <c r="P22" i="226"/>
  <c r="E22" i="226"/>
  <c r="E29" i="226" s="1"/>
  <c r="K22" i="224"/>
  <c r="L22" i="224"/>
  <c r="N22" i="224"/>
  <c r="O22" i="224"/>
  <c r="P22" i="224"/>
  <c r="K22" i="223"/>
  <c r="O22" i="223"/>
  <c r="K22" i="222"/>
  <c r="O22" i="221"/>
  <c r="P22" i="221"/>
  <c r="M22" i="352"/>
  <c r="G27" i="253"/>
  <c r="G27" i="252"/>
  <c r="G27" i="245"/>
  <c r="F27" i="245"/>
  <c r="F27" i="243"/>
  <c r="H27" i="248"/>
  <c r="H27" i="247"/>
  <c r="H27" i="246"/>
  <c r="H27" i="249"/>
  <c r="H27" i="245"/>
  <c r="G27" i="243"/>
  <c r="G27" i="240"/>
  <c r="G27" i="239"/>
  <c r="G27" i="237"/>
  <c r="G27" i="236"/>
  <c r="G27" i="234"/>
  <c r="F27" i="237"/>
  <c r="G27" i="233"/>
  <c r="H27" i="241"/>
  <c r="H27" i="240"/>
  <c r="H27" i="243"/>
  <c r="H27" i="239"/>
  <c r="H27" i="234"/>
  <c r="H27" i="233"/>
  <c r="H27" i="237"/>
  <c r="H27" i="235"/>
  <c r="F19" i="351"/>
  <c r="G19" i="351"/>
  <c r="H19" i="351"/>
  <c r="I19" i="351"/>
  <c r="J19" i="351"/>
  <c r="K19" i="351"/>
  <c r="L19" i="351"/>
  <c r="L22" i="351" s="1"/>
  <c r="M19" i="351"/>
  <c r="N19" i="351"/>
  <c r="O19" i="351"/>
  <c r="P19" i="351"/>
  <c r="H214" i="34"/>
  <c r="K22" i="351"/>
  <c r="O22" i="351"/>
  <c r="E27" i="351"/>
  <c r="E19" i="351"/>
  <c r="C1" i="351"/>
  <c r="B1" i="351"/>
  <c r="D30" i="351"/>
  <c r="D29" i="351"/>
  <c r="D28" i="351"/>
  <c r="D27" i="351"/>
  <c r="D26" i="351"/>
  <c r="P25" i="351"/>
  <c r="O25" i="351"/>
  <c r="N25" i="351"/>
  <c r="M25" i="351"/>
  <c r="L25" i="351"/>
  <c r="K25" i="351"/>
  <c r="J25" i="351"/>
  <c r="I25" i="351"/>
  <c r="H25" i="351"/>
  <c r="G25" i="351"/>
  <c r="F25" i="351"/>
  <c r="E25" i="351"/>
  <c r="I1" i="351"/>
  <c r="F19" i="350"/>
  <c r="G19" i="350"/>
  <c r="H19" i="350"/>
  <c r="I19" i="350"/>
  <c r="J19" i="350"/>
  <c r="K19" i="350"/>
  <c r="L19" i="350"/>
  <c r="L22" i="350" s="1"/>
  <c r="M19" i="350"/>
  <c r="N19" i="350"/>
  <c r="O19" i="350"/>
  <c r="P19" i="350"/>
  <c r="K22" i="350"/>
  <c r="M22" i="350"/>
  <c r="E19" i="350"/>
  <c r="C1" i="350"/>
  <c r="B1" i="350"/>
  <c r="D30" i="350"/>
  <c r="D29" i="350"/>
  <c r="D28" i="350"/>
  <c r="D27" i="350"/>
  <c r="D26" i="350"/>
  <c r="P25" i="350"/>
  <c r="O25" i="350"/>
  <c r="N25" i="350"/>
  <c r="M25" i="350"/>
  <c r="L25" i="350"/>
  <c r="K25" i="350"/>
  <c r="J25" i="350"/>
  <c r="I25" i="350"/>
  <c r="H25" i="350"/>
  <c r="G25" i="350"/>
  <c r="F25" i="350"/>
  <c r="E25" i="350"/>
  <c r="I1" i="350"/>
  <c r="F19" i="349"/>
  <c r="G19" i="349"/>
  <c r="H19" i="349"/>
  <c r="I19" i="349"/>
  <c r="J19" i="349"/>
  <c r="K19" i="349"/>
  <c r="K22" i="349" s="1"/>
  <c r="L19" i="349"/>
  <c r="M19" i="349"/>
  <c r="N19" i="349"/>
  <c r="O19" i="349"/>
  <c r="P19" i="349"/>
  <c r="E28" i="349"/>
  <c r="E19" i="349"/>
  <c r="C1" i="349"/>
  <c r="B1" i="349"/>
  <c r="D30" i="349"/>
  <c r="D29" i="349"/>
  <c r="D28" i="349"/>
  <c r="D27" i="349"/>
  <c r="D26" i="349"/>
  <c r="P25" i="349"/>
  <c r="O25" i="349"/>
  <c r="N25" i="349"/>
  <c r="M25" i="349"/>
  <c r="L25" i="349"/>
  <c r="K25" i="349"/>
  <c r="J25" i="349"/>
  <c r="I25" i="349"/>
  <c r="H25" i="349"/>
  <c r="G25" i="349"/>
  <c r="F25" i="349"/>
  <c r="E25" i="349"/>
  <c r="I1" i="349"/>
  <c r="F19" i="348"/>
  <c r="G19" i="348"/>
  <c r="H19" i="348"/>
  <c r="I19" i="348"/>
  <c r="J19" i="348"/>
  <c r="K19" i="348"/>
  <c r="L19" i="348"/>
  <c r="M19" i="348"/>
  <c r="N19" i="348"/>
  <c r="O19" i="348"/>
  <c r="P19" i="348"/>
  <c r="M22" i="348"/>
  <c r="O22" i="348"/>
  <c r="P22" i="348"/>
  <c r="E27" i="348"/>
  <c r="E19" i="348"/>
  <c r="C1" i="348"/>
  <c r="B1" i="348"/>
  <c r="D30" i="348"/>
  <c r="D29" i="348"/>
  <c r="D28" i="348"/>
  <c r="D27" i="348"/>
  <c r="D26" i="348"/>
  <c r="P25" i="348"/>
  <c r="O25" i="348"/>
  <c r="N25" i="348"/>
  <c r="M25" i="348"/>
  <c r="L25" i="348"/>
  <c r="K25" i="348"/>
  <c r="J25" i="348"/>
  <c r="I25" i="348"/>
  <c r="H25" i="348"/>
  <c r="G25" i="348"/>
  <c r="F25" i="348"/>
  <c r="E25" i="348"/>
  <c r="I1" i="348"/>
  <c r="F19" i="347"/>
  <c r="G19" i="347"/>
  <c r="H19" i="347"/>
  <c r="I19" i="347"/>
  <c r="J19" i="347"/>
  <c r="K19" i="347"/>
  <c r="L19" i="347"/>
  <c r="L22" i="347" s="1"/>
  <c r="M19" i="347"/>
  <c r="M22" i="347" s="1"/>
  <c r="N19" i="347"/>
  <c r="N22" i="347" s="1"/>
  <c r="O19" i="347"/>
  <c r="P19" i="347"/>
  <c r="P22" i="347"/>
  <c r="E19" i="347"/>
  <c r="C1" i="347"/>
  <c r="B1" i="347"/>
  <c r="D30" i="347"/>
  <c r="D29" i="347"/>
  <c r="D28" i="347"/>
  <c r="D27" i="347"/>
  <c r="D26" i="347"/>
  <c r="P25" i="347"/>
  <c r="O25" i="347"/>
  <c r="N25" i="347"/>
  <c r="M25" i="347"/>
  <c r="L25" i="347"/>
  <c r="K25" i="347"/>
  <c r="J25" i="347"/>
  <c r="I25" i="347"/>
  <c r="H25" i="347"/>
  <c r="G25" i="347"/>
  <c r="F25" i="347"/>
  <c r="E25" i="347"/>
  <c r="I1" i="347"/>
  <c r="M22" i="346"/>
  <c r="N22" i="346"/>
  <c r="O22" i="346"/>
  <c r="P22" i="346"/>
  <c r="E28" i="346"/>
  <c r="C1" i="346"/>
  <c r="B1" i="346"/>
  <c r="D30" i="346"/>
  <c r="D29" i="346"/>
  <c r="D28" i="346"/>
  <c r="D27" i="346"/>
  <c r="D26" i="346"/>
  <c r="P25" i="346"/>
  <c r="O25" i="346"/>
  <c r="N25" i="346"/>
  <c r="M25" i="346"/>
  <c r="L25" i="346"/>
  <c r="K25" i="346"/>
  <c r="J25" i="346"/>
  <c r="I25" i="346"/>
  <c r="H25" i="346"/>
  <c r="G25" i="346"/>
  <c r="F25" i="346"/>
  <c r="E25" i="346"/>
  <c r="I1" i="346"/>
  <c r="F19" i="345"/>
  <c r="G19" i="345"/>
  <c r="J22" i="345"/>
  <c r="L22" i="345"/>
  <c r="M22" i="345"/>
  <c r="N22" i="345"/>
  <c r="O22" i="345"/>
  <c r="P22" i="345"/>
  <c r="E28" i="345"/>
  <c r="E27" i="345"/>
  <c r="E19" i="345"/>
  <c r="C1" i="345"/>
  <c r="B1" i="345"/>
  <c r="D30" i="345"/>
  <c r="D29" i="345"/>
  <c r="D28" i="345"/>
  <c r="D27" i="345"/>
  <c r="D26" i="345"/>
  <c r="P25" i="345"/>
  <c r="O25" i="345"/>
  <c r="N25" i="345"/>
  <c r="M25" i="345"/>
  <c r="L25" i="345"/>
  <c r="K25" i="345"/>
  <c r="J25" i="345"/>
  <c r="I25" i="345"/>
  <c r="H25" i="345"/>
  <c r="G25" i="345"/>
  <c r="F25" i="345"/>
  <c r="E25" i="345"/>
  <c r="I1" i="345"/>
  <c r="F19" i="344"/>
  <c r="G19" i="344"/>
  <c r="H19" i="344"/>
  <c r="I19" i="344"/>
  <c r="J19" i="344"/>
  <c r="K19" i="344"/>
  <c r="L19" i="344"/>
  <c r="L22" i="344" s="1"/>
  <c r="M19" i="344"/>
  <c r="M22" i="344" s="1"/>
  <c r="N19" i="344"/>
  <c r="O19" i="344"/>
  <c r="P19" i="344"/>
  <c r="H204" i="34"/>
  <c r="K22" i="344"/>
  <c r="O22" i="344"/>
  <c r="E19" i="344"/>
  <c r="C1" i="344"/>
  <c r="B1" i="344"/>
  <c r="D30" i="344"/>
  <c r="D29" i="344"/>
  <c r="D28" i="344"/>
  <c r="D27" i="344"/>
  <c r="D26" i="344"/>
  <c r="P25" i="344"/>
  <c r="O25" i="344"/>
  <c r="N25" i="344"/>
  <c r="M25" i="344"/>
  <c r="L25" i="344"/>
  <c r="K25" i="344"/>
  <c r="J25" i="344"/>
  <c r="I25" i="344"/>
  <c r="H25" i="344"/>
  <c r="G25" i="344"/>
  <c r="F25" i="344"/>
  <c r="E25" i="344"/>
  <c r="I1" i="344"/>
  <c r="J22" i="343"/>
  <c r="L22" i="343"/>
  <c r="M22" i="343"/>
  <c r="N22" i="343"/>
  <c r="O22" i="343"/>
  <c r="E28" i="343"/>
  <c r="E27" i="343"/>
  <c r="E19" i="343"/>
  <c r="C1" i="343"/>
  <c r="B1" i="343"/>
  <c r="D30" i="343"/>
  <c r="D29" i="343"/>
  <c r="D28" i="343"/>
  <c r="D27" i="343"/>
  <c r="D26" i="343"/>
  <c r="P25" i="343"/>
  <c r="O25" i="343"/>
  <c r="N25" i="343"/>
  <c r="M25" i="343"/>
  <c r="L25" i="343"/>
  <c r="K25" i="343"/>
  <c r="J25" i="343"/>
  <c r="I25" i="343"/>
  <c r="H25" i="343"/>
  <c r="G25" i="343"/>
  <c r="F25" i="343"/>
  <c r="E25" i="343"/>
  <c r="I1" i="343"/>
  <c r="F19" i="342"/>
  <c r="G19" i="342"/>
  <c r="H19" i="342"/>
  <c r="I19" i="342"/>
  <c r="J19" i="342"/>
  <c r="K19" i="342"/>
  <c r="K22" i="342" s="1"/>
  <c r="L19" i="342"/>
  <c r="L22" i="342" s="1"/>
  <c r="M19" i="342"/>
  <c r="M22" i="342" s="1"/>
  <c r="N19" i="342"/>
  <c r="N22" i="342" s="1"/>
  <c r="O19" i="342"/>
  <c r="P19" i="342"/>
  <c r="O22" i="342"/>
  <c r="P22" i="342"/>
  <c r="E19" i="342"/>
  <c r="C1" i="342"/>
  <c r="B1" i="342"/>
  <c r="D30" i="342"/>
  <c r="D29" i="342"/>
  <c r="D28" i="342"/>
  <c r="D27" i="342"/>
  <c r="D26" i="342"/>
  <c r="P25" i="342"/>
  <c r="O25" i="342"/>
  <c r="N25" i="342"/>
  <c r="M25" i="342"/>
  <c r="L25" i="342"/>
  <c r="K25" i="342"/>
  <c r="J25" i="342"/>
  <c r="I25" i="342"/>
  <c r="H25" i="342"/>
  <c r="G25" i="342"/>
  <c r="F25" i="342"/>
  <c r="E25" i="342"/>
  <c r="I1" i="342"/>
  <c r="C1" i="341"/>
  <c r="B1" i="341"/>
  <c r="D30" i="341"/>
  <c r="D29" i="341"/>
  <c r="D28" i="341"/>
  <c r="D27" i="341"/>
  <c r="D26" i="341"/>
  <c r="P25" i="341"/>
  <c r="O25" i="341"/>
  <c r="N25" i="341"/>
  <c r="M25" i="341"/>
  <c r="L25" i="341"/>
  <c r="K25" i="341"/>
  <c r="J25" i="341"/>
  <c r="I25" i="341"/>
  <c r="H25" i="341"/>
  <c r="G25" i="341"/>
  <c r="F25" i="341"/>
  <c r="E25" i="341"/>
  <c r="I1" i="341"/>
  <c r="C1" i="340"/>
  <c r="B1" i="340"/>
  <c r="D30" i="340"/>
  <c r="D29" i="340"/>
  <c r="D28" i="340"/>
  <c r="D27" i="340"/>
  <c r="D26" i="340"/>
  <c r="P25" i="340"/>
  <c r="O25" i="340"/>
  <c r="N25" i="340"/>
  <c r="M25" i="340"/>
  <c r="L25" i="340"/>
  <c r="K25" i="340"/>
  <c r="J25" i="340"/>
  <c r="I25" i="340"/>
  <c r="H25" i="340"/>
  <c r="G25" i="340"/>
  <c r="F25" i="340"/>
  <c r="E25" i="340"/>
  <c r="I1" i="340"/>
  <c r="B1" i="339"/>
  <c r="C1" i="339"/>
  <c r="D30" i="339"/>
  <c r="D29" i="339"/>
  <c r="D28" i="339"/>
  <c r="D27" i="339"/>
  <c r="D26" i="339"/>
  <c r="P25" i="339"/>
  <c r="O25" i="339"/>
  <c r="N25" i="339"/>
  <c r="M25" i="339"/>
  <c r="L25" i="339"/>
  <c r="K25" i="339"/>
  <c r="J25" i="339"/>
  <c r="I25" i="339"/>
  <c r="H25" i="339"/>
  <c r="G25" i="339"/>
  <c r="F25" i="339"/>
  <c r="E25" i="339"/>
  <c r="I1" i="339"/>
  <c r="C1" i="338"/>
  <c r="B1" i="338"/>
  <c r="D30" i="338"/>
  <c r="D29" i="338"/>
  <c r="D28" i="338"/>
  <c r="D27" i="338"/>
  <c r="D26" i="338"/>
  <c r="P25" i="338"/>
  <c r="O25" i="338"/>
  <c r="N25" i="338"/>
  <c r="M25" i="338"/>
  <c r="L25" i="338"/>
  <c r="K25" i="338"/>
  <c r="J25" i="338"/>
  <c r="I25" i="338"/>
  <c r="H25" i="338"/>
  <c r="G25" i="338"/>
  <c r="F25" i="338"/>
  <c r="E25" i="338"/>
  <c r="I1" i="338"/>
  <c r="C1" i="337"/>
  <c r="B1" i="337"/>
  <c r="D30" i="337"/>
  <c r="D29" i="337"/>
  <c r="D28" i="337"/>
  <c r="D27" i="337"/>
  <c r="D26" i="337"/>
  <c r="P25" i="337"/>
  <c r="O25" i="337"/>
  <c r="N25" i="337"/>
  <c r="M25" i="337"/>
  <c r="L25" i="337"/>
  <c r="K25" i="337"/>
  <c r="J25" i="337"/>
  <c r="I25" i="337"/>
  <c r="H25" i="337"/>
  <c r="G25" i="337"/>
  <c r="F25" i="337"/>
  <c r="E25" i="337"/>
  <c r="I1" i="337"/>
  <c r="C1" i="336"/>
  <c r="B1" i="336"/>
  <c r="D30" i="336"/>
  <c r="D29" i="336"/>
  <c r="D28" i="336"/>
  <c r="D27" i="336"/>
  <c r="D26" i="336"/>
  <c r="P25" i="336"/>
  <c r="O25" i="336"/>
  <c r="N25" i="336"/>
  <c r="M25" i="336"/>
  <c r="L25" i="336"/>
  <c r="K25" i="336"/>
  <c r="J25" i="336"/>
  <c r="I25" i="336"/>
  <c r="H25" i="336"/>
  <c r="G25" i="336"/>
  <c r="F25" i="336"/>
  <c r="E25" i="336"/>
  <c r="I1" i="336"/>
  <c r="C1" i="335"/>
  <c r="B1" i="335"/>
  <c r="D30" i="335"/>
  <c r="D29" i="335"/>
  <c r="D28" i="335"/>
  <c r="D27" i="335"/>
  <c r="D26" i="335"/>
  <c r="P25" i="335"/>
  <c r="O25" i="335"/>
  <c r="N25" i="335"/>
  <c r="M25" i="335"/>
  <c r="L25" i="335"/>
  <c r="K25" i="335"/>
  <c r="J25" i="335"/>
  <c r="I25" i="335"/>
  <c r="H25" i="335"/>
  <c r="G25" i="335"/>
  <c r="F25" i="335"/>
  <c r="E25" i="335"/>
  <c r="I1" i="335"/>
  <c r="C1" i="334"/>
  <c r="B1" i="334"/>
  <c r="D30" i="334"/>
  <c r="D29" i="334"/>
  <c r="D28" i="334"/>
  <c r="D27" i="334"/>
  <c r="D26" i="334"/>
  <c r="P25" i="334"/>
  <c r="O25" i="334"/>
  <c r="N25" i="334"/>
  <c r="M25" i="334"/>
  <c r="L25" i="334"/>
  <c r="K25" i="334"/>
  <c r="J25" i="334"/>
  <c r="I25" i="334"/>
  <c r="H25" i="334"/>
  <c r="G25" i="334"/>
  <c r="F25" i="334"/>
  <c r="E25" i="334"/>
  <c r="I1" i="334"/>
  <c r="C1" i="333"/>
  <c r="B1" i="333"/>
  <c r="D30" i="333"/>
  <c r="D29" i="333"/>
  <c r="D28" i="333"/>
  <c r="D27" i="333"/>
  <c r="D26" i="333"/>
  <c r="P25" i="333"/>
  <c r="O25" i="333"/>
  <c r="N25" i="333"/>
  <c r="M25" i="333"/>
  <c r="L25" i="333"/>
  <c r="K25" i="333"/>
  <c r="J25" i="333"/>
  <c r="I25" i="333"/>
  <c r="H25" i="333"/>
  <c r="G25" i="333"/>
  <c r="F25" i="333"/>
  <c r="E25" i="333"/>
  <c r="I1" i="333"/>
  <c r="K22" i="332"/>
  <c r="L22" i="332"/>
  <c r="M22" i="332"/>
  <c r="N22" i="332"/>
  <c r="O22" i="332"/>
  <c r="P22" i="332"/>
  <c r="E28" i="332"/>
  <c r="C1" i="332"/>
  <c r="B1" i="332"/>
  <c r="D30" i="332"/>
  <c r="D29" i="332"/>
  <c r="D28" i="332"/>
  <c r="D27" i="332"/>
  <c r="D26" i="332"/>
  <c r="P25" i="332"/>
  <c r="O25" i="332"/>
  <c r="N25" i="332"/>
  <c r="M25" i="332"/>
  <c r="L25" i="332"/>
  <c r="K25" i="332"/>
  <c r="J25" i="332"/>
  <c r="I25" i="332"/>
  <c r="H25" i="332"/>
  <c r="G25" i="332"/>
  <c r="F25" i="332"/>
  <c r="E25" i="332"/>
  <c r="I1" i="332"/>
  <c r="F19" i="331"/>
  <c r="G19" i="331"/>
  <c r="H19" i="331"/>
  <c r="I19" i="331"/>
  <c r="J19" i="331"/>
  <c r="K19" i="331"/>
  <c r="K22" i="331" s="1"/>
  <c r="L19" i="331"/>
  <c r="L22" i="331" s="1"/>
  <c r="M19" i="331"/>
  <c r="M22" i="331" s="1"/>
  <c r="N19" i="331"/>
  <c r="O19" i="331"/>
  <c r="O22" i="331" s="1"/>
  <c r="P19" i="331"/>
  <c r="P22" i="331" s="1"/>
  <c r="H173" i="34"/>
  <c r="E19" i="331"/>
  <c r="C1" i="331"/>
  <c r="B1" i="331"/>
  <c r="D30" i="331"/>
  <c r="D29" i="331"/>
  <c r="D28" i="331"/>
  <c r="D27" i="331"/>
  <c r="D26" i="331"/>
  <c r="P25" i="331"/>
  <c r="O25" i="331"/>
  <c r="N25" i="331"/>
  <c r="M25" i="331"/>
  <c r="L25" i="331"/>
  <c r="K25" i="331"/>
  <c r="J25" i="331"/>
  <c r="I25" i="331"/>
  <c r="H25" i="331"/>
  <c r="G25" i="331"/>
  <c r="F25" i="331"/>
  <c r="E25" i="331"/>
  <c r="I1" i="331"/>
  <c r="F19" i="330"/>
  <c r="G19" i="330"/>
  <c r="H19" i="330"/>
  <c r="I19" i="330"/>
  <c r="J19" i="330"/>
  <c r="K19" i="330"/>
  <c r="K22" i="330" s="1"/>
  <c r="L19" i="330"/>
  <c r="M19" i="330"/>
  <c r="N19" i="330"/>
  <c r="N22" i="330" s="1"/>
  <c r="O19" i="330"/>
  <c r="P19" i="330"/>
  <c r="E28" i="330"/>
  <c r="E19" i="330"/>
  <c r="C1" i="330"/>
  <c r="B1" i="330"/>
  <c r="D30" i="330"/>
  <c r="D29" i="330"/>
  <c r="D28" i="330"/>
  <c r="D27" i="330"/>
  <c r="D26" i="330"/>
  <c r="P25" i="330"/>
  <c r="O25" i="330"/>
  <c r="N25" i="330"/>
  <c r="M25" i="330"/>
  <c r="L25" i="330"/>
  <c r="K25" i="330"/>
  <c r="J25" i="330"/>
  <c r="I25" i="330"/>
  <c r="H25" i="330"/>
  <c r="G25" i="330"/>
  <c r="F25" i="330"/>
  <c r="E25" i="330"/>
  <c r="I1" i="330"/>
  <c r="I22" i="329"/>
  <c r="L22" i="329"/>
  <c r="M22" i="329"/>
  <c r="P22" i="329"/>
  <c r="E28" i="329"/>
  <c r="E27" i="329"/>
  <c r="C1" i="329"/>
  <c r="B1" i="329"/>
  <c r="D30" i="329"/>
  <c r="D29" i="329"/>
  <c r="D28" i="329"/>
  <c r="D27" i="329"/>
  <c r="D26" i="329"/>
  <c r="P25" i="329"/>
  <c r="O25" i="329"/>
  <c r="N25" i="329"/>
  <c r="M25" i="329"/>
  <c r="L25" i="329"/>
  <c r="K25" i="329"/>
  <c r="J25" i="329"/>
  <c r="I25" i="329"/>
  <c r="H25" i="329"/>
  <c r="G25" i="329"/>
  <c r="F25" i="329"/>
  <c r="E25" i="329"/>
  <c r="I1" i="329"/>
  <c r="P19" i="328"/>
  <c r="H22" i="328"/>
  <c r="I22" i="328"/>
  <c r="K22" i="328"/>
  <c r="L22" i="328"/>
  <c r="M22" i="328"/>
  <c r="N22" i="328"/>
  <c r="P22" i="328"/>
  <c r="E28" i="328"/>
  <c r="E27" i="328"/>
  <c r="C1" i="328"/>
  <c r="B1" i="328"/>
  <c r="D30" i="328"/>
  <c r="D29" i="328"/>
  <c r="D28" i="328"/>
  <c r="D27" i="328"/>
  <c r="D26" i="328"/>
  <c r="P25" i="328"/>
  <c r="O25" i="328"/>
  <c r="N25" i="328"/>
  <c r="M25" i="328"/>
  <c r="L25" i="328"/>
  <c r="K25" i="328"/>
  <c r="J25" i="328"/>
  <c r="I25" i="328"/>
  <c r="H25" i="328"/>
  <c r="G25" i="328"/>
  <c r="F25" i="328"/>
  <c r="E25" i="328"/>
  <c r="I1" i="328"/>
  <c r="C1" i="327"/>
  <c r="B1" i="327"/>
  <c r="D30" i="327"/>
  <c r="D29" i="327"/>
  <c r="D28" i="327"/>
  <c r="D27" i="327"/>
  <c r="D26" i="327"/>
  <c r="P25" i="327"/>
  <c r="O25" i="327"/>
  <c r="N25" i="327"/>
  <c r="M25" i="327"/>
  <c r="L25" i="327"/>
  <c r="K25" i="327"/>
  <c r="J25" i="327"/>
  <c r="I25" i="327"/>
  <c r="H25" i="327"/>
  <c r="G25" i="327"/>
  <c r="F25" i="327"/>
  <c r="E25" i="327"/>
  <c r="I1" i="327"/>
  <c r="H22" i="326"/>
  <c r="I22" i="326"/>
  <c r="L22" i="326"/>
  <c r="M22" i="326"/>
  <c r="P22" i="326"/>
  <c r="E22" i="326"/>
  <c r="C1" i="326"/>
  <c r="B1" i="326"/>
  <c r="D30" i="326"/>
  <c r="D29" i="326"/>
  <c r="D28" i="326"/>
  <c r="D27" i="326"/>
  <c r="D26" i="326"/>
  <c r="P25" i="326"/>
  <c r="O25" i="326"/>
  <c r="N25" i="326"/>
  <c r="M25" i="326"/>
  <c r="L25" i="326"/>
  <c r="K25" i="326"/>
  <c r="J25" i="326"/>
  <c r="I25" i="326"/>
  <c r="H25" i="326"/>
  <c r="G25" i="326"/>
  <c r="F25" i="326"/>
  <c r="E25" i="326"/>
  <c r="I1" i="326"/>
  <c r="F19" i="325"/>
  <c r="G19" i="325"/>
  <c r="H19" i="325"/>
  <c r="I19" i="325"/>
  <c r="J19" i="325"/>
  <c r="K19" i="325"/>
  <c r="K22" i="325" s="1"/>
  <c r="L19" i="325"/>
  <c r="L22" i="325" s="1"/>
  <c r="M19" i="325"/>
  <c r="M22" i="325" s="1"/>
  <c r="N19" i="325"/>
  <c r="O19" i="325"/>
  <c r="P19" i="325"/>
  <c r="P22" i="325" s="1"/>
  <c r="H171" i="34"/>
  <c r="E28" i="325"/>
  <c r="E27" i="325"/>
  <c r="E19" i="325"/>
  <c r="C1" i="325"/>
  <c r="B1" i="325"/>
  <c r="D30" i="325"/>
  <c r="D29" i="325"/>
  <c r="D28" i="325"/>
  <c r="D27" i="325"/>
  <c r="D26" i="325"/>
  <c r="P25" i="325"/>
  <c r="O25" i="325"/>
  <c r="N25" i="325"/>
  <c r="M25" i="325"/>
  <c r="L25" i="325"/>
  <c r="K25" i="325"/>
  <c r="J25" i="325"/>
  <c r="I25" i="325"/>
  <c r="H25" i="325"/>
  <c r="G25" i="325"/>
  <c r="F25" i="325"/>
  <c r="E25" i="325"/>
  <c r="I1" i="325"/>
  <c r="F19" i="324"/>
  <c r="G19" i="324"/>
  <c r="H19" i="324"/>
  <c r="I19" i="324"/>
  <c r="J19" i="324"/>
  <c r="K19" i="324"/>
  <c r="L19" i="324"/>
  <c r="L22" i="324" s="1"/>
  <c r="M19" i="324"/>
  <c r="N19" i="324"/>
  <c r="N22" i="324" s="1"/>
  <c r="O19" i="324"/>
  <c r="P19" i="324"/>
  <c r="P22" i="324" s="1"/>
  <c r="H170" i="34"/>
  <c r="E28" i="324"/>
  <c r="E19" i="324"/>
  <c r="C1" i="324"/>
  <c r="B1" i="324"/>
  <c r="D30" i="324"/>
  <c r="D29" i="324"/>
  <c r="D28" i="324"/>
  <c r="D27" i="324"/>
  <c r="D26" i="324"/>
  <c r="P25" i="324"/>
  <c r="O25" i="324"/>
  <c r="N25" i="324"/>
  <c r="M25" i="324"/>
  <c r="L25" i="324"/>
  <c r="K25" i="324"/>
  <c r="J25" i="324"/>
  <c r="I25" i="324"/>
  <c r="H25" i="324"/>
  <c r="G25" i="324"/>
  <c r="F25" i="324"/>
  <c r="E25" i="324"/>
  <c r="I1" i="324"/>
  <c r="F19" i="323"/>
  <c r="G19" i="323"/>
  <c r="H19" i="323"/>
  <c r="I19" i="323"/>
  <c r="J19" i="323"/>
  <c r="K19" i="323"/>
  <c r="K22" i="323" s="1"/>
  <c r="L19" i="323"/>
  <c r="M19" i="323"/>
  <c r="M22" i="323" s="1"/>
  <c r="N19" i="323"/>
  <c r="O19" i="323"/>
  <c r="O22" i="323" s="1"/>
  <c r="P19" i="323"/>
  <c r="P22" i="323" s="1"/>
  <c r="E19" i="323"/>
  <c r="C1" i="323"/>
  <c r="B1" i="323"/>
  <c r="D30" i="323"/>
  <c r="D29" i="323"/>
  <c r="D28" i="323"/>
  <c r="D27" i="323"/>
  <c r="D26" i="323"/>
  <c r="P25" i="323"/>
  <c r="O25" i="323"/>
  <c r="N25" i="323"/>
  <c r="M25" i="323"/>
  <c r="L25" i="323"/>
  <c r="K25" i="323"/>
  <c r="J25" i="323"/>
  <c r="I25" i="323"/>
  <c r="H25" i="323"/>
  <c r="G25" i="323"/>
  <c r="F25" i="323"/>
  <c r="E25" i="323"/>
  <c r="I1" i="323"/>
  <c r="F19" i="322"/>
  <c r="G19" i="322"/>
  <c r="H19" i="322"/>
  <c r="I19" i="322"/>
  <c r="J19" i="322"/>
  <c r="K19" i="322"/>
  <c r="K22" i="322" s="1"/>
  <c r="L19" i="322"/>
  <c r="M19" i="322"/>
  <c r="N19" i="322"/>
  <c r="N22" i="322" s="1"/>
  <c r="O19" i="322"/>
  <c r="P19" i="322"/>
  <c r="P22" i="322" s="1"/>
  <c r="H168" i="34"/>
  <c r="E27" i="322"/>
  <c r="E19" i="322"/>
  <c r="E26" i="322" s="1"/>
  <c r="C1" i="322"/>
  <c r="B1" i="322"/>
  <c r="D30" i="322"/>
  <c r="D29" i="322"/>
  <c r="D28" i="322"/>
  <c r="D27" i="322"/>
  <c r="D26" i="322"/>
  <c r="P25" i="322"/>
  <c r="O25" i="322"/>
  <c r="N25" i="322"/>
  <c r="M25" i="322"/>
  <c r="L25" i="322"/>
  <c r="K25" i="322"/>
  <c r="J25" i="322"/>
  <c r="I25" i="322"/>
  <c r="H25" i="322"/>
  <c r="G25" i="322"/>
  <c r="F25" i="322"/>
  <c r="E25" i="322"/>
  <c r="I1" i="322"/>
  <c r="C1" i="321"/>
  <c r="B1" i="321"/>
  <c r="D30" i="321"/>
  <c r="D29" i="321"/>
  <c r="D28" i="321"/>
  <c r="D27" i="321"/>
  <c r="D26" i="321"/>
  <c r="P25" i="321"/>
  <c r="O25" i="321"/>
  <c r="N25" i="321"/>
  <c r="M25" i="321"/>
  <c r="L25" i="321"/>
  <c r="K25" i="321"/>
  <c r="J25" i="321"/>
  <c r="I25" i="321"/>
  <c r="H25" i="321"/>
  <c r="G25" i="321"/>
  <c r="F25" i="321"/>
  <c r="E25" i="321"/>
  <c r="I1" i="321"/>
  <c r="C1" i="320"/>
  <c r="B1" i="320"/>
  <c r="D30" i="320"/>
  <c r="D29" i="320"/>
  <c r="D28" i="320"/>
  <c r="D27" i="320"/>
  <c r="D26" i="320"/>
  <c r="P25" i="320"/>
  <c r="O25" i="320"/>
  <c r="N25" i="320"/>
  <c r="M25" i="320"/>
  <c r="L25" i="320"/>
  <c r="K25" i="320"/>
  <c r="J25" i="320"/>
  <c r="I25" i="320"/>
  <c r="H25" i="320"/>
  <c r="G25" i="320"/>
  <c r="F25" i="320"/>
  <c r="E25" i="320"/>
  <c r="I1" i="320"/>
  <c r="C1" i="319"/>
  <c r="B1" i="319"/>
  <c r="D30" i="319"/>
  <c r="D29" i="319"/>
  <c r="D28" i="319"/>
  <c r="D27" i="319"/>
  <c r="D26" i="319"/>
  <c r="P25" i="319"/>
  <c r="O25" i="319"/>
  <c r="N25" i="319"/>
  <c r="M25" i="319"/>
  <c r="L25" i="319"/>
  <c r="K25" i="319"/>
  <c r="J25" i="319"/>
  <c r="I25" i="319"/>
  <c r="H25" i="319"/>
  <c r="G25" i="319"/>
  <c r="F25" i="319"/>
  <c r="E25" i="319"/>
  <c r="I1" i="319"/>
  <c r="C1" i="318"/>
  <c r="B1" i="318"/>
  <c r="D30" i="318"/>
  <c r="D29" i="318"/>
  <c r="D28" i="318"/>
  <c r="D27" i="318"/>
  <c r="D26" i="318"/>
  <c r="P25" i="318"/>
  <c r="O25" i="318"/>
  <c r="N25" i="318"/>
  <c r="M25" i="318"/>
  <c r="L25" i="318"/>
  <c r="K25" i="318"/>
  <c r="J25" i="318"/>
  <c r="I25" i="318"/>
  <c r="H25" i="318"/>
  <c r="G25" i="318"/>
  <c r="F25" i="318"/>
  <c r="E25" i="318"/>
  <c r="I1" i="318"/>
  <c r="C1" i="317"/>
  <c r="B1" i="317"/>
  <c r="D30" i="317"/>
  <c r="D29" i="317"/>
  <c r="D28" i="317"/>
  <c r="D27" i="317"/>
  <c r="D26" i="317"/>
  <c r="P25" i="317"/>
  <c r="O25" i="317"/>
  <c r="N25" i="317"/>
  <c r="M25" i="317"/>
  <c r="L25" i="317"/>
  <c r="K25" i="317"/>
  <c r="J25" i="317"/>
  <c r="I25" i="317"/>
  <c r="H25" i="317"/>
  <c r="G25" i="317"/>
  <c r="F25" i="317"/>
  <c r="E25" i="317"/>
  <c r="I1" i="317"/>
  <c r="C1" i="316"/>
  <c r="B1" i="316"/>
  <c r="D30" i="316"/>
  <c r="D29" i="316"/>
  <c r="D28" i="316"/>
  <c r="D27" i="316"/>
  <c r="D26" i="316"/>
  <c r="P25" i="316"/>
  <c r="O25" i="316"/>
  <c r="N25" i="316"/>
  <c r="M25" i="316"/>
  <c r="L25" i="316"/>
  <c r="K25" i="316"/>
  <c r="J25" i="316"/>
  <c r="I25" i="316"/>
  <c r="H25" i="316"/>
  <c r="G25" i="316"/>
  <c r="F25" i="316"/>
  <c r="E25" i="316"/>
  <c r="I1" i="316"/>
  <c r="C1" i="315"/>
  <c r="B1" i="315"/>
  <c r="D30" i="315"/>
  <c r="D29" i="315"/>
  <c r="D28" i="315"/>
  <c r="D27" i="315"/>
  <c r="D26" i="315"/>
  <c r="P25" i="315"/>
  <c r="O25" i="315"/>
  <c r="N25" i="315"/>
  <c r="M25" i="315"/>
  <c r="L25" i="315"/>
  <c r="K25" i="315"/>
  <c r="J25" i="315"/>
  <c r="I25" i="315"/>
  <c r="H25" i="315"/>
  <c r="G25" i="315"/>
  <c r="F25" i="315"/>
  <c r="E25" i="315"/>
  <c r="I1" i="315"/>
  <c r="C1" i="314"/>
  <c r="B1" i="314"/>
  <c r="D30" i="314"/>
  <c r="D29" i="314"/>
  <c r="D28" i="314"/>
  <c r="D27" i="314"/>
  <c r="D26" i="314"/>
  <c r="P25" i="314"/>
  <c r="O25" i="314"/>
  <c r="N25" i="314"/>
  <c r="M25" i="314"/>
  <c r="L25" i="314"/>
  <c r="K25" i="314"/>
  <c r="J25" i="314"/>
  <c r="I25" i="314"/>
  <c r="H25" i="314"/>
  <c r="G25" i="314"/>
  <c r="F25" i="314"/>
  <c r="E25" i="314"/>
  <c r="I1" i="314"/>
  <c r="C1" i="313"/>
  <c r="B1" i="313"/>
  <c r="D30" i="313"/>
  <c r="D29" i="313"/>
  <c r="D28" i="313"/>
  <c r="D27" i="313"/>
  <c r="D26" i="313"/>
  <c r="P25" i="313"/>
  <c r="O25" i="313"/>
  <c r="N25" i="313"/>
  <c r="M25" i="313"/>
  <c r="L25" i="313"/>
  <c r="K25" i="313"/>
  <c r="J25" i="313"/>
  <c r="I25" i="313"/>
  <c r="H25" i="313"/>
  <c r="G25" i="313"/>
  <c r="F25" i="313"/>
  <c r="E25" i="313"/>
  <c r="I1" i="313"/>
  <c r="C1" i="312"/>
  <c r="B1" i="312"/>
  <c r="D30" i="312"/>
  <c r="D29" i="312"/>
  <c r="D28" i="312"/>
  <c r="D27" i="312"/>
  <c r="D26" i="312"/>
  <c r="P25" i="312"/>
  <c r="O25" i="312"/>
  <c r="N25" i="312"/>
  <c r="M25" i="312"/>
  <c r="L25" i="312"/>
  <c r="K25" i="312"/>
  <c r="J25" i="312"/>
  <c r="I25" i="312"/>
  <c r="H25" i="312"/>
  <c r="G25" i="312"/>
  <c r="F25" i="312"/>
  <c r="E25" i="312"/>
  <c r="I1" i="312"/>
  <c r="C1" i="311"/>
  <c r="B1" i="311"/>
  <c r="D30" i="311"/>
  <c r="D29" i="311"/>
  <c r="D28" i="311"/>
  <c r="D27" i="311"/>
  <c r="D26" i="311"/>
  <c r="P25" i="311"/>
  <c r="O25" i="311"/>
  <c r="N25" i="311"/>
  <c r="M25" i="311"/>
  <c r="L25" i="311"/>
  <c r="K25" i="311"/>
  <c r="J25" i="311"/>
  <c r="I25" i="311"/>
  <c r="H25" i="311"/>
  <c r="G25" i="311"/>
  <c r="F25" i="311"/>
  <c r="E25" i="311"/>
  <c r="I1" i="311"/>
  <c r="C1" i="310"/>
  <c r="B1" i="310"/>
  <c r="D30" i="310"/>
  <c r="D29" i="310"/>
  <c r="D28" i="310"/>
  <c r="D27" i="310"/>
  <c r="D26" i="310"/>
  <c r="P25" i="310"/>
  <c r="O25" i="310"/>
  <c r="N25" i="310"/>
  <c r="M25" i="310"/>
  <c r="L25" i="310"/>
  <c r="K25" i="310"/>
  <c r="J25" i="310"/>
  <c r="I25" i="310"/>
  <c r="H25" i="310"/>
  <c r="G25" i="310"/>
  <c r="F25" i="310"/>
  <c r="E25" i="310"/>
  <c r="I1" i="310"/>
  <c r="C1" i="309"/>
  <c r="B1" i="309"/>
  <c r="D30" i="309"/>
  <c r="D29" i="309"/>
  <c r="D28" i="309"/>
  <c r="D27" i="309"/>
  <c r="D26" i="309"/>
  <c r="P25" i="309"/>
  <c r="O25" i="309"/>
  <c r="N25" i="309"/>
  <c r="M25" i="309"/>
  <c r="L25" i="309"/>
  <c r="K25" i="309"/>
  <c r="J25" i="309"/>
  <c r="I25" i="309"/>
  <c r="H25" i="309"/>
  <c r="G25" i="309"/>
  <c r="F25" i="309"/>
  <c r="E25" i="309"/>
  <c r="I1" i="309"/>
  <c r="F19" i="308"/>
  <c r="G19" i="308"/>
  <c r="H19" i="308"/>
  <c r="I19" i="308"/>
  <c r="J19" i="308"/>
  <c r="K19" i="308"/>
  <c r="K22" i="308" s="1"/>
  <c r="L19" i="308"/>
  <c r="M19" i="308"/>
  <c r="N19" i="308"/>
  <c r="O19" i="308"/>
  <c r="O22" i="308" s="1"/>
  <c r="P19" i="308"/>
  <c r="E27" i="308"/>
  <c r="E19" i="308"/>
  <c r="C1" i="308"/>
  <c r="B1" i="308"/>
  <c r="D30" i="308"/>
  <c r="D29" i="308"/>
  <c r="D28" i="308"/>
  <c r="D27" i="308"/>
  <c r="D26" i="308"/>
  <c r="P25" i="308"/>
  <c r="O25" i="308"/>
  <c r="N25" i="308"/>
  <c r="M25" i="308"/>
  <c r="L25" i="308"/>
  <c r="K25" i="308"/>
  <c r="J25" i="308"/>
  <c r="I25" i="308"/>
  <c r="H25" i="308"/>
  <c r="G25" i="308"/>
  <c r="F25" i="308"/>
  <c r="E25" i="308"/>
  <c r="I1" i="308"/>
  <c r="F19" i="307"/>
  <c r="G19" i="307"/>
  <c r="H19" i="307"/>
  <c r="I19" i="307"/>
  <c r="J19" i="307"/>
  <c r="K19" i="307"/>
  <c r="L19" i="307"/>
  <c r="M19" i="307"/>
  <c r="N19" i="307"/>
  <c r="N22" i="307" s="1"/>
  <c r="O19" i="307"/>
  <c r="P19" i="307"/>
  <c r="E19" i="307"/>
  <c r="C1" i="307"/>
  <c r="B1" i="307"/>
  <c r="D30" i="307"/>
  <c r="D29" i="307"/>
  <c r="D28" i="307"/>
  <c r="D27" i="307"/>
  <c r="D26" i="307"/>
  <c r="P25" i="307"/>
  <c r="O25" i="307"/>
  <c r="N25" i="307"/>
  <c r="M25" i="307"/>
  <c r="L25" i="307"/>
  <c r="K25" i="307"/>
  <c r="J25" i="307"/>
  <c r="I25" i="307"/>
  <c r="H25" i="307"/>
  <c r="G25" i="307"/>
  <c r="F25" i="307"/>
  <c r="E25" i="307"/>
  <c r="I1" i="307"/>
  <c r="F19" i="306"/>
  <c r="G19" i="306"/>
  <c r="H19" i="306"/>
  <c r="I19" i="306"/>
  <c r="J19" i="306"/>
  <c r="K19" i="306"/>
  <c r="L19" i="306"/>
  <c r="L22" i="306" s="1"/>
  <c r="M19" i="306"/>
  <c r="N19" i="306"/>
  <c r="O19" i="306"/>
  <c r="P19" i="306"/>
  <c r="E19" i="306"/>
  <c r="C1" i="306"/>
  <c r="B1" i="306"/>
  <c r="D30" i="306"/>
  <c r="D29" i="306"/>
  <c r="D28" i="306"/>
  <c r="D27" i="306"/>
  <c r="D26" i="306"/>
  <c r="P25" i="306"/>
  <c r="O25" i="306"/>
  <c r="N25" i="306"/>
  <c r="M25" i="306"/>
  <c r="L25" i="306"/>
  <c r="K25" i="306"/>
  <c r="J25" i="306"/>
  <c r="I25" i="306"/>
  <c r="H25" i="306"/>
  <c r="G25" i="306"/>
  <c r="F25" i="306"/>
  <c r="E25" i="306"/>
  <c r="I1" i="306"/>
  <c r="F19" i="305"/>
  <c r="G19" i="305"/>
  <c r="H19" i="305"/>
  <c r="I19" i="305"/>
  <c r="J19" i="305"/>
  <c r="K19" i="305"/>
  <c r="L19" i="305"/>
  <c r="M19" i="305"/>
  <c r="N19" i="305"/>
  <c r="N22" i="305" s="1"/>
  <c r="O19" i="305"/>
  <c r="P19" i="305"/>
  <c r="E19" i="305"/>
  <c r="E26" i="305" s="1"/>
  <c r="C1" i="305"/>
  <c r="B1" i="305"/>
  <c r="D30" i="305"/>
  <c r="D29" i="305"/>
  <c r="D28" i="305"/>
  <c r="D27" i="305"/>
  <c r="D26" i="305"/>
  <c r="P25" i="305"/>
  <c r="O25" i="305"/>
  <c r="N25" i="305"/>
  <c r="M25" i="305"/>
  <c r="L25" i="305"/>
  <c r="K25" i="305"/>
  <c r="J25" i="305"/>
  <c r="I25" i="305"/>
  <c r="H25" i="305"/>
  <c r="G25" i="305"/>
  <c r="F25" i="305"/>
  <c r="E25" i="305"/>
  <c r="I1" i="305"/>
  <c r="F19" i="304"/>
  <c r="G19" i="304"/>
  <c r="H19" i="304"/>
  <c r="I19" i="304"/>
  <c r="J19" i="304"/>
  <c r="K19" i="304"/>
  <c r="K22" i="304" s="1"/>
  <c r="L19" i="304"/>
  <c r="M19" i="304"/>
  <c r="N19" i="304"/>
  <c r="O19" i="304"/>
  <c r="O22" i="304" s="1"/>
  <c r="P19" i="304"/>
  <c r="E19" i="304"/>
  <c r="E26" i="304" s="1"/>
  <c r="C1" i="304"/>
  <c r="B1" i="304"/>
  <c r="D30" i="304"/>
  <c r="D29" i="304"/>
  <c r="D28" i="304"/>
  <c r="D27" i="304"/>
  <c r="D26" i="304"/>
  <c r="P25" i="304"/>
  <c r="O25" i="304"/>
  <c r="N25" i="304"/>
  <c r="M25" i="304"/>
  <c r="L25" i="304"/>
  <c r="K25" i="304"/>
  <c r="J25" i="304"/>
  <c r="I25" i="304"/>
  <c r="H25" i="304"/>
  <c r="G25" i="304"/>
  <c r="F25" i="304"/>
  <c r="E25" i="304"/>
  <c r="I1" i="304"/>
  <c r="C1" i="303"/>
  <c r="B1" i="303"/>
  <c r="D30" i="303"/>
  <c r="D29" i="303"/>
  <c r="D28" i="303"/>
  <c r="D27" i="303"/>
  <c r="D26" i="303"/>
  <c r="P25" i="303"/>
  <c r="O25" i="303"/>
  <c r="N25" i="303"/>
  <c r="M25" i="303"/>
  <c r="L25" i="303"/>
  <c r="K25" i="303"/>
  <c r="J25" i="303"/>
  <c r="I25" i="303"/>
  <c r="H25" i="303"/>
  <c r="G25" i="303"/>
  <c r="F25" i="303"/>
  <c r="E25" i="303"/>
  <c r="I1" i="303"/>
  <c r="F19" i="302"/>
  <c r="G19" i="302"/>
  <c r="H19" i="302"/>
  <c r="I19" i="302"/>
  <c r="J19" i="302"/>
  <c r="K19" i="302"/>
  <c r="K22" i="302" s="1"/>
  <c r="L19" i="302"/>
  <c r="M19" i="302"/>
  <c r="N19" i="302"/>
  <c r="N22" i="302" s="1"/>
  <c r="O19" i="302"/>
  <c r="O22" i="302" s="1"/>
  <c r="P19" i="302"/>
  <c r="E19" i="302"/>
  <c r="E26" i="302" s="1"/>
  <c r="C1" i="302"/>
  <c r="B1" i="302"/>
  <c r="D30" i="302"/>
  <c r="D29" i="302"/>
  <c r="D28" i="302"/>
  <c r="D27" i="302"/>
  <c r="D26" i="302"/>
  <c r="P25" i="302"/>
  <c r="O25" i="302"/>
  <c r="N25" i="302"/>
  <c r="M25" i="302"/>
  <c r="L25" i="302"/>
  <c r="K25" i="302"/>
  <c r="J25" i="302"/>
  <c r="I25" i="302"/>
  <c r="H25" i="302"/>
  <c r="G25" i="302"/>
  <c r="F25" i="302"/>
  <c r="E25" i="302"/>
  <c r="I1" i="302"/>
  <c r="F19" i="301"/>
  <c r="G19" i="301"/>
  <c r="H19" i="301"/>
  <c r="I19" i="301"/>
  <c r="J19" i="301"/>
  <c r="K19" i="301"/>
  <c r="L19" i="301"/>
  <c r="M19" i="301"/>
  <c r="N19" i="301"/>
  <c r="N22" i="301" s="1"/>
  <c r="O19" i="301"/>
  <c r="P19" i="301"/>
  <c r="E19" i="301"/>
  <c r="C1" i="301"/>
  <c r="B1" i="301"/>
  <c r="D30" i="301"/>
  <c r="D29" i="301"/>
  <c r="D28" i="301"/>
  <c r="D27" i="301"/>
  <c r="D26" i="301"/>
  <c r="P25" i="301"/>
  <c r="O25" i="301"/>
  <c r="N25" i="301"/>
  <c r="M25" i="301"/>
  <c r="L25" i="301"/>
  <c r="K25" i="301"/>
  <c r="J25" i="301"/>
  <c r="I25" i="301"/>
  <c r="H25" i="301"/>
  <c r="G25" i="301"/>
  <c r="F25" i="301"/>
  <c r="E25" i="301"/>
  <c r="I1" i="301"/>
  <c r="F19" i="300"/>
  <c r="G19" i="300"/>
  <c r="H19" i="300"/>
  <c r="I19" i="300"/>
  <c r="J19" i="300"/>
  <c r="K19" i="300"/>
  <c r="K22" i="300" s="1"/>
  <c r="L19" i="300"/>
  <c r="M19" i="300"/>
  <c r="N19" i="300"/>
  <c r="O19" i="300"/>
  <c r="P19" i="300"/>
  <c r="E19" i="300"/>
  <c r="C1" i="300"/>
  <c r="B1" i="300"/>
  <c r="D30" i="300"/>
  <c r="D29" i="300"/>
  <c r="D28" i="300"/>
  <c r="D27" i="300"/>
  <c r="D26" i="300"/>
  <c r="P25" i="300"/>
  <c r="O25" i="300"/>
  <c r="N25" i="300"/>
  <c r="M25" i="300"/>
  <c r="L25" i="300"/>
  <c r="K25" i="300"/>
  <c r="J25" i="300"/>
  <c r="I25" i="300"/>
  <c r="H25" i="300"/>
  <c r="G25" i="300"/>
  <c r="F25" i="300"/>
  <c r="E25" i="300"/>
  <c r="I1" i="300"/>
  <c r="H132" i="34"/>
  <c r="F19" i="299"/>
  <c r="G19" i="299"/>
  <c r="H19" i="299"/>
  <c r="I19" i="299"/>
  <c r="J19" i="299"/>
  <c r="K19" i="299"/>
  <c r="K22" i="299" s="1"/>
  <c r="L19" i="299"/>
  <c r="M19" i="299"/>
  <c r="N19" i="299"/>
  <c r="O19" i="299"/>
  <c r="O22" i="299" s="1"/>
  <c r="P19" i="299"/>
  <c r="P22" i="299" s="1"/>
  <c r="E28" i="299"/>
  <c r="E27" i="299"/>
  <c r="E19" i="299"/>
  <c r="C1" i="299"/>
  <c r="B1" i="299"/>
  <c r="D30" i="299"/>
  <c r="D29" i="299"/>
  <c r="D28" i="299"/>
  <c r="D27" i="299"/>
  <c r="D26" i="299"/>
  <c r="P25" i="299"/>
  <c r="O25" i="299"/>
  <c r="N25" i="299"/>
  <c r="M25" i="299"/>
  <c r="L25" i="299"/>
  <c r="K25" i="299"/>
  <c r="J25" i="299"/>
  <c r="I25" i="299"/>
  <c r="H25" i="299"/>
  <c r="G25" i="299"/>
  <c r="F25" i="299"/>
  <c r="E25" i="299"/>
  <c r="I1" i="299"/>
  <c r="M22" i="220"/>
  <c r="F27" i="216"/>
  <c r="M22" i="212"/>
  <c r="O22" i="212"/>
  <c r="H22" i="210"/>
  <c r="E27" i="210"/>
  <c r="M22" i="123"/>
  <c r="J27" i="254"/>
  <c r="I27" i="247"/>
  <c r="I27" i="249"/>
  <c r="I27" i="245"/>
  <c r="I27" i="246"/>
  <c r="J27" i="246"/>
  <c r="I27" i="248"/>
  <c r="H27" i="242"/>
  <c r="I27" i="243"/>
  <c r="I27" i="241"/>
  <c r="I27" i="239"/>
  <c r="H48" i="34"/>
  <c r="I27" i="237"/>
  <c r="I27" i="233"/>
  <c r="I27" i="235"/>
  <c r="I27" i="236"/>
  <c r="I27" i="234"/>
  <c r="E27" i="330"/>
  <c r="H22" i="255"/>
  <c r="J22" i="251"/>
  <c r="I22" i="255"/>
  <c r="F19" i="298"/>
  <c r="G19" i="298"/>
  <c r="H19" i="298"/>
  <c r="I19" i="298"/>
  <c r="J19" i="298"/>
  <c r="K19" i="298"/>
  <c r="K22" i="298" s="1"/>
  <c r="L19" i="298"/>
  <c r="L22" i="298" s="1"/>
  <c r="M19" i="298"/>
  <c r="M22" i="298" s="1"/>
  <c r="N19" i="298"/>
  <c r="N22" i="298" s="1"/>
  <c r="O19" i="298"/>
  <c r="O22" i="298" s="1"/>
  <c r="P19" i="298"/>
  <c r="P22" i="298" s="1"/>
  <c r="E19" i="298"/>
  <c r="C1" i="298"/>
  <c r="B1" i="298"/>
  <c r="D30" i="298"/>
  <c r="D29" i="298"/>
  <c r="D28" i="298"/>
  <c r="D27" i="298"/>
  <c r="D26" i="298"/>
  <c r="P25" i="298"/>
  <c r="O25" i="298"/>
  <c r="N25" i="298"/>
  <c r="M25" i="298"/>
  <c r="L25" i="298"/>
  <c r="K25" i="298"/>
  <c r="J25" i="298"/>
  <c r="I25" i="298"/>
  <c r="H25" i="298"/>
  <c r="G25" i="298"/>
  <c r="F25" i="298"/>
  <c r="E25" i="298"/>
  <c r="I1" i="298"/>
  <c r="E28" i="297"/>
  <c r="C1" i="297"/>
  <c r="B1" i="297"/>
  <c r="D30" i="297"/>
  <c r="D29" i="297"/>
  <c r="D28" i="297"/>
  <c r="D27" i="297"/>
  <c r="D26" i="297"/>
  <c r="P25" i="297"/>
  <c r="O25" i="297"/>
  <c r="N25" i="297"/>
  <c r="M25" i="297"/>
  <c r="L25" i="297"/>
  <c r="K25" i="297"/>
  <c r="J25" i="297"/>
  <c r="I25" i="297"/>
  <c r="H25" i="297"/>
  <c r="G25" i="297"/>
  <c r="F25" i="297"/>
  <c r="E25" i="297"/>
  <c r="I1" i="297"/>
  <c r="L22" i="296"/>
  <c r="P23" i="296"/>
  <c r="B1" i="296"/>
  <c r="D30" i="296"/>
  <c r="D29" i="296"/>
  <c r="D28" i="296"/>
  <c r="D27" i="296"/>
  <c r="D26" i="296"/>
  <c r="P25" i="296"/>
  <c r="O25" i="296"/>
  <c r="N25" i="296"/>
  <c r="M25" i="296"/>
  <c r="L25" i="296"/>
  <c r="K25" i="296"/>
  <c r="J25" i="296"/>
  <c r="I25" i="296"/>
  <c r="H25" i="296"/>
  <c r="G25" i="296"/>
  <c r="F25" i="296"/>
  <c r="E25" i="296"/>
  <c r="I1" i="296"/>
  <c r="F19" i="295"/>
  <c r="G19" i="295"/>
  <c r="H19" i="295"/>
  <c r="H23" i="295" s="1"/>
  <c r="I19" i="295"/>
  <c r="J19" i="295"/>
  <c r="K19" i="295"/>
  <c r="K22" i="295" s="1"/>
  <c r="L19" i="295"/>
  <c r="L23" i="295" s="1"/>
  <c r="M19" i="295"/>
  <c r="N19" i="295"/>
  <c r="O19" i="295"/>
  <c r="O22" i="295" s="1"/>
  <c r="P19" i="295"/>
  <c r="P23" i="295" s="1"/>
  <c r="E19" i="295"/>
  <c r="C1" i="295"/>
  <c r="B1" i="295"/>
  <c r="D30" i="295"/>
  <c r="D29" i="295"/>
  <c r="D28" i="295"/>
  <c r="D27" i="295"/>
  <c r="D26" i="295"/>
  <c r="P25" i="295"/>
  <c r="O25" i="295"/>
  <c r="N25" i="295"/>
  <c r="M25" i="295"/>
  <c r="L25" i="295"/>
  <c r="K25" i="295"/>
  <c r="J25" i="295"/>
  <c r="I25" i="295"/>
  <c r="H25" i="295"/>
  <c r="G25" i="295"/>
  <c r="F25" i="295"/>
  <c r="E25" i="295"/>
  <c r="I1" i="295"/>
  <c r="F19" i="294"/>
  <c r="G19" i="294"/>
  <c r="H19" i="294"/>
  <c r="I19" i="294"/>
  <c r="J19" i="294"/>
  <c r="K19" i="294"/>
  <c r="K22" i="294" s="1"/>
  <c r="L19" i="294"/>
  <c r="L23" i="294" s="1"/>
  <c r="M19" i="294"/>
  <c r="M22" i="294" s="1"/>
  <c r="N19" i="294"/>
  <c r="N22" i="294" s="1"/>
  <c r="O19" i="294"/>
  <c r="O22" i="294" s="1"/>
  <c r="P19" i="294"/>
  <c r="P23" i="294" s="1"/>
  <c r="E19" i="294"/>
  <c r="C1" i="294"/>
  <c r="B1" i="294"/>
  <c r="D30" i="294"/>
  <c r="D29" i="294"/>
  <c r="D28" i="294"/>
  <c r="D27" i="294"/>
  <c r="D26" i="294"/>
  <c r="P25" i="294"/>
  <c r="O25" i="294"/>
  <c r="N25" i="294"/>
  <c r="M25" i="294"/>
  <c r="L25" i="294"/>
  <c r="K25" i="294"/>
  <c r="J25" i="294"/>
  <c r="I25" i="294"/>
  <c r="H25" i="294"/>
  <c r="G25" i="294"/>
  <c r="F25" i="294"/>
  <c r="E25" i="294"/>
  <c r="I1" i="294"/>
  <c r="F19" i="293"/>
  <c r="G19" i="293"/>
  <c r="H19" i="293"/>
  <c r="I19" i="293"/>
  <c r="J19" i="293"/>
  <c r="K19" i="293"/>
  <c r="K22" i="293" s="1"/>
  <c r="L19" i="293"/>
  <c r="L22" i="293" s="1"/>
  <c r="M19" i="293"/>
  <c r="N19" i="293"/>
  <c r="O19" i="293"/>
  <c r="O22" i="293" s="1"/>
  <c r="P19" i="293"/>
  <c r="P23" i="293" s="1"/>
  <c r="E19" i="293"/>
  <c r="C1" i="293"/>
  <c r="B1" i="293"/>
  <c r="D30" i="293"/>
  <c r="D29" i="293"/>
  <c r="D28" i="293"/>
  <c r="D27" i="293"/>
  <c r="D26" i="293"/>
  <c r="P25" i="293"/>
  <c r="O25" i="293"/>
  <c r="N25" i="293"/>
  <c r="M25" i="293"/>
  <c r="L25" i="293"/>
  <c r="K25" i="293"/>
  <c r="J25" i="293"/>
  <c r="I25" i="293"/>
  <c r="H25" i="293"/>
  <c r="G25" i="293"/>
  <c r="F25" i="293"/>
  <c r="E25" i="293"/>
  <c r="I1" i="293"/>
  <c r="F19" i="292"/>
  <c r="G19" i="292"/>
  <c r="H19" i="292"/>
  <c r="I19" i="292"/>
  <c r="J19" i="292"/>
  <c r="K19" i="292"/>
  <c r="K22" i="292" s="1"/>
  <c r="L19" i="292"/>
  <c r="M19" i="292"/>
  <c r="N19" i="292"/>
  <c r="O19" i="292"/>
  <c r="O22" i="292" s="1"/>
  <c r="P19" i="292"/>
  <c r="E19" i="292"/>
  <c r="E26" i="292" s="1"/>
  <c r="C1" i="292"/>
  <c r="B1" i="292"/>
  <c r="D30" i="292"/>
  <c r="D29" i="292"/>
  <c r="D28" i="292"/>
  <c r="D27" i="292"/>
  <c r="D26" i="292"/>
  <c r="P25" i="292"/>
  <c r="O25" i="292"/>
  <c r="N25" i="292"/>
  <c r="M25" i="292"/>
  <c r="L25" i="292"/>
  <c r="K25" i="292"/>
  <c r="J25" i="292"/>
  <c r="I25" i="292"/>
  <c r="H25" i="292"/>
  <c r="G25" i="292"/>
  <c r="F25" i="292"/>
  <c r="E25" i="292"/>
  <c r="I1" i="292"/>
  <c r="C1" i="291"/>
  <c r="B1" i="291"/>
  <c r="D30" i="291"/>
  <c r="D29" i="291"/>
  <c r="D28" i="291"/>
  <c r="D27" i="291"/>
  <c r="D26" i="291"/>
  <c r="P25" i="291"/>
  <c r="O25" i="291"/>
  <c r="N25" i="291"/>
  <c r="M25" i="291"/>
  <c r="L25" i="291"/>
  <c r="K25" i="291"/>
  <c r="J25" i="291"/>
  <c r="I25" i="291"/>
  <c r="H25" i="291"/>
  <c r="G25" i="291"/>
  <c r="F25" i="291"/>
  <c r="E25" i="291"/>
  <c r="I1" i="291"/>
  <c r="F19" i="290"/>
  <c r="G19" i="290"/>
  <c r="G23" i="290" s="1"/>
  <c r="H19" i="290"/>
  <c r="I19" i="290"/>
  <c r="J19" i="290"/>
  <c r="K19" i="290"/>
  <c r="K22" i="290" s="1"/>
  <c r="L19" i="290"/>
  <c r="M19" i="290"/>
  <c r="N19" i="290"/>
  <c r="O19" i="290"/>
  <c r="O22" i="290" s="1"/>
  <c r="P19" i="290"/>
  <c r="E19" i="290"/>
  <c r="C1" i="290"/>
  <c r="B1" i="290"/>
  <c r="D30" i="290"/>
  <c r="D29" i="290"/>
  <c r="D28" i="290"/>
  <c r="D27" i="290"/>
  <c r="D26" i="290"/>
  <c r="P25" i="290"/>
  <c r="O25" i="290"/>
  <c r="N25" i="290"/>
  <c r="M25" i="290"/>
  <c r="L25" i="290"/>
  <c r="K25" i="290"/>
  <c r="J25" i="290"/>
  <c r="I25" i="290"/>
  <c r="H25" i="290"/>
  <c r="G25" i="290"/>
  <c r="F25" i="290"/>
  <c r="E25" i="290"/>
  <c r="I1" i="290"/>
  <c r="F19" i="289"/>
  <c r="G19" i="289"/>
  <c r="H19" i="289"/>
  <c r="I19" i="289"/>
  <c r="J19" i="289"/>
  <c r="K19" i="289"/>
  <c r="L19" i="289"/>
  <c r="M19" i="289"/>
  <c r="N19" i="289"/>
  <c r="O19" i="289"/>
  <c r="P19" i="289"/>
  <c r="E28" i="289"/>
  <c r="E19" i="289"/>
  <c r="E23" i="289" s="1"/>
  <c r="C1" i="289"/>
  <c r="B1" i="289"/>
  <c r="D30" i="289"/>
  <c r="D29" i="289"/>
  <c r="D28" i="289"/>
  <c r="D27" i="289"/>
  <c r="D26" i="289"/>
  <c r="P25" i="289"/>
  <c r="O25" i="289"/>
  <c r="N25" i="289"/>
  <c r="M25" i="289"/>
  <c r="L25" i="289"/>
  <c r="K25" i="289"/>
  <c r="J25" i="289"/>
  <c r="I25" i="289"/>
  <c r="H25" i="289"/>
  <c r="G25" i="289"/>
  <c r="F25" i="289"/>
  <c r="E25" i="289"/>
  <c r="I1" i="289"/>
  <c r="F19" i="288"/>
  <c r="F22" i="288" s="1"/>
  <c r="G19" i="288"/>
  <c r="H19" i="288"/>
  <c r="I19" i="288"/>
  <c r="J19" i="288"/>
  <c r="K19" i="288"/>
  <c r="L19" i="288"/>
  <c r="M19" i="288"/>
  <c r="N19" i="288"/>
  <c r="O19" i="288"/>
  <c r="P19" i="288"/>
  <c r="E19" i="288"/>
  <c r="E26" i="288" s="1"/>
  <c r="C1" i="288"/>
  <c r="B1" i="288"/>
  <c r="D30" i="288"/>
  <c r="D29" i="288"/>
  <c r="D28" i="288"/>
  <c r="D27" i="288"/>
  <c r="D26" i="288"/>
  <c r="P25" i="288"/>
  <c r="O25" i="288"/>
  <c r="N25" i="288"/>
  <c r="M25" i="288"/>
  <c r="L25" i="288"/>
  <c r="K25" i="288"/>
  <c r="J25" i="288"/>
  <c r="I25" i="288"/>
  <c r="H25" i="288"/>
  <c r="G25" i="288"/>
  <c r="F25" i="288"/>
  <c r="E25" i="288"/>
  <c r="I1" i="288"/>
  <c r="F19" i="287"/>
  <c r="F23" i="287" s="1"/>
  <c r="G19" i="287"/>
  <c r="H19" i="287"/>
  <c r="I19" i="287"/>
  <c r="J19" i="287"/>
  <c r="K19" i="287"/>
  <c r="L19" i="287"/>
  <c r="M19" i="287"/>
  <c r="N19" i="287"/>
  <c r="O19" i="287"/>
  <c r="P19" i="287"/>
  <c r="E28" i="287"/>
  <c r="E19" i="287"/>
  <c r="C1" i="287"/>
  <c r="B1" i="287"/>
  <c r="D30" i="287"/>
  <c r="D29" i="287"/>
  <c r="D28" i="287"/>
  <c r="D27" i="287"/>
  <c r="D26" i="287"/>
  <c r="P25" i="287"/>
  <c r="O25" i="287"/>
  <c r="N25" i="287"/>
  <c r="M25" i="287"/>
  <c r="L25" i="287"/>
  <c r="K25" i="287"/>
  <c r="J25" i="287"/>
  <c r="I25" i="287"/>
  <c r="H25" i="287"/>
  <c r="G25" i="287"/>
  <c r="F25" i="287"/>
  <c r="E25" i="287"/>
  <c r="I1" i="287"/>
  <c r="F19" i="286"/>
  <c r="F22" i="286" s="1"/>
  <c r="G19" i="286"/>
  <c r="H19" i="286"/>
  <c r="I19" i="286"/>
  <c r="J19" i="286"/>
  <c r="K19" i="286"/>
  <c r="K22" i="286" s="1"/>
  <c r="L19" i="286"/>
  <c r="L22" i="286" s="1"/>
  <c r="M19" i="286"/>
  <c r="M22" i="286" s="1"/>
  <c r="N19" i="286"/>
  <c r="N22" i="286" s="1"/>
  <c r="O19" i="286"/>
  <c r="O22" i="286" s="1"/>
  <c r="P19" i="286"/>
  <c r="P22" i="286" s="1"/>
  <c r="E19" i="286"/>
  <c r="C1" i="286"/>
  <c r="B1" i="286"/>
  <c r="D30" i="286"/>
  <c r="D29" i="286"/>
  <c r="D28" i="286"/>
  <c r="D27" i="286"/>
  <c r="D26" i="286"/>
  <c r="P25" i="286"/>
  <c r="O25" i="286"/>
  <c r="N25" i="286"/>
  <c r="M25" i="286"/>
  <c r="L25" i="286"/>
  <c r="K25" i="286"/>
  <c r="J25" i="286"/>
  <c r="I25" i="286"/>
  <c r="H25" i="286"/>
  <c r="G25" i="286"/>
  <c r="F25" i="286"/>
  <c r="E25" i="286"/>
  <c r="I1" i="286"/>
  <c r="C1" i="285"/>
  <c r="B1" i="285"/>
  <c r="D30" i="285"/>
  <c r="D29" i="285"/>
  <c r="D28" i="285"/>
  <c r="D27" i="285"/>
  <c r="D26" i="285"/>
  <c r="P25" i="285"/>
  <c r="O25" i="285"/>
  <c r="N25" i="285"/>
  <c r="M25" i="285"/>
  <c r="L25" i="285"/>
  <c r="K25" i="285"/>
  <c r="J25" i="285"/>
  <c r="I25" i="285"/>
  <c r="H25" i="285"/>
  <c r="G25" i="285"/>
  <c r="F25" i="285"/>
  <c r="E25" i="285"/>
  <c r="I1" i="285"/>
  <c r="C1" i="284"/>
  <c r="B1" i="284"/>
  <c r="D30" i="284"/>
  <c r="D29" i="284"/>
  <c r="D28" i="284"/>
  <c r="D27" i="284"/>
  <c r="D26" i="284"/>
  <c r="P25" i="284"/>
  <c r="O25" i="284"/>
  <c r="N25" i="284"/>
  <c r="M25" i="284"/>
  <c r="L25" i="284"/>
  <c r="K25" i="284"/>
  <c r="J25" i="284"/>
  <c r="I25" i="284"/>
  <c r="H25" i="284"/>
  <c r="G25" i="284"/>
  <c r="F25" i="284"/>
  <c r="E25" i="284"/>
  <c r="I1" i="284"/>
  <c r="C1" i="283"/>
  <c r="B1" i="283"/>
  <c r="D30" i="283"/>
  <c r="D29" i="283"/>
  <c r="D28" i="283"/>
  <c r="D27" i="283"/>
  <c r="D26" i="283"/>
  <c r="P25" i="283"/>
  <c r="O25" i="283"/>
  <c r="N25" i="283"/>
  <c r="M25" i="283"/>
  <c r="L25" i="283"/>
  <c r="K25" i="283"/>
  <c r="J25" i="283"/>
  <c r="I25" i="283"/>
  <c r="H25" i="283"/>
  <c r="G25" i="283"/>
  <c r="F25" i="283"/>
  <c r="E25" i="283"/>
  <c r="I1" i="283"/>
  <c r="C1" i="282"/>
  <c r="B1" i="282"/>
  <c r="D30" i="282"/>
  <c r="D29" i="282"/>
  <c r="D28" i="282"/>
  <c r="D27" i="282"/>
  <c r="D26" i="282"/>
  <c r="P25" i="282"/>
  <c r="O25" i="282"/>
  <c r="N25" i="282"/>
  <c r="M25" i="282"/>
  <c r="L25" i="282"/>
  <c r="K25" i="282"/>
  <c r="J25" i="282"/>
  <c r="I25" i="282"/>
  <c r="H25" i="282"/>
  <c r="G25" i="282"/>
  <c r="F25" i="282"/>
  <c r="E25" i="282"/>
  <c r="I1" i="282"/>
  <c r="C1" i="281"/>
  <c r="B1" i="281"/>
  <c r="D30" i="281"/>
  <c r="D29" i="281"/>
  <c r="D28" i="281"/>
  <c r="D27" i="281"/>
  <c r="D26" i="281"/>
  <c r="P25" i="281"/>
  <c r="O25" i="281"/>
  <c r="N25" i="281"/>
  <c r="M25" i="281"/>
  <c r="L25" i="281"/>
  <c r="K25" i="281"/>
  <c r="J25" i="281"/>
  <c r="I25" i="281"/>
  <c r="H25" i="281"/>
  <c r="G25" i="281"/>
  <c r="F25" i="281"/>
  <c r="E25" i="281"/>
  <c r="I1" i="281"/>
  <c r="F28" i="280"/>
  <c r="H28" i="280"/>
  <c r="I28" i="280"/>
  <c r="J28" i="280"/>
  <c r="K28" i="280"/>
  <c r="L28" i="280"/>
  <c r="M28" i="280"/>
  <c r="N28" i="280"/>
  <c r="O28" i="280"/>
  <c r="P28" i="280"/>
  <c r="E28" i="280"/>
  <c r="C1" i="280"/>
  <c r="B1" i="280"/>
  <c r="D30" i="280"/>
  <c r="D29" i="280"/>
  <c r="D28" i="280"/>
  <c r="D27" i="280"/>
  <c r="D26" i="280"/>
  <c r="P25" i="280"/>
  <c r="O25" i="280"/>
  <c r="N25" i="280"/>
  <c r="M25" i="280"/>
  <c r="L25" i="280"/>
  <c r="K25" i="280"/>
  <c r="J25" i="280"/>
  <c r="I25" i="280"/>
  <c r="H25" i="280"/>
  <c r="G25" i="280"/>
  <c r="F25" i="280"/>
  <c r="E25" i="280"/>
  <c r="I1" i="280"/>
  <c r="F26" i="279"/>
  <c r="H26" i="279"/>
  <c r="I26" i="279"/>
  <c r="M26" i="279"/>
  <c r="O26" i="279"/>
  <c r="F28" i="279"/>
  <c r="G28" i="279"/>
  <c r="H28" i="279"/>
  <c r="I28" i="279"/>
  <c r="J28" i="279"/>
  <c r="K28" i="279"/>
  <c r="L28" i="279"/>
  <c r="M28" i="279"/>
  <c r="N28" i="279"/>
  <c r="O28" i="279"/>
  <c r="P28" i="279"/>
  <c r="E26" i="279"/>
  <c r="C1" i="279"/>
  <c r="B1" i="279"/>
  <c r="D30" i="279"/>
  <c r="D29" i="279"/>
  <c r="D28" i="279"/>
  <c r="D27" i="279"/>
  <c r="D26" i="279"/>
  <c r="P25" i="279"/>
  <c r="O25" i="279"/>
  <c r="N25" i="279"/>
  <c r="M25" i="279"/>
  <c r="L25" i="279"/>
  <c r="K25" i="279"/>
  <c r="J25" i="279"/>
  <c r="I25" i="279"/>
  <c r="H25" i="279"/>
  <c r="G25" i="279"/>
  <c r="F25" i="279"/>
  <c r="E25" i="279"/>
  <c r="I1" i="279"/>
  <c r="J26" i="278"/>
  <c r="K26" i="278"/>
  <c r="N26" i="278"/>
  <c r="P26" i="278"/>
  <c r="F28" i="278"/>
  <c r="G28" i="278"/>
  <c r="H28" i="278"/>
  <c r="J28" i="278"/>
  <c r="K28" i="278"/>
  <c r="L28" i="278"/>
  <c r="M28" i="278"/>
  <c r="N28" i="278"/>
  <c r="O28" i="278"/>
  <c r="P28" i="278"/>
  <c r="E28" i="278"/>
  <c r="C1" i="278"/>
  <c r="B1" i="278"/>
  <c r="D30" i="278"/>
  <c r="D29" i="278"/>
  <c r="D28" i="278"/>
  <c r="D27" i="278"/>
  <c r="D26" i="278"/>
  <c r="P25" i="278"/>
  <c r="O25" i="278"/>
  <c r="N25" i="278"/>
  <c r="M25" i="278"/>
  <c r="L25" i="278"/>
  <c r="K25" i="278"/>
  <c r="J25" i="278"/>
  <c r="I25" i="278"/>
  <c r="H25" i="278"/>
  <c r="G25" i="278"/>
  <c r="F25" i="278"/>
  <c r="E25" i="278"/>
  <c r="I1" i="278"/>
  <c r="G26" i="277"/>
  <c r="H26" i="277"/>
  <c r="K26" i="277"/>
  <c r="N26" i="277"/>
  <c r="F28" i="277"/>
  <c r="G28" i="277"/>
  <c r="H28" i="277"/>
  <c r="I28" i="277"/>
  <c r="J28" i="277"/>
  <c r="K28" i="277"/>
  <c r="L28" i="277"/>
  <c r="M28" i="277"/>
  <c r="N28" i="277"/>
  <c r="O28" i="277"/>
  <c r="P28" i="277"/>
  <c r="E26" i="277"/>
  <c r="C1" i="277"/>
  <c r="B1" i="277"/>
  <c r="D30" i="277"/>
  <c r="D29" i="277"/>
  <c r="D28" i="277"/>
  <c r="D27" i="277"/>
  <c r="D26" i="277"/>
  <c r="P25" i="277"/>
  <c r="O25" i="277"/>
  <c r="N25" i="277"/>
  <c r="M25" i="277"/>
  <c r="L25" i="277"/>
  <c r="K25" i="277"/>
  <c r="J25" i="277"/>
  <c r="I25" i="277"/>
  <c r="H25" i="277"/>
  <c r="G25" i="277"/>
  <c r="F25" i="277"/>
  <c r="E25" i="277"/>
  <c r="I1" i="277"/>
  <c r="F26" i="276"/>
  <c r="J26" i="276"/>
  <c r="N26" i="276"/>
  <c r="P26" i="276"/>
  <c r="F28" i="276"/>
  <c r="G28" i="276"/>
  <c r="H28" i="276"/>
  <c r="I28" i="276"/>
  <c r="K28" i="276"/>
  <c r="L28" i="276"/>
  <c r="M28" i="276"/>
  <c r="N28" i="276"/>
  <c r="O28" i="276"/>
  <c r="P28" i="276"/>
  <c r="E28" i="276"/>
  <c r="C1" i="276"/>
  <c r="B1" i="276"/>
  <c r="D30" i="276"/>
  <c r="D29" i="276"/>
  <c r="D28" i="276"/>
  <c r="D27" i="276"/>
  <c r="D26" i="276"/>
  <c r="P25" i="276"/>
  <c r="O25" i="276"/>
  <c r="N25" i="276"/>
  <c r="M25" i="276"/>
  <c r="L25" i="276"/>
  <c r="K25" i="276"/>
  <c r="J25" i="276"/>
  <c r="I25" i="276"/>
  <c r="H25" i="276"/>
  <c r="G25" i="276"/>
  <c r="F25" i="276"/>
  <c r="E25" i="276"/>
  <c r="I1" i="276"/>
  <c r="F26" i="275"/>
  <c r="G26" i="275"/>
  <c r="I26" i="275"/>
  <c r="J26" i="275"/>
  <c r="K26" i="275"/>
  <c r="N26" i="275"/>
  <c r="G28" i="275"/>
  <c r="H28" i="275"/>
  <c r="I28" i="275"/>
  <c r="J28" i="275"/>
  <c r="K28" i="275"/>
  <c r="L28" i="275"/>
  <c r="M28" i="275"/>
  <c r="N28" i="275"/>
  <c r="O28" i="275"/>
  <c r="P28" i="275"/>
  <c r="E28" i="275"/>
  <c r="C1" i="275"/>
  <c r="B1" i="275"/>
  <c r="D30" i="275"/>
  <c r="D29" i="275"/>
  <c r="D28" i="275"/>
  <c r="D27" i="275"/>
  <c r="D26" i="275"/>
  <c r="P25" i="275"/>
  <c r="O25" i="275"/>
  <c r="N25" i="275"/>
  <c r="M25" i="275"/>
  <c r="L25" i="275"/>
  <c r="K25" i="275"/>
  <c r="J25" i="275"/>
  <c r="I25" i="275"/>
  <c r="H25" i="275"/>
  <c r="G25" i="275"/>
  <c r="F25" i="275"/>
  <c r="E25" i="275"/>
  <c r="I1" i="275"/>
  <c r="F28" i="274"/>
  <c r="G28" i="274"/>
  <c r="H28" i="274"/>
  <c r="J28" i="274"/>
  <c r="K28" i="274"/>
  <c r="M28" i="274"/>
  <c r="N28" i="274"/>
  <c r="P28" i="274"/>
  <c r="E28" i="274"/>
  <c r="C1" i="274"/>
  <c r="B1" i="274"/>
  <c r="D30" i="274"/>
  <c r="D29" i="274"/>
  <c r="D28" i="274"/>
  <c r="D27" i="274"/>
  <c r="D26" i="274"/>
  <c r="P25" i="274"/>
  <c r="O25" i="274"/>
  <c r="N25" i="274"/>
  <c r="M25" i="274"/>
  <c r="L25" i="274"/>
  <c r="K25" i="274"/>
  <c r="J25" i="274"/>
  <c r="I25" i="274"/>
  <c r="H25" i="274"/>
  <c r="G25" i="274"/>
  <c r="F25" i="274"/>
  <c r="E25" i="274"/>
  <c r="I1" i="274"/>
  <c r="F26" i="273"/>
  <c r="G26" i="273"/>
  <c r="H26" i="273"/>
  <c r="K26" i="273"/>
  <c r="L26" i="273"/>
  <c r="M26" i="273"/>
  <c r="O26" i="273"/>
  <c r="F28" i="273"/>
  <c r="G28" i="273"/>
  <c r="H28" i="273"/>
  <c r="I28" i="273"/>
  <c r="J28" i="273"/>
  <c r="L28" i="273"/>
  <c r="M28" i="273"/>
  <c r="N28" i="273"/>
  <c r="O28" i="273"/>
  <c r="P28" i="273"/>
  <c r="E28" i="273"/>
  <c r="C1" i="273"/>
  <c r="B1" i="273"/>
  <c r="D30" i="273"/>
  <c r="D29" i="273"/>
  <c r="D28" i="273"/>
  <c r="D27" i="273"/>
  <c r="D26" i="273"/>
  <c r="P25" i="273"/>
  <c r="O25" i="273"/>
  <c r="N25" i="273"/>
  <c r="M25" i="273"/>
  <c r="L25" i="273"/>
  <c r="K25" i="273"/>
  <c r="J25" i="273"/>
  <c r="I25" i="273"/>
  <c r="H25" i="273"/>
  <c r="G25" i="273"/>
  <c r="F25" i="273"/>
  <c r="E25" i="273"/>
  <c r="I1" i="273"/>
  <c r="K26" i="272"/>
  <c r="M26" i="272"/>
  <c r="F28" i="272"/>
  <c r="G28" i="272"/>
  <c r="I28" i="272"/>
  <c r="J28" i="272"/>
  <c r="K28" i="272"/>
  <c r="L28" i="272"/>
  <c r="M28" i="272"/>
  <c r="N28" i="272"/>
  <c r="O28" i="272"/>
  <c r="P28" i="272"/>
  <c r="E28" i="272"/>
  <c r="C1" i="272"/>
  <c r="B1" i="272"/>
  <c r="D30" i="272"/>
  <c r="D29" i="272"/>
  <c r="D28" i="272"/>
  <c r="D27" i="272"/>
  <c r="D26" i="272"/>
  <c r="P25" i="272"/>
  <c r="O25" i="272"/>
  <c r="N25" i="272"/>
  <c r="M25" i="272"/>
  <c r="L25" i="272"/>
  <c r="K25" i="272"/>
  <c r="J25" i="272"/>
  <c r="I25" i="272"/>
  <c r="H25" i="272"/>
  <c r="G25" i="272"/>
  <c r="F25" i="272"/>
  <c r="E25" i="272"/>
  <c r="I1" i="272"/>
  <c r="C1" i="271"/>
  <c r="B1" i="271"/>
  <c r="G26" i="271"/>
  <c r="K26" i="271"/>
  <c r="N26" i="271"/>
  <c r="O26" i="271"/>
  <c r="P26" i="271"/>
  <c r="F28" i="271"/>
  <c r="G28" i="271"/>
  <c r="H28" i="271"/>
  <c r="I28" i="271"/>
  <c r="J28" i="271"/>
  <c r="K28" i="271"/>
  <c r="L28" i="271"/>
  <c r="M28" i="271"/>
  <c r="N28" i="271"/>
  <c r="O28" i="271"/>
  <c r="P28" i="271"/>
  <c r="E28" i="271"/>
  <c r="D30" i="271"/>
  <c r="D29" i="271"/>
  <c r="D28" i="271"/>
  <c r="D27" i="271"/>
  <c r="D26" i="271"/>
  <c r="P25" i="271"/>
  <c r="O25" i="271"/>
  <c r="N25" i="271"/>
  <c r="M25" i="271"/>
  <c r="L25" i="271"/>
  <c r="K25" i="271"/>
  <c r="J25" i="271"/>
  <c r="I25" i="271"/>
  <c r="H25" i="271"/>
  <c r="G25" i="271"/>
  <c r="F25" i="271"/>
  <c r="E25" i="271"/>
  <c r="I1" i="271"/>
  <c r="H26" i="270"/>
  <c r="O26" i="270"/>
  <c r="F28" i="270"/>
  <c r="G28" i="270"/>
  <c r="H28" i="270"/>
  <c r="I28" i="270"/>
  <c r="J28" i="270"/>
  <c r="K28" i="270"/>
  <c r="L28" i="270"/>
  <c r="M28" i="270"/>
  <c r="N28" i="270"/>
  <c r="O28" i="270"/>
  <c r="P28" i="270"/>
  <c r="E26" i="270"/>
  <c r="C1" i="270"/>
  <c r="B1" i="270"/>
  <c r="D30" i="270"/>
  <c r="D29" i="270"/>
  <c r="D28" i="270"/>
  <c r="D27" i="270"/>
  <c r="D26" i="270"/>
  <c r="P25" i="270"/>
  <c r="O25" i="270"/>
  <c r="N25" i="270"/>
  <c r="M25" i="270"/>
  <c r="L25" i="270"/>
  <c r="K25" i="270"/>
  <c r="J25" i="270"/>
  <c r="I25" i="270"/>
  <c r="H25" i="270"/>
  <c r="G25" i="270"/>
  <c r="F25" i="270"/>
  <c r="E25" i="270"/>
  <c r="I1" i="270"/>
  <c r="M26" i="269"/>
  <c r="F28" i="269"/>
  <c r="G28" i="269"/>
  <c r="H28" i="269"/>
  <c r="I28" i="269"/>
  <c r="J28" i="269"/>
  <c r="K28" i="269"/>
  <c r="L28" i="269"/>
  <c r="M28" i="269"/>
  <c r="N28" i="269"/>
  <c r="O28" i="269"/>
  <c r="P28" i="269"/>
  <c r="E26" i="269"/>
  <c r="C1" i="269"/>
  <c r="B1" i="269"/>
  <c r="D30" i="269"/>
  <c r="D29" i="269"/>
  <c r="D28" i="269"/>
  <c r="D27" i="269"/>
  <c r="D26" i="269"/>
  <c r="P25" i="269"/>
  <c r="O25" i="269"/>
  <c r="N25" i="269"/>
  <c r="M25" i="269"/>
  <c r="L25" i="269"/>
  <c r="K25" i="269"/>
  <c r="J25" i="269"/>
  <c r="I25" i="269"/>
  <c r="H25" i="269"/>
  <c r="G25" i="269"/>
  <c r="F25" i="269"/>
  <c r="E25" i="269"/>
  <c r="I1" i="269"/>
  <c r="F28" i="268"/>
  <c r="G28" i="268"/>
  <c r="I28" i="268"/>
  <c r="J28" i="268"/>
  <c r="K28" i="268"/>
  <c r="L28" i="268"/>
  <c r="M28" i="268"/>
  <c r="N28" i="268"/>
  <c r="O28" i="268"/>
  <c r="P28" i="268"/>
  <c r="C1" i="268"/>
  <c r="B1" i="268"/>
  <c r="D30" i="268"/>
  <c r="D29" i="268"/>
  <c r="D28" i="268"/>
  <c r="D27" i="268"/>
  <c r="D26" i="268"/>
  <c r="P25" i="268"/>
  <c r="O25" i="268"/>
  <c r="N25" i="268"/>
  <c r="M25" i="268"/>
  <c r="L25" i="268"/>
  <c r="K25" i="268"/>
  <c r="J25" i="268"/>
  <c r="I25" i="268"/>
  <c r="H25" i="268"/>
  <c r="G25" i="268"/>
  <c r="F25" i="268"/>
  <c r="E25" i="268"/>
  <c r="I1" i="268"/>
  <c r="F28" i="267"/>
  <c r="H28" i="267"/>
  <c r="I28" i="267"/>
  <c r="J28" i="267"/>
  <c r="K28" i="267"/>
  <c r="L28" i="267"/>
  <c r="M28" i="267"/>
  <c r="N28" i="267"/>
  <c r="O28" i="267"/>
  <c r="P28" i="267"/>
  <c r="E26" i="267"/>
  <c r="C1" i="267"/>
  <c r="B1" i="267"/>
  <c r="D30" i="267"/>
  <c r="D29" i="267"/>
  <c r="D28" i="267"/>
  <c r="D27" i="267"/>
  <c r="D26" i="267"/>
  <c r="P25" i="267"/>
  <c r="O25" i="267"/>
  <c r="N25" i="267"/>
  <c r="M25" i="267"/>
  <c r="L25" i="267"/>
  <c r="K25" i="267"/>
  <c r="J25" i="267"/>
  <c r="I25" i="267"/>
  <c r="H25" i="267"/>
  <c r="G25" i="267"/>
  <c r="F25" i="267"/>
  <c r="E25" i="267"/>
  <c r="I1" i="267"/>
  <c r="I26" i="266"/>
  <c r="F28" i="266"/>
  <c r="G28" i="266"/>
  <c r="H28" i="266"/>
  <c r="J28" i="266"/>
  <c r="K28" i="266"/>
  <c r="L28" i="266"/>
  <c r="M28" i="266"/>
  <c r="N28" i="266"/>
  <c r="O28" i="266"/>
  <c r="P28" i="266"/>
  <c r="E28" i="266"/>
  <c r="E26" i="266"/>
  <c r="C1" i="266"/>
  <c r="B1" i="266"/>
  <c r="D30" i="266"/>
  <c r="D29" i="266"/>
  <c r="D28" i="266"/>
  <c r="D27" i="266"/>
  <c r="D26" i="266"/>
  <c r="P25" i="266"/>
  <c r="O25" i="266"/>
  <c r="N25" i="266"/>
  <c r="M25" i="266"/>
  <c r="L25" i="266"/>
  <c r="K25" i="266"/>
  <c r="J25" i="266"/>
  <c r="I25" i="266"/>
  <c r="H25" i="266"/>
  <c r="G25" i="266"/>
  <c r="F25" i="266"/>
  <c r="E25" i="266"/>
  <c r="I1" i="266"/>
  <c r="I26" i="265"/>
  <c r="L26" i="265"/>
  <c r="M26" i="265"/>
  <c r="F28" i="265"/>
  <c r="G28" i="265"/>
  <c r="H28" i="265"/>
  <c r="J28" i="265"/>
  <c r="K28" i="265"/>
  <c r="L28" i="265"/>
  <c r="M28" i="265"/>
  <c r="N28" i="265"/>
  <c r="O28" i="265"/>
  <c r="P28" i="265"/>
  <c r="E28" i="265"/>
  <c r="B1" i="265"/>
  <c r="D30" i="265"/>
  <c r="D29" i="265"/>
  <c r="D28" i="265"/>
  <c r="D27" i="265"/>
  <c r="D26" i="265"/>
  <c r="P25" i="265"/>
  <c r="O25" i="265"/>
  <c r="N25" i="265"/>
  <c r="M25" i="265"/>
  <c r="L25" i="265"/>
  <c r="K25" i="265"/>
  <c r="J25" i="265"/>
  <c r="I25" i="265"/>
  <c r="H25" i="265"/>
  <c r="G25" i="265"/>
  <c r="F25" i="265"/>
  <c r="E25" i="265"/>
  <c r="I1" i="265"/>
  <c r="H26" i="264"/>
  <c r="F28" i="264"/>
  <c r="G28" i="264"/>
  <c r="H28" i="264"/>
  <c r="I28" i="264"/>
  <c r="J28" i="264"/>
  <c r="K28" i="264"/>
  <c r="L28" i="264"/>
  <c r="M28" i="264"/>
  <c r="N28" i="264"/>
  <c r="O28" i="264"/>
  <c r="P28" i="264"/>
  <c r="E28" i="264"/>
  <c r="C1" i="264"/>
  <c r="B1" i="264"/>
  <c r="D30" i="264"/>
  <c r="D29" i="264"/>
  <c r="D28" i="264"/>
  <c r="D27" i="264"/>
  <c r="D26" i="264"/>
  <c r="P25" i="264"/>
  <c r="O25" i="264"/>
  <c r="N25" i="264"/>
  <c r="M25" i="264"/>
  <c r="L25" i="264"/>
  <c r="K25" i="264"/>
  <c r="J25" i="264"/>
  <c r="I25" i="264"/>
  <c r="H25" i="264"/>
  <c r="G25" i="264"/>
  <c r="F25" i="264"/>
  <c r="E25" i="264"/>
  <c r="I1" i="264"/>
  <c r="K26" i="263"/>
  <c r="L26" i="263"/>
  <c r="M26" i="263"/>
  <c r="N22" i="263"/>
  <c r="P26" i="263"/>
  <c r="F28" i="263"/>
  <c r="G28" i="263"/>
  <c r="H28" i="263"/>
  <c r="J28" i="263"/>
  <c r="K28" i="263"/>
  <c r="L28" i="263"/>
  <c r="M28" i="263"/>
  <c r="N28" i="263"/>
  <c r="O28" i="263"/>
  <c r="P28" i="263"/>
  <c r="E26" i="263"/>
  <c r="C1" i="263"/>
  <c r="B1" i="263"/>
  <c r="D30" i="263"/>
  <c r="D29" i="263"/>
  <c r="D28" i="263"/>
  <c r="D27" i="263"/>
  <c r="D26" i="263"/>
  <c r="P25" i="263"/>
  <c r="O25" i="263"/>
  <c r="N25" i="263"/>
  <c r="M25" i="263"/>
  <c r="L25" i="263"/>
  <c r="K25" i="263"/>
  <c r="J25" i="263"/>
  <c r="I25" i="263"/>
  <c r="H25" i="263"/>
  <c r="G25" i="263"/>
  <c r="F25" i="263"/>
  <c r="E25" i="263"/>
  <c r="I1" i="263"/>
  <c r="F28" i="262"/>
  <c r="G28" i="262"/>
  <c r="H28" i="262"/>
  <c r="I28" i="262"/>
  <c r="J28" i="262"/>
  <c r="K28" i="262"/>
  <c r="L28" i="262"/>
  <c r="M28" i="262"/>
  <c r="O28" i="262"/>
  <c r="P28" i="262"/>
  <c r="C1" i="262"/>
  <c r="B1" i="262"/>
  <c r="D30" i="262"/>
  <c r="D29" i="262"/>
  <c r="D28" i="262"/>
  <c r="D27" i="262"/>
  <c r="D26" i="262"/>
  <c r="P25" i="262"/>
  <c r="O25" i="262"/>
  <c r="N25" i="262"/>
  <c r="M25" i="262"/>
  <c r="L25" i="262"/>
  <c r="K25" i="262"/>
  <c r="J25" i="262"/>
  <c r="I25" i="262"/>
  <c r="H25" i="262"/>
  <c r="G25" i="262"/>
  <c r="F25" i="262"/>
  <c r="E25" i="262"/>
  <c r="I1" i="262"/>
  <c r="F26" i="261"/>
  <c r="M26" i="261"/>
  <c r="F28" i="261"/>
  <c r="H28" i="261"/>
  <c r="I28" i="261"/>
  <c r="J28" i="261"/>
  <c r="K28" i="261"/>
  <c r="L28" i="261"/>
  <c r="M28" i="261"/>
  <c r="N28" i="261"/>
  <c r="O28" i="261"/>
  <c r="P28" i="261"/>
  <c r="E28" i="261"/>
  <c r="E26" i="261"/>
  <c r="C1" i="261"/>
  <c r="B1" i="261"/>
  <c r="D30" i="261"/>
  <c r="D29" i="261"/>
  <c r="D28" i="261"/>
  <c r="D27" i="261"/>
  <c r="D26" i="261"/>
  <c r="P25" i="261"/>
  <c r="O25" i="261"/>
  <c r="N25" i="261"/>
  <c r="M25" i="261"/>
  <c r="L25" i="261"/>
  <c r="K25" i="261"/>
  <c r="J25" i="261"/>
  <c r="I25" i="261"/>
  <c r="H25" i="261"/>
  <c r="G25" i="261"/>
  <c r="F25" i="261"/>
  <c r="E25" i="261"/>
  <c r="I1" i="261"/>
  <c r="M26" i="260"/>
  <c r="F28" i="260"/>
  <c r="G28" i="260"/>
  <c r="H28" i="260"/>
  <c r="I28" i="260"/>
  <c r="J28" i="260"/>
  <c r="K28" i="260"/>
  <c r="L28" i="260"/>
  <c r="M28" i="260"/>
  <c r="N28" i="260"/>
  <c r="O28" i="260"/>
  <c r="P28" i="260"/>
  <c r="E26" i="260"/>
  <c r="C1" i="260"/>
  <c r="B1" i="260"/>
  <c r="D30" i="260"/>
  <c r="D29" i="260"/>
  <c r="D28" i="260"/>
  <c r="D27" i="260"/>
  <c r="D26" i="260"/>
  <c r="P25" i="260"/>
  <c r="O25" i="260"/>
  <c r="N25" i="260"/>
  <c r="M25" i="260"/>
  <c r="L25" i="260"/>
  <c r="K25" i="260"/>
  <c r="J25" i="260"/>
  <c r="I25" i="260"/>
  <c r="H25" i="260"/>
  <c r="G25" i="260"/>
  <c r="F25" i="260"/>
  <c r="E25" i="260"/>
  <c r="I1" i="260"/>
  <c r="K26" i="259"/>
  <c r="N26" i="259"/>
  <c r="O26" i="259"/>
  <c r="F28" i="259"/>
  <c r="G28" i="259"/>
  <c r="I28" i="259"/>
  <c r="J28" i="259"/>
  <c r="K28" i="259"/>
  <c r="L28" i="259"/>
  <c r="M28" i="259"/>
  <c r="N28" i="259"/>
  <c r="O28" i="259"/>
  <c r="P28" i="259"/>
  <c r="E28" i="259"/>
  <c r="E26" i="259"/>
  <c r="C1" i="259"/>
  <c r="B1" i="259"/>
  <c r="D30" i="259"/>
  <c r="D29" i="259"/>
  <c r="D28" i="259"/>
  <c r="D27" i="259"/>
  <c r="D26" i="259"/>
  <c r="P25" i="259"/>
  <c r="O25" i="259"/>
  <c r="N25" i="259"/>
  <c r="M25" i="259"/>
  <c r="L25" i="259"/>
  <c r="K25" i="259"/>
  <c r="J25" i="259"/>
  <c r="I25" i="259"/>
  <c r="H25" i="259"/>
  <c r="G25" i="259"/>
  <c r="F25" i="259"/>
  <c r="E25" i="259"/>
  <c r="I1" i="259"/>
  <c r="I26" i="258"/>
  <c r="K26" i="258"/>
  <c r="O26" i="258"/>
  <c r="F28" i="258"/>
  <c r="G28" i="258"/>
  <c r="I28" i="258"/>
  <c r="J28" i="258"/>
  <c r="K28" i="258"/>
  <c r="L28" i="258"/>
  <c r="M28" i="258"/>
  <c r="N28" i="258"/>
  <c r="O28" i="258"/>
  <c r="P28" i="258"/>
  <c r="E28" i="258"/>
  <c r="E26" i="258"/>
  <c r="C1" i="258"/>
  <c r="B1" i="258"/>
  <c r="D30" i="258"/>
  <c r="D29" i="258"/>
  <c r="D28" i="258"/>
  <c r="D27" i="258"/>
  <c r="D26" i="258"/>
  <c r="P25" i="258"/>
  <c r="O25" i="258"/>
  <c r="N25" i="258"/>
  <c r="M25" i="258"/>
  <c r="L25" i="258"/>
  <c r="K25" i="258"/>
  <c r="J25" i="258"/>
  <c r="I25" i="258"/>
  <c r="H25" i="258"/>
  <c r="G25" i="258"/>
  <c r="F25" i="258"/>
  <c r="E25" i="258"/>
  <c r="I1" i="258"/>
  <c r="F28" i="257"/>
  <c r="G28" i="257"/>
  <c r="I28" i="257"/>
  <c r="J28" i="257"/>
  <c r="K28" i="257"/>
  <c r="L28" i="257"/>
  <c r="M28" i="257"/>
  <c r="N28" i="257"/>
  <c r="O28" i="257"/>
  <c r="P28" i="257"/>
  <c r="C1" i="257"/>
  <c r="B1" i="257"/>
  <c r="D30" i="257"/>
  <c r="D29" i="257"/>
  <c r="D28" i="257"/>
  <c r="D27" i="257"/>
  <c r="D26" i="257"/>
  <c r="P25" i="257"/>
  <c r="O25" i="257"/>
  <c r="N25" i="257"/>
  <c r="M25" i="257"/>
  <c r="L25" i="257"/>
  <c r="K25" i="257"/>
  <c r="J25" i="257"/>
  <c r="I25" i="257"/>
  <c r="H25" i="257"/>
  <c r="G25" i="257"/>
  <c r="F25" i="257"/>
  <c r="E25" i="257"/>
  <c r="I1" i="257"/>
  <c r="F21" i="256"/>
  <c r="F28" i="256" s="1"/>
  <c r="G21" i="256"/>
  <c r="G28" i="256" s="1"/>
  <c r="H21" i="256"/>
  <c r="I21" i="256"/>
  <c r="I28" i="256" s="1"/>
  <c r="J21" i="256"/>
  <c r="J28" i="256" s="1"/>
  <c r="K21" i="256"/>
  <c r="K28" i="256" s="1"/>
  <c r="L21" i="256"/>
  <c r="L28" i="256" s="1"/>
  <c r="M21" i="256"/>
  <c r="M28" i="256" s="1"/>
  <c r="N21" i="256"/>
  <c r="N28" i="256" s="1"/>
  <c r="O21" i="256"/>
  <c r="O28" i="256" s="1"/>
  <c r="P21" i="256"/>
  <c r="P28" i="256" s="1"/>
  <c r="E21" i="256"/>
  <c r="E28" i="256" s="1"/>
  <c r="C1" i="256"/>
  <c r="B1" i="256"/>
  <c r="D30" i="256"/>
  <c r="D29" i="256"/>
  <c r="D28" i="256"/>
  <c r="D27" i="256"/>
  <c r="D26" i="256"/>
  <c r="P25" i="256"/>
  <c r="O25" i="256"/>
  <c r="N25" i="256"/>
  <c r="M25" i="256"/>
  <c r="L25" i="256"/>
  <c r="K25" i="256"/>
  <c r="J25" i="256"/>
  <c r="I25" i="256"/>
  <c r="H25" i="256"/>
  <c r="G25" i="256"/>
  <c r="F25" i="256"/>
  <c r="E25" i="256"/>
  <c r="I1" i="256"/>
  <c r="F26" i="255"/>
  <c r="H26" i="255"/>
  <c r="I26" i="255"/>
  <c r="N26" i="255"/>
  <c r="P26" i="255"/>
  <c r="F28" i="255"/>
  <c r="G28" i="255"/>
  <c r="H28" i="255"/>
  <c r="I28" i="255"/>
  <c r="J28" i="255"/>
  <c r="K28" i="255"/>
  <c r="L28" i="255"/>
  <c r="M28" i="255"/>
  <c r="N28" i="255"/>
  <c r="O28" i="255"/>
  <c r="P28" i="255"/>
  <c r="E26" i="255"/>
  <c r="C1" i="255"/>
  <c r="B1" i="255"/>
  <c r="D30" i="255"/>
  <c r="D29" i="255"/>
  <c r="D28" i="255"/>
  <c r="D27" i="255"/>
  <c r="D26" i="255"/>
  <c r="P25" i="255"/>
  <c r="O25" i="255"/>
  <c r="N25" i="255"/>
  <c r="M25" i="255"/>
  <c r="L25" i="255"/>
  <c r="K25" i="255"/>
  <c r="J25" i="255"/>
  <c r="I25" i="255"/>
  <c r="H25" i="255"/>
  <c r="G25" i="255"/>
  <c r="F25" i="255"/>
  <c r="E25" i="255"/>
  <c r="I1" i="255"/>
  <c r="I26" i="254"/>
  <c r="K26" i="254"/>
  <c r="L26" i="254"/>
  <c r="F28" i="254"/>
  <c r="G28" i="254"/>
  <c r="H28" i="254"/>
  <c r="I28" i="254"/>
  <c r="J28" i="254"/>
  <c r="K28" i="254"/>
  <c r="L28" i="254"/>
  <c r="M28" i="254"/>
  <c r="N28" i="254"/>
  <c r="O28" i="254"/>
  <c r="P28" i="254"/>
  <c r="E28" i="254"/>
  <c r="E22" i="254"/>
  <c r="E29" i="254" s="1"/>
  <c r="C1" i="254"/>
  <c r="B1" i="254"/>
  <c r="D30" i="254"/>
  <c r="D29" i="254"/>
  <c r="D28" i="254"/>
  <c r="D27" i="254"/>
  <c r="D26" i="254"/>
  <c r="P25" i="254"/>
  <c r="O25" i="254"/>
  <c r="N25" i="254"/>
  <c r="M25" i="254"/>
  <c r="L25" i="254"/>
  <c r="K25" i="254"/>
  <c r="J25" i="254"/>
  <c r="I25" i="254"/>
  <c r="H25" i="254"/>
  <c r="G25" i="254"/>
  <c r="F25" i="254"/>
  <c r="E25" i="254"/>
  <c r="I1" i="254"/>
  <c r="I26" i="253"/>
  <c r="K26" i="253"/>
  <c r="L26" i="253"/>
  <c r="M23" i="253"/>
  <c r="P26" i="253"/>
  <c r="F28" i="253"/>
  <c r="G28" i="253"/>
  <c r="H28" i="253"/>
  <c r="I28" i="253"/>
  <c r="J28" i="253"/>
  <c r="K28" i="253"/>
  <c r="L28" i="253"/>
  <c r="M28" i="253"/>
  <c r="N28" i="253"/>
  <c r="O28" i="253"/>
  <c r="P28" i="253"/>
  <c r="E26" i="253"/>
  <c r="C1" i="253"/>
  <c r="B1" i="253"/>
  <c r="D30" i="253"/>
  <c r="D29" i="253"/>
  <c r="D28" i="253"/>
  <c r="D27" i="253"/>
  <c r="D26" i="253"/>
  <c r="P25" i="253"/>
  <c r="O25" i="253"/>
  <c r="N25" i="253"/>
  <c r="M25" i="253"/>
  <c r="L25" i="253"/>
  <c r="K25" i="253"/>
  <c r="J25" i="253"/>
  <c r="I25" i="253"/>
  <c r="H25" i="253"/>
  <c r="G25" i="253"/>
  <c r="F25" i="253"/>
  <c r="E25" i="253"/>
  <c r="I1" i="253"/>
  <c r="H26" i="252"/>
  <c r="I26" i="252"/>
  <c r="O26" i="252"/>
  <c r="P26" i="252"/>
  <c r="F28" i="252"/>
  <c r="G28" i="252"/>
  <c r="H28" i="252"/>
  <c r="I28" i="252"/>
  <c r="K28" i="252"/>
  <c r="L28" i="252"/>
  <c r="M28" i="252"/>
  <c r="N28" i="252"/>
  <c r="O28" i="252"/>
  <c r="P28" i="252"/>
  <c r="E28" i="252"/>
  <c r="E26" i="252"/>
  <c r="C1" i="252"/>
  <c r="B1" i="252"/>
  <c r="D30" i="252"/>
  <c r="D29" i="252"/>
  <c r="D28" i="252"/>
  <c r="D27" i="252"/>
  <c r="D26" i="252"/>
  <c r="P25" i="252"/>
  <c r="O25" i="252"/>
  <c r="N25" i="252"/>
  <c r="M25" i="252"/>
  <c r="L25" i="252"/>
  <c r="K25" i="252"/>
  <c r="J25" i="252"/>
  <c r="I25" i="252"/>
  <c r="H25" i="252"/>
  <c r="G25" i="252"/>
  <c r="F25" i="252"/>
  <c r="E25" i="252"/>
  <c r="I1" i="252"/>
  <c r="F26" i="251"/>
  <c r="H26" i="251"/>
  <c r="I26" i="251"/>
  <c r="K26" i="251"/>
  <c r="L26" i="251"/>
  <c r="P26" i="251"/>
  <c r="F28" i="251"/>
  <c r="G28" i="251"/>
  <c r="H28" i="251"/>
  <c r="I28" i="251"/>
  <c r="K28" i="251"/>
  <c r="L28" i="251"/>
  <c r="M28" i="251"/>
  <c r="N28" i="251"/>
  <c r="O28" i="251"/>
  <c r="P28" i="251"/>
  <c r="E26" i="251"/>
  <c r="C1" i="251"/>
  <c r="B1" i="251"/>
  <c r="D30" i="251"/>
  <c r="D29" i="251"/>
  <c r="D28" i="251"/>
  <c r="D27" i="251"/>
  <c r="D26" i="251"/>
  <c r="P25" i="251"/>
  <c r="O25" i="251"/>
  <c r="N25" i="251"/>
  <c r="M25" i="251"/>
  <c r="L25" i="251"/>
  <c r="K25" i="251"/>
  <c r="J25" i="251"/>
  <c r="I25" i="251"/>
  <c r="H25" i="251"/>
  <c r="G25" i="251"/>
  <c r="F25" i="251"/>
  <c r="E25" i="251"/>
  <c r="I1" i="251"/>
  <c r="F28" i="250"/>
  <c r="J28" i="250"/>
  <c r="L28" i="250"/>
  <c r="M28" i="250"/>
  <c r="N28" i="250"/>
  <c r="C1" i="250"/>
  <c r="B1" i="250"/>
  <c r="D30" i="250"/>
  <c r="D29" i="250"/>
  <c r="D28" i="250"/>
  <c r="D27" i="250"/>
  <c r="D26" i="250"/>
  <c r="P25" i="250"/>
  <c r="O25" i="250"/>
  <c r="N25" i="250"/>
  <c r="M25" i="250"/>
  <c r="L25" i="250"/>
  <c r="K25" i="250"/>
  <c r="J25" i="250"/>
  <c r="I25" i="250"/>
  <c r="H25" i="250"/>
  <c r="G25" i="250"/>
  <c r="F25" i="250"/>
  <c r="E25" i="250"/>
  <c r="I1" i="250"/>
  <c r="F26" i="249"/>
  <c r="G26" i="249"/>
  <c r="L26" i="249"/>
  <c r="N26" i="249"/>
  <c r="P26" i="249"/>
  <c r="F28" i="249"/>
  <c r="G28" i="249"/>
  <c r="H28" i="249"/>
  <c r="I28" i="249"/>
  <c r="K28" i="249"/>
  <c r="L28" i="249"/>
  <c r="M28" i="249"/>
  <c r="N28" i="249"/>
  <c r="O28" i="249"/>
  <c r="P28" i="249"/>
  <c r="E28" i="249"/>
  <c r="E26" i="249"/>
  <c r="C1" i="249"/>
  <c r="B1" i="249"/>
  <c r="D30" i="249"/>
  <c r="D29" i="249"/>
  <c r="D28" i="249"/>
  <c r="D27" i="249"/>
  <c r="D26" i="249"/>
  <c r="P25" i="249"/>
  <c r="O25" i="249"/>
  <c r="N25" i="249"/>
  <c r="M25" i="249"/>
  <c r="L25" i="249"/>
  <c r="K25" i="249"/>
  <c r="J25" i="249"/>
  <c r="I25" i="249"/>
  <c r="H25" i="249"/>
  <c r="G25" i="249"/>
  <c r="F25" i="249"/>
  <c r="E25" i="249"/>
  <c r="I1" i="249"/>
  <c r="L26" i="248"/>
  <c r="P26" i="248"/>
  <c r="F28" i="248"/>
  <c r="H28" i="248"/>
  <c r="I28" i="248"/>
  <c r="J28" i="248"/>
  <c r="K28" i="248"/>
  <c r="L28" i="248"/>
  <c r="M28" i="248"/>
  <c r="N28" i="248"/>
  <c r="O28" i="248"/>
  <c r="P28" i="248"/>
  <c r="E28" i="248"/>
  <c r="C1" i="248"/>
  <c r="B1" i="248"/>
  <c r="D30" i="248"/>
  <c r="D29" i="248"/>
  <c r="D28" i="248"/>
  <c r="D27" i="248"/>
  <c r="D26" i="248"/>
  <c r="P25" i="248"/>
  <c r="O25" i="248"/>
  <c r="N25" i="248"/>
  <c r="M25" i="248"/>
  <c r="L25" i="248"/>
  <c r="K25" i="248"/>
  <c r="J25" i="248"/>
  <c r="I25" i="248"/>
  <c r="H25" i="248"/>
  <c r="G25" i="248"/>
  <c r="F25" i="248"/>
  <c r="E25" i="248"/>
  <c r="I1" i="248"/>
  <c r="F26" i="247"/>
  <c r="H26" i="247"/>
  <c r="N26" i="247"/>
  <c r="P26" i="247"/>
  <c r="F28" i="247"/>
  <c r="G28" i="247"/>
  <c r="H28" i="247"/>
  <c r="I28" i="247"/>
  <c r="J28" i="247"/>
  <c r="K28" i="247"/>
  <c r="L28" i="247"/>
  <c r="M28" i="247"/>
  <c r="N28" i="247"/>
  <c r="O28" i="247"/>
  <c r="P28" i="247"/>
  <c r="C1" i="247"/>
  <c r="B1" i="247"/>
  <c r="D30" i="247"/>
  <c r="D29" i="247"/>
  <c r="D28" i="247"/>
  <c r="D27" i="247"/>
  <c r="D26" i="247"/>
  <c r="P25" i="247"/>
  <c r="O25" i="247"/>
  <c r="N25" i="247"/>
  <c r="M25" i="247"/>
  <c r="L25" i="247"/>
  <c r="K25" i="247"/>
  <c r="J25" i="247"/>
  <c r="I25" i="247"/>
  <c r="H25" i="247"/>
  <c r="G25" i="247"/>
  <c r="F25" i="247"/>
  <c r="E25" i="247"/>
  <c r="I1" i="247"/>
  <c r="M22" i="246"/>
  <c r="N26" i="246"/>
  <c r="G28" i="246"/>
  <c r="H28" i="246"/>
  <c r="I28" i="246"/>
  <c r="J28" i="246"/>
  <c r="K28" i="246"/>
  <c r="L28" i="246"/>
  <c r="M28" i="246"/>
  <c r="N28" i="246"/>
  <c r="O28" i="246"/>
  <c r="P28" i="246"/>
  <c r="E28" i="246"/>
  <c r="C1" i="246"/>
  <c r="B1" i="246"/>
  <c r="D30" i="246"/>
  <c r="D29" i="246"/>
  <c r="D28" i="246"/>
  <c r="D27" i="246"/>
  <c r="D26" i="246"/>
  <c r="P25" i="246"/>
  <c r="O25" i="246"/>
  <c r="N25" i="246"/>
  <c r="M25" i="246"/>
  <c r="L25" i="246"/>
  <c r="K25" i="246"/>
  <c r="J25" i="246"/>
  <c r="I25" i="246"/>
  <c r="H25" i="246"/>
  <c r="G25" i="246"/>
  <c r="F25" i="246"/>
  <c r="E25" i="246"/>
  <c r="I1" i="246"/>
  <c r="F26" i="245"/>
  <c r="I26" i="245"/>
  <c r="M26" i="245"/>
  <c r="N26" i="245"/>
  <c r="F28" i="245"/>
  <c r="G28" i="245"/>
  <c r="H28" i="245"/>
  <c r="I28" i="245"/>
  <c r="K28" i="245"/>
  <c r="L28" i="245"/>
  <c r="M28" i="245"/>
  <c r="N28" i="245"/>
  <c r="O28" i="245"/>
  <c r="P28" i="245"/>
  <c r="E28" i="245"/>
  <c r="E26" i="245"/>
  <c r="C1" i="245"/>
  <c r="B1" i="245"/>
  <c r="D30" i="245"/>
  <c r="D29" i="245"/>
  <c r="D28" i="245"/>
  <c r="D27" i="245"/>
  <c r="D26" i="245"/>
  <c r="P25" i="245"/>
  <c r="O25" i="245"/>
  <c r="N25" i="245"/>
  <c r="M25" i="245"/>
  <c r="L25" i="245"/>
  <c r="K25" i="245"/>
  <c r="J25" i="245"/>
  <c r="I25" i="245"/>
  <c r="H25" i="245"/>
  <c r="G25" i="245"/>
  <c r="F25" i="245"/>
  <c r="E25" i="245"/>
  <c r="I1" i="245"/>
  <c r="H28" i="244"/>
  <c r="I28" i="244"/>
  <c r="J28" i="244"/>
  <c r="L28" i="244"/>
  <c r="N28" i="244"/>
  <c r="C1" i="244"/>
  <c r="B1" i="244"/>
  <c r="D30" i="244"/>
  <c r="D29" i="244"/>
  <c r="D28" i="244"/>
  <c r="D27" i="244"/>
  <c r="D26" i="244"/>
  <c r="P25" i="244"/>
  <c r="O25" i="244"/>
  <c r="N25" i="244"/>
  <c r="M25" i="244"/>
  <c r="L25" i="244"/>
  <c r="K25" i="244"/>
  <c r="J25" i="244"/>
  <c r="I25" i="244"/>
  <c r="H25" i="244"/>
  <c r="G25" i="244"/>
  <c r="F25" i="244"/>
  <c r="E25" i="244"/>
  <c r="I1" i="244"/>
  <c r="I26" i="243"/>
  <c r="M26" i="243"/>
  <c r="F28" i="243"/>
  <c r="G28" i="243"/>
  <c r="H28" i="243"/>
  <c r="I28" i="243"/>
  <c r="J28" i="243"/>
  <c r="K28" i="243"/>
  <c r="L28" i="243"/>
  <c r="M28" i="243"/>
  <c r="N28" i="243"/>
  <c r="O28" i="243"/>
  <c r="P28" i="243"/>
  <c r="E26" i="243"/>
  <c r="C1" i="243"/>
  <c r="B1" i="243"/>
  <c r="D30" i="243"/>
  <c r="D29" i="243"/>
  <c r="D28" i="243"/>
  <c r="D27" i="243"/>
  <c r="D26" i="243"/>
  <c r="P25" i="243"/>
  <c r="O25" i="243"/>
  <c r="N25" i="243"/>
  <c r="M25" i="243"/>
  <c r="L25" i="243"/>
  <c r="K25" i="243"/>
  <c r="J25" i="243"/>
  <c r="I25" i="243"/>
  <c r="H25" i="243"/>
  <c r="G25" i="243"/>
  <c r="F25" i="243"/>
  <c r="E25" i="243"/>
  <c r="I1" i="243"/>
  <c r="F26" i="242"/>
  <c r="G26" i="242"/>
  <c r="K26" i="242"/>
  <c r="M26" i="242"/>
  <c r="G28" i="242"/>
  <c r="H28" i="242"/>
  <c r="I28" i="242"/>
  <c r="J28" i="242"/>
  <c r="K28" i="242"/>
  <c r="L28" i="242"/>
  <c r="M28" i="242"/>
  <c r="N28" i="242"/>
  <c r="O28" i="242"/>
  <c r="P28" i="242"/>
  <c r="E26" i="242"/>
  <c r="C1" i="242"/>
  <c r="B1" i="242"/>
  <c r="D30" i="242"/>
  <c r="D29" i="242"/>
  <c r="D28" i="242"/>
  <c r="D27" i="242"/>
  <c r="D26" i="242"/>
  <c r="P25" i="242"/>
  <c r="O25" i="242"/>
  <c r="N25" i="242"/>
  <c r="M25" i="242"/>
  <c r="L25" i="242"/>
  <c r="K25" i="242"/>
  <c r="J25" i="242"/>
  <c r="I25" i="242"/>
  <c r="H25" i="242"/>
  <c r="G25" i="242"/>
  <c r="F25" i="242"/>
  <c r="E25" i="242"/>
  <c r="I1" i="242"/>
  <c r="L22" i="241"/>
  <c r="M26" i="241"/>
  <c r="F28" i="241"/>
  <c r="G28" i="241"/>
  <c r="H28" i="241"/>
  <c r="I28" i="241"/>
  <c r="K28" i="241"/>
  <c r="L28" i="241"/>
  <c r="M28" i="241"/>
  <c r="N28" i="241"/>
  <c r="O28" i="241"/>
  <c r="P28" i="241"/>
  <c r="E28" i="241"/>
  <c r="E26" i="241"/>
  <c r="C1" i="241"/>
  <c r="B1" i="241"/>
  <c r="D30" i="241"/>
  <c r="D29" i="241"/>
  <c r="D28" i="241"/>
  <c r="D27" i="241"/>
  <c r="D26" i="241"/>
  <c r="P25" i="241"/>
  <c r="O25" i="241"/>
  <c r="N25" i="241"/>
  <c r="M25" i="241"/>
  <c r="L25" i="241"/>
  <c r="K25" i="241"/>
  <c r="J25" i="241"/>
  <c r="I25" i="241"/>
  <c r="H25" i="241"/>
  <c r="G25" i="241"/>
  <c r="F25" i="241"/>
  <c r="E25" i="241"/>
  <c r="I1" i="241"/>
  <c r="I26" i="240"/>
  <c r="K26" i="240"/>
  <c r="O26" i="240"/>
  <c r="P26" i="240"/>
  <c r="F28" i="240"/>
  <c r="H28" i="240"/>
  <c r="I28" i="240"/>
  <c r="J28" i="240"/>
  <c r="K28" i="240"/>
  <c r="L28" i="240"/>
  <c r="M28" i="240"/>
  <c r="N28" i="240"/>
  <c r="O28" i="240"/>
  <c r="P28" i="240"/>
  <c r="E28" i="240"/>
  <c r="E26" i="240"/>
  <c r="C1" i="240"/>
  <c r="B1" i="240"/>
  <c r="D30" i="240"/>
  <c r="D29" i="240"/>
  <c r="D28" i="240"/>
  <c r="D27" i="240"/>
  <c r="D26" i="240"/>
  <c r="P25" i="240"/>
  <c r="O25" i="240"/>
  <c r="N25" i="240"/>
  <c r="M25" i="240"/>
  <c r="L25" i="240"/>
  <c r="K25" i="240"/>
  <c r="J25" i="240"/>
  <c r="I25" i="240"/>
  <c r="H25" i="240"/>
  <c r="G25" i="240"/>
  <c r="F25" i="240"/>
  <c r="E25" i="240"/>
  <c r="I1" i="240"/>
  <c r="G26" i="239"/>
  <c r="J26" i="239"/>
  <c r="L26" i="239"/>
  <c r="O26" i="239"/>
  <c r="G28" i="239"/>
  <c r="H28" i="239"/>
  <c r="I28" i="239"/>
  <c r="J28" i="239"/>
  <c r="K28" i="239"/>
  <c r="L28" i="239"/>
  <c r="M28" i="239"/>
  <c r="N28" i="239"/>
  <c r="O28" i="239"/>
  <c r="P28" i="239"/>
  <c r="E28" i="239"/>
  <c r="C1" i="239"/>
  <c r="B1" i="239"/>
  <c r="D30" i="239"/>
  <c r="D29" i="239"/>
  <c r="D28" i="239"/>
  <c r="D27" i="239"/>
  <c r="D26" i="239"/>
  <c r="P25" i="239"/>
  <c r="O25" i="239"/>
  <c r="N25" i="239"/>
  <c r="M25" i="239"/>
  <c r="L25" i="239"/>
  <c r="K25" i="239"/>
  <c r="J25" i="239"/>
  <c r="I25" i="239"/>
  <c r="H25" i="239"/>
  <c r="G25" i="239"/>
  <c r="F25" i="239"/>
  <c r="E25" i="239"/>
  <c r="I1" i="239"/>
  <c r="G28" i="238"/>
  <c r="H28" i="238"/>
  <c r="I28" i="238"/>
  <c r="J28" i="238"/>
  <c r="K28" i="238"/>
  <c r="L28" i="238"/>
  <c r="M28" i="238"/>
  <c r="N28" i="238"/>
  <c r="O28" i="238"/>
  <c r="P28" i="238"/>
  <c r="E28" i="238"/>
  <c r="C1" i="238"/>
  <c r="B1" i="238"/>
  <c r="D30" i="238"/>
  <c r="D29" i="238"/>
  <c r="D28" i="238"/>
  <c r="D27" i="238"/>
  <c r="D26" i="238"/>
  <c r="P25" i="238"/>
  <c r="O25" i="238"/>
  <c r="N25" i="238"/>
  <c r="M25" i="238"/>
  <c r="L25" i="238"/>
  <c r="K25" i="238"/>
  <c r="J25" i="238"/>
  <c r="I25" i="238"/>
  <c r="H25" i="238"/>
  <c r="G25" i="238"/>
  <c r="F25" i="238"/>
  <c r="E25" i="238"/>
  <c r="I1" i="238"/>
  <c r="F26" i="237"/>
  <c r="G26" i="237"/>
  <c r="H22" i="237"/>
  <c r="L26" i="237"/>
  <c r="F28" i="237"/>
  <c r="G28" i="237"/>
  <c r="H28" i="237"/>
  <c r="I28" i="237"/>
  <c r="J28" i="237"/>
  <c r="K28" i="237"/>
  <c r="L28" i="237"/>
  <c r="M28" i="237"/>
  <c r="N28" i="237"/>
  <c r="P28" i="237"/>
  <c r="E28" i="237"/>
  <c r="C1" i="237"/>
  <c r="B1" i="237"/>
  <c r="D30" i="237"/>
  <c r="D29" i="237"/>
  <c r="D28" i="237"/>
  <c r="D27" i="237"/>
  <c r="D26" i="237"/>
  <c r="P25" i="237"/>
  <c r="O25" i="237"/>
  <c r="N25" i="237"/>
  <c r="M25" i="237"/>
  <c r="L25" i="237"/>
  <c r="K25" i="237"/>
  <c r="J25" i="237"/>
  <c r="I25" i="237"/>
  <c r="H25" i="237"/>
  <c r="G25" i="237"/>
  <c r="F25" i="237"/>
  <c r="E25" i="237"/>
  <c r="I1" i="237"/>
  <c r="F26" i="236"/>
  <c r="O26" i="236"/>
  <c r="F28" i="236"/>
  <c r="G28" i="236"/>
  <c r="H28" i="236"/>
  <c r="I28" i="236"/>
  <c r="J28" i="236"/>
  <c r="K28" i="236"/>
  <c r="M28" i="236"/>
  <c r="N28" i="236"/>
  <c r="O28" i="236"/>
  <c r="P28" i="236"/>
  <c r="C1" i="236"/>
  <c r="B1" i="236"/>
  <c r="D30" i="236"/>
  <c r="D29" i="236"/>
  <c r="D28" i="236"/>
  <c r="D27" i="236"/>
  <c r="D26" i="236"/>
  <c r="P25" i="236"/>
  <c r="O25" i="236"/>
  <c r="N25" i="236"/>
  <c r="M25" i="236"/>
  <c r="L25" i="236"/>
  <c r="K25" i="236"/>
  <c r="J25" i="236"/>
  <c r="I25" i="236"/>
  <c r="H25" i="236"/>
  <c r="G25" i="236"/>
  <c r="F25" i="236"/>
  <c r="E25" i="236"/>
  <c r="I1" i="236"/>
  <c r="J26" i="235"/>
  <c r="K26" i="235"/>
  <c r="F28" i="235"/>
  <c r="G28" i="235"/>
  <c r="H28" i="235"/>
  <c r="I28" i="235"/>
  <c r="J28" i="235"/>
  <c r="K28" i="235"/>
  <c r="L28" i="235"/>
  <c r="M28" i="235"/>
  <c r="N28" i="235"/>
  <c r="O28" i="235"/>
  <c r="P28" i="235"/>
  <c r="C1" i="235"/>
  <c r="B1" i="235"/>
  <c r="D30" i="235"/>
  <c r="D29" i="235"/>
  <c r="D28" i="235"/>
  <c r="D27" i="235"/>
  <c r="D26" i="235"/>
  <c r="P25" i="235"/>
  <c r="O25" i="235"/>
  <c r="N25" i="235"/>
  <c r="M25" i="235"/>
  <c r="L25" i="235"/>
  <c r="K25" i="235"/>
  <c r="J25" i="235"/>
  <c r="I25" i="235"/>
  <c r="H25" i="235"/>
  <c r="G25" i="235"/>
  <c r="F25" i="235"/>
  <c r="E25" i="235"/>
  <c r="I1" i="235"/>
  <c r="G26" i="234"/>
  <c r="K26" i="234"/>
  <c r="F28" i="234"/>
  <c r="G28" i="234"/>
  <c r="I28" i="234"/>
  <c r="J28" i="234"/>
  <c r="K28" i="234"/>
  <c r="L28" i="234"/>
  <c r="M28" i="234"/>
  <c r="N28" i="234"/>
  <c r="O28" i="234"/>
  <c r="P28" i="234"/>
  <c r="E26" i="234"/>
  <c r="C1" i="234"/>
  <c r="B1" i="234"/>
  <c r="D30" i="234"/>
  <c r="D29" i="234"/>
  <c r="D28" i="234"/>
  <c r="D27" i="234"/>
  <c r="D26" i="234"/>
  <c r="P25" i="234"/>
  <c r="O25" i="234"/>
  <c r="N25" i="234"/>
  <c r="M25" i="234"/>
  <c r="L25" i="234"/>
  <c r="K25" i="234"/>
  <c r="J25" i="234"/>
  <c r="I25" i="234"/>
  <c r="H25" i="234"/>
  <c r="G25" i="234"/>
  <c r="F25" i="234"/>
  <c r="E25" i="234"/>
  <c r="I1" i="234"/>
  <c r="B2" i="34"/>
  <c r="F26" i="233"/>
  <c r="G26" i="233"/>
  <c r="K26" i="233"/>
  <c r="F28" i="233"/>
  <c r="G28" i="233"/>
  <c r="H28" i="233"/>
  <c r="I28" i="233"/>
  <c r="J28" i="233"/>
  <c r="K28" i="233"/>
  <c r="L28" i="233"/>
  <c r="M28" i="233"/>
  <c r="N28" i="233"/>
  <c r="O28" i="233"/>
  <c r="P28" i="233"/>
  <c r="E28" i="233"/>
  <c r="C1" i="233"/>
  <c r="B1" i="233"/>
  <c r="D30" i="233"/>
  <c r="D29" i="233"/>
  <c r="D28" i="233"/>
  <c r="D27" i="233"/>
  <c r="D26" i="233"/>
  <c r="P25" i="233"/>
  <c r="O25" i="233"/>
  <c r="N25" i="233"/>
  <c r="M25" i="233"/>
  <c r="L25" i="233"/>
  <c r="K25" i="233"/>
  <c r="J25" i="233"/>
  <c r="I25" i="233"/>
  <c r="H25" i="233"/>
  <c r="G25" i="233"/>
  <c r="F25" i="233"/>
  <c r="E25" i="233"/>
  <c r="I1" i="233"/>
  <c r="C1" i="232"/>
  <c r="B1" i="232"/>
  <c r="D30" i="232"/>
  <c r="D29" i="232"/>
  <c r="D28" i="232"/>
  <c r="D27" i="232"/>
  <c r="D26" i="232"/>
  <c r="P25" i="232"/>
  <c r="O25" i="232"/>
  <c r="N25" i="232"/>
  <c r="M25" i="232"/>
  <c r="L25" i="232"/>
  <c r="K25" i="232"/>
  <c r="J25" i="232"/>
  <c r="I25" i="232"/>
  <c r="H25" i="232"/>
  <c r="G25" i="232"/>
  <c r="F25" i="232"/>
  <c r="E25" i="232"/>
  <c r="I1" i="232"/>
  <c r="F19" i="231"/>
  <c r="G19" i="231"/>
  <c r="H19" i="231"/>
  <c r="I19" i="231"/>
  <c r="J19" i="231"/>
  <c r="K19" i="231"/>
  <c r="L19" i="231"/>
  <c r="M19" i="231"/>
  <c r="N19" i="231"/>
  <c r="O19" i="231"/>
  <c r="P19" i="231"/>
  <c r="E28" i="231"/>
  <c r="E19" i="231"/>
  <c r="C1" i="231"/>
  <c r="B1" i="231"/>
  <c r="D30" i="231"/>
  <c r="D29" i="231"/>
  <c r="D28" i="231"/>
  <c r="D27" i="231"/>
  <c r="D26" i="231"/>
  <c r="P25" i="231"/>
  <c r="O25" i="231"/>
  <c r="N25" i="231"/>
  <c r="M25" i="231"/>
  <c r="L25" i="231"/>
  <c r="K25" i="231"/>
  <c r="J25" i="231"/>
  <c r="I25" i="231"/>
  <c r="H25" i="231"/>
  <c r="G25" i="231"/>
  <c r="F25" i="231"/>
  <c r="E25" i="231"/>
  <c r="I1" i="231"/>
  <c r="F19" i="230"/>
  <c r="G19" i="230"/>
  <c r="G22" i="230" s="1"/>
  <c r="H19" i="230"/>
  <c r="I19" i="230"/>
  <c r="J19" i="230"/>
  <c r="K19" i="230"/>
  <c r="K22" i="230" s="1"/>
  <c r="L19" i="230"/>
  <c r="L22" i="230" s="1"/>
  <c r="M19" i="230"/>
  <c r="M22" i="230" s="1"/>
  <c r="N19" i="230"/>
  <c r="N22" i="230" s="1"/>
  <c r="O19" i="230"/>
  <c r="O22" i="230" s="1"/>
  <c r="P19" i="230"/>
  <c r="E19" i="230"/>
  <c r="C1" i="230"/>
  <c r="B1" i="230"/>
  <c r="D30" i="230"/>
  <c r="D29" i="230"/>
  <c r="D28" i="230"/>
  <c r="D27" i="230"/>
  <c r="D26" i="230"/>
  <c r="P25" i="230"/>
  <c r="O25" i="230"/>
  <c r="N25" i="230"/>
  <c r="M25" i="230"/>
  <c r="L25" i="230"/>
  <c r="K25" i="230"/>
  <c r="J25" i="230"/>
  <c r="I25" i="230"/>
  <c r="H25" i="230"/>
  <c r="G25" i="230"/>
  <c r="F25" i="230"/>
  <c r="E25" i="230"/>
  <c r="I1" i="230"/>
  <c r="F19" i="228"/>
  <c r="G19" i="228"/>
  <c r="H19" i="228"/>
  <c r="I19" i="228"/>
  <c r="J19" i="228"/>
  <c r="K19" i="228"/>
  <c r="K22" i="228" s="1"/>
  <c r="L19" i="228"/>
  <c r="M19" i="228"/>
  <c r="M22" i="228" s="1"/>
  <c r="N19" i="228"/>
  <c r="N22" i="228" s="1"/>
  <c r="O19" i="228"/>
  <c r="P19" i="228"/>
  <c r="P22" i="228" s="1"/>
  <c r="E19" i="228"/>
  <c r="E26" i="228" s="1"/>
  <c r="C1" i="228"/>
  <c r="B1" i="228"/>
  <c r="D30" i="228"/>
  <c r="D29" i="228"/>
  <c r="D28" i="228"/>
  <c r="D27" i="228"/>
  <c r="D26" i="228"/>
  <c r="P25" i="228"/>
  <c r="O25" i="228"/>
  <c r="N25" i="228"/>
  <c r="M25" i="228"/>
  <c r="L25" i="228"/>
  <c r="K25" i="228"/>
  <c r="J25" i="228"/>
  <c r="I25" i="228"/>
  <c r="H25" i="228"/>
  <c r="G25" i="228"/>
  <c r="F25" i="228"/>
  <c r="E25" i="228"/>
  <c r="I1" i="228"/>
  <c r="F19" i="227"/>
  <c r="G19" i="227"/>
  <c r="H19" i="227"/>
  <c r="I19" i="227"/>
  <c r="J19" i="227"/>
  <c r="K19" i="227"/>
  <c r="L19" i="227"/>
  <c r="M19" i="227"/>
  <c r="N19" i="227"/>
  <c r="O19" i="227"/>
  <c r="P19" i="227"/>
  <c r="E19" i="227"/>
  <c r="C1" i="227"/>
  <c r="B1" i="227"/>
  <c r="D30" i="227"/>
  <c r="D29" i="227"/>
  <c r="D28" i="227"/>
  <c r="D27" i="227"/>
  <c r="D26" i="227"/>
  <c r="P25" i="227"/>
  <c r="O25" i="227"/>
  <c r="N25" i="227"/>
  <c r="M25" i="227"/>
  <c r="L25" i="227"/>
  <c r="K25" i="227"/>
  <c r="J25" i="227"/>
  <c r="I25" i="227"/>
  <c r="H25" i="227"/>
  <c r="G25" i="227"/>
  <c r="F25" i="227"/>
  <c r="E25" i="227"/>
  <c r="K22" i="227"/>
  <c r="I1" i="227"/>
  <c r="F19" i="226"/>
  <c r="G19" i="226"/>
  <c r="H19" i="226"/>
  <c r="I19" i="226"/>
  <c r="J19" i="226"/>
  <c r="K19" i="226"/>
  <c r="L19" i="226"/>
  <c r="M19" i="226"/>
  <c r="N19" i="226"/>
  <c r="N23" i="226" s="1"/>
  <c r="O19" i="226"/>
  <c r="P19" i="226"/>
  <c r="E19" i="226"/>
  <c r="E26" i="226" s="1"/>
  <c r="C1" i="226"/>
  <c r="B1" i="226"/>
  <c r="D30" i="226"/>
  <c r="D29" i="226"/>
  <c r="D28" i="226"/>
  <c r="D27" i="226"/>
  <c r="D26" i="226"/>
  <c r="P25" i="226"/>
  <c r="O25" i="226"/>
  <c r="N25" i="226"/>
  <c r="M25" i="226"/>
  <c r="L25" i="226"/>
  <c r="K25" i="226"/>
  <c r="J25" i="226"/>
  <c r="I25" i="226"/>
  <c r="H25" i="226"/>
  <c r="G25" i="226"/>
  <c r="F25" i="226"/>
  <c r="E25" i="226"/>
  <c r="I1" i="226"/>
  <c r="C1" i="225"/>
  <c r="B1" i="225"/>
  <c r="D30" i="225"/>
  <c r="D29" i="225"/>
  <c r="D28" i="225"/>
  <c r="D27" i="225"/>
  <c r="D26" i="225"/>
  <c r="P25" i="225"/>
  <c r="O25" i="225"/>
  <c r="N25" i="225"/>
  <c r="M25" i="225"/>
  <c r="L25" i="225"/>
  <c r="K25" i="225"/>
  <c r="J25" i="225"/>
  <c r="I25" i="225"/>
  <c r="H25" i="225"/>
  <c r="G25" i="225"/>
  <c r="F25" i="225"/>
  <c r="E25" i="225"/>
  <c r="I1" i="225"/>
  <c r="F19" i="224"/>
  <c r="G19" i="224"/>
  <c r="H19" i="224"/>
  <c r="I19" i="224"/>
  <c r="J19" i="224"/>
  <c r="K19" i="224"/>
  <c r="L19" i="224"/>
  <c r="M19" i="224"/>
  <c r="N19" i="224"/>
  <c r="O19" i="224"/>
  <c r="P19" i="224"/>
  <c r="E28" i="224"/>
  <c r="E19" i="224"/>
  <c r="C1" i="224"/>
  <c r="B1" i="224"/>
  <c r="D30" i="224"/>
  <c r="D29" i="224"/>
  <c r="D28" i="224"/>
  <c r="D27" i="224"/>
  <c r="D26" i="224"/>
  <c r="P25" i="224"/>
  <c r="O25" i="224"/>
  <c r="N25" i="224"/>
  <c r="M25" i="224"/>
  <c r="L25" i="224"/>
  <c r="K25" i="224"/>
  <c r="J25" i="224"/>
  <c r="I25" i="224"/>
  <c r="H25" i="224"/>
  <c r="G25" i="224"/>
  <c r="F25" i="224"/>
  <c r="E25" i="224"/>
  <c r="I1" i="224"/>
  <c r="F19" i="223"/>
  <c r="G19" i="223"/>
  <c r="H19" i="223"/>
  <c r="H22" i="223" s="1"/>
  <c r="I19" i="223"/>
  <c r="J19" i="223"/>
  <c r="K19" i="223"/>
  <c r="L19" i="223"/>
  <c r="L22" i="223" s="1"/>
  <c r="M19" i="223"/>
  <c r="M22" i="223" s="1"/>
  <c r="N19" i="223"/>
  <c r="N22" i="223" s="1"/>
  <c r="O19" i="223"/>
  <c r="P19" i="223"/>
  <c r="P22" i="223"/>
  <c r="E19" i="223"/>
  <c r="E26" i="223" s="1"/>
  <c r="C1" i="223"/>
  <c r="B1" i="223"/>
  <c r="D30" i="223"/>
  <c r="D29" i="223"/>
  <c r="D28" i="223"/>
  <c r="D27" i="223"/>
  <c r="D26" i="223"/>
  <c r="P25" i="223"/>
  <c r="O25" i="223"/>
  <c r="N25" i="223"/>
  <c r="M25" i="223"/>
  <c r="L25" i="223"/>
  <c r="K25" i="223"/>
  <c r="J25" i="223"/>
  <c r="I25" i="223"/>
  <c r="H25" i="223"/>
  <c r="G25" i="223"/>
  <c r="F25" i="223"/>
  <c r="E25" i="223"/>
  <c r="I1" i="223"/>
  <c r="F19" i="222"/>
  <c r="G19" i="222"/>
  <c r="H19" i="222"/>
  <c r="I19" i="222"/>
  <c r="J19" i="222"/>
  <c r="K19" i="222"/>
  <c r="L19" i="222"/>
  <c r="L22" i="222" s="1"/>
  <c r="M19" i="222"/>
  <c r="M22" i="222" s="1"/>
  <c r="N19" i="222"/>
  <c r="N22" i="222" s="1"/>
  <c r="O19" i="222"/>
  <c r="O22" i="222" s="1"/>
  <c r="P19" i="222"/>
  <c r="P22" i="222" s="1"/>
  <c r="E19" i="222"/>
  <c r="C1" i="222"/>
  <c r="B1" i="222"/>
  <c r="D30" i="222"/>
  <c r="D29" i="222"/>
  <c r="D28" i="222"/>
  <c r="D27" i="222"/>
  <c r="D26" i="222"/>
  <c r="P25" i="222"/>
  <c r="O25" i="222"/>
  <c r="N25" i="222"/>
  <c r="M25" i="222"/>
  <c r="L25" i="222"/>
  <c r="K25" i="222"/>
  <c r="J25" i="222"/>
  <c r="I25" i="222"/>
  <c r="H25" i="222"/>
  <c r="G25" i="222"/>
  <c r="F25" i="222"/>
  <c r="E25" i="222"/>
  <c r="I1" i="222"/>
  <c r="F19" i="221"/>
  <c r="G19" i="221"/>
  <c r="H19" i="221"/>
  <c r="I19" i="221"/>
  <c r="J19" i="221"/>
  <c r="K19" i="221"/>
  <c r="K22" i="221" s="1"/>
  <c r="L19" i="221"/>
  <c r="L22" i="221" s="1"/>
  <c r="M19" i="221"/>
  <c r="N19" i="221"/>
  <c r="N22" i="221" s="1"/>
  <c r="O19" i="221"/>
  <c r="P19" i="221"/>
  <c r="E19" i="221"/>
  <c r="E26" i="221" s="1"/>
  <c r="C1" i="221"/>
  <c r="B1" i="221"/>
  <c r="D30" i="221"/>
  <c r="D29" i="221"/>
  <c r="D28" i="221"/>
  <c r="D27" i="221"/>
  <c r="D26" i="221"/>
  <c r="P25" i="221"/>
  <c r="O25" i="221"/>
  <c r="N25" i="221"/>
  <c r="M25" i="221"/>
  <c r="L25" i="221"/>
  <c r="K25" i="221"/>
  <c r="J25" i="221"/>
  <c r="I25" i="221"/>
  <c r="H25" i="221"/>
  <c r="G25" i="221"/>
  <c r="F25" i="221"/>
  <c r="E25" i="221"/>
  <c r="I1" i="221"/>
  <c r="F19" i="220"/>
  <c r="G19" i="220"/>
  <c r="H19" i="220"/>
  <c r="I19" i="220"/>
  <c r="J19" i="220"/>
  <c r="K19" i="220"/>
  <c r="K22" i="220" s="1"/>
  <c r="L19" i="220"/>
  <c r="L22" i="220" s="1"/>
  <c r="M19" i="220"/>
  <c r="N19" i="220"/>
  <c r="N22" i="220" s="1"/>
  <c r="O19" i="220"/>
  <c r="O22" i="220" s="1"/>
  <c r="P19" i="220"/>
  <c r="P22" i="220" s="1"/>
  <c r="E19" i="220"/>
  <c r="E26" i="220" s="1"/>
  <c r="C1" i="220"/>
  <c r="B1" i="220"/>
  <c r="D30" i="220"/>
  <c r="D29" i="220"/>
  <c r="D28" i="220"/>
  <c r="D27" i="220"/>
  <c r="D26" i="220"/>
  <c r="P25" i="220"/>
  <c r="O25" i="220"/>
  <c r="N25" i="220"/>
  <c r="M25" i="220"/>
  <c r="L25" i="220"/>
  <c r="K25" i="220"/>
  <c r="J25" i="220"/>
  <c r="I25" i="220"/>
  <c r="H25" i="220"/>
  <c r="G25" i="220"/>
  <c r="F25" i="220"/>
  <c r="E25" i="220"/>
  <c r="I1" i="220"/>
  <c r="C1" i="219"/>
  <c r="B1" i="219"/>
  <c r="D30" i="219"/>
  <c r="D29" i="219"/>
  <c r="D28" i="219"/>
  <c r="D27" i="219"/>
  <c r="D26" i="219"/>
  <c r="P25" i="219"/>
  <c r="O25" i="219"/>
  <c r="N25" i="219"/>
  <c r="M25" i="219"/>
  <c r="L25" i="219"/>
  <c r="K25" i="219"/>
  <c r="J25" i="219"/>
  <c r="I25" i="219"/>
  <c r="H25" i="219"/>
  <c r="G25" i="219"/>
  <c r="F25" i="219"/>
  <c r="E25" i="219"/>
  <c r="I1" i="219"/>
  <c r="F19" i="218"/>
  <c r="G19" i="218"/>
  <c r="H19" i="218"/>
  <c r="I19" i="218"/>
  <c r="J19" i="218"/>
  <c r="K19" i="218"/>
  <c r="K22" i="218" s="1"/>
  <c r="L19" i="218"/>
  <c r="L22" i="218" s="1"/>
  <c r="M19" i="218"/>
  <c r="M22" i="218" s="1"/>
  <c r="N19" i="218"/>
  <c r="N22" i="218" s="1"/>
  <c r="O19" i="218"/>
  <c r="O22" i="218" s="1"/>
  <c r="P19" i="218"/>
  <c r="P22" i="218" s="1"/>
  <c r="E19" i="218"/>
  <c r="C1" i="218"/>
  <c r="B1" i="218"/>
  <c r="D30" i="218"/>
  <c r="D29" i="218"/>
  <c r="D28" i="218"/>
  <c r="D27" i="218"/>
  <c r="D26" i="218"/>
  <c r="P25" i="218"/>
  <c r="O25" i="218"/>
  <c r="N25" i="218"/>
  <c r="M25" i="218"/>
  <c r="L25" i="218"/>
  <c r="K25" i="218"/>
  <c r="J25" i="218"/>
  <c r="I25" i="218"/>
  <c r="H25" i="218"/>
  <c r="G25" i="218"/>
  <c r="F25" i="218"/>
  <c r="E25" i="218"/>
  <c r="I1" i="218"/>
  <c r="F19" i="217"/>
  <c r="F23" i="217" s="1"/>
  <c r="G19" i="217"/>
  <c r="H19" i="217"/>
  <c r="I19" i="217"/>
  <c r="J19" i="217"/>
  <c r="K19" i="217"/>
  <c r="L19" i="217"/>
  <c r="M19" i="217"/>
  <c r="N19" i="217"/>
  <c r="O19" i="217"/>
  <c r="P19" i="217"/>
  <c r="E19" i="217"/>
  <c r="C1" i="217"/>
  <c r="B1" i="217"/>
  <c r="D30" i="217"/>
  <c r="D29" i="217"/>
  <c r="D28" i="217"/>
  <c r="D27" i="217"/>
  <c r="D26" i="217"/>
  <c r="P25" i="217"/>
  <c r="O25" i="217"/>
  <c r="N25" i="217"/>
  <c r="M25" i="217"/>
  <c r="L25" i="217"/>
  <c r="K25" i="217"/>
  <c r="J25" i="217"/>
  <c r="I25" i="217"/>
  <c r="H25" i="217"/>
  <c r="G25" i="217"/>
  <c r="F25" i="217"/>
  <c r="E25" i="217"/>
  <c r="I1" i="217"/>
  <c r="F19" i="216"/>
  <c r="G19" i="216"/>
  <c r="H19" i="216"/>
  <c r="I19" i="216"/>
  <c r="J19" i="216"/>
  <c r="K19" i="216"/>
  <c r="L19" i="216"/>
  <c r="M19" i="216"/>
  <c r="M22" i="216" s="1"/>
  <c r="N19" i="216"/>
  <c r="N22" i="216" s="1"/>
  <c r="O19" i="216"/>
  <c r="P19" i="216"/>
  <c r="E26" i="216"/>
  <c r="C1" i="216"/>
  <c r="B1" i="216"/>
  <c r="D30" i="216"/>
  <c r="D29" i="216"/>
  <c r="D28" i="216"/>
  <c r="D27" i="216"/>
  <c r="D26" i="216"/>
  <c r="P25" i="216"/>
  <c r="O25" i="216"/>
  <c r="N25" i="216"/>
  <c r="M25" i="216"/>
  <c r="L25" i="216"/>
  <c r="K25" i="216"/>
  <c r="J25" i="216"/>
  <c r="I25" i="216"/>
  <c r="H25" i="216"/>
  <c r="G25" i="216"/>
  <c r="F25" i="216"/>
  <c r="E25" i="216"/>
  <c r="I1" i="216"/>
  <c r="C1" i="215"/>
  <c r="B1" i="215"/>
  <c r="F19" i="215"/>
  <c r="G19" i="215"/>
  <c r="H19" i="215"/>
  <c r="I19" i="215"/>
  <c r="J19" i="215"/>
  <c r="K19" i="215"/>
  <c r="K22" i="215" s="1"/>
  <c r="L19" i="215"/>
  <c r="M19" i="215"/>
  <c r="N19" i="215"/>
  <c r="N22" i="215" s="1"/>
  <c r="O19" i="215"/>
  <c r="O22" i="215" s="1"/>
  <c r="P19" i="215"/>
  <c r="P22" i="215" s="1"/>
  <c r="E19" i="215"/>
  <c r="E26" i="215" s="1"/>
  <c r="D30" i="215"/>
  <c r="D29" i="215"/>
  <c r="D28" i="215"/>
  <c r="D27" i="215"/>
  <c r="D26" i="215"/>
  <c r="P25" i="215"/>
  <c r="O25" i="215"/>
  <c r="N25" i="215"/>
  <c r="M25" i="215"/>
  <c r="L25" i="215"/>
  <c r="K25" i="215"/>
  <c r="J25" i="215"/>
  <c r="I25" i="215"/>
  <c r="H25" i="215"/>
  <c r="G25" i="215"/>
  <c r="F25" i="215"/>
  <c r="E25" i="215"/>
  <c r="I1" i="215"/>
  <c r="F19" i="214"/>
  <c r="G19" i="214"/>
  <c r="H19" i="214"/>
  <c r="I19" i="214"/>
  <c r="J19" i="214"/>
  <c r="J23" i="214" s="1"/>
  <c r="K19" i="214"/>
  <c r="K22" i="214" s="1"/>
  <c r="L19" i="214"/>
  <c r="L22" i="214" s="1"/>
  <c r="M19" i="214"/>
  <c r="M22" i="214" s="1"/>
  <c r="N19" i="214"/>
  <c r="N22" i="214" s="1"/>
  <c r="O19" i="214"/>
  <c r="O22" i="214" s="1"/>
  <c r="P19" i="214"/>
  <c r="P22" i="214" s="1"/>
  <c r="E19" i="214"/>
  <c r="C1" i="214"/>
  <c r="B1" i="214"/>
  <c r="D30" i="214"/>
  <c r="D29" i="214"/>
  <c r="D28" i="214"/>
  <c r="D27" i="214"/>
  <c r="D26" i="214"/>
  <c r="P25" i="214"/>
  <c r="O25" i="214"/>
  <c r="N25" i="214"/>
  <c r="M25" i="214"/>
  <c r="L25" i="214"/>
  <c r="K25" i="214"/>
  <c r="J25" i="214"/>
  <c r="I25" i="214"/>
  <c r="H25" i="214"/>
  <c r="G25" i="214"/>
  <c r="F25" i="214"/>
  <c r="E25" i="214"/>
  <c r="I1" i="214"/>
  <c r="C1" i="213"/>
  <c r="B1" i="213"/>
  <c r="D30" i="213"/>
  <c r="D29" i="213"/>
  <c r="D28" i="213"/>
  <c r="D27" i="213"/>
  <c r="D26" i="213"/>
  <c r="P25" i="213"/>
  <c r="O25" i="213"/>
  <c r="N25" i="213"/>
  <c r="M25" i="213"/>
  <c r="L25" i="213"/>
  <c r="K25" i="213"/>
  <c r="J25" i="213"/>
  <c r="I25" i="213"/>
  <c r="H25" i="213"/>
  <c r="G25" i="213"/>
  <c r="F25" i="213"/>
  <c r="E25" i="213"/>
  <c r="I1" i="213"/>
  <c r="F19" i="212"/>
  <c r="G19" i="212"/>
  <c r="H19" i="212"/>
  <c r="I19" i="212"/>
  <c r="I22" i="212" s="1"/>
  <c r="J19" i="212"/>
  <c r="K19" i="212"/>
  <c r="L19" i="212"/>
  <c r="L22" i="212" s="1"/>
  <c r="M19" i="212"/>
  <c r="M23" i="212" s="1"/>
  <c r="N19" i="212"/>
  <c r="O19" i="212"/>
  <c r="P19" i="212"/>
  <c r="E19" i="212"/>
  <c r="E26" i="212" s="1"/>
  <c r="C1" i="212"/>
  <c r="B1" i="212"/>
  <c r="D30" i="212"/>
  <c r="D29" i="212"/>
  <c r="D28" i="212"/>
  <c r="D27" i="212"/>
  <c r="D26" i="212"/>
  <c r="P25" i="212"/>
  <c r="O25" i="212"/>
  <c r="N25" i="212"/>
  <c r="M25" i="212"/>
  <c r="L25" i="212"/>
  <c r="K25" i="212"/>
  <c r="J25" i="212"/>
  <c r="I25" i="212"/>
  <c r="H25" i="212"/>
  <c r="G25" i="212"/>
  <c r="F25" i="212"/>
  <c r="E25" i="212"/>
  <c r="I1" i="212"/>
  <c r="F19" i="211"/>
  <c r="G19" i="211"/>
  <c r="H19" i="211"/>
  <c r="I19" i="211"/>
  <c r="J19" i="211"/>
  <c r="K19" i="211"/>
  <c r="L19" i="211"/>
  <c r="M19" i="211"/>
  <c r="N19" i="211"/>
  <c r="O19" i="211"/>
  <c r="P19" i="211"/>
  <c r="E19" i="211"/>
  <c r="E26" i="211" s="1"/>
  <c r="C1" i="211"/>
  <c r="B1" i="211"/>
  <c r="D30" i="211"/>
  <c r="D29" i="211"/>
  <c r="D28" i="211"/>
  <c r="D27" i="211"/>
  <c r="D26" i="211"/>
  <c r="P25" i="211"/>
  <c r="O25" i="211"/>
  <c r="N25" i="211"/>
  <c r="M25" i="211"/>
  <c r="L25" i="211"/>
  <c r="K25" i="211"/>
  <c r="J25" i="211"/>
  <c r="I25" i="211"/>
  <c r="H25" i="211"/>
  <c r="G25" i="211"/>
  <c r="F25" i="211"/>
  <c r="E25" i="211"/>
  <c r="I1" i="211"/>
  <c r="K23" i="210"/>
  <c r="E26" i="210"/>
  <c r="C1" i="210"/>
  <c r="B1" i="210"/>
  <c r="D30" i="210"/>
  <c r="D29" i="210"/>
  <c r="D28" i="210"/>
  <c r="D27" i="210"/>
  <c r="D26" i="210"/>
  <c r="P25" i="210"/>
  <c r="O25" i="210"/>
  <c r="N25" i="210"/>
  <c r="M25" i="210"/>
  <c r="L25" i="210"/>
  <c r="K25" i="210"/>
  <c r="J25" i="210"/>
  <c r="I25" i="210"/>
  <c r="H25" i="210"/>
  <c r="G25" i="210"/>
  <c r="F25" i="210"/>
  <c r="E25" i="210"/>
  <c r="I1" i="210"/>
  <c r="C1" i="209"/>
  <c r="B1" i="209"/>
  <c r="D30" i="209"/>
  <c r="D29" i="209"/>
  <c r="D28" i="209"/>
  <c r="D27" i="209"/>
  <c r="D26" i="209"/>
  <c r="P25" i="209"/>
  <c r="O25" i="209"/>
  <c r="N25" i="209"/>
  <c r="M25" i="209"/>
  <c r="L25" i="209"/>
  <c r="K25" i="209"/>
  <c r="J25" i="209"/>
  <c r="I25" i="209"/>
  <c r="H25" i="209"/>
  <c r="G25" i="209"/>
  <c r="F25" i="209"/>
  <c r="E25" i="209"/>
  <c r="I1" i="209"/>
  <c r="F19" i="123"/>
  <c r="G19" i="123"/>
  <c r="H19" i="123"/>
  <c r="H22" i="123" s="1"/>
  <c r="I19" i="123"/>
  <c r="J19" i="123"/>
  <c r="K19" i="123"/>
  <c r="L19" i="123"/>
  <c r="L22" i="123" s="1"/>
  <c r="M19" i="123"/>
  <c r="N19" i="123"/>
  <c r="N23" i="123" s="1"/>
  <c r="O19" i="123"/>
  <c r="O22" i="123" s="1"/>
  <c r="P19" i="123"/>
  <c r="P22" i="123" s="1"/>
  <c r="E26" i="123"/>
  <c r="E118" i="206"/>
  <c r="F118" i="206"/>
  <c r="G118" i="206"/>
  <c r="H118" i="206"/>
  <c r="I118" i="206"/>
  <c r="J118" i="206"/>
  <c r="K118" i="206"/>
  <c r="L118" i="206"/>
  <c r="M118" i="206"/>
  <c r="N118" i="206"/>
  <c r="O118" i="206"/>
  <c r="E119" i="206"/>
  <c r="F119" i="206"/>
  <c r="G119" i="206"/>
  <c r="H119" i="206"/>
  <c r="I119" i="206"/>
  <c r="J119" i="206"/>
  <c r="K119" i="206"/>
  <c r="L119" i="206"/>
  <c r="M119" i="206"/>
  <c r="N119" i="206"/>
  <c r="O119" i="206"/>
  <c r="E120" i="206"/>
  <c r="F120" i="206"/>
  <c r="G120" i="206"/>
  <c r="H120" i="206"/>
  <c r="I120" i="206"/>
  <c r="J120" i="206"/>
  <c r="K120" i="206"/>
  <c r="L120" i="206"/>
  <c r="M120" i="206"/>
  <c r="N120" i="206"/>
  <c r="O120" i="206"/>
  <c r="E121" i="206"/>
  <c r="F121" i="206"/>
  <c r="G121" i="206"/>
  <c r="H121" i="206"/>
  <c r="I121" i="206"/>
  <c r="J121" i="206"/>
  <c r="K121" i="206"/>
  <c r="L121" i="206"/>
  <c r="M121" i="206"/>
  <c r="N121" i="206"/>
  <c r="O121" i="206"/>
  <c r="E122" i="206"/>
  <c r="F122" i="206"/>
  <c r="G122" i="206"/>
  <c r="H122" i="206"/>
  <c r="I122" i="206"/>
  <c r="J122" i="206"/>
  <c r="K122" i="206"/>
  <c r="L122" i="206"/>
  <c r="M122" i="206"/>
  <c r="N122" i="206"/>
  <c r="O122" i="206"/>
  <c r="E125" i="206"/>
  <c r="F125" i="206"/>
  <c r="G125" i="206"/>
  <c r="H125" i="206"/>
  <c r="I125" i="206"/>
  <c r="J125" i="206"/>
  <c r="K125" i="206"/>
  <c r="L125" i="206"/>
  <c r="M125" i="206"/>
  <c r="N125" i="206"/>
  <c r="O125" i="206"/>
  <c r="E126" i="206"/>
  <c r="F126" i="206"/>
  <c r="G126" i="206"/>
  <c r="H126" i="206"/>
  <c r="I126" i="206"/>
  <c r="J126" i="206"/>
  <c r="K126" i="206"/>
  <c r="L126" i="206"/>
  <c r="M126" i="206"/>
  <c r="N126" i="206"/>
  <c r="O126" i="206"/>
  <c r="E129" i="206"/>
  <c r="F129" i="206"/>
  <c r="G129" i="206"/>
  <c r="H129" i="206"/>
  <c r="I129" i="206"/>
  <c r="J129" i="206"/>
  <c r="K129" i="206"/>
  <c r="L129" i="206"/>
  <c r="M129" i="206"/>
  <c r="N129" i="206"/>
  <c r="O129" i="206"/>
  <c r="E123" i="206"/>
  <c r="F123" i="206"/>
  <c r="G123" i="206"/>
  <c r="H123" i="206"/>
  <c r="I123" i="206"/>
  <c r="J123" i="206"/>
  <c r="K123" i="206"/>
  <c r="L123" i="206"/>
  <c r="M123" i="206"/>
  <c r="N123" i="206"/>
  <c r="O123" i="206"/>
  <c r="E127" i="206"/>
  <c r="F127" i="206"/>
  <c r="G127" i="206"/>
  <c r="H127" i="206"/>
  <c r="I127" i="206"/>
  <c r="J127" i="206"/>
  <c r="K127" i="206"/>
  <c r="L127" i="206"/>
  <c r="M127" i="206"/>
  <c r="N127" i="206"/>
  <c r="O127" i="206"/>
  <c r="E116" i="207"/>
  <c r="F116" i="207"/>
  <c r="G116" i="207"/>
  <c r="H116" i="207"/>
  <c r="I116" i="207"/>
  <c r="J116" i="207"/>
  <c r="K116" i="207"/>
  <c r="L116" i="207"/>
  <c r="M116" i="207"/>
  <c r="N116" i="207"/>
  <c r="O116" i="207"/>
  <c r="E117" i="207"/>
  <c r="F117" i="207"/>
  <c r="G117" i="207"/>
  <c r="H117" i="207"/>
  <c r="I117" i="207"/>
  <c r="J117" i="207"/>
  <c r="K117" i="207"/>
  <c r="L117" i="207"/>
  <c r="M117" i="207"/>
  <c r="N117" i="207"/>
  <c r="O117" i="207"/>
  <c r="E118" i="207"/>
  <c r="F118" i="207"/>
  <c r="G118" i="207"/>
  <c r="H118" i="207"/>
  <c r="I118" i="207"/>
  <c r="J118" i="207"/>
  <c r="K118" i="207"/>
  <c r="L118" i="207"/>
  <c r="M118" i="207"/>
  <c r="N118" i="207"/>
  <c r="O118" i="207"/>
  <c r="E119" i="207"/>
  <c r="F119" i="207"/>
  <c r="G119" i="207"/>
  <c r="H119" i="207"/>
  <c r="I119" i="207"/>
  <c r="J119" i="207"/>
  <c r="K119" i="207"/>
  <c r="L119" i="207"/>
  <c r="M119" i="207"/>
  <c r="N119" i="207"/>
  <c r="O119" i="207"/>
  <c r="E120" i="207"/>
  <c r="F120" i="207"/>
  <c r="G120" i="207"/>
  <c r="H120" i="207"/>
  <c r="I120" i="207"/>
  <c r="J120" i="207"/>
  <c r="K120" i="207"/>
  <c r="L120" i="207"/>
  <c r="M120" i="207"/>
  <c r="N120" i="207"/>
  <c r="O120" i="207"/>
  <c r="E122" i="207"/>
  <c r="F122" i="207"/>
  <c r="G122" i="207"/>
  <c r="H122" i="207"/>
  <c r="I122" i="207"/>
  <c r="J122" i="207"/>
  <c r="K122" i="207"/>
  <c r="L122" i="207"/>
  <c r="M122" i="207"/>
  <c r="N122" i="207"/>
  <c r="O122" i="207"/>
  <c r="E123" i="207"/>
  <c r="F123" i="207"/>
  <c r="G123" i="207"/>
  <c r="H123" i="207"/>
  <c r="I123" i="207"/>
  <c r="J123" i="207"/>
  <c r="K123" i="207"/>
  <c r="L123" i="207"/>
  <c r="M123" i="207"/>
  <c r="N123" i="207"/>
  <c r="O123" i="207"/>
  <c r="E124" i="207"/>
  <c r="F124" i="207"/>
  <c r="G124" i="207"/>
  <c r="H124" i="207"/>
  <c r="I124" i="207"/>
  <c r="J124" i="207"/>
  <c r="K124" i="207"/>
  <c r="L124" i="207"/>
  <c r="M124" i="207"/>
  <c r="N124" i="207"/>
  <c r="O124" i="207"/>
  <c r="E125" i="207"/>
  <c r="F125" i="207"/>
  <c r="G125" i="207"/>
  <c r="H125" i="207"/>
  <c r="I125" i="207"/>
  <c r="J125" i="207"/>
  <c r="K125" i="207"/>
  <c r="L125" i="207"/>
  <c r="M125" i="207"/>
  <c r="N125" i="207"/>
  <c r="O125" i="207"/>
  <c r="E126" i="207"/>
  <c r="F126" i="207"/>
  <c r="G126" i="207"/>
  <c r="H126" i="207"/>
  <c r="I126" i="207"/>
  <c r="J126" i="207"/>
  <c r="K126" i="207"/>
  <c r="L126" i="207"/>
  <c r="M126" i="207"/>
  <c r="N126" i="207"/>
  <c r="O126" i="207"/>
  <c r="F19" i="310"/>
  <c r="F23" i="310" s="1"/>
  <c r="G19" i="310"/>
  <c r="G23" i="310" s="1"/>
  <c r="H19" i="310"/>
  <c r="I19" i="310"/>
  <c r="J19" i="310"/>
  <c r="K19" i="310"/>
  <c r="K23" i="310" s="1"/>
  <c r="L19" i="310"/>
  <c r="M19" i="310"/>
  <c r="N19" i="310"/>
  <c r="O19" i="310"/>
  <c r="P19" i="310"/>
  <c r="F19" i="311"/>
  <c r="G19" i="311"/>
  <c r="H19" i="311"/>
  <c r="I19" i="311"/>
  <c r="J19" i="311"/>
  <c r="K19" i="311"/>
  <c r="L19" i="311"/>
  <c r="M19" i="311"/>
  <c r="N19" i="311"/>
  <c r="O19" i="311"/>
  <c r="P19" i="311"/>
  <c r="F19" i="312"/>
  <c r="G19" i="312"/>
  <c r="H19" i="312"/>
  <c r="H22" i="312" s="1"/>
  <c r="I19" i="312"/>
  <c r="J19" i="312"/>
  <c r="K19" i="312"/>
  <c r="L19" i="312"/>
  <c r="M19" i="312"/>
  <c r="N19" i="312"/>
  <c r="O19" i="312"/>
  <c r="P19" i="312"/>
  <c r="F19" i="313"/>
  <c r="G19" i="313"/>
  <c r="H19" i="313"/>
  <c r="I19" i="313"/>
  <c r="J19" i="313"/>
  <c r="K19" i="313"/>
  <c r="L19" i="313"/>
  <c r="M19" i="313"/>
  <c r="N19" i="313"/>
  <c r="O19" i="313"/>
  <c r="P19" i="313"/>
  <c r="F19" i="314"/>
  <c r="G19" i="314"/>
  <c r="H19" i="314"/>
  <c r="I19" i="314"/>
  <c r="J19" i="314"/>
  <c r="K19" i="314"/>
  <c r="L19" i="314"/>
  <c r="M19" i="314"/>
  <c r="N19" i="314"/>
  <c r="N23" i="314" s="1"/>
  <c r="O19" i="314"/>
  <c r="P19" i="314"/>
  <c r="F19" i="316"/>
  <c r="G19" i="316"/>
  <c r="H19" i="316"/>
  <c r="I19" i="316"/>
  <c r="J19" i="316"/>
  <c r="K19" i="316"/>
  <c r="L19" i="316"/>
  <c r="M19" i="316"/>
  <c r="N19" i="316"/>
  <c r="O19" i="316"/>
  <c r="O23" i="316" s="1"/>
  <c r="P19" i="316"/>
  <c r="F19" i="317"/>
  <c r="G19" i="317"/>
  <c r="H19" i="317"/>
  <c r="I19" i="317"/>
  <c r="J19" i="317"/>
  <c r="K19" i="317"/>
  <c r="L19" i="317"/>
  <c r="M19" i="317"/>
  <c r="N19" i="317"/>
  <c r="O19" i="317"/>
  <c r="P19" i="317"/>
  <c r="F19" i="318"/>
  <c r="G19" i="318"/>
  <c r="H19" i="318"/>
  <c r="I19" i="318"/>
  <c r="J19" i="318"/>
  <c r="K19" i="318"/>
  <c r="L19" i="318"/>
  <c r="M19" i="318"/>
  <c r="M23" i="318" s="1"/>
  <c r="N19" i="318"/>
  <c r="O19" i="318"/>
  <c r="P19" i="318"/>
  <c r="F19" i="319"/>
  <c r="G19" i="319"/>
  <c r="H19" i="319"/>
  <c r="I19" i="319"/>
  <c r="J19" i="319"/>
  <c r="K19" i="319"/>
  <c r="L19" i="319"/>
  <c r="M19" i="319"/>
  <c r="N19" i="319"/>
  <c r="O19" i="319"/>
  <c r="P19" i="319"/>
  <c r="F19" i="320"/>
  <c r="G19" i="320"/>
  <c r="H19" i="320"/>
  <c r="I19" i="320"/>
  <c r="J19" i="320"/>
  <c r="K19" i="320"/>
  <c r="K23" i="320" s="1"/>
  <c r="L19" i="320"/>
  <c r="M19" i="320"/>
  <c r="N19" i="320"/>
  <c r="O19" i="320"/>
  <c r="P19" i="320"/>
  <c r="D119" i="206"/>
  <c r="D120" i="206"/>
  <c r="D121" i="206"/>
  <c r="D122" i="206"/>
  <c r="D125" i="206"/>
  <c r="D126" i="206"/>
  <c r="D129" i="206"/>
  <c r="D123" i="206"/>
  <c r="D127" i="206"/>
  <c r="D117" i="207"/>
  <c r="D118" i="207"/>
  <c r="D119" i="207"/>
  <c r="E28" i="313" s="1"/>
  <c r="D120" i="207"/>
  <c r="D122" i="207"/>
  <c r="D123" i="207"/>
  <c r="D124" i="207"/>
  <c r="D125" i="207"/>
  <c r="D126" i="207"/>
  <c r="E19" i="311"/>
  <c r="E19" i="312"/>
  <c r="E26" i="312" s="1"/>
  <c r="E19" i="313"/>
  <c r="E26" i="313" s="1"/>
  <c r="E19" i="314"/>
  <c r="E19" i="316"/>
  <c r="E19" i="317"/>
  <c r="E19" i="318"/>
  <c r="E19" i="319"/>
  <c r="E19" i="320"/>
  <c r="D118" i="206"/>
  <c r="D116" i="207"/>
  <c r="E19" i="310"/>
  <c r="P19" i="346"/>
  <c r="O19" i="346"/>
  <c r="N19" i="346"/>
  <c r="M19" i="346"/>
  <c r="L19" i="346"/>
  <c r="K19" i="346"/>
  <c r="J19" i="346"/>
  <c r="I19" i="346"/>
  <c r="H19" i="346"/>
  <c r="H22" i="346" s="1"/>
  <c r="G19" i="346"/>
  <c r="F19" i="346"/>
  <c r="E19" i="346"/>
  <c r="E26" i="346" s="1"/>
  <c r="O141" i="206"/>
  <c r="N141" i="206"/>
  <c r="M141" i="206"/>
  <c r="L141" i="206"/>
  <c r="K141" i="206"/>
  <c r="J141" i="206"/>
  <c r="K22" i="333" s="1"/>
  <c r="I141" i="206"/>
  <c r="H141" i="206"/>
  <c r="G141" i="206"/>
  <c r="F141" i="206"/>
  <c r="E141" i="206"/>
  <c r="D141" i="206"/>
  <c r="O169" i="205"/>
  <c r="N169" i="205"/>
  <c r="M169" i="205"/>
  <c r="L169" i="205"/>
  <c r="K169" i="205"/>
  <c r="J169" i="205"/>
  <c r="I169" i="205"/>
  <c r="H169" i="205"/>
  <c r="G169" i="205"/>
  <c r="F169" i="205"/>
  <c r="E169" i="205"/>
  <c r="D169" i="205"/>
  <c r="O144" i="207"/>
  <c r="O146" i="207" s="1"/>
  <c r="N144" i="207"/>
  <c r="N146" i="207" s="1"/>
  <c r="M144" i="207"/>
  <c r="L144" i="207"/>
  <c r="L146" i="207" s="1"/>
  <c r="K144" i="207"/>
  <c r="K146" i="207" s="1"/>
  <c r="J144" i="207"/>
  <c r="J146" i="207" s="1"/>
  <c r="I144" i="207"/>
  <c r="I146" i="207" s="1"/>
  <c r="H144" i="207"/>
  <c r="H146" i="207" s="1"/>
  <c r="G144" i="207"/>
  <c r="G146" i="207" s="1"/>
  <c r="F144" i="207"/>
  <c r="F146" i="207" s="1"/>
  <c r="E144" i="207"/>
  <c r="E146" i="207" s="1"/>
  <c r="D144" i="207"/>
  <c r="D146" i="207" s="1"/>
  <c r="J143" i="207"/>
  <c r="O142" i="207"/>
  <c r="N142" i="207"/>
  <c r="M142" i="207"/>
  <c r="L142" i="207"/>
  <c r="K142" i="207"/>
  <c r="J142" i="207"/>
  <c r="I142" i="207"/>
  <c r="H142" i="207"/>
  <c r="G142" i="207"/>
  <c r="F142" i="207"/>
  <c r="E142" i="207"/>
  <c r="D142" i="207"/>
  <c r="I19" i="232"/>
  <c r="D34" i="205"/>
  <c r="A145" i="206"/>
  <c r="B145" i="206"/>
  <c r="C145" i="206"/>
  <c r="A146" i="206"/>
  <c r="B146" i="206"/>
  <c r="C146" i="206"/>
  <c r="A148" i="206"/>
  <c r="B148" i="206"/>
  <c r="C148" i="206"/>
  <c r="A149" i="206"/>
  <c r="B149" i="206"/>
  <c r="C149" i="206"/>
  <c r="A150" i="206"/>
  <c r="A151" i="206"/>
  <c r="B151" i="206"/>
  <c r="C151" i="206"/>
  <c r="A152" i="206"/>
  <c r="B152" i="206"/>
  <c r="C152" i="206"/>
  <c r="A153" i="206"/>
  <c r="B153" i="206"/>
  <c r="C153" i="206"/>
  <c r="A154" i="206"/>
  <c r="B154" i="206"/>
  <c r="C154" i="206"/>
  <c r="A155" i="206"/>
  <c r="B155" i="206"/>
  <c r="C155" i="206"/>
  <c r="A157" i="206"/>
  <c r="B157" i="206"/>
  <c r="C157" i="206"/>
  <c r="A158" i="206"/>
  <c r="B158" i="206"/>
  <c r="C158" i="206"/>
  <c r="A159" i="206"/>
  <c r="B159" i="206"/>
  <c r="C159" i="206"/>
  <c r="A162" i="206"/>
  <c r="B162" i="206"/>
  <c r="C162" i="206"/>
  <c r="A156" i="206"/>
  <c r="B156" i="206"/>
  <c r="C156" i="206"/>
  <c r="A160" i="206"/>
  <c r="B160" i="206"/>
  <c r="C160" i="206"/>
  <c r="A161" i="206"/>
  <c r="B161" i="206"/>
  <c r="C161" i="206"/>
  <c r="A163" i="206"/>
  <c r="A164" i="206"/>
  <c r="B164" i="206"/>
  <c r="C164" i="206"/>
  <c r="A143" i="207"/>
  <c r="B143" i="207"/>
  <c r="C143" i="207"/>
  <c r="A144" i="207"/>
  <c r="B144" i="207"/>
  <c r="C144" i="207"/>
  <c r="A145" i="207"/>
  <c r="B145" i="207"/>
  <c r="C145" i="207"/>
  <c r="A146" i="207"/>
  <c r="B146" i="207"/>
  <c r="C146" i="207"/>
  <c r="A147" i="207"/>
  <c r="A148" i="207"/>
  <c r="B148" i="207"/>
  <c r="C148" i="207"/>
  <c r="A149" i="207"/>
  <c r="B149" i="207"/>
  <c r="C149" i="207"/>
  <c r="A150" i="207"/>
  <c r="B150" i="207"/>
  <c r="C150" i="207"/>
  <c r="A151" i="207"/>
  <c r="B151" i="207"/>
  <c r="C151" i="207"/>
  <c r="A152" i="207"/>
  <c r="B152" i="207"/>
  <c r="C152" i="207"/>
  <c r="A153" i="207"/>
  <c r="B153" i="207"/>
  <c r="C153" i="207"/>
  <c r="A154" i="207"/>
  <c r="B154" i="207"/>
  <c r="C154" i="207"/>
  <c r="A155" i="207"/>
  <c r="B155" i="207"/>
  <c r="C155" i="207"/>
  <c r="A156" i="207"/>
  <c r="B156" i="207"/>
  <c r="C156" i="207"/>
  <c r="A157" i="207"/>
  <c r="B157" i="207"/>
  <c r="C157" i="207"/>
  <c r="A158" i="207"/>
  <c r="B158" i="207"/>
  <c r="C158" i="207"/>
  <c r="A159" i="207"/>
  <c r="B159" i="207"/>
  <c r="C159" i="207"/>
  <c r="A160" i="207"/>
  <c r="A161" i="207"/>
  <c r="B161" i="207"/>
  <c r="C161" i="207"/>
  <c r="B173" i="205"/>
  <c r="C173" i="205"/>
  <c r="B174" i="205"/>
  <c r="C174" i="205"/>
  <c r="B176" i="205"/>
  <c r="C176" i="205"/>
  <c r="B177" i="205"/>
  <c r="C177" i="205"/>
  <c r="B191" i="205"/>
  <c r="C191" i="205"/>
  <c r="B192" i="205"/>
  <c r="C192" i="205"/>
  <c r="B193" i="205"/>
  <c r="C193" i="205"/>
  <c r="B194" i="205"/>
  <c r="C194" i="205"/>
  <c r="B195" i="205"/>
  <c r="C195" i="205"/>
  <c r="B197" i="205"/>
  <c r="C197" i="205"/>
  <c r="B198" i="205"/>
  <c r="C198" i="205"/>
  <c r="B199" i="205"/>
  <c r="C199" i="205"/>
  <c r="B202" i="205"/>
  <c r="C202" i="205"/>
  <c r="B196" i="205"/>
  <c r="C196" i="205"/>
  <c r="B200" i="205"/>
  <c r="C200" i="205"/>
  <c r="B201" i="205"/>
  <c r="C201" i="205"/>
  <c r="B204" i="205"/>
  <c r="C204" i="205"/>
  <c r="A6" i="206"/>
  <c r="B6" i="206"/>
  <c r="C6" i="206"/>
  <c r="A7" i="206"/>
  <c r="B7" i="206"/>
  <c r="C7" i="206"/>
  <c r="A8" i="206"/>
  <c r="B8" i="206"/>
  <c r="C8" i="206"/>
  <c r="A9" i="206"/>
  <c r="B9" i="206"/>
  <c r="C9" i="206"/>
  <c r="A10" i="206"/>
  <c r="B10" i="206"/>
  <c r="C10" i="206"/>
  <c r="A12" i="206"/>
  <c r="B12" i="206"/>
  <c r="C12" i="206"/>
  <c r="A13" i="206"/>
  <c r="B13" i="206"/>
  <c r="C13" i="206"/>
  <c r="A14" i="206"/>
  <c r="B14" i="206"/>
  <c r="C14" i="206"/>
  <c r="A17" i="206"/>
  <c r="B17" i="206"/>
  <c r="C17" i="206"/>
  <c r="A11" i="206"/>
  <c r="B11" i="206"/>
  <c r="C11" i="206"/>
  <c r="A15" i="206"/>
  <c r="B15" i="206"/>
  <c r="C15" i="206"/>
  <c r="A16" i="206"/>
  <c r="B16" i="206"/>
  <c r="C16" i="206"/>
  <c r="A19" i="206"/>
  <c r="A20" i="206"/>
  <c r="B20" i="206"/>
  <c r="C20" i="206"/>
  <c r="A21" i="206"/>
  <c r="B21" i="206"/>
  <c r="C21" i="206"/>
  <c r="A22" i="206"/>
  <c r="B22" i="206"/>
  <c r="C22" i="206"/>
  <c r="A23" i="206"/>
  <c r="B23" i="206"/>
  <c r="C23" i="206"/>
  <c r="A24" i="206"/>
  <c r="B24" i="206"/>
  <c r="C24" i="206"/>
  <c r="A26" i="206"/>
  <c r="B26" i="206"/>
  <c r="C26" i="206"/>
  <c r="A27" i="206"/>
  <c r="B27" i="206"/>
  <c r="C27" i="206"/>
  <c r="A28" i="206"/>
  <c r="B28" i="206"/>
  <c r="C28" i="206"/>
  <c r="A31" i="206"/>
  <c r="B31" i="206"/>
  <c r="C31" i="206"/>
  <c r="A25" i="206"/>
  <c r="B25" i="206"/>
  <c r="C25" i="206"/>
  <c r="A29" i="206"/>
  <c r="B29" i="206"/>
  <c r="C29" i="206"/>
  <c r="A30" i="206"/>
  <c r="B30" i="206"/>
  <c r="C30" i="206"/>
  <c r="A33" i="206"/>
  <c r="A34" i="206"/>
  <c r="B34" i="206"/>
  <c r="C34" i="206"/>
  <c r="A35" i="206"/>
  <c r="B35" i="206"/>
  <c r="C35" i="206"/>
  <c r="A36" i="206"/>
  <c r="B36" i="206"/>
  <c r="C36" i="206"/>
  <c r="A37" i="206"/>
  <c r="B37" i="206"/>
  <c r="C37" i="206"/>
  <c r="A38" i="206"/>
  <c r="B38" i="206"/>
  <c r="C38" i="206"/>
  <c r="A40" i="206"/>
  <c r="B40" i="206"/>
  <c r="C40" i="206"/>
  <c r="A41" i="206"/>
  <c r="B41" i="206"/>
  <c r="C41" i="206"/>
  <c r="A42" i="206"/>
  <c r="B42" i="206"/>
  <c r="C42" i="206"/>
  <c r="A45" i="206"/>
  <c r="B45" i="206"/>
  <c r="C45" i="206"/>
  <c r="A39" i="206"/>
  <c r="B39" i="206"/>
  <c r="C39" i="206"/>
  <c r="A43" i="206"/>
  <c r="B43" i="206"/>
  <c r="C43" i="206"/>
  <c r="A44" i="206"/>
  <c r="B44" i="206"/>
  <c r="C44" i="206"/>
  <c r="A46" i="206"/>
  <c r="A47" i="206"/>
  <c r="B47" i="206"/>
  <c r="C47" i="206"/>
  <c r="A48" i="206"/>
  <c r="B48" i="206"/>
  <c r="C48" i="206"/>
  <c r="A49" i="206"/>
  <c r="B49" i="206"/>
  <c r="C49" i="206"/>
  <c r="A50" i="206"/>
  <c r="B50" i="206"/>
  <c r="C50" i="206"/>
  <c r="A51" i="206"/>
  <c r="B51" i="206"/>
  <c r="C51" i="206"/>
  <c r="A53" i="206"/>
  <c r="B53" i="206"/>
  <c r="C53" i="206"/>
  <c r="A54" i="206"/>
  <c r="B54" i="206"/>
  <c r="C54" i="206"/>
  <c r="A55" i="206"/>
  <c r="B55" i="206"/>
  <c r="C55" i="206"/>
  <c r="A58" i="206"/>
  <c r="B58" i="206"/>
  <c r="C58" i="206"/>
  <c r="A52" i="206"/>
  <c r="B52" i="206"/>
  <c r="C52" i="206"/>
  <c r="A56" i="206"/>
  <c r="B56" i="206"/>
  <c r="C56" i="206"/>
  <c r="A57" i="206"/>
  <c r="B57" i="206"/>
  <c r="C57" i="206"/>
  <c r="A59" i="206"/>
  <c r="A60" i="206"/>
  <c r="B60" i="206"/>
  <c r="C60" i="206"/>
  <c r="A61" i="206"/>
  <c r="B61" i="206"/>
  <c r="C61" i="206"/>
  <c r="A62" i="206"/>
  <c r="B62" i="206"/>
  <c r="C62" i="206"/>
  <c r="A63" i="206"/>
  <c r="B63" i="206"/>
  <c r="C63" i="206"/>
  <c r="A64" i="206"/>
  <c r="B64" i="206"/>
  <c r="C64" i="206"/>
  <c r="A66" i="206"/>
  <c r="B66" i="206"/>
  <c r="C66" i="206"/>
  <c r="A67" i="206"/>
  <c r="B67" i="206"/>
  <c r="C67" i="206"/>
  <c r="A68" i="206"/>
  <c r="B68" i="206"/>
  <c r="C68" i="206"/>
  <c r="A71" i="206"/>
  <c r="B71" i="206"/>
  <c r="C71" i="206"/>
  <c r="A65" i="206"/>
  <c r="B65" i="206"/>
  <c r="C65" i="206"/>
  <c r="A69" i="206"/>
  <c r="B69" i="206"/>
  <c r="C69" i="206"/>
  <c r="A70" i="206"/>
  <c r="B70" i="206"/>
  <c r="C70" i="206"/>
  <c r="A72" i="206"/>
  <c r="A73" i="206"/>
  <c r="B73" i="206"/>
  <c r="C73" i="206"/>
  <c r="A74" i="206"/>
  <c r="B74" i="206"/>
  <c r="C74" i="206"/>
  <c r="A75" i="206"/>
  <c r="B75" i="206"/>
  <c r="C75" i="206"/>
  <c r="A76" i="206"/>
  <c r="B76" i="206"/>
  <c r="C76" i="206"/>
  <c r="A77" i="206"/>
  <c r="B77" i="206"/>
  <c r="C77" i="206"/>
  <c r="A79" i="206"/>
  <c r="B79" i="206"/>
  <c r="C79" i="206"/>
  <c r="A80" i="206"/>
  <c r="B80" i="206"/>
  <c r="C80" i="206"/>
  <c r="A81" i="206"/>
  <c r="B81" i="206"/>
  <c r="C81" i="206"/>
  <c r="A84" i="206"/>
  <c r="B84" i="206"/>
  <c r="C84" i="206"/>
  <c r="A78" i="206"/>
  <c r="B78" i="206"/>
  <c r="C78" i="206"/>
  <c r="A82" i="206"/>
  <c r="B82" i="206"/>
  <c r="C82" i="206"/>
  <c r="A83" i="206"/>
  <c r="B83" i="206"/>
  <c r="C83" i="206"/>
  <c r="A85" i="206"/>
  <c r="A86" i="206"/>
  <c r="B86" i="206"/>
  <c r="C86" i="206"/>
  <c r="A87" i="206"/>
  <c r="B87" i="206"/>
  <c r="C87" i="206"/>
  <c r="A88" i="206"/>
  <c r="B88" i="206"/>
  <c r="C88" i="206"/>
  <c r="A89" i="206"/>
  <c r="B89" i="206"/>
  <c r="C89" i="206"/>
  <c r="A90" i="206"/>
  <c r="B90" i="206"/>
  <c r="C90" i="206"/>
  <c r="A91" i="206"/>
  <c r="A92" i="206"/>
  <c r="B92" i="206"/>
  <c r="C92" i="206"/>
  <c r="A93" i="206"/>
  <c r="B93" i="206"/>
  <c r="C93" i="206"/>
  <c r="A94" i="206"/>
  <c r="B94" i="206"/>
  <c r="C94" i="206"/>
  <c r="A95" i="206"/>
  <c r="B95" i="206"/>
  <c r="C95" i="206"/>
  <c r="A96" i="206"/>
  <c r="B96" i="206"/>
  <c r="C96" i="206"/>
  <c r="A98" i="206"/>
  <c r="B98" i="206"/>
  <c r="C98" i="206"/>
  <c r="A99" i="206"/>
  <c r="B99" i="206"/>
  <c r="C99" i="206"/>
  <c r="A100" i="206"/>
  <c r="B100" i="206"/>
  <c r="C100" i="206"/>
  <c r="A103" i="206"/>
  <c r="B103" i="206"/>
  <c r="C103" i="206"/>
  <c r="A97" i="206"/>
  <c r="B97" i="206"/>
  <c r="C97" i="206"/>
  <c r="A101" i="206"/>
  <c r="B101" i="206"/>
  <c r="C101" i="206"/>
  <c r="A102" i="206"/>
  <c r="B102" i="206"/>
  <c r="C102" i="206"/>
  <c r="A104" i="206"/>
  <c r="A105" i="206"/>
  <c r="B105" i="206"/>
  <c r="C105" i="206"/>
  <c r="A106" i="206"/>
  <c r="B106" i="206"/>
  <c r="C106" i="206"/>
  <c r="A107" i="206"/>
  <c r="B107" i="206"/>
  <c r="C107" i="206"/>
  <c r="A108" i="206"/>
  <c r="B108" i="206"/>
  <c r="C108" i="206"/>
  <c r="A109" i="206"/>
  <c r="B109" i="206"/>
  <c r="C109" i="206"/>
  <c r="A111" i="206"/>
  <c r="B111" i="206"/>
  <c r="C111" i="206"/>
  <c r="A112" i="206"/>
  <c r="B112" i="206"/>
  <c r="C112" i="206"/>
  <c r="A113" i="206"/>
  <c r="B113" i="206"/>
  <c r="C113" i="206"/>
  <c r="A116" i="206"/>
  <c r="B116" i="206"/>
  <c r="C116" i="206"/>
  <c r="A110" i="206"/>
  <c r="B110" i="206"/>
  <c r="C110" i="206"/>
  <c r="A114" i="206"/>
  <c r="B114" i="206"/>
  <c r="C114" i="206"/>
  <c r="A115" i="206"/>
  <c r="B115" i="206"/>
  <c r="C115" i="206"/>
  <c r="A117" i="206"/>
  <c r="A118" i="206"/>
  <c r="B118" i="206"/>
  <c r="C118" i="206"/>
  <c r="A119" i="206"/>
  <c r="B119" i="206"/>
  <c r="C119" i="206"/>
  <c r="A120" i="206"/>
  <c r="B120" i="206"/>
  <c r="C120" i="206"/>
  <c r="A121" i="206"/>
  <c r="B121" i="206"/>
  <c r="C121" i="206"/>
  <c r="A122" i="206"/>
  <c r="B122" i="206"/>
  <c r="C122" i="206"/>
  <c r="A124" i="206"/>
  <c r="B124" i="206"/>
  <c r="C124" i="206"/>
  <c r="A125" i="206"/>
  <c r="B125" i="206"/>
  <c r="C125" i="206"/>
  <c r="A126" i="206"/>
  <c r="B126" i="206"/>
  <c r="C126" i="206"/>
  <c r="A129" i="206"/>
  <c r="B129" i="206"/>
  <c r="C129" i="206"/>
  <c r="A123" i="206"/>
  <c r="B123" i="206"/>
  <c r="C123" i="206"/>
  <c r="A127" i="206"/>
  <c r="B127" i="206"/>
  <c r="C127" i="206"/>
  <c r="A128" i="206"/>
  <c r="B128" i="206"/>
  <c r="C128" i="206"/>
  <c r="A130" i="206"/>
  <c r="A131" i="206"/>
  <c r="B131" i="206"/>
  <c r="C131" i="206"/>
  <c r="A132" i="206"/>
  <c r="B132" i="206"/>
  <c r="C132" i="206"/>
  <c r="A133" i="206"/>
  <c r="B133" i="206"/>
  <c r="C133" i="206"/>
  <c r="A134" i="206"/>
  <c r="B134" i="206"/>
  <c r="C134" i="206"/>
  <c r="A135" i="206"/>
  <c r="B135" i="206"/>
  <c r="C135" i="206"/>
  <c r="A137" i="206"/>
  <c r="B137" i="206"/>
  <c r="C137" i="206"/>
  <c r="A138" i="206"/>
  <c r="B138" i="206"/>
  <c r="C138" i="206"/>
  <c r="A139" i="206"/>
  <c r="B139" i="206"/>
  <c r="C139" i="206"/>
  <c r="A142" i="206"/>
  <c r="B142" i="206"/>
  <c r="C142" i="206"/>
  <c r="A136" i="206"/>
  <c r="B136" i="206"/>
  <c r="C136" i="206"/>
  <c r="A140" i="206"/>
  <c r="B140" i="206"/>
  <c r="C140" i="206"/>
  <c r="A141" i="206"/>
  <c r="B141" i="206"/>
  <c r="C141" i="206"/>
  <c r="A143" i="206"/>
  <c r="A144" i="206"/>
  <c r="B144" i="206"/>
  <c r="C144" i="206"/>
  <c r="A6" i="207"/>
  <c r="B6" i="207"/>
  <c r="C6" i="207"/>
  <c r="A7" i="207"/>
  <c r="B7" i="207"/>
  <c r="C7" i="207"/>
  <c r="A8" i="207"/>
  <c r="B8" i="207"/>
  <c r="C8" i="207"/>
  <c r="A9" i="207"/>
  <c r="B9" i="207"/>
  <c r="C9" i="207"/>
  <c r="A10" i="207"/>
  <c r="B10" i="207"/>
  <c r="C10" i="207"/>
  <c r="A11" i="207"/>
  <c r="B11" i="207"/>
  <c r="C11" i="207"/>
  <c r="A12" i="207"/>
  <c r="B12" i="207"/>
  <c r="C12" i="207"/>
  <c r="A13" i="207"/>
  <c r="B13" i="207"/>
  <c r="C13" i="207"/>
  <c r="A14" i="207"/>
  <c r="B14" i="207"/>
  <c r="C14" i="207"/>
  <c r="A15" i="207"/>
  <c r="B15" i="207"/>
  <c r="C15" i="207"/>
  <c r="A16" i="207"/>
  <c r="B16" i="207"/>
  <c r="C16" i="207"/>
  <c r="A17" i="207"/>
  <c r="B17" i="207"/>
  <c r="C17" i="207"/>
  <c r="A18" i="207"/>
  <c r="A19" i="207"/>
  <c r="B19" i="207"/>
  <c r="C19" i="207"/>
  <c r="A20" i="207"/>
  <c r="B20" i="207"/>
  <c r="C20" i="207"/>
  <c r="A21" i="207"/>
  <c r="B21" i="207"/>
  <c r="C21" i="207"/>
  <c r="A22" i="207"/>
  <c r="B22" i="207"/>
  <c r="C22" i="207"/>
  <c r="A23" i="207"/>
  <c r="B23" i="207"/>
  <c r="C23" i="207"/>
  <c r="A24" i="207"/>
  <c r="B24" i="207"/>
  <c r="C24" i="207"/>
  <c r="A25" i="207"/>
  <c r="B25" i="207"/>
  <c r="C25" i="207"/>
  <c r="A26" i="207"/>
  <c r="B26" i="207"/>
  <c r="C26" i="207"/>
  <c r="A27" i="207"/>
  <c r="B27" i="207"/>
  <c r="C27" i="207"/>
  <c r="A28" i="207"/>
  <c r="B28" i="207"/>
  <c r="C28" i="207"/>
  <c r="A29" i="207"/>
  <c r="B29" i="207"/>
  <c r="C29" i="207"/>
  <c r="A30" i="207"/>
  <c r="B30" i="207"/>
  <c r="C30" i="207"/>
  <c r="A31" i="207"/>
  <c r="A32" i="207"/>
  <c r="B32" i="207"/>
  <c r="C32" i="207"/>
  <c r="A33" i="207"/>
  <c r="B33" i="207"/>
  <c r="C33" i="207"/>
  <c r="A34" i="207"/>
  <c r="B34" i="207"/>
  <c r="C34" i="207"/>
  <c r="A35" i="207"/>
  <c r="B35" i="207"/>
  <c r="C35" i="207"/>
  <c r="A36" i="207"/>
  <c r="B36" i="207"/>
  <c r="C36" i="207"/>
  <c r="A37" i="207"/>
  <c r="B37" i="207"/>
  <c r="C37" i="207"/>
  <c r="A38" i="207"/>
  <c r="B38" i="207"/>
  <c r="C38" i="207"/>
  <c r="A39" i="207"/>
  <c r="B39" i="207"/>
  <c r="C39" i="207"/>
  <c r="A40" i="207"/>
  <c r="B40" i="207"/>
  <c r="C40" i="207"/>
  <c r="A41" i="207"/>
  <c r="B41" i="207"/>
  <c r="C41" i="207"/>
  <c r="A42" i="207"/>
  <c r="B42" i="207"/>
  <c r="C42" i="207"/>
  <c r="A43" i="207"/>
  <c r="B43" i="207"/>
  <c r="C43" i="207"/>
  <c r="A44" i="207"/>
  <c r="A45" i="207"/>
  <c r="B45" i="207"/>
  <c r="C45" i="207"/>
  <c r="A46" i="207"/>
  <c r="B46" i="207"/>
  <c r="C46" i="207"/>
  <c r="A47" i="207"/>
  <c r="B47" i="207"/>
  <c r="C47" i="207"/>
  <c r="A48" i="207"/>
  <c r="B48" i="207"/>
  <c r="C48" i="207"/>
  <c r="A49" i="207"/>
  <c r="B49" i="207"/>
  <c r="C49" i="207"/>
  <c r="A50" i="207"/>
  <c r="B50" i="207"/>
  <c r="C50" i="207"/>
  <c r="A51" i="207"/>
  <c r="B51" i="207"/>
  <c r="C51" i="207"/>
  <c r="A52" i="207"/>
  <c r="B52" i="207"/>
  <c r="C52" i="207"/>
  <c r="A53" i="207"/>
  <c r="B53" i="207"/>
  <c r="C53" i="207"/>
  <c r="A54" i="207"/>
  <c r="B54" i="207"/>
  <c r="C54" i="207"/>
  <c r="A55" i="207"/>
  <c r="B55" i="207"/>
  <c r="C55" i="207"/>
  <c r="A56" i="207"/>
  <c r="B56" i="207"/>
  <c r="C56" i="207"/>
  <c r="A57" i="207"/>
  <c r="A58" i="207"/>
  <c r="B58" i="207"/>
  <c r="C58" i="207"/>
  <c r="A59" i="207"/>
  <c r="B59" i="207"/>
  <c r="C59" i="207"/>
  <c r="A60" i="207"/>
  <c r="B60" i="207"/>
  <c r="C60" i="207"/>
  <c r="A61" i="207"/>
  <c r="B61" i="207"/>
  <c r="C61" i="207"/>
  <c r="A62" i="207"/>
  <c r="B62" i="207"/>
  <c r="C62" i="207"/>
  <c r="A63" i="207"/>
  <c r="B63" i="207"/>
  <c r="C63" i="207"/>
  <c r="A64" i="207"/>
  <c r="B64" i="207"/>
  <c r="C64" i="207"/>
  <c r="A65" i="207"/>
  <c r="B65" i="207"/>
  <c r="C65" i="207"/>
  <c r="A66" i="207"/>
  <c r="B66" i="207"/>
  <c r="C66" i="207"/>
  <c r="A67" i="207"/>
  <c r="B67" i="207"/>
  <c r="C67" i="207"/>
  <c r="A68" i="207"/>
  <c r="B68" i="207"/>
  <c r="C68" i="207"/>
  <c r="A69" i="207"/>
  <c r="B69" i="207"/>
  <c r="C69" i="207"/>
  <c r="A70" i="207"/>
  <c r="A71" i="207"/>
  <c r="B71" i="207"/>
  <c r="C71" i="207"/>
  <c r="A72" i="207"/>
  <c r="B72" i="207"/>
  <c r="C72" i="207"/>
  <c r="A73" i="207"/>
  <c r="B73" i="207"/>
  <c r="C73" i="207"/>
  <c r="A74" i="207"/>
  <c r="B74" i="207"/>
  <c r="C74" i="207"/>
  <c r="A75" i="207"/>
  <c r="B75" i="207"/>
  <c r="C75" i="207"/>
  <c r="A76" i="207"/>
  <c r="B76" i="207"/>
  <c r="C76" i="207"/>
  <c r="A77" i="207"/>
  <c r="B77" i="207"/>
  <c r="C77" i="207"/>
  <c r="A78" i="207"/>
  <c r="B78" i="207"/>
  <c r="C78" i="207"/>
  <c r="A79" i="207"/>
  <c r="B79" i="207"/>
  <c r="C79" i="207"/>
  <c r="A80" i="207"/>
  <c r="B80" i="207"/>
  <c r="C80" i="207"/>
  <c r="A81" i="207"/>
  <c r="B81" i="207"/>
  <c r="C81" i="207"/>
  <c r="A82" i="207"/>
  <c r="B82" i="207"/>
  <c r="C82" i="207"/>
  <c r="A83" i="207"/>
  <c r="A84" i="207"/>
  <c r="B84" i="207"/>
  <c r="C84" i="207"/>
  <c r="A85" i="207"/>
  <c r="B85" i="207"/>
  <c r="C85" i="207"/>
  <c r="A86" i="207"/>
  <c r="B86" i="207"/>
  <c r="C86" i="207"/>
  <c r="A87" i="207"/>
  <c r="B87" i="207"/>
  <c r="C87" i="207"/>
  <c r="A88" i="207"/>
  <c r="B88" i="207"/>
  <c r="C88" i="207"/>
  <c r="A89" i="207"/>
  <c r="A90" i="207"/>
  <c r="B90" i="207"/>
  <c r="C90" i="207"/>
  <c r="A91" i="207"/>
  <c r="B91" i="207"/>
  <c r="C91" i="207"/>
  <c r="A92" i="207"/>
  <c r="B92" i="207"/>
  <c r="C92" i="207"/>
  <c r="A93" i="207"/>
  <c r="B93" i="207"/>
  <c r="C93" i="207"/>
  <c r="A94" i="207"/>
  <c r="B94" i="207"/>
  <c r="C94" i="207"/>
  <c r="A95" i="207"/>
  <c r="B95" i="207"/>
  <c r="C95" i="207"/>
  <c r="A96" i="207"/>
  <c r="B96" i="207"/>
  <c r="C96" i="207"/>
  <c r="A97" i="207"/>
  <c r="B97" i="207"/>
  <c r="C97" i="207"/>
  <c r="A98" i="207"/>
  <c r="B98" i="207"/>
  <c r="C98" i="207"/>
  <c r="A99" i="207"/>
  <c r="B99" i="207"/>
  <c r="C99" i="207"/>
  <c r="A100" i="207"/>
  <c r="B100" i="207"/>
  <c r="C100" i="207"/>
  <c r="A101" i="207"/>
  <c r="B101" i="207"/>
  <c r="C101" i="207"/>
  <c r="A102" i="207"/>
  <c r="A103" i="207"/>
  <c r="B103" i="207"/>
  <c r="C103" i="207"/>
  <c r="A104" i="207"/>
  <c r="B104" i="207"/>
  <c r="C104" i="207"/>
  <c r="A105" i="207"/>
  <c r="B105" i="207"/>
  <c r="C105" i="207"/>
  <c r="A106" i="207"/>
  <c r="B106" i="207"/>
  <c r="C106" i="207"/>
  <c r="A107" i="207"/>
  <c r="B107" i="207"/>
  <c r="C107" i="207"/>
  <c r="A108" i="207"/>
  <c r="B108" i="207"/>
  <c r="C108" i="207"/>
  <c r="A109" i="207"/>
  <c r="B109" i="207"/>
  <c r="C109" i="207"/>
  <c r="A110" i="207"/>
  <c r="B110" i="207"/>
  <c r="C110" i="207"/>
  <c r="A111" i="207"/>
  <c r="B111" i="207"/>
  <c r="C111" i="207"/>
  <c r="A112" i="207"/>
  <c r="B112" i="207"/>
  <c r="C112" i="207"/>
  <c r="A113" i="207"/>
  <c r="B113" i="207"/>
  <c r="C113" i="207"/>
  <c r="A114" i="207"/>
  <c r="B114" i="207"/>
  <c r="C114" i="207"/>
  <c r="A115" i="207"/>
  <c r="A116" i="207"/>
  <c r="B116" i="207"/>
  <c r="C116" i="207"/>
  <c r="A117" i="207"/>
  <c r="B117" i="207"/>
  <c r="C117" i="207"/>
  <c r="A118" i="207"/>
  <c r="B118" i="207"/>
  <c r="C118" i="207"/>
  <c r="A119" i="207"/>
  <c r="B119" i="207"/>
  <c r="C119" i="207"/>
  <c r="A120" i="207"/>
  <c r="B120" i="207"/>
  <c r="C120" i="207"/>
  <c r="A121" i="207"/>
  <c r="B121" i="207"/>
  <c r="C121" i="207"/>
  <c r="A122" i="207"/>
  <c r="B122" i="207"/>
  <c r="C122" i="207"/>
  <c r="A123" i="207"/>
  <c r="B123" i="207"/>
  <c r="C123" i="207"/>
  <c r="A124" i="207"/>
  <c r="B124" i="207"/>
  <c r="C124" i="207"/>
  <c r="A125" i="207"/>
  <c r="B125" i="207"/>
  <c r="C125" i="207"/>
  <c r="A126" i="207"/>
  <c r="B126" i="207"/>
  <c r="C126" i="207"/>
  <c r="A127" i="207"/>
  <c r="B127" i="207"/>
  <c r="C127" i="207"/>
  <c r="A128" i="207"/>
  <c r="A129" i="207"/>
  <c r="B129" i="207"/>
  <c r="C129" i="207"/>
  <c r="A130" i="207"/>
  <c r="B130" i="207"/>
  <c r="C130" i="207"/>
  <c r="A131" i="207"/>
  <c r="B131" i="207"/>
  <c r="C131" i="207"/>
  <c r="A132" i="207"/>
  <c r="B132" i="207"/>
  <c r="C132" i="207"/>
  <c r="A133" i="207"/>
  <c r="B133" i="207"/>
  <c r="C133" i="207"/>
  <c r="A134" i="207"/>
  <c r="B134" i="207"/>
  <c r="C134" i="207"/>
  <c r="A135" i="207"/>
  <c r="B135" i="207"/>
  <c r="C135" i="207"/>
  <c r="A136" i="207"/>
  <c r="B136" i="207"/>
  <c r="C136" i="207"/>
  <c r="A137" i="207"/>
  <c r="B137" i="207"/>
  <c r="C137" i="207"/>
  <c r="A138" i="207"/>
  <c r="B138" i="207"/>
  <c r="C138" i="207"/>
  <c r="A139" i="207"/>
  <c r="B139" i="207"/>
  <c r="C139" i="207"/>
  <c r="A140" i="207"/>
  <c r="B140" i="207"/>
  <c r="C140" i="207"/>
  <c r="A141" i="207"/>
  <c r="A142" i="207"/>
  <c r="B142" i="207"/>
  <c r="C142" i="207"/>
  <c r="A6" i="205"/>
  <c r="B6" i="205"/>
  <c r="C6" i="205"/>
  <c r="B7" i="205"/>
  <c r="C7" i="205"/>
  <c r="B8" i="205"/>
  <c r="C8" i="205"/>
  <c r="B9" i="205"/>
  <c r="C9" i="205"/>
  <c r="B10" i="205"/>
  <c r="C10" i="205"/>
  <c r="B13" i="205"/>
  <c r="C13" i="205"/>
  <c r="B14" i="205"/>
  <c r="C14" i="205"/>
  <c r="B15" i="205"/>
  <c r="C15" i="205"/>
  <c r="B19" i="205"/>
  <c r="C19" i="205"/>
  <c r="B11" i="205"/>
  <c r="C11" i="205"/>
  <c r="B16" i="205"/>
  <c r="C16" i="205"/>
  <c r="B18" i="205"/>
  <c r="C18" i="205"/>
  <c r="B23" i="205"/>
  <c r="C23" i="205"/>
  <c r="B24" i="205"/>
  <c r="C24" i="205"/>
  <c r="B25" i="205"/>
  <c r="C25" i="205"/>
  <c r="B26" i="205"/>
  <c r="C26" i="205"/>
  <c r="B27" i="205"/>
  <c r="C27" i="205"/>
  <c r="B30" i="205"/>
  <c r="C30" i="205"/>
  <c r="B31" i="205"/>
  <c r="C31" i="205"/>
  <c r="B32" i="205"/>
  <c r="C32" i="205"/>
  <c r="B35" i="205"/>
  <c r="C35" i="205"/>
  <c r="B28" i="205"/>
  <c r="C28" i="205"/>
  <c r="B33" i="205"/>
  <c r="C33" i="205"/>
  <c r="B34" i="205"/>
  <c r="C34" i="205"/>
  <c r="B37" i="205"/>
  <c r="C37" i="205"/>
  <c r="B38" i="205"/>
  <c r="C38" i="205"/>
  <c r="B39" i="205"/>
  <c r="C39" i="205"/>
  <c r="B40" i="205"/>
  <c r="C40" i="205"/>
  <c r="B41" i="205"/>
  <c r="C41" i="205"/>
  <c r="B44" i="205"/>
  <c r="C44" i="205"/>
  <c r="B45" i="205"/>
  <c r="C45" i="205"/>
  <c r="B46" i="205"/>
  <c r="C46" i="205"/>
  <c r="B50" i="205"/>
  <c r="C50" i="205"/>
  <c r="B42" i="205"/>
  <c r="C42" i="205"/>
  <c r="B47" i="205"/>
  <c r="C47" i="205"/>
  <c r="B49" i="205"/>
  <c r="C49" i="205"/>
  <c r="B54" i="205"/>
  <c r="C54" i="205"/>
  <c r="B55" i="205"/>
  <c r="C55" i="205"/>
  <c r="B56" i="205"/>
  <c r="C56" i="205"/>
  <c r="B57" i="205"/>
  <c r="C57" i="205"/>
  <c r="B58" i="205"/>
  <c r="C58" i="205"/>
  <c r="B61" i="205"/>
  <c r="C61" i="205"/>
  <c r="B62" i="205"/>
  <c r="C62" i="205"/>
  <c r="B63" i="205"/>
  <c r="C63" i="205"/>
  <c r="B66" i="205"/>
  <c r="C66" i="205"/>
  <c r="B59" i="205"/>
  <c r="C59" i="205"/>
  <c r="B64" i="205"/>
  <c r="C64" i="205"/>
  <c r="B65" i="205"/>
  <c r="C65" i="205"/>
  <c r="B68" i="205"/>
  <c r="C68" i="205"/>
  <c r="B69" i="205"/>
  <c r="C69" i="205"/>
  <c r="B70" i="205"/>
  <c r="C70" i="205"/>
  <c r="B71" i="205"/>
  <c r="C71" i="205"/>
  <c r="B72" i="205"/>
  <c r="C72" i="205"/>
  <c r="B75" i="205"/>
  <c r="C75" i="205"/>
  <c r="B76" i="205"/>
  <c r="C76" i="205"/>
  <c r="B77" i="205"/>
  <c r="C77" i="205"/>
  <c r="B81" i="205"/>
  <c r="C81" i="205"/>
  <c r="B73" i="205"/>
  <c r="C73" i="205"/>
  <c r="B78" i="205"/>
  <c r="C78" i="205"/>
  <c r="B80" i="205"/>
  <c r="C80" i="205"/>
  <c r="B85" i="205"/>
  <c r="C85" i="205"/>
  <c r="B86" i="205"/>
  <c r="C86" i="205"/>
  <c r="B87" i="205"/>
  <c r="C87" i="205"/>
  <c r="B88" i="205"/>
  <c r="C88" i="205"/>
  <c r="B89" i="205"/>
  <c r="C89" i="205"/>
  <c r="B92" i="205"/>
  <c r="C92" i="205"/>
  <c r="B93" i="205"/>
  <c r="C93" i="205"/>
  <c r="B94" i="205"/>
  <c r="C94" i="205"/>
  <c r="B97" i="205"/>
  <c r="C97" i="205"/>
  <c r="B90" i="205"/>
  <c r="C90" i="205"/>
  <c r="B95" i="205"/>
  <c r="C95" i="205"/>
  <c r="B96" i="205"/>
  <c r="C96" i="205"/>
  <c r="B99" i="205"/>
  <c r="C99" i="205"/>
  <c r="B100" i="205"/>
  <c r="C100" i="205"/>
  <c r="B101" i="205"/>
  <c r="C101" i="205"/>
  <c r="B102" i="205"/>
  <c r="C102" i="205"/>
  <c r="B105" i="205"/>
  <c r="C105" i="205"/>
  <c r="B107" i="205"/>
  <c r="C107" i="205"/>
  <c r="B108" i="205"/>
  <c r="C108" i="205"/>
  <c r="B109" i="205"/>
  <c r="C109" i="205"/>
  <c r="B110" i="205"/>
  <c r="C110" i="205"/>
  <c r="B111" i="205"/>
  <c r="C111" i="205"/>
  <c r="B114" i="205"/>
  <c r="C114" i="205"/>
  <c r="B115" i="205"/>
  <c r="C115" i="205"/>
  <c r="B116" i="205"/>
  <c r="C116" i="205"/>
  <c r="B120" i="205"/>
  <c r="C120" i="205"/>
  <c r="B112" i="205"/>
  <c r="C112" i="205"/>
  <c r="B117" i="205"/>
  <c r="C117" i="205"/>
  <c r="B119" i="205"/>
  <c r="C119" i="205"/>
  <c r="B124" i="205"/>
  <c r="C124" i="205"/>
  <c r="B125" i="205"/>
  <c r="C125" i="205"/>
  <c r="B126" i="205"/>
  <c r="C126" i="205"/>
  <c r="B127" i="205"/>
  <c r="C127" i="205"/>
  <c r="B128" i="205"/>
  <c r="C128" i="205"/>
  <c r="B131" i="205"/>
  <c r="C131" i="205"/>
  <c r="B132" i="205"/>
  <c r="C132" i="205"/>
  <c r="B133" i="205"/>
  <c r="C133" i="205"/>
  <c r="B137" i="205"/>
  <c r="C137" i="205"/>
  <c r="B129" i="205"/>
  <c r="C129" i="205"/>
  <c r="B134" i="205"/>
  <c r="C134" i="205"/>
  <c r="B136" i="205"/>
  <c r="C136" i="205"/>
  <c r="B141" i="205"/>
  <c r="C141" i="205"/>
  <c r="B142" i="205"/>
  <c r="C142" i="205"/>
  <c r="B143" i="205"/>
  <c r="C143" i="205"/>
  <c r="B144" i="205"/>
  <c r="C144" i="205"/>
  <c r="B145" i="205"/>
  <c r="C145" i="205"/>
  <c r="B148" i="205"/>
  <c r="C148" i="205"/>
  <c r="B149" i="205"/>
  <c r="C149" i="205"/>
  <c r="B150" i="205"/>
  <c r="C150" i="205"/>
  <c r="B154" i="205"/>
  <c r="C154" i="205"/>
  <c r="B146" i="205"/>
  <c r="C146" i="205"/>
  <c r="B151" i="205"/>
  <c r="C151" i="205"/>
  <c r="B153" i="205"/>
  <c r="C153" i="205"/>
  <c r="B158" i="205"/>
  <c r="C158" i="205"/>
  <c r="B159" i="205"/>
  <c r="C159" i="205"/>
  <c r="B160" i="205"/>
  <c r="C160" i="205"/>
  <c r="B161" i="205"/>
  <c r="C161" i="205"/>
  <c r="B162" i="205"/>
  <c r="C162" i="205"/>
  <c r="B165" i="205"/>
  <c r="C165" i="205"/>
  <c r="B166" i="205"/>
  <c r="C166" i="205"/>
  <c r="B167" i="205"/>
  <c r="C167" i="205"/>
  <c r="B170" i="205"/>
  <c r="C170" i="205"/>
  <c r="B163" i="205"/>
  <c r="C163" i="205"/>
  <c r="B168" i="205"/>
  <c r="C168" i="205"/>
  <c r="B169" i="205"/>
  <c r="C169" i="205"/>
  <c r="B172" i="205"/>
  <c r="C172" i="205"/>
  <c r="D27" i="123"/>
  <c r="D28" i="123"/>
  <c r="D29" i="123"/>
  <c r="D30" i="123"/>
  <c r="D26" i="123"/>
  <c r="A5" i="206"/>
  <c r="A5" i="207"/>
  <c r="A5" i="205"/>
  <c r="A1" i="206"/>
  <c r="A1" i="207"/>
  <c r="A1" i="205"/>
  <c r="N22" i="253"/>
  <c r="O22" i="245"/>
  <c r="L22" i="216"/>
  <c r="I26" i="260"/>
  <c r="K27" i="274"/>
  <c r="I27" i="274"/>
  <c r="L19" i="291"/>
  <c r="M22" i="278"/>
  <c r="N22" i="260"/>
  <c r="E22" i="252"/>
  <c r="E29" i="252" s="1"/>
  <c r="I22" i="243"/>
  <c r="F121" i="207"/>
  <c r="J121" i="207"/>
  <c r="N143" i="207"/>
  <c r="J124" i="206"/>
  <c r="E22" i="231"/>
  <c r="E29" i="231" s="1"/>
  <c r="E27" i="230"/>
  <c r="M22" i="226"/>
  <c r="M22" i="224"/>
  <c r="E27" i="221"/>
  <c r="M22" i="215"/>
  <c r="H22" i="211"/>
  <c r="H127" i="207"/>
  <c r="L127" i="207"/>
  <c r="D127" i="207"/>
  <c r="D143" i="207"/>
  <c r="D121" i="207"/>
  <c r="H143" i="207"/>
  <c r="H121" i="207"/>
  <c r="L143" i="207"/>
  <c r="L121" i="207"/>
  <c r="E127" i="207"/>
  <c r="I127" i="207"/>
  <c r="M127" i="207"/>
  <c r="E143" i="207"/>
  <c r="E121" i="207"/>
  <c r="I143" i="207"/>
  <c r="I121" i="207"/>
  <c r="M143" i="207"/>
  <c r="P143" i="207" s="1"/>
  <c r="M121" i="207"/>
  <c r="N121" i="207"/>
  <c r="F143" i="207"/>
  <c r="F127" i="207"/>
  <c r="J127" i="207"/>
  <c r="N127" i="207"/>
  <c r="J128" i="206"/>
  <c r="G127" i="207"/>
  <c r="K127" i="207"/>
  <c r="O127" i="207"/>
  <c r="K128" i="206"/>
  <c r="G143" i="207"/>
  <c r="G121" i="207"/>
  <c r="K143" i="207"/>
  <c r="K121" i="207"/>
  <c r="O143" i="207"/>
  <c r="O121" i="207"/>
  <c r="I1" i="123"/>
  <c r="C1" i="123"/>
  <c r="B1" i="123"/>
  <c r="P25" i="123"/>
  <c r="O25" i="123"/>
  <c r="N25" i="123"/>
  <c r="M25" i="123"/>
  <c r="L25" i="123"/>
  <c r="K25" i="123"/>
  <c r="J25" i="123"/>
  <c r="I25" i="123"/>
  <c r="H25" i="123"/>
  <c r="G25" i="123"/>
  <c r="F25" i="123"/>
  <c r="E25" i="123"/>
  <c r="O27" i="284"/>
  <c r="Q165" i="34" l="1"/>
  <c r="I165" i="34"/>
  <c r="E19" i="232"/>
  <c r="D104" i="205"/>
  <c r="E19" i="361" s="1"/>
  <c r="H19" i="232"/>
  <c r="G104" i="205"/>
  <c r="H19" i="361" s="1"/>
  <c r="H23" i="361" s="1"/>
  <c r="O19" i="232"/>
  <c r="N104" i="205"/>
  <c r="O19" i="361" s="1"/>
  <c r="O23" i="361" s="1"/>
  <c r="K19" i="232"/>
  <c r="J104" i="205"/>
  <c r="K19" i="361" s="1"/>
  <c r="K23" i="361" s="1"/>
  <c r="G19" i="232"/>
  <c r="F104" i="205"/>
  <c r="G19" i="361" s="1"/>
  <c r="G23" i="361" s="1"/>
  <c r="P19" i="232"/>
  <c r="O104" i="205"/>
  <c r="P19" i="361" s="1"/>
  <c r="L19" i="232"/>
  <c r="K104" i="205"/>
  <c r="L19" i="361" s="1"/>
  <c r="L23" i="361" s="1"/>
  <c r="N19" i="232"/>
  <c r="M104" i="205"/>
  <c r="N19" i="361" s="1"/>
  <c r="N23" i="361" s="1"/>
  <c r="J19" i="232"/>
  <c r="I104" i="205"/>
  <c r="J19" i="361" s="1"/>
  <c r="J23" i="361" s="1"/>
  <c r="F19" i="232"/>
  <c r="E104" i="205"/>
  <c r="F19" i="361" s="1"/>
  <c r="F23" i="361" s="1"/>
  <c r="M19" i="232"/>
  <c r="L104" i="205"/>
  <c r="M19" i="361" s="1"/>
  <c r="M23" i="361" s="1"/>
  <c r="P22" i="306"/>
  <c r="Q148" i="34"/>
  <c r="I148" i="34"/>
  <c r="P26" i="268"/>
  <c r="N22" i="123"/>
  <c r="Q21" i="34"/>
  <c r="I21" i="34"/>
  <c r="Q125" i="34"/>
  <c r="I125" i="34"/>
  <c r="Q17" i="34"/>
  <c r="I17" i="34"/>
  <c r="Q143" i="34"/>
  <c r="I143" i="34"/>
  <c r="Q161" i="34"/>
  <c r="I161" i="34"/>
  <c r="R50" i="34"/>
  <c r="O50" i="34"/>
  <c r="R84" i="34"/>
  <c r="R79" i="34"/>
  <c r="Q174" i="34"/>
  <c r="I174" i="34"/>
  <c r="Q30" i="34"/>
  <c r="I12" i="34"/>
  <c r="Q12" i="34"/>
  <c r="Q156" i="34"/>
  <c r="I156" i="34"/>
  <c r="R45" i="34"/>
  <c r="O45" i="34"/>
  <c r="Q120" i="34"/>
  <c r="I120" i="34"/>
  <c r="Q138" i="34"/>
  <c r="I138" i="34"/>
  <c r="H158" i="34"/>
  <c r="E28" i="312"/>
  <c r="H150" i="34"/>
  <c r="M32" i="206"/>
  <c r="E27" i="244"/>
  <c r="E28" i="244"/>
  <c r="P27" i="244"/>
  <c r="P28" i="244"/>
  <c r="I27" i="250"/>
  <c r="I30" i="250" s="1"/>
  <c r="I28" i="250"/>
  <c r="E27" i="268"/>
  <c r="E28" i="268"/>
  <c r="H89" i="206"/>
  <c r="I28" i="274"/>
  <c r="E27" i="291"/>
  <c r="E28" i="291"/>
  <c r="E27" i="303"/>
  <c r="E28" i="303"/>
  <c r="P161" i="207"/>
  <c r="H27" i="284"/>
  <c r="H28" i="284"/>
  <c r="M18" i="206"/>
  <c r="H27" i="281"/>
  <c r="H28" i="281"/>
  <c r="O27" i="244"/>
  <c r="O28" i="244"/>
  <c r="K27" i="244"/>
  <c r="K28" i="244"/>
  <c r="P27" i="250"/>
  <c r="P30" i="250" s="1"/>
  <c r="P28" i="250"/>
  <c r="H27" i="250"/>
  <c r="H28" i="250"/>
  <c r="K89" i="206"/>
  <c r="L28" i="284" s="1"/>
  <c r="L28" i="274"/>
  <c r="M146" i="207"/>
  <c r="P144" i="207"/>
  <c r="E28" i="319"/>
  <c r="E27" i="316"/>
  <c r="E27" i="311"/>
  <c r="F27" i="244"/>
  <c r="F28" i="244"/>
  <c r="O27" i="250"/>
  <c r="O28" i="250"/>
  <c r="K27" i="250"/>
  <c r="K28" i="250"/>
  <c r="G27" i="250"/>
  <c r="G28" i="250"/>
  <c r="O28" i="274"/>
  <c r="N89" i="206"/>
  <c r="O28" i="284" s="1"/>
  <c r="E27" i="309"/>
  <c r="E28" i="309"/>
  <c r="H121" i="34"/>
  <c r="E28" i="311"/>
  <c r="E27" i="314"/>
  <c r="H178" i="34"/>
  <c r="M27" i="244"/>
  <c r="M28" i="244"/>
  <c r="E27" i="250"/>
  <c r="N27" i="262"/>
  <c r="N28" i="262"/>
  <c r="E27" i="327"/>
  <c r="F26" i="299"/>
  <c r="M22" i="309"/>
  <c r="P22" i="294"/>
  <c r="L22" i="294"/>
  <c r="P22" i="327"/>
  <c r="L22" i="327"/>
  <c r="N22" i="225"/>
  <c r="H22" i="212"/>
  <c r="E27" i="212"/>
  <c r="P28" i="212"/>
  <c r="E28" i="210"/>
  <c r="E30" i="210" s="1"/>
  <c r="E27" i="223"/>
  <c r="E28" i="223"/>
  <c r="E27" i="228"/>
  <c r="E28" i="228"/>
  <c r="E30" i="228" s="1"/>
  <c r="M22" i="219"/>
  <c r="L18" i="206"/>
  <c r="J18" i="206"/>
  <c r="L32" i="206"/>
  <c r="L22" i="232"/>
  <c r="K32" i="206"/>
  <c r="I22" i="228"/>
  <c r="J32" i="206"/>
  <c r="M22" i="275"/>
  <c r="K23" i="231"/>
  <c r="G22" i="252"/>
  <c r="E27" i="211"/>
  <c r="E28" i="211"/>
  <c r="E27" i="209"/>
  <c r="E27" i="215"/>
  <c r="E28" i="215"/>
  <c r="E27" i="217"/>
  <c r="E27" i="220"/>
  <c r="E28" i="220"/>
  <c r="E30" i="220" s="1"/>
  <c r="K18" i="206"/>
  <c r="G22" i="215"/>
  <c r="G28" i="215"/>
  <c r="I22" i="221"/>
  <c r="G209" i="34"/>
  <c r="Q209" i="34" s="1"/>
  <c r="N19" i="213"/>
  <c r="N23" i="213" s="1"/>
  <c r="N19" i="360"/>
  <c r="J19" i="213"/>
  <c r="J19" i="360"/>
  <c r="F19" i="213"/>
  <c r="F19" i="360"/>
  <c r="M19" i="213"/>
  <c r="M22" i="213" s="1"/>
  <c r="M19" i="360"/>
  <c r="I19" i="213"/>
  <c r="I19" i="360"/>
  <c r="P19" i="213"/>
  <c r="P22" i="213" s="1"/>
  <c r="P19" i="360"/>
  <c r="L19" i="213"/>
  <c r="L23" i="213" s="1"/>
  <c r="L19" i="360"/>
  <c r="H19" i="213"/>
  <c r="H19" i="360"/>
  <c r="O19" i="213"/>
  <c r="O23" i="213" s="1"/>
  <c r="O19" i="360"/>
  <c r="K19" i="213"/>
  <c r="K22" i="213" s="1"/>
  <c r="K19" i="360"/>
  <c r="G19" i="213"/>
  <c r="G19" i="360"/>
  <c r="E19" i="213"/>
  <c r="E19" i="360"/>
  <c r="E22" i="222"/>
  <c r="E29" i="222" s="1"/>
  <c r="E22" i="221"/>
  <c r="E29" i="221" s="1"/>
  <c r="G57" i="34"/>
  <c r="Q57" i="34" s="1"/>
  <c r="G61" i="34"/>
  <c r="Q61" i="34" s="1"/>
  <c r="G74" i="34"/>
  <c r="Q74" i="34" s="1"/>
  <c r="G116" i="34"/>
  <c r="Q116" i="34" s="1"/>
  <c r="M19" i="256"/>
  <c r="M26" i="256" s="1"/>
  <c r="L102" i="205"/>
  <c r="M19" i="284" s="1"/>
  <c r="M26" i="284" s="1"/>
  <c r="I19" i="256"/>
  <c r="I26" i="256" s="1"/>
  <c r="H102" i="205"/>
  <c r="I19" i="284" s="1"/>
  <c r="I26" i="284" s="1"/>
  <c r="G67" i="34"/>
  <c r="Q67" i="34" s="1"/>
  <c r="P19" i="256"/>
  <c r="P26" i="256" s="1"/>
  <c r="O102" i="205"/>
  <c r="P19" i="284" s="1"/>
  <c r="L19" i="256"/>
  <c r="L26" i="256" s="1"/>
  <c r="K102" i="205"/>
  <c r="L19" i="284" s="1"/>
  <c r="L26" i="284" s="1"/>
  <c r="H19" i="256"/>
  <c r="H26" i="256" s="1"/>
  <c r="G102" i="205"/>
  <c r="H19" i="284" s="1"/>
  <c r="H26" i="284" s="1"/>
  <c r="O19" i="256"/>
  <c r="O26" i="256" s="1"/>
  <c r="N102" i="205"/>
  <c r="O19" i="284" s="1"/>
  <c r="O26" i="284" s="1"/>
  <c r="O30" i="284" s="1"/>
  <c r="K19" i="256"/>
  <c r="K26" i="256" s="1"/>
  <c r="J102" i="205"/>
  <c r="K19" i="284" s="1"/>
  <c r="G19" i="256"/>
  <c r="G26" i="256" s="1"/>
  <c r="F102" i="205"/>
  <c r="G19" i="284" s="1"/>
  <c r="N19" i="256"/>
  <c r="N26" i="256" s="1"/>
  <c r="N30" i="256" s="1"/>
  <c r="M102" i="205"/>
  <c r="N19" i="284" s="1"/>
  <c r="N26" i="284" s="1"/>
  <c r="J19" i="256"/>
  <c r="J26" i="256" s="1"/>
  <c r="I102" i="205"/>
  <c r="J19" i="284" s="1"/>
  <c r="J26" i="284" s="1"/>
  <c r="F19" i="256"/>
  <c r="F26" i="256" s="1"/>
  <c r="E102" i="205"/>
  <c r="F19" i="284" s="1"/>
  <c r="F26" i="284" s="1"/>
  <c r="G139" i="34"/>
  <c r="Q139" i="34" s="1"/>
  <c r="M23" i="297"/>
  <c r="M19" i="321"/>
  <c r="I23" i="297"/>
  <c r="I19" i="321"/>
  <c r="P19" i="321"/>
  <c r="L23" i="297"/>
  <c r="L19" i="321"/>
  <c r="L23" i="321" s="1"/>
  <c r="H22" i="297"/>
  <c r="H19" i="321"/>
  <c r="H23" i="321" s="1"/>
  <c r="O23" i="297"/>
  <c r="O19" i="321"/>
  <c r="K23" i="297"/>
  <c r="K19" i="321"/>
  <c r="K23" i="321" s="1"/>
  <c r="G23" i="297"/>
  <c r="G19" i="321"/>
  <c r="E22" i="297"/>
  <c r="E29" i="297" s="1"/>
  <c r="E19" i="321"/>
  <c r="E26" i="321" s="1"/>
  <c r="N23" i="297"/>
  <c r="N19" i="321"/>
  <c r="J22" i="297"/>
  <c r="J19" i="321"/>
  <c r="F23" i="297"/>
  <c r="F19" i="321"/>
  <c r="G19" i="291"/>
  <c r="G23" i="291" s="1"/>
  <c r="G19" i="315"/>
  <c r="K19" i="291"/>
  <c r="K23" i="291" s="1"/>
  <c r="K19" i="315"/>
  <c r="K22" i="315" s="1"/>
  <c r="N19" i="291"/>
  <c r="N23" i="291" s="1"/>
  <c r="N19" i="315"/>
  <c r="J19" i="291"/>
  <c r="J23" i="291" s="1"/>
  <c r="J19" i="315"/>
  <c r="F19" i="291"/>
  <c r="F23" i="291" s="1"/>
  <c r="F19" i="315"/>
  <c r="O19" i="291"/>
  <c r="O23" i="291" s="1"/>
  <c r="O19" i="315"/>
  <c r="M19" i="291"/>
  <c r="M23" i="291" s="1"/>
  <c r="M19" i="315"/>
  <c r="M22" i="315" s="1"/>
  <c r="I19" i="291"/>
  <c r="I19" i="315"/>
  <c r="P19" i="291"/>
  <c r="P22" i="291" s="1"/>
  <c r="P19" i="315"/>
  <c r="H19" i="291"/>
  <c r="H23" i="291" s="1"/>
  <c r="H19" i="315"/>
  <c r="L26" i="244"/>
  <c r="O26" i="244"/>
  <c r="K26" i="244"/>
  <c r="G26" i="244"/>
  <c r="H26" i="244"/>
  <c r="N26" i="244"/>
  <c r="J26" i="244"/>
  <c r="P26" i="244"/>
  <c r="M26" i="244"/>
  <c r="I26" i="244"/>
  <c r="F26" i="244"/>
  <c r="E19" i="291"/>
  <c r="E22" i="291" s="1"/>
  <c r="E29" i="291" s="1"/>
  <c r="E19" i="315"/>
  <c r="E26" i="315" s="1"/>
  <c r="G155" i="34"/>
  <c r="Q155" i="34" s="1"/>
  <c r="G154" i="34"/>
  <c r="Q154" i="34" s="1"/>
  <c r="G150" i="34"/>
  <c r="Q150" i="34" s="1"/>
  <c r="G6" i="34"/>
  <c r="Q6" i="34" s="1"/>
  <c r="G7" i="34"/>
  <c r="Q7" i="34" s="1"/>
  <c r="G34" i="34"/>
  <c r="Q34" i="34" s="1"/>
  <c r="G93" i="34"/>
  <c r="Q93" i="34" s="1"/>
  <c r="G140" i="34"/>
  <c r="Q140" i="34" s="1"/>
  <c r="G137" i="34"/>
  <c r="Q137" i="34" s="1"/>
  <c r="F26" i="340"/>
  <c r="G181" i="34"/>
  <c r="Q181" i="34" s="1"/>
  <c r="G202" i="34"/>
  <c r="Q202" i="34" s="1"/>
  <c r="G207" i="34"/>
  <c r="Q207" i="34" s="1"/>
  <c r="G223" i="34"/>
  <c r="Q223" i="34" s="1"/>
  <c r="G35" i="34"/>
  <c r="Q35" i="34" s="1"/>
  <c r="G22" i="355"/>
  <c r="G153" i="34"/>
  <c r="Q153" i="34" s="1"/>
  <c r="G28" i="34"/>
  <c r="Q28" i="34" s="1"/>
  <c r="G32" i="34"/>
  <c r="Q32" i="34" s="1"/>
  <c r="G33" i="34"/>
  <c r="Q33" i="34" s="1"/>
  <c r="G53" i="34"/>
  <c r="Q53" i="34" s="1"/>
  <c r="G117" i="34"/>
  <c r="Q117" i="34" s="1"/>
  <c r="G142" i="34"/>
  <c r="Q142" i="34" s="1"/>
  <c r="G31" i="34"/>
  <c r="Q31" i="34" s="1"/>
  <c r="M46" i="34"/>
  <c r="R46" i="34" s="1"/>
  <c r="G122" i="34"/>
  <c r="Q122" i="34" s="1"/>
  <c r="G123" i="34"/>
  <c r="Q123" i="34" s="1"/>
  <c r="G24" i="34"/>
  <c r="Q24" i="34" s="1"/>
  <c r="G81" i="34"/>
  <c r="Q81" i="34" s="1"/>
  <c r="Q124" i="34"/>
  <c r="G134" i="34"/>
  <c r="Q134" i="34" s="1"/>
  <c r="G136" i="34"/>
  <c r="Q136" i="34" s="1"/>
  <c r="G171" i="34"/>
  <c r="Q171" i="34" s="1"/>
  <c r="G172" i="34"/>
  <c r="Q172" i="34" s="1"/>
  <c r="G176" i="34"/>
  <c r="Q176" i="34" s="1"/>
  <c r="G177" i="34"/>
  <c r="Q177" i="34" s="1"/>
  <c r="G173" i="34"/>
  <c r="Q173" i="34" s="1"/>
  <c r="G178" i="34"/>
  <c r="Q178" i="34" s="1"/>
  <c r="G204" i="34"/>
  <c r="Q204" i="34" s="1"/>
  <c r="G220" i="34"/>
  <c r="Q220" i="34" s="1"/>
  <c r="G60" i="34"/>
  <c r="Q60" i="34" s="1"/>
  <c r="G25" i="34"/>
  <c r="Q25" i="34" s="1"/>
  <c r="G20" i="34"/>
  <c r="Q20" i="34" s="1"/>
  <c r="G16" i="34"/>
  <c r="Q16" i="34" s="1"/>
  <c r="G128" i="34"/>
  <c r="Q128" i="34" s="1"/>
  <c r="L23" i="239"/>
  <c r="G222" i="34"/>
  <c r="Q222" i="34" s="1"/>
  <c r="G175" i="34"/>
  <c r="Q175" i="34" s="1"/>
  <c r="G71" i="34"/>
  <c r="Q71" i="34" s="1"/>
  <c r="M23" i="226"/>
  <c r="I30" i="279"/>
  <c r="G152" i="34"/>
  <c r="Q152" i="34" s="1"/>
  <c r="G211" i="34"/>
  <c r="Q211" i="34" s="1"/>
  <c r="G18" i="34"/>
  <c r="Q18" i="34" s="1"/>
  <c r="G26" i="34"/>
  <c r="Q26" i="34" s="1"/>
  <c r="M22" i="225"/>
  <c r="K22" i="225"/>
  <c r="P22" i="349"/>
  <c r="L22" i="349"/>
  <c r="K22" i="348"/>
  <c r="M22" i="340"/>
  <c r="O22" i="347"/>
  <c r="K22" i="347"/>
  <c r="N22" i="351"/>
  <c r="P22" i="340"/>
  <c r="O22" i="340"/>
  <c r="L22" i="346"/>
  <c r="K22" i="346"/>
  <c r="M22" i="330"/>
  <c r="P22" i="330"/>
  <c r="L22" i="330"/>
  <c r="N22" i="325"/>
  <c r="N22" i="331"/>
  <c r="K22" i="327"/>
  <c r="N22" i="327"/>
  <c r="M22" i="327"/>
  <c r="M22" i="306"/>
  <c r="M22" i="304"/>
  <c r="M22" i="308"/>
  <c r="P22" i="304"/>
  <c r="L22" i="304"/>
  <c r="P22" i="305"/>
  <c r="L22" i="305"/>
  <c r="P22" i="308"/>
  <c r="L22" i="308"/>
  <c r="M22" i="299"/>
  <c r="P22" i="301"/>
  <c r="L22" i="302"/>
  <c r="P22" i="307"/>
  <c r="L22" i="307"/>
  <c r="N22" i="303"/>
  <c r="N22" i="299"/>
  <c r="M22" i="300"/>
  <c r="M22" i="302"/>
  <c r="M22" i="318"/>
  <c r="P22" i="318"/>
  <c r="L22" i="318"/>
  <c r="P22" i="316"/>
  <c r="O22" i="296"/>
  <c r="K22" i="320"/>
  <c r="L22" i="317"/>
  <c r="O22" i="316"/>
  <c r="K22" i="316"/>
  <c r="N22" i="292"/>
  <c r="N22" i="293"/>
  <c r="N22" i="296"/>
  <c r="L22" i="316"/>
  <c r="N22" i="320"/>
  <c r="N22" i="316"/>
  <c r="M22" i="292"/>
  <c r="M22" i="293"/>
  <c r="M22" i="296"/>
  <c r="P22" i="320"/>
  <c r="K22" i="296"/>
  <c r="M22" i="316"/>
  <c r="P22" i="292"/>
  <c r="L22" i="292"/>
  <c r="P22" i="293"/>
  <c r="P22" i="296"/>
  <c r="L22" i="311"/>
  <c r="F23" i="288"/>
  <c r="F23" i="289"/>
  <c r="N22" i="314"/>
  <c r="M22" i="313"/>
  <c r="P22" i="312"/>
  <c r="O22" i="311"/>
  <c r="K22" i="311"/>
  <c r="N22" i="310"/>
  <c r="M22" i="287"/>
  <c r="M22" i="288"/>
  <c r="M22" i="289"/>
  <c r="N22" i="290"/>
  <c r="N22" i="295"/>
  <c r="O22" i="291"/>
  <c r="M22" i="319"/>
  <c r="M22" i="314"/>
  <c r="P22" i="313"/>
  <c r="O22" i="312"/>
  <c r="K22" i="312"/>
  <c r="N22" i="311"/>
  <c r="P22" i="287"/>
  <c r="L22" i="287"/>
  <c r="L22" i="288"/>
  <c r="P22" i="289"/>
  <c r="L22" i="289"/>
  <c r="M22" i="290"/>
  <c r="M22" i="295"/>
  <c r="K22" i="319"/>
  <c r="M22" i="312"/>
  <c r="K22" i="310"/>
  <c r="N22" i="287"/>
  <c r="N22" i="288"/>
  <c r="N22" i="289"/>
  <c r="L22" i="291"/>
  <c r="P22" i="319"/>
  <c r="L22" i="319"/>
  <c r="O22" i="313"/>
  <c r="O22" i="287"/>
  <c r="K22" i="287"/>
  <c r="K22" i="288"/>
  <c r="O22" i="289"/>
  <c r="K22" i="289"/>
  <c r="P22" i="290"/>
  <c r="L22" i="290"/>
  <c r="P22" i="295"/>
  <c r="L22" i="295"/>
  <c r="P22" i="263"/>
  <c r="K22" i="263"/>
  <c r="O22" i="258"/>
  <c r="N30" i="245"/>
  <c r="P22" i="247"/>
  <c r="K22" i="240"/>
  <c r="M22" i="243"/>
  <c r="L22" i="237"/>
  <c r="M22" i="242"/>
  <c r="P22" i="216"/>
  <c r="O22" i="216"/>
  <c r="K22" i="216"/>
  <c r="K22" i="219"/>
  <c r="N22" i="209"/>
  <c r="M22" i="210"/>
  <c r="P22" i="211"/>
  <c r="L22" i="211"/>
  <c r="N22" i="212"/>
  <c r="K22" i="217"/>
  <c r="M22" i="209"/>
  <c r="P22" i="210"/>
  <c r="L22" i="210"/>
  <c r="O22" i="211"/>
  <c r="K22" i="211"/>
  <c r="N22" i="217"/>
  <c r="P22" i="209"/>
  <c r="L22" i="209"/>
  <c r="O22" i="210"/>
  <c r="K22" i="210"/>
  <c r="N22" i="211"/>
  <c r="P22" i="212"/>
  <c r="M22" i="217"/>
  <c r="K22" i="209"/>
  <c r="N22" i="210"/>
  <c r="P22" i="217"/>
  <c r="L22" i="217"/>
  <c r="P23" i="312"/>
  <c r="O88" i="206"/>
  <c r="P28" i="283" s="1"/>
  <c r="P22" i="225"/>
  <c r="O32" i="206"/>
  <c r="O18" i="206"/>
  <c r="P22" i="236"/>
  <c r="H160" i="34"/>
  <c r="O23" i="311"/>
  <c r="O22" i="225"/>
  <c r="N32" i="206"/>
  <c r="N18" i="206"/>
  <c r="N23" i="289"/>
  <c r="N23" i="288"/>
  <c r="I22" i="275"/>
  <c r="O22" i="248"/>
  <c r="I23" i="278"/>
  <c r="P22" i="234"/>
  <c r="M22" i="279"/>
  <c r="M30" i="279"/>
  <c r="O22" i="240"/>
  <c r="O23" i="230"/>
  <c r="M22" i="233"/>
  <c r="L22" i="234"/>
  <c r="I22" i="249"/>
  <c r="M22" i="276"/>
  <c r="M23" i="279"/>
  <c r="K22" i="239"/>
  <c r="L23" i="210"/>
  <c r="M23" i="216"/>
  <c r="O23" i="247"/>
  <c r="G23" i="247"/>
  <c r="K22" i="249"/>
  <c r="G23" i="254"/>
  <c r="H41" i="34"/>
  <c r="H135" i="34"/>
  <c r="H141" i="34"/>
  <c r="H206" i="34"/>
  <c r="L22" i="235"/>
  <c r="M22" i="252"/>
  <c r="I22" i="276"/>
  <c r="K22" i="242"/>
  <c r="H164" i="34"/>
  <c r="M23" i="224"/>
  <c r="M23" i="228"/>
  <c r="N22" i="251"/>
  <c r="H39" i="34"/>
  <c r="H67" i="34"/>
  <c r="N22" i="269"/>
  <c r="N22" i="261"/>
  <c r="N23" i="222"/>
  <c r="P23" i="223"/>
  <c r="L23" i="223"/>
  <c r="E22" i="230"/>
  <c r="E29" i="230" s="1"/>
  <c r="H22" i="234"/>
  <c r="H22" i="235"/>
  <c r="E22" i="215"/>
  <c r="E29" i="215" s="1"/>
  <c r="E22" i="224"/>
  <c r="E29" i="224" s="1"/>
  <c r="E27" i="226"/>
  <c r="M22" i="235"/>
  <c r="L22" i="236"/>
  <c r="H22" i="239"/>
  <c r="P22" i="243"/>
  <c r="M22" i="253"/>
  <c r="E22" i="258"/>
  <c r="E29" i="258" s="1"/>
  <c r="I22" i="273"/>
  <c r="E22" i="275"/>
  <c r="E29" i="275" s="1"/>
  <c r="E22" i="276"/>
  <c r="E29" i="276" s="1"/>
  <c r="I22" i="279"/>
  <c r="K22" i="243"/>
  <c r="G22" i="233"/>
  <c r="N22" i="264"/>
  <c r="M23" i="123"/>
  <c r="M23" i="209"/>
  <c r="G30" i="237"/>
  <c r="O30" i="240"/>
  <c r="O22" i="243"/>
  <c r="N22" i="245"/>
  <c r="I30" i="245"/>
  <c r="E22" i="246"/>
  <c r="E29" i="246" s="1"/>
  <c r="I22" i="247"/>
  <c r="O22" i="249"/>
  <c r="F30" i="249"/>
  <c r="N22" i="254"/>
  <c r="J23" i="259"/>
  <c r="H42" i="34"/>
  <c r="H8" i="34"/>
  <c r="P22" i="239"/>
  <c r="L23" i="211"/>
  <c r="P30" i="240"/>
  <c r="M22" i="234"/>
  <c r="P22" i="235"/>
  <c r="P22" i="237"/>
  <c r="P22" i="241"/>
  <c r="L22" i="243"/>
  <c r="M22" i="254"/>
  <c r="M22" i="259"/>
  <c r="N22" i="273"/>
  <c r="I23" i="275"/>
  <c r="M22" i="277"/>
  <c r="E22" i="279"/>
  <c r="E29" i="279" s="1"/>
  <c r="L22" i="240"/>
  <c r="P22" i="240"/>
  <c r="N22" i="265"/>
  <c r="P23" i="209"/>
  <c r="L23" i="209"/>
  <c r="N23" i="224"/>
  <c r="K23" i="227"/>
  <c r="J23" i="242"/>
  <c r="G23" i="243"/>
  <c r="H30" i="247"/>
  <c r="K22" i="248"/>
  <c r="F22" i="249"/>
  <c r="N22" i="255"/>
  <c r="F23" i="264"/>
  <c r="J23" i="266"/>
  <c r="H43" i="34"/>
  <c r="H123" i="34"/>
  <c r="H128" i="34"/>
  <c r="H85" i="34"/>
  <c r="H213" i="34"/>
  <c r="H208" i="34"/>
  <c r="H27" i="34"/>
  <c r="H29" i="34"/>
  <c r="H14" i="34"/>
  <c r="H16" i="34"/>
  <c r="H10" i="34"/>
  <c r="J89" i="206"/>
  <c r="J86" i="206"/>
  <c r="F26" i="220"/>
  <c r="G23" i="224"/>
  <c r="I22" i="245"/>
  <c r="E29" i="260"/>
  <c r="F23" i="210"/>
  <c r="E30" i="259"/>
  <c r="E23" i="260"/>
  <c r="N23" i="255"/>
  <c r="H26" i="209"/>
  <c r="G26" i="222"/>
  <c r="G26" i="227"/>
  <c r="F26" i="226"/>
  <c r="L22" i="247"/>
  <c r="E22" i="253"/>
  <c r="E29" i="253" s="1"/>
  <c r="K22" i="270"/>
  <c r="M22" i="240"/>
  <c r="E23" i="252"/>
  <c r="K23" i="253"/>
  <c r="O23" i="123"/>
  <c r="F28" i="291"/>
  <c r="M26" i="253"/>
  <c r="M30" i="253" s="1"/>
  <c r="H26" i="274"/>
  <c r="N23" i="245"/>
  <c r="E23" i="212"/>
  <c r="E30" i="216"/>
  <c r="L26" i="227"/>
  <c r="O22" i="233"/>
  <c r="E23" i="233"/>
  <c r="E22" i="210"/>
  <c r="E29" i="210" s="1"/>
  <c r="K30" i="273"/>
  <c r="F27" i="224"/>
  <c r="G27" i="231"/>
  <c r="G26" i="209"/>
  <c r="H26" i="226"/>
  <c r="Q19" i="222"/>
  <c r="K23" i="234"/>
  <c r="Q20" i="257"/>
  <c r="H30" i="270"/>
  <c r="G27" i="290"/>
  <c r="H22" i="268"/>
  <c r="H23" i="327"/>
  <c r="I23" i="218"/>
  <c r="I23" i="253"/>
  <c r="J22" i="290"/>
  <c r="E22" i="234"/>
  <c r="E29" i="234" s="1"/>
  <c r="F23" i="249"/>
  <c r="H22" i="249"/>
  <c r="I23" i="279"/>
  <c r="F26" i="292"/>
  <c r="K27" i="238"/>
  <c r="K30" i="238" s="1"/>
  <c r="H23" i="247"/>
  <c r="N23" i="216"/>
  <c r="N22" i="236"/>
  <c r="E23" i="292"/>
  <c r="F28" i="295"/>
  <c r="I23" i="288"/>
  <c r="D124" i="206"/>
  <c r="J23" i="222"/>
  <c r="E22" i="233"/>
  <c r="E29" i="233" s="1"/>
  <c r="F26" i="288"/>
  <c r="M28" i="224"/>
  <c r="M23" i="221"/>
  <c r="L30" i="251"/>
  <c r="H22" i="287"/>
  <c r="P23" i="288"/>
  <c r="F23" i="123"/>
  <c r="F26" i="221"/>
  <c r="H22" i="233"/>
  <c r="F22" i="123"/>
  <c r="O22" i="238"/>
  <c r="M22" i="221"/>
  <c r="F26" i="227"/>
  <c r="E23" i="245"/>
  <c r="M22" i="249"/>
  <c r="L22" i="251"/>
  <c r="M23" i="313"/>
  <c r="G23" i="240"/>
  <c r="I23" i="245"/>
  <c r="O22" i="265"/>
  <c r="G30" i="234"/>
  <c r="E30" i="245"/>
  <c r="H27" i="236"/>
  <c r="H22" i="236"/>
  <c r="J26" i="226"/>
  <c r="F23" i="251"/>
  <c r="E26" i="265"/>
  <c r="E30" i="265" s="1"/>
  <c r="E22" i="265"/>
  <c r="E29" i="265" s="1"/>
  <c r="F27" i="298"/>
  <c r="E27" i="298"/>
  <c r="P27" i="271"/>
  <c r="P30" i="271" s="1"/>
  <c r="P22" i="271"/>
  <c r="I26" i="327"/>
  <c r="I23" i="327"/>
  <c r="H27" i="230"/>
  <c r="F22" i="230"/>
  <c r="E28" i="221"/>
  <c r="E30" i="221" s="1"/>
  <c r="F28" i="221"/>
  <c r="E124" i="206"/>
  <c r="M128" i="206"/>
  <c r="G26" i="214"/>
  <c r="E28" i="251"/>
  <c r="E30" i="251" s="1"/>
  <c r="E23" i="251"/>
  <c r="N26" i="251"/>
  <c r="N30" i="251" s="1"/>
  <c r="N23" i="251"/>
  <c r="F26" i="286"/>
  <c r="E26" i="286"/>
  <c r="I27" i="255"/>
  <c r="I30" i="255" s="1"/>
  <c r="I23" i="255"/>
  <c r="H23" i="251"/>
  <c r="H22" i="251"/>
  <c r="Q21" i="226"/>
  <c r="E23" i="226"/>
  <c r="Q20" i="246"/>
  <c r="K19" i="309"/>
  <c r="K23" i="309" s="1"/>
  <c r="F28" i="226"/>
  <c r="F23" i="230"/>
  <c r="I22" i="288"/>
  <c r="I26" i="236"/>
  <c r="I30" i="236" s="1"/>
  <c r="I22" i="236"/>
  <c r="I23" i="236"/>
  <c r="L26" i="210"/>
  <c r="J23" i="210"/>
  <c r="I27" i="217"/>
  <c r="L22" i="274"/>
  <c r="O23" i="252"/>
  <c r="H28" i="234"/>
  <c r="Q21" i="234"/>
  <c r="F28" i="298"/>
  <c r="E23" i="123"/>
  <c r="K28" i="222"/>
  <c r="M26" i="224"/>
  <c r="L19" i="315"/>
  <c r="F128" i="206"/>
  <c r="F28" i="215"/>
  <c r="F26" i="217"/>
  <c r="Q21" i="233"/>
  <c r="O23" i="224"/>
  <c r="F23" i="235"/>
  <c r="M22" i="239"/>
  <c r="E23" i="241"/>
  <c r="E22" i="243"/>
  <c r="E29" i="243" s="1"/>
  <c r="M22" i="248"/>
  <c r="E22" i="249"/>
  <c r="E29" i="249" s="1"/>
  <c r="L22" i="255"/>
  <c r="P22" i="288"/>
  <c r="E28" i="298"/>
  <c r="K22" i="233"/>
  <c r="L23" i="251"/>
  <c r="P23" i="240"/>
  <c r="F19" i="309"/>
  <c r="F26" i="309" s="1"/>
  <c r="N23" i="346"/>
  <c r="M23" i="214"/>
  <c r="F26" i="218"/>
  <c r="E23" i="230"/>
  <c r="G30" i="239"/>
  <c r="K22" i="258"/>
  <c r="O22" i="272"/>
  <c r="F26" i="290"/>
  <c r="N23" i="293"/>
  <c r="F23" i="293"/>
  <c r="J23" i="294"/>
  <c r="N23" i="295"/>
  <c r="F23" i="295"/>
  <c r="H62" i="34"/>
  <c r="J23" i="248"/>
  <c r="H28" i="224"/>
  <c r="L128" i="206"/>
  <c r="K28" i="224"/>
  <c r="G26" i="226"/>
  <c r="E22" i="241"/>
  <c r="E29" i="241" s="1"/>
  <c r="N23" i="259"/>
  <c r="J23" i="288"/>
  <c r="K23" i="233"/>
  <c r="L26" i="214"/>
  <c r="O23" i="228"/>
  <c r="K23" i="228"/>
  <c r="M23" i="230"/>
  <c r="N22" i="235"/>
  <c r="I22" i="235"/>
  <c r="J22" i="240"/>
  <c r="K22" i="273"/>
  <c r="E23" i="276"/>
  <c r="H22" i="288"/>
  <c r="P23" i="289"/>
  <c r="H22" i="289"/>
  <c r="E22" i="290"/>
  <c r="E29" i="290" s="1"/>
  <c r="M23" i="290"/>
  <c r="L22" i="225"/>
  <c r="L23" i="225"/>
  <c r="L22" i="228"/>
  <c r="L23" i="228"/>
  <c r="N22" i="231"/>
  <c r="N23" i="231"/>
  <c r="L27" i="233"/>
  <c r="L22" i="233"/>
  <c r="N27" i="240"/>
  <c r="N22" i="240"/>
  <c r="N27" i="241"/>
  <c r="N22" i="241"/>
  <c r="N27" i="242"/>
  <c r="N22" i="242"/>
  <c r="L27" i="259"/>
  <c r="L22" i="259"/>
  <c r="P27" i="260"/>
  <c r="P22" i="260"/>
  <c r="P27" i="261"/>
  <c r="P22" i="261"/>
  <c r="H27" i="261"/>
  <c r="H22" i="261"/>
  <c r="H27" i="267"/>
  <c r="H22" i="267"/>
  <c r="L27" i="270"/>
  <c r="L22" i="270"/>
  <c r="P27" i="273"/>
  <c r="P22" i="273"/>
  <c r="H27" i="273"/>
  <c r="H30" i="273" s="1"/>
  <c r="H23" i="273"/>
  <c r="H22" i="273"/>
  <c r="P27" i="276"/>
  <c r="P30" i="276" s="1"/>
  <c r="P23" i="276"/>
  <c r="P22" i="276"/>
  <c r="L27" i="278"/>
  <c r="L22" i="278"/>
  <c r="P27" i="279"/>
  <c r="P22" i="279"/>
  <c r="H27" i="279"/>
  <c r="H30" i="279" s="1"/>
  <c r="Q20" i="279"/>
  <c r="E27" i="286"/>
  <c r="E27" i="287"/>
  <c r="F27" i="287"/>
  <c r="M27" i="287"/>
  <c r="I23" i="287"/>
  <c r="I22" i="287"/>
  <c r="E27" i="288"/>
  <c r="F27" i="288"/>
  <c r="E22" i="288"/>
  <c r="E29" i="288" s="1"/>
  <c r="E22" i="289"/>
  <c r="E29" i="289" s="1"/>
  <c r="J27" i="289"/>
  <c r="F27" i="289"/>
  <c r="H122" i="34"/>
  <c r="J23" i="292"/>
  <c r="E22" i="227"/>
  <c r="E29" i="227" s="1"/>
  <c r="E27" i="227"/>
  <c r="L27" i="244"/>
  <c r="L22" i="244"/>
  <c r="G88" i="206"/>
  <c r="H27" i="262"/>
  <c r="E27" i="280"/>
  <c r="E22" i="280"/>
  <c r="E29" i="280" s="1"/>
  <c r="N22" i="340"/>
  <c r="N23" i="340"/>
  <c r="F22" i="228"/>
  <c r="F27" i="228"/>
  <c r="P22" i="238"/>
  <c r="I26" i="227"/>
  <c r="N23" i="230"/>
  <c r="P22" i="267"/>
  <c r="H22" i="279"/>
  <c r="F23" i="290"/>
  <c r="H27" i="238"/>
  <c r="H30" i="238" s="1"/>
  <c r="P27" i="262"/>
  <c r="L22" i="266"/>
  <c r="E26" i="217"/>
  <c r="G26" i="217"/>
  <c r="M23" i="217"/>
  <c r="P23" i="222"/>
  <c r="L23" i="222"/>
  <c r="N23" i="223"/>
  <c r="E28" i="296"/>
  <c r="E23" i="296"/>
  <c r="H27" i="252"/>
  <c r="H30" i="252" s="1"/>
  <c r="H23" i="252"/>
  <c r="K22" i="123"/>
  <c r="K23" i="123"/>
  <c r="H27" i="210"/>
  <c r="O124" i="206"/>
  <c r="F26" i="210"/>
  <c r="E27" i="222"/>
  <c r="L28" i="224"/>
  <c r="H27" i="224"/>
  <c r="N23" i="227"/>
  <c r="G27" i="230"/>
  <c r="N23" i="221"/>
  <c r="P23" i="228"/>
  <c r="H22" i="252"/>
  <c r="L22" i="260"/>
  <c r="P22" i="275"/>
  <c r="F27" i="290"/>
  <c r="P22" i="272"/>
  <c r="F22" i="248"/>
  <c r="D30" i="206"/>
  <c r="E22" i="232" s="1"/>
  <c r="E29" i="232" s="1"/>
  <c r="H26" i="214"/>
  <c r="L23" i="218"/>
  <c r="J26" i="224"/>
  <c r="G26" i="224"/>
  <c r="E23" i="224"/>
  <c r="N28" i="224"/>
  <c r="P28" i="224"/>
  <c r="K26" i="266"/>
  <c r="K23" i="266"/>
  <c r="J26" i="279"/>
  <c r="G101" i="34"/>
  <c r="Q101" i="34" s="1"/>
  <c r="Q19" i="286"/>
  <c r="F26" i="289"/>
  <c r="J26" i="289"/>
  <c r="N27" i="239"/>
  <c r="N22" i="239"/>
  <c r="F27" i="242"/>
  <c r="F30" i="242" s="1"/>
  <c r="F22" i="242"/>
  <c r="E27" i="245"/>
  <c r="E22" i="245"/>
  <c r="E29" i="245" s="1"/>
  <c r="L27" i="246"/>
  <c r="L22" i="246"/>
  <c r="M27" i="247"/>
  <c r="M22" i="247"/>
  <c r="L27" i="258"/>
  <c r="L22" i="258"/>
  <c r="P27" i="259"/>
  <c r="P22" i="259"/>
  <c r="P27" i="263"/>
  <c r="P30" i="263" s="1"/>
  <c r="P23" i="263"/>
  <c r="L27" i="263"/>
  <c r="L30" i="263" s="1"/>
  <c r="L22" i="263"/>
  <c r="P27" i="264"/>
  <c r="P22" i="264"/>
  <c r="P27" i="265"/>
  <c r="P22" i="265"/>
  <c r="P27" i="266"/>
  <c r="P22" i="266"/>
  <c r="H27" i="266"/>
  <c r="H23" i="266"/>
  <c r="L27" i="267"/>
  <c r="L22" i="267"/>
  <c r="P27" i="270"/>
  <c r="P22" i="270"/>
  <c r="L27" i="271"/>
  <c r="L22" i="271"/>
  <c r="H27" i="272"/>
  <c r="Q20" i="272"/>
  <c r="L27" i="273"/>
  <c r="L30" i="273" s="1"/>
  <c r="L23" i="273"/>
  <c r="L22" i="273"/>
  <c r="H27" i="275"/>
  <c r="H22" i="275"/>
  <c r="L27" i="276"/>
  <c r="L22" i="276"/>
  <c r="H27" i="276"/>
  <c r="H22" i="276"/>
  <c r="L27" i="277"/>
  <c r="L22" i="277"/>
  <c r="P27" i="278"/>
  <c r="P30" i="278" s="1"/>
  <c r="P22" i="278"/>
  <c r="H27" i="278"/>
  <c r="H22" i="278"/>
  <c r="L27" i="279"/>
  <c r="L22" i="279"/>
  <c r="I22" i="289"/>
  <c r="I23" i="289"/>
  <c r="F22" i="292"/>
  <c r="F27" i="292"/>
  <c r="D86" i="206"/>
  <c r="E27" i="238"/>
  <c r="D88" i="206"/>
  <c r="E27" i="262"/>
  <c r="K88" i="206"/>
  <c r="L28" i="283" s="1"/>
  <c r="D89" i="206"/>
  <c r="E27" i="274"/>
  <c r="I26" i="274"/>
  <c r="I30" i="274" s="1"/>
  <c r="L22" i="303"/>
  <c r="K124" i="206"/>
  <c r="G128" i="206"/>
  <c r="J26" i="227"/>
  <c r="M22" i="251"/>
  <c r="L22" i="261"/>
  <c r="P22" i="277"/>
  <c r="F23" i="292"/>
  <c r="E22" i="217"/>
  <c r="E29" i="217" s="1"/>
  <c r="G27" i="224"/>
  <c r="F27" i="230"/>
  <c r="P22" i="233"/>
  <c r="F23" i="239"/>
  <c r="F23" i="242"/>
  <c r="H22" i="260"/>
  <c r="H22" i="270"/>
  <c r="L22" i="275"/>
  <c r="E27" i="289"/>
  <c r="F28" i="296"/>
  <c r="H23" i="269"/>
  <c r="K23" i="243"/>
  <c r="K26" i="243"/>
  <c r="K30" i="243" s="1"/>
  <c r="J23" i="255"/>
  <c r="F26" i="263"/>
  <c r="F23" i="263"/>
  <c r="F28" i="275"/>
  <c r="Q21" i="275"/>
  <c r="M23" i="278"/>
  <c r="M26" i="278"/>
  <c r="M30" i="278" s="1"/>
  <c r="I26" i="278"/>
  <c r="I30" i="278" s="1"/>
  <c r="I22" i="278"/>
  <c r="E26" i="293"/>
  <c r="F26" i="293"/>
  <c r="E26" i="294"/>
  <c r="F26" i="294"/>
  <c r="G26" i="294"/>
  <c r="H26" i="237"/>
  <c r="H30" i="237" s="1"/>
  <c r="H23" i="237"/>
  <c r="L28" i="210"/>
  <c r="E23" i="240"/>
  <c r="E22" i="242"/>
  <c r="E29" i="242" s="1"/>
  <c r="H22" i="247"/>
  <c r="E23" i="249"/>
  <c r="E23" i="255"/>
  <c r="E23" i="259"/>
  <c r="K23" i="237"/>
  <c r="K26" i="237"/>
  <c r="G26" i="240"/>
  <c r="G30" i="240" s="1"/>
  <c r="G22" i="240"/>
  <c r="H23" i="346"/>
  <c r="L23" i="346"/>
  <c r="P23" i="346"/>
  <c r="I23" i="211"/>
  <c r="N23" i="214"/>
  <c r="O23" i="216"/>
  <c r="F23" i="228"/>
  <c r="H22" i="263"/>
  <c r="H30" i="264"/>
  <c r="M28" i="290"/>
  <c r="O23" i="296"/>
  <c r="J27" i="237"/>
  <c r="J23" i="350"/>
  <c r="G28" i="210"/>
  <c r="I26" i="210"/>
  <c r="J28" i="211"/>
  <c r="K26" i="211"/>
  <c r="N28" i="212"/>
  <c r="P23" i="212"/>
  <c r="L23" i="212"/>
  <c r="H26" i="212"/>
  <c r="I26" i="214"/>
  <c r="H22" i="265"/>
  <c r="O23" i="293"/>
  <c r="K23" i="293"/>
  <c r="O23" i="294"/>
  <c r="H26" i="294"/>
  <c r="F28" i="297"/>
  <c r="M26" i="214"/>
  <c r="L26" i="224"/>
  <c r="N28" i="226"/>
  <c r="J28" i="286"/>
  <c r="Q21" i="288"/>
  <c r="L26" i="288"/>
  <c r="P28" i="289"/>
  <c r="Q19" i="289"/>
  <c r="K26" i="290"/>
  <c r="K28" i="291"/>
  <c r="K26" i="293"/>
  <c r="G26" i="296"/>
  <c r="M28" i="216"/>
  <c r="E30" i="258"/>
  <c r="O23" i="217"/>
  <c r="I22" i="298"/>
  <c r="F30" i="245"/>
  <c r="Q20" i="234"/>
  <c r="I22" i="240"/>
  <c r="J23" i="245"/>
  <c r="J22" i="247"/>
  <c r="H22" i="298"/>
  <c r="F26" i="253"/>
  <c r="F30" i="253" s="1"/>
  <c r="F22" i="253"/>
  <c r="J26" i="261"/>
  <c r="J23" i="261"/>
  <c r="G26" i="210"/>
  <c r="M26" i="211"/>
  <c r="F26" i="224"/>
  <c r="P28" i="226"/>
  <c r="K28" i="226"/>
  <c r="F23" i="236"/>
  <c r="H22" i="277"/>
  <c r="L28" i="286"/>
  <c r="N28" i="286"/>
  <c r="I26" i="288"/>
  <c r="Q21" i="289"/>
  <c r="P26" i="293"/>
  <c r="K28" i="290"/>
  <c r="I28" i="296"/>
  <c r="N23" i="298"/>
  <c r="H44" i="34"/>
  <c r="J22" i="242"/>
  <c r="H207" i="34"/>
  <c r="Q21" i="212"/>
  <c r="M28" i="215"/>
  <c r="E22" i="216"/>
  <c r="E29" i="216" s="1"/>
  <c r="F23" i="224"/>
  <c r="I28" i="226"/>
  <c r="Q20" i="237"/>
  <c r="E23" i="266"/>
  <c r="E22" i="286"/>
  <c r="E29" i="286" s="1"/>
  <c r="G26" i="288"/>
  <c r="G26" i="212"/>
  <c r="O28" i="212"/>
  <c r="E23" i="214"/>
  <c r="J26" i="214"/>
  <c r="E27" i="216"/>
  <c r="N26" i="224"/>
  <c r="L28" i="226"/>
  <c r="O28" i="226"/>
  <c r="P26" i="224"/>
  <c r="G28" i="214"/>
  <c r="F23" i="245"/>
  <c r="F23" i="253"/>
  <c r="Q19" i="279"/>
  <c r="G28" i="286"/>
  <c r="J28" i="288"/>
  <c r="G77" i="34"/>
  <c r="Q77" i="34" s="1"/>
  <c r="H23" i="279"/>
  <c r="O22" i="217"/>
  <c r="M23" i="220"/>
  <c r="O27" i="234"/>
  <c r="O22" i="234"/>
  <c r="K27" i="236"/>
  <c r="K22" i="236"/>
  <c r="O27" i="237"/>
  <c r="O22" i="237"/>
  <c r="K27" i="237"/>
  <c r="K22" i="237"/>
  <c r="N27" i="243"/>
  <c r="N22" i="243"/>
  <c r="M27" i="245"/>
  <c r="M30" i="245" s="1"/>
  <c r="M23" i="245"/>
  <c r="P27" i="246"/>
  <c r="P22" i="246"/>
  <c r="N27" i="248"/>
  <c r="N22" i="248"/>
  <c r="L27" i="265"/>
  <c r="L30" i="265" s="1"/>
  <c r="L23" i="265"/>
  <c r="L27" i="272"/>
  <c r="L22" i="272"/>
  <c r="H27" i="277"/>
  <c r="H30" i="277" s="1"/>
  <c r="H23" i="277"/>
  <c r="K86" i="206"/>
  <c r="L28" i="281" s="1"/>
  <c r="L27" i="238"/>
  <c r="L30" i="238" s="1"/>
  <c r="M26" i="274"/>
  <c r="O89" i="206"/>
  <c r="P28" i="284" s="1"/>
  <c r="N23" i="215"/>
  <c r="H22" i="243"/>
  <c r="Q20" i="245"/>
  <c r="J22" i="253"/>
  <c r="E23" i="265"/>
  <c r="K26" i="286"/>
  <c r="E23" i="290"/>
  <c r="G22" i="239"/>
  <c r="G23" i="239"/>
  <c r="F22" i="261"/>
  <c r="J22" i="261"/>
  <c r="F22" i="245"/>
  <c r="H23" i="248"/>
  <c r="P23" i="278"/>
  <c r="N27" i="234"/>
  <c r="N22" i="234"/>
  <c r="N27" i="237"/>
  <c r="N22" i="237"/>
  <c r="P27" i="251"/>
  <c r="P30" i="251" s="1"/>
  <c r="P23" i="251"/>
  <c r="K27" i="254"/>
  <c r="K30" i="254" s="1"/>
  <c r="K22" i="254"/>
  <c r="K27" i="264"/>
  <c r="K22" i="264"/>
  <c r="O27" i="271"/>
  <c r="O30" i="271" s="1"/>
  <c r="O23" i="271"/>
  <c r="O22" i="271"/>
  <c r="G27" i="276"/>
  <c r="G22" i="276"/>
  <c r="O27" i="277"/>
  <c r="O22" i="277"/>
  <c r="P26" i="274"/>
  <c r="K146" i="206"/>
  <c r="O146" i="206"/>
  <c r="O23" i="211"/>
  <c r="K23" i="211"/>
  <c r="M23" i="223"/>
  <c r="O23" i="226"/>
  <c r="M23" i="227"/>
  <c r="K30" i="233"/>
  <c r="G23" i="233"/>
  <c r="N23" i="234"/>
  <c r="H23" i="236"/>
  <c r="F30" i="237"/>
  <c r="F23" i="243"/>
  <c r="H22" i="259"/>
  <c r="E30" i="261"/>
  <c r="K23" i="271"/>
  <c r="M23" i="287"/>
  <c r="N23" i="292"/>
  <c r="J22" i="292"/>
  <c r="I23" i="299"/>
  <c r="H23" i="331"/>
  <c r="K23" i="348"/>
  <c r="P23" i="248"/>
  <c r="L23" i="248"/>
  <c r="G22" i="288"/>
  <c r="G27" i="293"/>
  <c r="E23" i="327"/>
  <c r="D146" i="206"/>
  <c r="P23" i="123"/>
  <c r="L23" i="123"/>
  <c r="N23" i="211"/>
  <c r="N23" i="212"/>
  <c r="N23" i="218"/>
  <c r="N23" i="220"/>
  <c r="E23" i="221"/>
  <c r="K23" i="224"/>
  <c r="K23" i="230"/>
  <c r="G23" i="230"/>
  <c r="J22" i="233"/>
  <c r="M23" i="239"/>
  <c r="I22" i="239"/>
  <c r="E30" i="240"/>
  <c r="E30" i="241"/>
  <c r="F22" i="241"/>
  <c r="K30" i="258"/>
  <c r="O23" i="295"/>
  <c r="E26" i="248"/>
  <c r="E30" i="248" s="1"/>
  <c r="E22" i="248"/>
  <c r="E29" i="248" s="1"/>
  <c r="F26" i="248"/>
  <c r="F30" i="248" s="1"/>
  <c r="F23" i="248"/>
  <c r="I26" i="249"/>
  <c r="I30" i="249" s="1"/>
  <c r="I23" i="249"/>
  <c r="Q19" i="249"/>
  <c r="E28" i="250"/>
  <c r="Q21" i="250"/>
  <c r="E28" i="260"/>
  <c r="E30" i="260" s="1"/>
  <c r="Q21" i="260"/>
  <c r="E28" i="263"/>
  <c r="E30" i="263" s="1"/>
  <c r="E23" i="263"/>
  <c r="Q19" i="275"/>
  <c r="H28" i="259"/>
  <c r="Q21" i="259"/>
  <c r="E27" i="301"/>
  <c r="F27" i="301"/>
  <c r="J22" i="351"/>
  <c r="G214" i="34"/>
  <c r="Q214" i="34" s="1"/>
  <c r="F26" i="351"/>
  <c r="F23" i="351"/>
  <c r="E27" i="235"/>
  <c r="Q20" i="235"/>
  <c r="M27" i="237"/>
  <c r="M22" i="237"/>
  <c r="L27" i="239"/>
  <c r="L30" i="239" s="1"/>
  <c r="L22" i="239"/>
  <c r="P27" i="242"/>
  <c r="P22" i="242"/>
  <c r="L27" i="242"/>
  <c r="L22" i="242"/>
  <c r="K27" i="245"/>
  <c r="K22" i="245"/>
  <c r="N27" i="246"/>
  <c r="N30" i="246" s="1"/>
  <c r="N23" i="246"/>
  <c r="O27" i="247"/>
  <c r="O22" i="247"/>
  <c r="K27" i="247"/>
  <c r="K22" i="247"/>
  <c r="O27" i="251"/>
  <c r="O22" i="251"/>
  <c r="K27" i="251"/>
  <c r="K30" i="251" s="1"/>
  <c r="K22" i="251"/>
  <c r="N27" i="252"/>
  <c r="N22" i="252"/>
  <c r="F27" i="252"/>
  <c r="F22" i="252"/>
  <c r="F29" i="252" s="1"/>
  <c r="O27" i="255"/>
  <c r="O22" i="255"/>
  <c r="K27" i="255"/>
  <c r="K22" i="255"/>
  <c r="N27" i="257"/>
  <c r="F27" i="257"/>
  <c r="N27" i="258"/>
  <c r="N22" i="258"/>
  <c r="N27" i="259"/>
  <c r="N30" i="259" s="1"/>
  <c r="N22" i="259"/>
  <c r="F27" i="259"/>
  <c r="F22" i="259"/>
  <c r="F27" i="260"/>
  <c r="F23" i="260"/>
  <c r="F27" i="261"/>
  <c r="F30" i="261" s="1"/>
  <c r="F23" i="261"/>
  <c r="F27" i="263"/>
  <c r="F22" i="263"/>
  <c r="N27" i="266"/>
  <c r="N22" i="266"/>
  <c r="N27" i="267"/>
  <c r="N22" i="267"/>
  <c r="F27" i="267"/>
  <c r="F23" i="267"/>
  <c r="N27" i="270"/>
  <c r="N22" i="270"/>
  <c r="J27" i="270"/>
  <c r="H92" i="34"/>
  <c r="F27" i="270"/>
  <c r="Q20" i="270"/>
  <c r="N27" i="271"/>
  <c r="N30" i="271" s="1"/>
  <c r="N23" i="271"/>
  <c r="N22" i="271"/>
  <c r="F27" i="271"/>
  <c r="F22" i="271"/>
  <c r="N27" i="272"/>
  <c r="N22" i="272"/>
  <c r="J27" i="272"/>
  <c r="H94" i="34"/>
  <c r="J27" i="273"/>
  <c r="H95" i="34"/>
  <c r="J22" i="273"/>
  <c r="Q20" i="277"/>
  <c r="N23" i="209"/>
  <c r="E23" i="261"/>
  <c r="G23" i="340"/>
  <c r="L27" i="268"/>
  <c r="L30" i="268" s="1"/>
  <c r="L23" i="268"/>
  <c r="N22" i="319"/>
  <c r="N23" i="319"/>
  <c r="Q19" i="245"/>
  <c r="N22" i="246"/>
  <c r="E26" i="246"/>
  <c r="E30" i="246" s="1"/>
  <c r="E23" i="246"/>
  <c r="I26" i="246"/>
  <c r="I30" i="246" s="1"/>
  <c r="I22" i="246"/>
  <c r="L26" i="255"/>
  <c r="L30" i="255" s="1"/>
  <c r="L23" i="255"/>
  <c r="H28" i="256"/>
  <c r="Q21" i="256"/>
  <c r="E28" i="257"/>
  <c r="E26" i="271"/>
  <c r="E30" i="271" s="1"/>
  <c r="E23" i="271"/>
  <c r="G27" i="241"/>
  <c r="Q20" i="241"/>
  <c r="G146" i="206"/>
  <c r="H22" i="333"/>
  <c r="E26" i="227"/>
  <c r="E30" i="227" s="1"/>
  <c r="E23" i="227"/>
  <c r="E28" i="236"/>
  <c r="E23" i="236"/>
  <c r="L26" i="236"/>
  <c r="L30" i="236" s="1"/>
  <c r="L23" i="236"/>
  <c r="N23" i="239"/>
  <c r="N26" i="239"/>
  <c r="Q19" i="239"/>
  <c r="P23" i="242"/>
  <c r="L23" i="242"/>
  <c r="L26" i="242"/>
  <c r="G26" i="264"/>
  <c r="G22" i="264"/>
  <c r="H26" i="267"/>
  <c r="H23" i="267"/>
  <c r="E28" i="269"/>
  <c r="E30" i="269" s="1"/>
  <c r="E23" i="269"/>
  <c r="Q19" i="278"/>
  <c r="G28" i="280"/>
  <c r="Q21" i="280"/>
  <c r="E28" i="286"/>
  <c r="I28" i="286"/>
  <c r="F28" i="286"/>
  <c r="I22" i="286"/>
  <c r="L26" i="286"/>
  <c r="H26" i="287"/>
  <c r="O26" i="287"/>
  <c r="J26" i="288"/>
  <c r="Q19" i="288"/>
  <c r="H26" i="288"/>
  <c r="H28" i="289"/>
  <c r="M28" i="289"/>
  <c r="J28" i="289"/>
  <c r="J22" i="289"/>
  <c r="J23" i="289"/>
  <c r="F22" i="289"/>
  <c r="I26" i="289"/>
  <c r="K26" i="289"/>
  <c r="L26" i="289"/>
  <c r="O26" i="289"/>
  <c r="G26" i="292"/>
  <c r="G23" i="292"/>
  <c r="J26" i="292"/>
  <c r="E26" i="295"/>
  <c r="G26" i="295"/>
  <c r="N26" i="296"/>
  <c r="M26" i="296"/>
  <c r="F22" i="298"/>
  <c r="F23" i="298"/>
  <c r="I23" i="251"/>
  <c r="H40" i="34"/>
  <c r="J22" i="234"/>
  <c r="Q20" i="240"/>
  <c r="I27" i="252"/>
  <c r="I30" i="252" s="1"/>
  <c r="I22" i="252"/>
  <c r="I23" i="252"/>
  <c r="G28" i="220"/>
  <c r="P28" i="221"/>
  <c r="H26" i="221"/>
  <c r="P28" i="230"/>
  <c r="P23" i="243"/>
  <c r="F23" i="258"/>
  <c r="J23" i="356"/>
  <c r="F22" i="356"/>
  <c r="N26" i="209"/>
  <c r="N28" i="210"/>
  <c r="H26" i="210"/>
  <c r="K28" i="212"/>
  <c r="M26" i="212"/>
  <c r="K28" i="214"/>
  <c r="Q21" i="215"/>
  <c r="G28" i="216"/>
  <c r="H26" i="217"/>
  <c r="K26" i="218"/>
  <c r="K23" i="251"/>
  <c r="E30" i="252"/>
  <c r="G22" i="254"/>
  <c r="J22" i="265"/>
  <c r="Q20" i="243"/>
  <c r="I23" i="254"/>
  <c r="F22" i="342"/>
  <c r="F23" i="350"/>
  <c r="Q21" i="294"/>
  <c r="F26" i="295"/>
  <c r="H23" i="287"/>
  <c r="M27" i="290"/>
  <c r="I22" i="290"/>
  <c r="F22" i="293"/>
  <c r="F23" i="294"/>
  <c r="F23" i="296"/>
  <c r="N26" i="241"/>
  <c r="N23" i="241"/>
  <c r="E22" i="220"/>
  <c r="E29" i="220" s="1"/>
  <c r="E28" i="230"/>
  <c r="E22" i="240"/>
  <c r="E29" i="240" s="1"/>
  <c r="P22" i="250"/>
  <c r="J23" i="258"/>
  <c r="L26" i="276"/>
  <c r="L23" i="276"/>
  <c r="H26" i="276"/>
  <c r="H23" i="276"/>
  <c r="J26" i="209"/>
  <c r="E23" i="211"/>
  <c r="I28" i="212"/>
  <c r="J26" i="212"/>
  <c r="O28" i="214"/>
  <c r="F28" i="216"/>
  <c r="G26" i="221"/>
  <c r="K28" i="230"/>
  <c r="J23" i="235"/>
  <c r="Q20" i="236"/>
  <c r="J23" i="246"/>
  <c r="E22" i="277"/>
  <c r="E29" i="277" s="1"/>
  <c r="I23" i="243"/>
  <c r="G41" i="34"/>
  <c r="Q41" i="34" s="1"/>
  <c r="O23" i="236"/>
  <c r="P26" i="279"/>
  <c r="P23" i="279"/>
  <c r="J28" i="291"/>
  <c r="M28" i="291"/>
  <c r="Q19" i="292"/>
  <c r="E23" i="293"/>
  <c r="E28" i="293"/>
  <c r="F28" i="293"/>
  <c r="K28" i="296"/>
  <c r="O28" i="296"/>
  <c r="G22" i="296"/>
  <c r="H26" i="296"/>
  <c r="J26" i="296"/>
  <c r="I28" i="297"/>
  <c r="P28" i="297"/>
  <c r="J23" i="251"/>
  <c r="M27" i="243"/>
  <c r="M30" i="243" s="1"/>
  <c r="M23" i="243"/>
  <c r="L27" i="245"/>
  <c r="L22" i="245"/>
  <c r="P27" i="247"/>
  <c r="P30" i="247" s="1"/>
  <c r="P23" i="247"/>
  <c r="O27" i="252"/>
  <c r="O30" i="252" s="1"/>
  <c r="O22" i="252"/>
  <c r="O27" i="253"/>
  <c r="O22" i="253"/>
  <c r="P27" i="255"/>
  <c r="P30" i="255" s="1"/>
  <c r="P23" i="255"/>
  <c r="O27" i="257"/>
  <c r="O27" i="258"/>
  <c r="O30" i="258" s="1"/>
  <c r="O23" i="258"/>
  <c r="G27" i="258"/>
  <c r="G23" i="258"/>
  <c r="O27" i="259"/>
  <c r="O30" i="259" s="1"/>
  <c r="O22" i="259"/>
  <c r="K27" i="259"/>
  <c r="K30" i="259" s="1"/>
  <c r="K22" i="259"/>
  <c r="O27" i="260"/>
  <c r="O22" i="260"/>
  <c r="K27" i="260"/>
  <c r="K22" i="260"/>
  <c r="G27" i="260"/>
  <c r="G22" i="260"/>
  <c r="O27" i="261"/>
  <c r="O22" i="261"/>
  <c r="K27" i="261"/>
  <c r="K22" i="261"/>
  <c r="G27" i="261"/>
  <c r="G23" i="261"/>
  <c r="O27" i="263"/>
  <c r="O22" i="263"/>
  <c r="K27" i="263"/>
  <c r="K30" i="263" s="1"/>
  <c r="K23" i="263"/>
  <c r="O27" i="264"/>
  <c r="O22" i="264"/>
  <c r="G27" i="264"/>
  <c r="G23" i="264"/>
  <c r="K27" i="265"/>
  <c r="K22" i="265"/>
  <c r="O27" i="266"/>
  <c r="O22" i="266"/>
  <c r="K27" i="266"/>
  <c r="K22" i="266"/>
  <c r="G27" i="266"/>
  <c r="G23" i="266"/>
  <c r="O27" i="267"/>
  <c r="O22" i="267"/>
  <c r="K27" i="267"/>
  <c r="K22" i="267"/>
  <c r="O27" i="269"/>
  <c r="O22" i="269"/>
  <c r="K27" i="269"/>
  <c r="K22" i="269"/>
  <c r="O27" i="270"/>
  <c r="O30" i="270" s="1"/>
  <c r="O22" i="270"/>
  <c r="K27" i="271"/>
  <c r="K30" i="271" s="1"/>
  <c r="K22" i="271"/>
  <c r="G27" i="271"/>
  <c r="G30" i="271" s="1"/>
  <c r="G23" i="271"/>
  <c r="K27" i="272"/>
  <c r="K30" i="272" s="1"/>
  <c r="K22" i="272"/>
  <c r="O27" i="273"/>
  <c r="O30" i="273" s="1"/>
  <c r="O22" i="273"/>
  <c r="G27" i="273"/>
  <c r="G30" i="273" s="1"/>
  <c r="G23" i="273"/>
  <c r="G22" i="273"/>
  <c r="O27" i="275"/>
  <c r="O22" i="275"/>
  <c r="K27" i="275"/>
  <c r="K30" i="275" s="1"/>
  <c r="K22" i="275"/>
  <c r="G27" i="275"/>
  <c r="G30" i="275" s="1"/>
  <c r="G23" i="275"/>
  <c r="G22" i="275"/>
  <c r="O27" i="276"/>
  <c r="O22" i="276"/>
  <c r="K27" i="276"/>
  <c r="K22" i="276"/>
  <c r="K27" i="277"/>
  <c r="K30" i="277" s="1"/>
  <c r="K23" i="277"/>
  <c r="K22" i="277"/>
  <c r="O27" i="278"/>
  <c r="O22" i="278"/>
  <c r="O27" i="279"/>
  <c r="O30" i="279" s="1"/>
  <c r="O22" i="279"/>
  <c r="O23" i="279"/>
  <c r="E27" i="292"/>
  <c r="G27" i="292"/>
  <c r="E22" i="292"/>
  <c r="E29" i="292" s="1"/>
  <c r="H119" i="34"/>
  <c r="J23" i="295"/>
  <c r="F27" i="251"/>
  <c r="F30" i="251" s="1"/>
  <c r="F22" i="251"/>
  <c r="F86" i="206"/>
  <c r="G27" i="238"/>
  <c r="G30" i="238" s="1"/>
  <c r="J88" i="206"/>
  <c r="F88" i="206"/>
  <c r="G27" i="262"/>
  <c r="L26" i="274"/>
  <c r="F89" i="206"/>
  <c r="G27" i="274"/>
  <c r="O27" i="280"/>
  <c r="O30" i="280" s="1"/>
  <c r="O22" i="280"/>
  <c r="N124" i="206"/>
  <c r="F28" i="220"/>
  <c r="Q19" i="240"/>
  <c r="E23" i="258"/>
  <c r="E23" i="220"/>
  <c r="N28" i="230"/>
  <c r="Q19" i="209"/>
  <c r="Q21" i="210"/>
  <c r="E30" i="211"/>
  <c r="L26" i="212"/>
  <c r="I26" i="212"/>
  <c r="J28" i="214"/>
  <c r="I28" i="214"/>
  <c r="L28" i="214"/>
  <c r="E23" i="216"/>
  <c r="J26" i="220"/>
  <c r="K26" i="230"/>
  <c r="P22" i="244"/>
  <c r="E23" i="277"/>
  <c r="J22" i="235"/>
  <c r="N146" i="206"/>
  <c r="O22" i="333"/>
  <c r="M26" i="246"/>
  <c r="M30" i="246" s="1"/>
  <c r="M23" i="246"/>
  <c r="L26" i="260"/>
  <c r="L30" i="260" s="1"/>
  <c r="L23" i="260"/>
  <c r="P26" i="261"/>
  <c r="P23" i="261"/>
  <c r="H26" i="275"/>
  <c r="H23" i="275"/>
  <c r="E28" i="308"/>
  <c r="F28" i="308"/>
  <c r="E28" i="326"/>
  <c r="F28" i="326"/>
  <c r="G27" i="242"/>
  <c r="G30" i="242" s="1"/>
  <c r="G22" i="242"/>
  <c r="G23" i="242"/>
  <c r="G27" i="235"/>
  <c r="G23" i="235"/>
  <c r="N27" i="233"/>
  <c r="N22" i="233"/>
  <c r="G174" i="205"/>
  <c r="K174" i="205"/>
  <c r="O174" i="205"/>
  <c r="M23" i="215"/>
  <c r="P23" i="216"/>
  <c r="L23" i="216"/>
  <c r="N23" i="217"/>
  <c r="P23" i="220"/>
  <c r="L23" i="220"/>
  <c r="K23" i="254"/>
  <c r="G23" i="269"/>
  <c r="K23" i="275"/>
  <c r="G23" i="356"/>
  <c r="E30" i="346"/>
  <c r="M23" i="346"/>
  <c r="O23" i="223"/>
  <c r="K23" i="223"/>
  <c r="K23" i="259"/>
  <c r="G22" i="259"/>
  <c r="K23" i="272"/>
  <c r="K23" i="273"/>
  <c r="L23" i="286"/>
  <c r="P23" i="327"/>
  <c r="L27" i="346"/>
  <c r="P23" i="230"/>
  <c r="L23" i="230"/>
  <c r="K23" i="258"/>
  <c r="K23" i="270"/>
  <c r="P23" i="287"/>
  <c r="M23" i="292"/>
  <c r="K23" i="344"/>
  <c r="F28" i="346"/>
  <c r="G23" i="347"/>
  <c r="K145" i="207"/>
  <c r="J27" i="240"/>
  <c r="I22" i="342"/>
  <c r="G23" i="345"/>
  <c r="J22" i="347"/>
  <c r="F26" i="350"/>
  <c r="F27" i="356"/>
  <c r="M23" i="356"/>
  <c r="L23" i="327"/>
  <c r="M145" i="207"/>
  <c r="P30" i="238"/>
  <c r="H22" i="327"/>
  <c r="G28" i="232"/>
  <c r="F23" i="319"/>
  <c r="F28" i="320"/>
  <c r="I22" i="300"/>
  <c r="F27" i="302"/>
  <c r="H23" i="325"/>
  <c r="H22" i="330"/>
  <c r="Q20" i="331"/>
  <c r="F23" i="356"/>
  <c r="G26" i="342"/>
  <c r="F28" i="345"/>
  <c r="I28" i="347"/>
  <c r="P23" i="348"/>
  <c r="E27" i="123"/>
  <c r="E22" i="123"/>
  <c r="E29" i="123" s="1"/>
  <c r="H27" i="123"/>
  <c r="F27" i="123"/>
  <c r="O23" i="209"/>
  <c r="I19" i="282"/>
  <c r="I26" i="282" s="1"/>
  <c r="O87" i="206"/>
  <c r="P28" i="282" s="1"/>
  <c r="O27" i="262"/>
  <c r="L22" i="268"/>
  <c r="H23" i="210"/>
  <c r="G22" i="211"/>
  <c r="M23" i="298"/>
  <c r="I23" i="298"/>
  <c r="F27" i="299"/>
  <c r="E27" i="326"/>
  <c r="E22" i="300"/>
  <c r="E29" i="300" s="1"/>
  <c r="P23" i="325"/>
  <c r="H22" i="325"/>
  <c r="H28" i="331"/>
  <c r="F27" i="308"/>
  <c r="E22" i="328"/>
  <c r="E29" i="328" s="1"/>
  <c r="H209" i="34"/>
  <c r="F28" i="300"/>
  <c r="E23" i="331"/>
  <c r="G22" i="331"/>
  <c r="N207" i="205"/>
  <c r="O19" i="353" s="1"/>
  <c r="O23" i="353" s="1"/>
  <c r="P23" i="238"/>
  <c r="P22" i="280"/>
  <c r="O22" i="244"/>
  <c r="N23" i="347"/>
  <c r="F26" i="300"/>
  <c r="N23" i="301"/>
  <c r="F23" i="301"/>
  <c r="F26" i="302"/>
  <c r="F28" i="303"/>
  <c r="F26" i="304"/>
  <c r="F23" i="305"/>
  <c r="N23" i="307"/>
  <c r="F23" i="307"/>
  <c r="F23" i="308"/>
  <c r="F27" i="322"/>
  <c r="E22" i="323"/>
  <c r="E29" i="323" s="1"/>
  <c r="I22" i="325"/>
  <c r="J26" i="326"/>
  <c r="F27" i="326"/>
  <c r="M23" i="326"/>
  <c r="L27" i="329"/>
  <c r="M23" i="329"/>
  <c r="M23" i="331"/>
  <c r="G23" i="296"/>
  <c r="N23" i="354"/>
  <c r="F23" i="354"/>
  <c r="E22" i="344"/>
  <c r="E29" i="344" s="1"/>
  <c r="F29" i="231"/>
  <c r="L27" i="284"/>
  <c r="L23" i="291"/>
  <c r="N28" i="215"/>
  <c r="Q21" i="216"/>
  <c r="H26" i="239"/>
  <c r="H30" i="239" s="1"/>
  <c r="H23" i="239"/>
  <c r="L26" i="246"/>
  <c r="L23" i="246"/>
  <c r="H26" i="246"/>
  <c r="H30" i="246" s="1"/>
  <c r="H23" i="246"/>
  <c r="H22" i="246"/>
  <c r="O26" i="254"/>
  <c r="O30" i="254" s="1"/>
  <c r="O23" i="254"/>
  <c r="H26" i="269"/>
  <c r="H30" i="269" s="1"/>
  <c r="H22" i="269"/>
  <c r="G23" i="237"/>
  <c r="G22" i="237"/>
  <c r="K26" i="239"/>
  <c r="K30" i="239" s="1"/>
  <c r="K23" i="239"/>
  <c r="J26" i="245"/>
  <c r="J22" i="245"/>
  <c r="Q19" i="247"/>
  <c r="O28" i="222"/>
  <c r="N26" i="222"/>
  <c r="O26" i="223"/>
  <c r="O26" i="233"/>
  <c r="O30" i="233" s="1"/>
  <c r="O23" i="233"/>
  <c r="O26" i="235"/>
  <c r="O23" i="235"/>
  <c r="H26" i="258"/>
  <c r="H30" i="258" s="1"/>
  <c r="H23" i="258"/>
  <c r="F26" i="260"/>
  <c r="F22" i="260"/>
  <c r="G26" i="261"/>
  <c r="G22" i="261"/>
  <c r="F28" i="217"/>
  <c r="O26" i="255"/>
  <c r="O23" i="255"/>
  <c r="H22" i="258"/>
  <c r="G26" i="270"/>
  <c r="G30" i="270" s="1"/>
  <c r="G23" i="270"/>
  <c r="J27" i="248"/>
  <c r="H60" i="34"/>
  <c r="N23" i="356"/>
  <c r="N22" i="356"/>
  <c r="D87" i="206"/>
  <c r="M19" i="282"/>
  <c r="M26" i="282" s="1"/>
  <c r="K87" i="206"/>
  <c r="L28" i="282" s="1"/>
  <c r="G87" i="206"/>
  <c r="H28" i="282" s="1"/>
  <c r="Q19" i="272"/>
  <c r="J22" i="288"/>
  <c r="J23" i="326"/>
  <c r="P28" i="327"/>
  <c r="K28" i="328"/>
  <c r="J23" i="328"/>
  <c r="K26" i="330"/>
  <c r="J28" i="330"/>
  <c r="J28" i="331"/>
  <c r="L27" i="331"/>
  <c r="F23" i="331"/>
  <c r="F23" i="332"/>
  <c r="E26" i="344"/>
  <c r="F26" i="344"/>
  <c r="H22" i="347"/>
  <c r="K22" i="355"/>
  <c r="K23" i="355"/>
  <c r="I23" i="356"/>
  <c r="I22" i="356"/>
  <c r="O23" i="357"/>
  <c r="K22" i="357"/>
  <c r="K23" i="357"/>
  <c r="I19" i="345"/>
  <c r="I23" i="345" s="1"/>
  <c r="G99" i="34"/>
  <c r="Q99" i="34" s="1"/>
  <c r="G100" i="34"/>
  <c r="Q100" i="34" s="1"/>
  <c r="O23" i="273"/>
  <c r="O22" i="209"/>
  <c r="K23" i="209"/>
  <c r="N23" i="210"/>
  <c r="P23" i="217"/>
  <c r="L23" i="217"/>
  <c r="J22" i="252"/>
  <c r="K22" i="253"/>
  <c r="O22" i="254"/>
  <c r="L22" i="269"/>
  <c r="N23" i="286"/>
  <c r="F23" i="286"/>
  <c r="M23" i="289"/>
  <c r="O23" i="290"/>
  <c r="K23" i="290"/>
  <c r="G22" i="290"/>
  <c r="G28" i="296"/>
  <c r="P23" i="298"/>
  <c r="L23" i="298"/>
  <c r="N23" i="328"/>
  <c r="E26" i="342"/>
  <c r="E23" i="342"/>
  <c r="H22" i="342"/>
  <c r="F28" i="344"/>
  <c r="H26" i="344"/>
  <c r="E27" i="356"/>
  <c r="O23" i="355"/>
  <c r="M23" i="210"/>
  <c r="K23" i="217"/>
  <c r="O23" i="220"/>
  <c r="K23" i="220"/>
  <c r="J22" i="241"/>
  <c r="K22" i="252"/>
  <c r="P22" i="258"/>
  <c r="L22" i="264"/>
  <c r="P22" i="269"/>
  <c r="H23" i="270"/>
  <c r="M23" i="286"/>
  <c r="I23" i="286"/>
  <c r="N23" i="287"/>
  <c r="F22" i="287"/>
  <c r="O23" i="292"/>
  <c r="K23" i="292"/>
  <c r="G22" i="292"/>
  <c r="L23" i="293"/>
  <c r="J27" i="235"/>
  <c r="F26" i="331"/>
  <c r="E27" i="300"/>
  <c r="F27" i="300"/>
  <c r="H19" i="345"/>
  <c r="H26" i="345" s="1"/>
  <c r="H223" i="34"/>
  <c r="P23" i="349"/>
  <c r="L23" i="349"/>
  <c r="M23" i="350"/>
  <c r="I22" i="350"/>
  <c r="K23" i="351"/>
  <c r="L23" i="296"/>
  <c r="I23" i="300"/>
  <c r="M23" i="306"/>
  <c r="H22" i="324"/>
  <c r="F28" i="325"/>
  <c r="L23" i="325"/>
  <c r="P23" i="326"/>
  <c r="L23" i="326"/>
  <c r="H23" i="326"/>
  <c r="E22" i="263"/>
  <c r="E29" i="263" s="1"/>
  <c r="N30" i="275"/>
  <c r="J23" i="275"/>
  <c r="Q20" i="276"/>
  <c r="P27" i="286"/>
  <c r="K27" i="288"/>
  <c r="N27" i="292"/>
  <c r="P27" i="293"/>
  <c r="I22" i="293"/>
  <c r="I22" i="296"/>
  <c r="L23" i="354"/>
  <c r="L23" i="355"/>
  <c r="F26" i="357"/>
  <c r="L23" i="357"/>
  <c r="H23" i="357"/>
  <c r="F27" i="218"/>
  <c r="F26" i="225"/>
  <c r="M30" i="238"/>
  <c r="L124" i="206"/>
  <c r="N128" i="206"/>
  <c r="I22" i="327"/>
  <c r="H23" i="340"/>
  <c r="F23" i="222"/>
  <c r="G22" i="123"/>
  <c r="G23" i="216"/>
  <c r="G23" i="221"/>
  <c r="H22" i="214"/>
  <c r="H23" i="222"/>
  <c r="H23" i="227"/>
  <c r="I23" i="212"/>
  <c r="I22" i="123"/>
  <c r="I22" i="351"/>
  <c r="M27" i="268"/>
  <c r="M30" i="268" s="1"/>
  <c r="M22" i="268"/>
  <c r="I26" i="123"/>
  <c r="O26" i="123"/>
  <c r="L26" i="271"/>
  <c r="L23" i="271"/>
  <c r="L22" i="215"/>
  <c r="L23" i="215"/>
  <c r="F27" i="247"/>
  <c r="F30" i="247" s="1"/>
  <c r="F23" i="247"/>
  <c r="N27" i="249"/>
  <c r="N30" i="249" s="1"/>
  <c r="N22" i="249"/>
  <c r="N23" i="249"/>
  <c r="P27" i="252"/>
  <c r="P30" i="252" s="1"/>
  <c r="P23" i="252"/>
  <c r="P22" i="252"/>
  <c r="L27" i="253"/>
  <c r="L30" i="253" s="1"/>
  <c r="L22" i="253"/>
  <c r="E27" i="255"/>
  <c r="E22" i="255"/>
  <c r="E29" i="255" s="1"/>
  <c r="H27" i="257"/>
  <c r="I27" i="258"/>
  <c r="I30" i="258" s="1"/>
  <c r="I23" i="258"/>
  <c r="I22" i="258"/>
  <c r="E27" i="259"/>
  <c r="Q20" i="259"/>
  <c r="E22" i="259"/>
  <c r="E27" i="260"/>
  <c r="Q20" i="260"/>
  <c r="E27" i="261"/>
  <c r="Q20" i="261"/>
  <c r="I27" i="264"/>
  <c r="I22" i="264"/>
  <c r="I27" i="265"/>
  <c r="I30" i="265" s="1"/>
  <c r="I22" i="265"/>
  <c r="I23" i="265"/>
  <c r="E27" i="267"/>
  <c r="O84" i="34" s="1"/>
  <c r="E22" i="267"/>
  <c r="E29" i="267" s="1"/>
  <c r="Q20" i="267"/>
  <c r="E27" i="270"/>
  <c r="E22" i="270"/>
  <c r="E29" i="270" s="1"/>
  <c r="E27" i="271"/>
  <c r="Q20" i="271"/>
  <c r="E22" i="271"/>
  <c r="E29" i="271" s="1"/>
  <c r="E27" i="272"/>
  <c r="E22" i="272"/>
  <c r="E29" i="272" s="1"/>
  <c r="E27" i="273"/>
  <c r="E22" i="273"/>
  <c r="Q20" i="273"/>
  <c r="J27" i="276"/>
  <c r="J23" i="276"/>
  <c r="N27" i="279"/>
  <c r="N22" i="279"/>
  <c r="Q20" i="287"/>
  <c r="N27" i="287"/>
  <c r="L27" i="287"/>
  <c r="G27" i="287"/>
  <c r="O27" i="287"/>
  <c r="I27" i="287"/>
  <c r="P27" i="287"/>
  <c r="H27" i="287"/>
  <c r="K27" i="287"/>
  <c r="O22" i="219"/>
  <c r="O23" i="219"/>
  <c r="H86" i="206"/>
  <c r="M27" i="256"/>
  <c r="M22" i="256"/>
  <c r="E19" i="284"/>
  <c r="L89" i="206"/>
  <c r="M28" i="284" s="1"/>
  <c r="F22" i="227"/>
  <c r="F23" i="227"/>
  <c r="H25" i="34"/>
  <c r="J23" i="221"/>
  <c r="S5" i="238"/>
  <c r="S6" i="238" s="1"/>
  <c r="E22" i="327"/>
  <c r="E29" i="327" s="1"/>
  <c r="E26" i="327"/>
  <c r="F124" i="206"/>
  <c r="F27" i="212"/>
  <c r="E22" i="212"/>
  <c r="E29" i="212" s="1"/>
  <c r="I28" i="215"/>
  <c r="O28" i="215"/>
  <c r="L28" i="216"/>
  <c r="N28" i="216"/>
  <c r="E23" i="217"/>
  <c r="E27" i="218"/>
  <c r="F27" i="222"/>
  <c r="P28" i="222"/>
  <c r="H27" i="222"/>
  <c r="F27" i="227"/>
  <c r="H22" i="227"/>
  <c r="G27" i="228"/>
  <c r="Q20" i="230"/>
  <c r="Q20" i="233"/>
  <c r="M22" i="244"/>
  <c r="E22" i="261"/>
  <c r="N23" i="275"/>
  <c r="Q19" i="287"/>
  <c r="K27" i="292"/>
  <c r="O22" i="309"/>
  <c r="E26" i="268"/>
  <c r="E30" i="268" s="1"/>
  <c r="E23" i="268"/>
  <c r="M23" i="320"/>
  <c r="M22" i="320"/>
  <c r="E28" i="123"/>
  <c r="E30" i="123" s="1"/>
  <c r="L28" i="123"/>
  <c r="O28" i="228"/>
  <c r="I26" i="248"/>
  <c r="I30" i="248" s="1"/>
  <c r="I22" i="248"/>
  <c r="I23" i="248"/>
  <c r="J26" i="272"/>
  <c r="G94" i="34"/>
  <c r="Q94" i="34" s="1"/>
  <c r="J23" i="272"/>
  <c r="O28" i="287"/>
  <c r="G27" i="248"/>
  <c r="Q20" i="248"/>
  <c r="E27" i="251"/>
  <c r="E22" i="251"/>
  <c r="E29" i="251" s="1"/>
  <c r="L27" i="252"/>
  <c r="L22" i="252"/>
  <c r="Q20" i="252"/>
  <c r="L27" i="254"/>
  <c r="L30" i="254" s="1"/>
  <c r="L23" i="254"/>
  <c r="L22" i="254"/>
  <c r="P27" i="257"/>
  <c r="I27" i="260"/>
  <c r="I30" i="260" s="1"/>
  <c r="I22" i="260"/>
  <c r="I23" i="260"/>
  <c r="M27" i="261"/>
  <c r="M30" i="261" s="1"/>
  <c r="M23" i="261"/>
  <c r="M22" i="261"/>
  <c r="E27" i="263"/>
  <c r="Q20" i="263"/>
  <c r="M27" i="264"/>
  <c r="M22" i="264"/>
  <c r="E27" i="265"/>
  <c r="Q20" i="265"/>
  <c r="E27" i="266"/>
  <c r="O79" i="34" s="1"/>
  <c r="Q20" i="266"/>
  <c r="E22" i="266"/>
  <c r="E29" i="266" s="1"/>
  <c r="I27" i="266"/>
  <c r="I30" i="266" s="1"/>
  <c r="I23" i="266"/>
  <c r="I22" i="266"/>
  <c r="I27" i="267"/>
  <c r="I22" i="267"/>
  <c r="M27" i="269"/>
  <c r="M30" i="269" s="1"/>
  <c r="M22" i="269"/>
  <c r="M27" i="270"/>
  <c r="M22" i="270"/>
  <c r="M27" i="271"/>
  <c r="M22" i="271"/>
  <c r="F27" i="273"/>
  <c r="F30" i="273" s="1"/>
  <c r="F22" i="273"/>
  <c r="F27" i="275"/>
  <c r="F30" i="275" s="1"/>
  <c r="F22" i="275"/>
  <c r="Q20" i="275"/>
  <c r="F23" i="275"/>
  <c r="N27" i="277"/>
  <c r="N30" i="277" s="1"/>
  <c r="N22" i="277"/>
  <c r="F27" i="278"/>
  <c r="Q20" i="278"/>
  <c r="F23" i="278"/>
  <c r="J22" i="279"/>
  <c r="J23" i="279"/>
  <c r="F27" i="279"/>
  <c r="F30" i="279" s="1"/>
  <c r="F23" i="279"/>
  <c r="O22" i="288"/>
  <c r="O23" i="288"/>
  <c r="O27" i="288"/>
  <c r="P27" i="288"/>
  <c r="I27" i="288"/>
  <c r="Q20" i="288"/>
  <c r="M27" i="288"/>
  <c r="J27" i="288"/>
  <c r="N27" i="288"/>
  <c r="G27" i="288"/>
  <c r="Q20" i="289"/>
  <c r="H27" i="289"/>
  <c r="N27" i="289"/>
  <c r="L27" i="289"/>
  <c r="P27" i="289"/>
  <c r="I27" i="289"/>
  <c r="G27" i="289"/>
  <c r="P27" i="290"/>
  <c r="Q20" i="290"/>
  <c r="O27" i="290"/>
  <c r="L27" i="290"/>
  <c r="H27" i="290"/>
  <c r="I27" i="290"/>
  <c r="J27" i="290"/>
  <c r="K27" i="290"/>
  <c r="L27" i="292"/>
  <c r="I27" i="292"/>
  <c r="H27" i="292"/>
  <c r="Q20" i="292"/>
  <c r="P27" i="292"/>
  <c r="O27" i="292"/>
  <c r="H22" i="292"/>
  <c r="J27" i="292"/>
  <c r="O27" i="295"/>
  <c r="E22" i="295"/>
  <c r="E29" i="295" s="1"/>
  <c r="J27" i="295"/>
  <c r="P27" i="295"/>
  <c r="G27" i="295"/>
  <c r="H27" i="295"/>
  <c r="Q20" i="295"/>
  <c r="I27" i="295"/>
  <c r="F27" i="295"/>
  <c r="M27" i="295"/>
  <c r="N27" i="295"/>
  <c r="K27" i="295"/>
  <c r="L27" i="295"/>
  <c r="F27" i="255"/>
  <c r="F30" i="255" s="1"/>
  <c r="F23" i="255"/>
  <c r="P26" i="232"/>
  <c r="M27" i="250"/>
  <c r="M30" i="250" s="1"/>
  <c r="M23" i="250"/>
  <c r="M22" i="250"/>
  <c r="H88" i="206"/>
  <c r="F22" i="220"/>
  <c r="F27" i="220"/>
  <c r="G22" i="226"/>
  <c r="G23" i="226"/>
  <c r="H22" i="222"/>
  <c r="I23" i="226"/>
  <c r="I22" i="226"/>
  <c r="J22" i="228"/>
  <c r="H37" i="34"/>
  <c r="G23" i="123"/>
  <c r="G46" i="34"/>
  <c r="Q46" i="34" s="1"/>
  <c r="F26" i="327"/>
  <c r="G26" i="340"/>
  <c r="H28" i="215"/>
  <c r="G27" i="216"/>
  <c r="O27" i="216"/>
  <c r="E28" i="217"/>
  <c r="G27" i="218"/>
  <c r="F23" i="220"/>
  <c r="K26" i="222"/>
  <c r="H28" i="222"/>
  <c r="E22" i="223"/>
  <c r="E29" i="223" s="1"/>
  <c r="G27" i="227"/>
  <c r="F28" i="123"/>
  <c r="I22" i="250"/>
  <c r="Q20" i="258"/>
  <c r="M22" i="266"/>
  <c r="Q19" i="270"/>
  <c r="N23" i="277"/>
  <c r="P26" i="287"/>
  <c r="H27" i="288"/>
  <c r="K27" i="289"/>
  <c r="N27" i="290"/>
  <c r="E27" i="293"/>
  <c r="E27" i="295"/>
  <c r="L23" i="253"/>
  <c r="E26" i="280"/>
  <c r="E30" i="280" s="1"/>
  <c r="E23" i="280"/>
  <c r="N22" i="317"/>
  <c r="N23" i="317"/>
  <c r="P22" i="310"/>
  <c r="P23" i="310"/>
  <c r="Q21" i="222"/>
  <c r="E28" i="222"/>
  <c r="F28" i="222"/>
  <c r="I28" i="222"/>
  <c r="H26" i="271"/>
  <c r="H30" i="271" s="1"/>
  <c r="H23" i="271"/>
  <c r="H22" i="271"/>
  <c r="N26" i="272"/>
  <c r="N23" i="272"/>
  <c r="E26" i="273"/>
  <c r="E30" i="273" s="1"/>
  <c r="E23" i="273"/>
  <c r="P27" i="253"/>
  <c r="P30" i="253" s="1"/>
  <c r="P23" i="253"/>
  <c r="P22" i="253"/>
  <c r="P27" i="254"/>
  <c r="P22" i="254"/>
  <c r="M27" i="255"/>
  <c r="M22" i="255"/>
  <c r="L27" i="257"/>
  <c r="M27" i="258"/>
  <c r="M22" i="258"/>
  <c r="M27" i="260"/>
  <c r="M30" i="260" s="1"/>
  <c r="M23" i="260"/>
  <c r="M22" i="260"/>
  <c r="I27" i="261"/>
  <c r="I23" i="261"/>
  <c r="I22" i="261"/>
  <c r="M27" i="263"/>
  <c r="M30" i="263" s="1"/>
  <c r="M23" i="263"/>
  <c r="M22" i="263"/>
  <c r="E27" i="264"/>
  <c r="Q20" i="264"/>
  <c r="M27" i="265"/>
  <c r="M30" i="265" s="1"/>
  <c r="M23" i="265"/>
  <c r="M22" i="265"/>
  <c r="M27" i="267"/>
  <c r="M22" i="267"/>
  <c r="E27" i="269"/>
  <c r="Q20" i="269"/>
  <c r="E22" i="269"/>
  <c r="E29" i="269" s="1"/>
  <c r="M27" i="272"/>
  <c r="M30" i="272" s="1"/>
  <c r="M23" i="272"/>
  <c r="M22" i="272"/>
  <c r="M27" i="273"/>
  <c r="M30" i="273" s="1"/>
  <c r="M23" i="273"/>
  <c r="M22" i="273"/>
  <c r="N27" i="276"/>
  <c r="N30" i="276" s="1"/>
  <c r="N22" i="276"/>
  <c r="N23" i="276"/>
  <c r="F27" i="276"/>
  <c r="F30" i="276" s="1"/>
  <c r="F23" i="276"/>
  <c r="F27" i="277"/>
  <c r="F23" i="277"/>
  <c r="J27" i="286"/>
  <c r="Q20" i="286"/>
  <c r="O27" i="286"/>
  <c r="I27" i="286"/>
  <c r="N27" i="286"/>
  <c r="L27" i="286"/>
  <c r="G27" i="286"/>
  <c r="H27" i="286"/>
  <c r="M27" i="286"/>
  <c r="K27" i="286"/>
  <c r="O27" i="293"/>
  <c r="I27" i="293"/>
  <c r="J27" i="293"/>
  <c r="M27" i="293"/>
  <c r="Q20" i="293"/>
  <c r="K27" i="293"/>
  <c r="L27" i="293"/>
  <c r="F27" i="293"/>
  <c r="H27" i="293"/>
  <c r="E22" i="293"/>
  <c r="E29" i="293" s="1"/>
  <c r="N27" i="293"/>
  <c r="E27" i="294"/>
  <c r="H27" i="294"/>
  <c r="O27" i="294"/>
  <c r="Q20" i="294"/>
  <c r="L27" i="294"/>
  <c r="F27" i="294"/>
  <c r="G27" i="294"/>
  <c r="I27" i="294"/>
  <c r="P27" i="294"/>
  <c r="J27" i="294"/>
  <c r="K27" i="294"/>
  <c r="O27" i="296"/>
  <c r="H27" i="296"/>
  <c r="N27" i="296"/>
  <c r="I27" i="296"/>
  <c r="G27" i="296"/>
  <c r="F27" i="296"/>
  <c r="Q20" i="296"/>
  <c r="E27" i="296"/>
  <c r="K27" i="296"/>
  <c r="P27" i="296"/>
  <c r="J27" i="296"/>
  <c r="M27" i="296"/>
  <c r="E27" i="349"/>
  <c r="F27" i="349"/>
  <c r="E26" i="250"/>
  <c r="E23" i="250"/>
  <c r="E22" i="250"/>
  <c r="E29" i="250" s="1"/>
  <c r="I27" i="268"/>
  <c r="I22" i="268"/>
  <c r="N26" i="274"/>
  <c r="F26" i="274"/>
  <c r="J164" i="206"/>
  <c r="K21" i="339" s="1"/>
  <c r="K22" i="340"/>
  <c r="M27" i="123"/>
  <c r="J27" i="123"/>
  <c r="H9" i="34"/>
  <c r="J22" i="211"/>
  <c r="H23" i="123"/>
  <c r="M23" i="238"/>
  <c r="E23" i="222"/>
  <c r="E22" i="228"/>
  <c r="G22" i="221"/>
  <c r="G27" i="123"/>
  <c r="I22" i="271"/>
  <c r="F23" i="272"/>
  <c r="F23" i="273"/>
  <c r="J28" i="287"/>
  <c r="J27" i="287"/>
  <c r="L27" i="288"/>
  <c r="M27" i="289"/>
  <c r="O27" i="289"/>
  <c r="M27" i="292"/>
  <c r="N27" i="294"/>
  <c r="M27" i="294"/>
  <c r="L27" i="296"/>
  <c r="H27" i="268"/>
  <c r="H30" i="268" s="1"/>
  <c r="H23" i="268"/>
  <c r="H22" i="340"/>
  <c r="F30" i="233"/>
  <c r="P23" i="225"/>
  <c r="L28" i="232"/>
  <c r="K23" i="232"/>
  <c r="F22" i="212"/>
  <c r="L23" i="292"/>
  <c r="M23" i="293"/>
  <c r="I23" i="293"/>
  <c r="M23" i="295"/>
  <c r="J22" i="298"/>
  <c r="F26" i="305"/>
  <c r="F30" i="236"/>
  <c r="M27" i="241"/>
  <c r="M30" i="241" s="1"/>
  <c r="M22" i="241"/>
  <c r="M27" i="242"/>
  <c r="M30" i="242" s="1"/>
  <c r="M23" i="242"/>
  <c r="P27" i="245"/>
  <c r="P22" i="245"/>
  <c r="O27" i="246"/>
  <c r="O22" i="246"/>
  <c r="K27" i="246"/>
  <c r="K22" i="246"/>
  <c r="K23" i="288"/>
  <c r="J28" i="328"/>
  <c r="M27" i="331"/>
  <c r="N23" i="331"/>
  <c r="I27" i="211"/>
  <c r="I23" i="123"/>
  <c r="E26" i="299"/>
  <c r="E30" i="299" s="1"/>
  <c r="E22" i="299"/>
  <c r="E29" i="299" s="1"/>
  <c r="E23" i="299"/>
  <c r="G133" i="34"/>
  <c r="Q133" i="34" s="1"/>
  <c r="J23" i="299"/>
  <c r="F26" i="306"/>
  <c r="F23" i="306"/>
  <c r="E26" i="324"/>
  <c r="E30" i="324" s="1"/>
  <c r="E23" i="324"/>
  <c r="E26" i="325"/>
  <c r="E30" i="325" s="1"/>
  <c r="E23" i="325"/>
  <c r="F26" i="326"/>
  <c r="O26" i="326"/>
  <c r="N28" i="327"/>
  <c r="E28" i="327"/>
  <c r="K28" i="327"/>
  <c r="F28" i="327"/>
  <c r="Q21" i="327"/>
  <c r="J28" i="327"/>
  <c r="F26" i="328"/>
  <c r="K26" i="328"/>
  <c r="E23" i="328"/>
  <c r="I26" i="328"/>
  <c r="O26" i="328"/>
  <c r="L26" i="328"/>
  <c r="N28" i="328"/>
  <c r="Q21" i="328"/>
  <c r="I28" i="328"/>
  <c r="H28" i="328"/>
  <c r="F22" i="328"/>
  <c r="F23" i="328"/>
  <c r="E23" i="329"/>
  <c r="N26" i="329"/>
  <c r="K28" i="329"/>
  <c r="J28" i="329"/>
  <c r="N27" i="329"/>
  <c r="K27" i="329"/>
  <c r="L28" i="330"/>
  <c r="H181" i="34"/>
  <c r="J23" i="330"/>
  <c r="J22" i="330"/>
  <c r="F23" i="330"/>
  <c r="L27" i="330"/>
  <c r="I23" i="331"/>
  <c r="K26" i="331"/>
  <c r="O26" i="331"/>
  <c r="G26" i="332"/>
  <c r="F26" i="332"/>
  <c r="Q19" i="332"/>
  <c r="O28" i="332"/>
  <c r="F22" i="332"/>
  <c r="I27" i="332"/>
  <c r="Q21" i="333"/>
  <c r="P28" i="333"/>
  <c r="E28" i="344"/>
  <c r="E23" i="344"/>
  <c r="P23" i="344"/>
  <c r="P22" i="344"/>
  <c r="L27" i="344"/>
  <c r="H22" i="344"/>
  <c r="E26" i="347"/>
  <c r="N26" i="347"/>
  <c r="F26" i="347"/>
  <c r="H26" i="347"/>
  <c r="G26" i="347"/>
  <c r="L22" i="348"/>
  <c r="L23" i="348"/>
  <c r="H23" i="348"/>
  <c r="H22" i="348"/>
  <c r="G23" i="348"/>
  <c r="G26" i="348"/>
  <c r="E27" i="350"/>
  <c r="F27" i="350"/>
  <c r="H27" i="350"/>
  <c r="P23" i="214"/>
  <c r="I23" i="216"/>
  <c r="F22" i="218"/>
  <c r="O23" i="222"/>
  <c r="K23" i="222"/>
  <c r="P23" i="227"/>
  <c r="L23" i="227"/>
  <c r="N23" i="228"/>
  <c r="H22" i="230"/>
  <c r="O23" i="231"/>
  <c r="F22" i="236"/>
  <c r="J26" i="300"/>
  <c r="F23" i="302"/>
  <c r="F23" i="304"/>
  <c r="G27" i="306"/>
  <c r="E22" i="308"/>
  <c r="E29" i="308" s="1"/>
  <c r="F22" i="308"/>
  <c r="M23" i="308"/>
  <c r="F28" i="309"/>
  <c r="F27" i="325"/>
  <c r="I22" i="331"/>
  <c r="E23" i="347"/>
  <c r="F28" i="350"/>
  <c r="L23" i="214"/>
  <c r="P23" i="215"/>
  <c r="M23" i="218"/>
  <c r="P23" i="221"/>
  <c r="L23" i="221"/>
  <c r="F22" i="222"/>
  <c r="P23" i="226"/>
  <c r="L23" i="226"/>
  <c r="M23" i="269"/>
  <c r="I23" i="269"/>
  <c r="O23" i="286"/>
  <c r="K23" i="287"/>
  <c r="K23" i="331"/>
  <c r="G27" i="343"/>
  <c r="M23" i="344"/>
  <c r="J26" i="347"/>
  <c r="H26" i="348"/>
  <c r="J28" i="348"/>
  <c r="M23" i="348"/>
  <c r="K23" i="216"/>
  <c r="I26" i="221"/>
  <c r="P23" i="224"/>
  <c r="L23" i="224"/>
  <c r="K23" i="286"/>
  <c r="M26" i="289"/>
  <c r="N28" i="290"/>
  <c r="P23" i="290"/>
  <c r="L23" i="290"/>
  <c r="N28" i="292"/>
  <c r="P23" i="292"/>
  <c r="K23" i="225"/>
  <c r="P23" i="232"/>
  <c r="L23" i="232"/>
  <c r="J22" i="244"/>
  <c r="N23" i="280"/>
  <c r="F23" i="280"/>
  <c r="H27" i="291"/>
  <c r="K23" i="327"/>
  <c r="G22" i="327"/>
  <c r="M27" i="327"/>
  <c r="Q20" i="217"/>
  <c r="F27" i="209"/>
  <c r="H27" i="216"/>
  <c r="G22" i="217"/>
  <c r="G27" i="222"/>
  <c r="H23" i="215"/>
  <c r="H23" i="223"/>
  <c r="I22" i="209"/>
  <c r="I22" i="349"/>
  <c r="L23" i="219"/>
  <c r="L22" i="219"/>
  <c r="N23" i="238"/>
  <c r="N22" i="238"/>
  <c r="N27" i="238"/>
  <c r="N30" i="238" s="1"/>
  <c r="L23" i="340"/>
  <c r="L22" i="340"/>
  <c r="P22" i="219"/>
  <c r="P23" i="219"/>
  <c r="I27" i="244"/>
  <c r="I22" i="244"/>
  <c r="H26" i="250"/>
  <c r="H22" i="250"/>
  <c r="E26" i="256"/>
  <c r="E30" i="256" s="1"/>
  <c r="E23" i="256"/>
  <c r="H27" i="255"/>
  <c r="H30" i="255" s="1"/>
  <c r="H23" i="255"/>
  <c r="I27" i="230"/>
  <c r="L27" i="230"/>
  <c r="I22" i="230"/>
  <c r="J27" i="230"/>
  <c r="I23" i="230"/>
  <c r="O19" i="282"/>
  <c r="O26" i="282" s="1"/>
  <c r="O23" i="250"/>
  <c r="J27" i="256"/>
  <c r="H69" i="34"/>
  <c r="J22" i="256"/>
  <c r="I88" i="206"/>
  <c r="J28" i="283" s="1"/>
  <c r="K26" i="274"/>
  <c r="K30" i="274" s="1"/>
  <c r="M89" i="206"/>
  <c r="N28" i="284" s="1"/>
  <c r="I89" i="206"/>
  <c r="J28" i="284" s="1"/>
  <c r="H98" i="34"/>
  <c r="E89" i="206"/>
  <c r="F28" i="284" s="1"/>
  <c r="O19" i="335"/>
  <c r="O19" i="303"/>
  <c r="O23" i="303" s="1"/>
  <c r="K19" i="335"/>
  <c r="K19" i="303"/>
  <c r="K23" i="303" s="1"/>
  <c r="G19" i="303"/>
  <c r="H26" i="303" s="1"/>
  <c r="G124" i="206"/>
  <c r="H27" i="303"/>
  <c r="F27" i="223"/>
  <c r="F22" i="223"/>
  <c r="G22" i="227"/>
  <c r="H27" i="227"/>
  <c r="I124" i="206"/>
  <c r="J22" i="222"/>
  <c r="H26" i="34"/>
  <c r="N23" i="327"/>
  <c r="P23" i="340"/>
  <c r="Q19" i="327"/>
  <c r="H124" i="206"/>
  <c r="M27" i="212"/>
  <c r="G27" i="223"/>
  <c r="Q20" i="255"/>
  <c r="E27" i="297"/>
  <c r="H28" i="228"/>
  <c r="K23" i="276"/>
  <c r="K26" i="276"/>
  <c r="E28" i="277"/>
  <c r="E30" i="277" s="1"/>
  <c r="Q21" i="277"/>
  <c r="M23" i="277"/>
  <c r="M26" i="277"/>
  <c r="M30" i="277" s="1"/>
  <c r="G104" i="34"/>
  <c r="Q104" i="34" s="1"/>
  <c r="J23" i="277"/>
  <c r="O26" i="278"/>
  <c r="O23" i="278"/>
  <c r="G26" i="278"/>
  <c r="G30" i="278" s="1"/>
  <c r="G23" i="278"/>
  <c r="E28" i="279"/>
  <c r="E30" i="279" s="1"/>
  <c r="E23" i="279"/>
  <c r="Q21" i="286"/>
  <c r="O28" i="286"/>
  <c r="P28" i="286"/>
  <c r="H23" i="286"/>
  <c r="P26" i="286"/>
  <c r="O26" i="286"/>
  <c r="H26" i="286"/>
  <c r="N26" i="286"/>
  <c r="E26" i="287"/>
  <c r="E30" i="287" s="1"/>
  <c r="N26" i="287"/>
  <c r="I26" i="287"/>
  <c r="E23" i="287"/>
  <c r="G26" i="287"/>
  <c r="G28" i="287"/>
  <c r="H28" i="287"/>
  <c r="I28" i="287"/>
  <c r="F28" i="287"/>
  <c r="N28" i="287"/>
  <c r="K28" i="287"/>
  <c r="P28" i="287"/>
  <c r="E23" i="288"/>
  <c r="M28" i="288"/>
  <c r="H28" i="288"/>
  <c r="O28" i="288"/>
  <c r="P28" i="288"/>
  <c r="I28" i="288"/>
  <c r="M23" i="288"/>
  <c r="N26" i="288"/>
  <c r="I27" i="242"/>
  <c r="I22" i="242"/>
  <c r="Q20" i="242"/>
  <c r="J27" i="239"/>
  <c r="J30" i="239" s="1"/>
  <c r="H47" i="34"/>
  <c r="Q20" i="239"/>
  <c r="H49" i="34"/>
  <c r="J27" i="243"/>
  <c r="N49" i="34" s="1"/>
  <c r="J22" i="243"/>
  <c r="H61" i="34"/>
  <c r="J22" i="249"/>
  <c r="J27" i="249"/>
  <c r="I27" i="254"/>
  <c r="I30" i="254" s="1"/>
  <c r="I22" i="254"/>
  <c r="I27" i="253"/>
  <c r="I30" i="253" s="1"/>
  <c r="I22" i="253"/>
  <c r="G27" i="255"/>
  <c r="G22" i="255"/>
  <c r="N145" i="207"/>
  <c r="M27" i="262"/>
  <c r="E26" i="244"/>
  <c r="E23" i="244"/>
  <c r="M27" i="236"/>
  <c r="M22" i="236"/>
  <c r="I86" i="206"/>
  <c r="J28" i="281" s="1"/>
  <c r="E86" i="206"/>
  <c r="F23" i="238"/>
  <c r="K19" i="282"/>
  <c r="K26" i="282" s="1"/>
  <c r="K22" i="250"/>
  <c r="G19" i="282"/>
  <c r="G26" i="282" s="1"/>
  <c r="G22" i="250"/>
  <c r="I87" i="206"/>
  <c r="J28" i="282" s="1"/>
  <c r="J22" i="250"/>
  <c r="Q20" i="256"/>
  <c r="F22" i="256"/>
  <c r="F27" i="256"/>
  <c r="E88" i="206"/>
  <c r="O26" i="274"/>
  <c r="G23" i="274"/>
  <c r="K26" i="280"/>
  <c r="K23" i="280"/>
  <c r="F27" i="280"/>
  <c r="F30" i="280" s="1"/>
  <c r="F22" i="280"/>
  <c r="I19" i="309"/>
  <c r="E128" i="206"/>
  <c r="E164" i="206"/>
  <c r="F21" i="339" s="1"/>
  <c r="P27" i="217"/>
  <c r="M27" i="217"/>
  <c r="F27" i="217"/>
  <c r="G27" i="217"/>
  <c r="H24" i="34"/>
  <c r="J23" i="220"/>
  <c r="H34" i="34"/>
  <c r="J22" i="231"/>
  <c r="J23" i="231"/>
  <c r="M23" i="340"/>
  <c r="D128" i="206"/>
  <c r="K27" i="230"/>
  <c r="N27" i="230"/>
  <c r="F23" i="231"/>
  <c r="O23" i="225"/>
  <c r="G23" i="238"/>
  <c r="F27" i="327"/>
  <c r="G27" i="209"/>
  <c r="F23" i="209"/>
  <c r="Q20" i="212"/>
  <c r="I27" i="227"/>
  <c r="M27" i="230"/>
  <c r="M28" i="287"/>
  <c r="E22" i="287"/>
  <c r="L28" i="287"/>
  <c r="F26" i="287"/>
  <c r="Q21" i="287"/>
  <c r="E28" i="288"/>
  <c r="E30" i="288" s="1"/>
  <c r="O26" i="288"/>
  <c r="E23" i="346"/>
  <c r="E22" i="333"/>
  <c r="E29" i="333" s="1"/>
  <c r="E26" i="222"/>
  <c r="M26" i="222"/>
  <c r="F26" i="222"/>
  <c r="H26" i="222"/>
  <c r="N28" i="222"/>
  <c r="M23" i="271"/>
  <c r="M26" i="271"/>
  <c r="I26" i="271"/>
  <c r="I30" i="271" s="1"/>
  <c r="I23" i="271"/>
  <c r="H28" i="272"/>
  <c r="Q21" i="272"/>
  <c r="O26" i="272"/>
  <c r="O30" i="272" s="1"/>
  <c r="O23" i="272"/>
  <c r="G26" i="272"/>
  <c r="G30" i="272" s="1"/>
  <c r="G23" i="272"/>
  <c r="G22" i="272"/>
  <c r="K28" i="273"/>
  <c r="Q21" i="273"/>
  <c r="I26" i="273"/>
  <c r="I30" i="273" s="1"/>
  <c r="I23" i="273"/>
  <c r="Q19" i="273"/>
  <c r="O128" i="206"/>
  <c r="F145" i="207"/>
  <c r="M124" i="206"/>
  <c r="H27" i="217"/>
  <c r="H27" i="223"/>
  <c r="I23" i="227"/>
  <c r="P27" i="230"/>
  <c r="O27" i="230"/>
  <c r="F27" i="231"/>
  <c r="Q19" i="232"/>
  <c r="E22" i="244"/>
  <c r="E29" i="244" s="1"/>
  <c r="N22" i="256"/>
  <c r="H174" i="205"/>
  <c r="L146" i="206"/>
  <c r="M22" i="333"/>
  <c r="I23" i="209"/>
  <c r="J28" i="210"/>
  <c r="K28" i="211"/>
  <c r="F28" i="211"/>
  <c r="L28" i="212"/>
  <c r="F28" i="212"/>
  <c r="N26" i="212"/>
  <c r="O26" i="212"/>
  <c r="E26" i="214"/>
  <c r="E30" i="214" s="1"/>
  <c r="F26" i="214"/>
  <c r="K26" i="214"/>
  <c r="Q21" i="214"/>
  <c r="P28" i="214"/>
  <c r="M28" i="214"/>
  <c r="F28" i="214"/>
  <c r="J22" i="214"/>
  <c r="G14" i="34"/>
  <c r="Q14" i="34" s="1"/>
  <c r="F22" i="214"/>
  <c r="F23" i="214"/>
  <c r="L28" i="215"/>
  <c r="J28" i="215"/>
  <c r="P23" i="231"/>
  <c r="L23" i="231"/>
  <c r="H23" i="231"/>
  <c r="E26" i="233"/>
  <c r="E30" i="233" s="1"/>
  <c r="Q19" i="233"/>
  <c r="I23" i="233"/>
  <c r="I26" i="233"/>
  <c r="I30" i="233" s="1"/>
  <c r="P23" i="234"/>
  <c r="P26" i="234"/>
  <c r="P30" i="234" s="1"/>
  <c r="H23" i="234"/>
  <c r="H26" i="234"/>
  <c r="H30" i="234" s="1"/>
  <c r="E28" i="235"/>
  <c r="Q21" i="235"/>
  <c r="N26" i="236"/>
  <c r="N30" i="236" s="1"/>
  <c r="N23" i="236"/>
  <c r="I26" i="237"/>
  <c r="I30" i="237" s="1"/>
  <c r="I23" i="237"/>
  <c r="I22" i="237"/>
  <c r="E26" i="239"/>
  <c r="E30" i="239" s="1"/>
  <c r="E22" i="239"/>
  <c r="E29" i="239" s="1"/>
  <c r="F28" i="239"/>
  <c r="Q21" i="239"/>
  <c r="F26" i="239"/>
  <c r="F30" i="239" s="1"/>
  <c r="F22" i="239"/>
  <c r="G28" i="240"/>
  <c r="Q21" i="240"/>
  <c r="N26" i="240"/>
  <c r="N23" i="240"/>
  <c r="F22" i="240"/>
  <c r="F23" i="240"/>
  <c r="L23" i="241"/>
  <c r="L26" i="241"/>
  <c r="L30" i="241" s="1"/>
  <c r="H26" i="241"/>
  <c r="H30" i="241" s="1"/>
  <c r="H23" i="241"/>
  <c r="H22" i="241"/>
  <c r="E28" i="242"/>
  <c r="E30" i="242" s="1"/>
  <c r="E23" i="242"/>
  <c r="N23" i="242"/>
  <c r="N26" i="242"/>
  <c r="J26" i="242"/>
  <c r="G44" i="34"/>
  <c r="L26" i="243"/>
  <c r="L30" i="243" s="1"/>
  <c r="L23" i="243"/>
  <c r="H26" i="243"/>
  <c r="H30" i="243" s="1"/>
  <c r="H23" i="243"/>
  <c r="O26" i="246"/>
  <c r="O23" i="246"/>
  <c r="K26" i="246"/>
  <c r="K23" i="246"/>
  <c r="G26" i="246"/>
  <c r="G30" i="246" s="1"/>
  <c r="G23" i="246"/>
  <c r="E26" i="247"/>
  <c r="E22" i="247"/>
  <c r="E29" i="247" s="1"/>
  <c r="E23" i="247"/>
  <c r="M26" i="247"/>
  <c r="M23" i="247"/>
  <c r="I26" i="247"/>
  <c r="I30" i="247" s="1"/>
  <c r="I23" i="247"/>
  <c r="M23" i="248"/>
  <c r="M26" i="248"/>
  <c r="M30" i="248" s="1"/>
  <c r="G26" i="251"/>
  <c r="G23" i="251"/>
  <c r="Q19" i="251"/>
  <c r="F26" i="252"/>
  <c r="F23" i="252"/>
  <c r="Q19" i="252"/>
  <c r="O26" i="253"/>
  <c r="O23" i="253"/>
  <c r="Q19" i="253"/>
  <c r="E26" i="254"/>
  <c r="E23" i="254"/>
  <c r="N26" i="254"/>
  <c r="N30" i="254" s="1"/>
  <c r="N23" i="254"/>
  <c r="F26" i="254"/>
  <c r="F30" i="254" s="1"/>
  <c r="F22" i="254"/>
  <c r="F29" i="254" s="1"/>
  <c r="F23" i="254"/>
  <c r="E28" i="255"/>
  <c r="E30" i="255" s="1"/>
  <c r="N23" i="264"/>
  <c r="N26" i="264"/>
  <c r="N30" i="264" s="1"/>
  <c r="G82" i="34"/>
  <c r="Q82" i="34" s="1"/>
  <c r="J23" i="264"/>
  <c r="G26" i="265"/>
  <c r="G30" i="265" s="1"/>
  <c r="G23" i="265"/>
  <c r="G22" i="265"/>
  <c r="I28" i="266"/>
  <c r="Q21" i="266"/>
  <c r="P26" i="266"/>
  <c r="P23" i="266"/>
  <c r="L26" i="266"/>
  <c r="L30" i="266" s="1"/>
  <c r="L23" i="266"/>
  <c r="E28" i="267"/>
  <c r="E30" i="267" s="1"/>
  <c r="E23" i="267"/>
  <c r="P26" i="267"/>
  <c r="P30" i="267" s="1"/>
  <c r="P23" i="267"/>
  <c r="L26" i="267"/>
  <c r="L23" i="267"/>
  <c r="I26" i="267"/>
  <c r="I23" i="267"/>
  <c r="O26" i="269"/>
  <c r="O23" i="269"/>
  <c r="K23" i="269"/>
  <c r="K26" i="269"/>
  <c r="M26" i="270"/>
  <c r="M23" i="270"/>
  <c r="I23" i="270"/>
  <c r="I22" i="270"/>
  <c r="I26" i="270"/>
  <c r="I30" i="270" s="1"/>
  <c r="J27" i="236"/>
  <c r="P23" i="250"/>
  <c r="M23" i="244"/>
  <c r="L23" i="310"/>
  <c r="F22" i="217"/>
  <c r="O28" i="221"/>
  <c r="M26" i="240"/>
  <c r="M30" i="240" s="1"/>
  <c r="M23" i="240"/>
  <c r="O26" i="241"/>
  <c r="O23" i="241"/>
  <c r="K23" i="241"/>
  <c r="K26" i="241"/>
  <c r="G26" i="241"/>
  <c r="G22" i="241"/>
  <c r="O23" i="243"/>
  <c r="O26" i="243"/>
  <c r="O30" i="243" s="1"/>
  <c r="L26" i="247"/>
  <c r="L30" i="247" s="1"/>
  <c r="L23" i="247"/>
  <c r="H26" i="248"/>
  <c r="H30" i="248" s="1"/>
  <c r="H22" i="248"/>
  <c r="H26" i="249"/>
  <c r="H30" i="249" s="1"/>
  <c r="H23" i="249"/>
  <c r="M23" i="252"/>
  <c r="M26" i="252"/>
  <c r="M30" i="252" s="1"/>
  <c r="M23" i="254"/>
  <c r="M26" i="254"/>
  <c r="M30" i="254" s="1"/>
  <c r="N26" i="258"/>
  <c r="N23" i="258"/>
  <c r="M23" i="259"/>
  <c r="M26" i="259"/>
  <c r="M30" i="259" s="1"/>
  <c r="P26" i="260"/>
  <c r="P23" i="260"/>
  <c r="H26" i="260"/>
  <c r="H30" i="260" s="1"/>
  <c r="H23" i="260"/>
  <c r="M23" i="275"/>
  <c r="M26" i="275"/>
  <c r="M30" i="275" s="1"/>
  <c r="L26" i="279"/>
  <c r="L23" i="279"/>
  <c r="H66" i="34"/>
  <c r="J27" i="251"/>
  <c r="O26" i="351"/>
  <c r="O23" i="232"/>
  <c r="M27" i="280"/>
  <c r="M30" i="280" s="1"/>
  <c r="M23" i="280"/>
  <c r="H22" i="215"/>
  <c r="I28" i="220"/>
  <c r="K23" i="248"/>
  <c r="K26" i="248"/>
  <c r="K30" i="248" s="1"/>
  <c r="K23" i="255"/>
  <c r="K26" i="255"/>
  <c r="M26" i="258"/>
  <c r="M23" i="258"/>
  <c r="P26" i="264"/>
  <c r="P23" i="264"/>
  <c r="P26" i="275"/>
  <c r="P30" i="275" s="1"/>
  <c r="P23" i="275"/>
  <c r="L26" i="275"/>
  <c r="L30" i="275" s="1"/>
  <c r="L23" i="275"/>
  <c r="G26" i="279"/>
  <c r="G23" i="279"/>
  <c r="G28" i="293"/>
  <c r="I23" i="250"/>
  <c r="L22" i="310"/>
  <c r="E30" i="238"/>
  <c r="H27" i="280"/>
  <c r="H30" i="280" s="1"/>
  <c r="H23" i="280"/>
  <c r="N22" i="309"/>
  <c r="N23" i="309"/>
  <c r="N26" i="248"/>
  <c r="N23" i="248"/>
  <c r="M26" i="266"/>
  <c r="M30" i="266" s="1"/>
  <c r="M23" i="266"/>
  <c r="P26" i="269"/>
  <c r="P30" i="269" s="1"/>
  <c r="P23" i="269"/>
  <c r="L26" i="269"/>
  <c r="L30" i="269" s="1"/>
  <c r="L23" i="269"/>
  <c r="F26" i="271"/>
  <c r="F23" i="271"/>
  <c r="L26" i="272"/>
  <c r="L23" i="272"/>
  <c r="H26" i="278"/>
  <c r="H23" i="278"/>
  <c r="I27" i="212"/>
  <c r="H202" i="34"/>
  <c r="J22" i="342"/>
  <c r="O28" i="343"/>
  <c r="N28" i="343"/>
  <c r="H28" i="344"/>
  <c r="I28" i="344"/>
  <c r="O28" i="344"/>
  <c r="P28" i="344"/>
  <c r="F22" i="344"/>
  <c r="H27" i="344"/>
  <c r="F27" i="344"/>
  <c r="Q20" i="344"/>
  <c r="J27" i="344"/>
  <c r="N26" i="344"/>
  <c r="E26" i="345"/>
  <c r="E30" i="345" s="1"/>
  <c r="E23" i="345"/>
  <c r="G26" i="345"/>
  <c r="I28" i="345"/>
  <c r="J28" i="345"/>
  <c r="P28" i="345"/>
  <c r="P27" i="345"/>
  <c r="G27" i="345"/>
  <c r="L28" i="346"/>
  <c r="J28" i="346"/>
  <c r="F22" i="347"/>
  <c r="F23" i="347"/>
  <c r="K27" i="348"/>
  <c r="H27" i="348"/>
  <c r="G26" i="349"/>
  <c r="Q19" i="349"/>
  <c r="F26" i="349"/>
  <c r="G28" i="349"/>
  <c r="K28" i="349"/>
  <c r="I28" i="349"/>
  <c r="J27" i="275"/>
  <c r="H99" i="34"/>
  <c r="J27" i="278"/>
  <c r="H96" i="34"/>
  <c r="O22" i="356"/>
  <c r="O23" i="356"/>
  <c r="D16" i="206"/>
  <c r="H27" i="214"/>
  <c r="E19" i="282"/>
  <c r="E26" i="282" s="1"/>
  <c r="H23" i="211"/>
  <c r="N23" i="303"/>
  <c r="E22" i="310"/>
  <c r="E29" i="310" s="1"/>
  <c r="N23" i="320"/>
  <c r="M23" i="319"/>
  <c r="P23" i="318"/>
  <c r="N23" i="316"/>
  <c r="J22" i="316"/>
  <c r="P23" i="313"/>
  <c r="L23" i="311"/>
  <c r="H23" i="212"/>
  <c r="I23" i="214"/>
  <c r="G22" i="216"/>
  <c r="J22" i="220"/>
  <c r="F22" i="255"/>
  <c r="N22" i="275"/>
  <c r="F22" i="276"/>
  <c r="N30" i="278"/>
  <c r="M23" i="294"/>
  <c r="F26" i="345"/>
  <c r="N28" i="346"/>
  <c r="K26" i="347"/>
  <c r="N28" i="348"/>
  <c r="G28" i="350"/>
  <c r="G22" i="251"/>
  <c r="G27" i="251"/>
  <c r="E26" i="323"/>
  <c r="E23" i="323"/>
  <c r="E23" i="326"/>
  <c r="N26" i="326"/>
  <c r="H26" i="326"/>
  <c r="F22" i="326"/>
  <c r="F29" i="326" s="1"/>
  <c r="F23" i="326"/>
  <c r="O28" i="327"/>
  <c r="H28" i="327"/>
  <c r="I28" i="327"/>
  <c r="G28" i="327"/>
  <c r="L28" i="327"/>
  <c r="M28" i="327"/>
  <c r="E26" i="328"/>
  <c r="E30" i="328" s="1"/>
  <c r="J26" i="328"/>
  <c r="N26" i="328"/>
  <c r="G26" i="328"/>
  <c r="Q19" i="328"/>
  <c r="E26" i="329"/>
  <c r="E30" i="329" s="1"/>
  <c r="K26" i="329"/>
  <c r="O26" i="329"/>
  <c r="L26" i="329"/>
  <c r="N22" i="329"/>
  <c r="N23" i="329"/>
  <c r="F22" i="329"/>
  <c r="F23" i="329"/>
  <c r="E26" i="330"/>
  <c r="E30" i="330" s="1"/>
  <c r="I26" i="330"/>
  <c r="F26" i="330"/>
  <c r="Q19" i="330"/>
  <c r="J26" i="330"/>
  <c r="O26" i="330"/>
  <c r="L26" i="330"/>
  <c r="N26" i="330"/>
  <c r="E27" i="331"/>
  <c r="F27" i="331"/>
  <c r="P27" i="331"/>
  <c r="E22" i="331"/>
  <c r="E29" i="331" s="1"/>
  <c r="N27" i="331"/>
  <c r="G27" i="331"/>
  <c r="E26" i="332"/>
  <c r="E30" i="332" s="1"/>
  <c r="E23" i="332"/>
  <c r="K26" i="332"/>
  <c r="K28" i="333"/>
  <c r="F28" i="333"/>
  <c r="E28" i="333"/>
  <c r="J28" i="333"/>
  <c r="G27" i="291"/>
  <c r="E30" i="303"/>
  <c r="G23" i="346"/>
  <c r="K23" i="346"/>
  <c r="O23" i="346"/>
  <c r="G28" i="314"/>
  <c r="O23" i="312"/>
  <c r="K23" i="312"/>
  <c r="G23" i="316"/>
  <c r="F22" i="209"/>
  <c r="P23" i="210"/>
  <c r="P23" i="211"/>
  <c r="H23" i="214"/>
  <c r="G23" i="217"/>
  <c r="J22" i="221"/>
  <c r="I23" i="221"/>
  <c r="G23" i="236"/>
  <c r="Q19" i="248"/>
  <c r="J22" i="275"/>
  <c r="N22" i="278"/>
  <c r="F22" i="279"/>
  <c r="O23" i="287"/>
  <c r="O23" i="289"/>
  <c r="K23" i="289"/>
  <c r="M23" i="296"/>
  <c r="I23" i="296"/>
  <c r="J28" i="344"/>
  <c r="M28" i="344"/>
  <c r="J26" i="344"/>
  <c r="E22" i="345"/>
  <c r="E29" i="345" s="1"/>
  <c r="M28" i="348"/>
  <c r="J26" i="348"/>
  <c r="G27" i="349"/>
  <c r="E26" i="301"/>
  <c r="F26" i="301"/>
  <c r="E26" i="306"/>
  <c r="E22" i="306"/>
  <c r="E29" i="306" s="1"/>
  <c r="H146" i="34"/>
  <c r="J23" i="306"/>
  <c r="E26" i="307"/>
  <c r="F26" i="307"/>
  <c r="N23" i="308"/>
  <c r="N22" i="308"/>
  <c r="I23" i="308"/>
  <c r="I22" i="308"/>
  <c r="E22" i="322"/>
  <c r="E29" i="322" s="1"/>
  <c r="M23" i="322"/>
  <c r="M22" i="322"/>
  <c r="F27" i="323"/>
  <c r="E27" i="323"/>
  <c r="E27" i="324"/>
  <c r="E22" i="324"/>
  <c r="E29" i="324" s="1"/>
  <c r="L27" i="328"/>
  <c r="F27" i="328"/>
  <c r="G27" i="328"/>
  <c r="O27" i="328"/>
  <c r="Q20" i="328"/>
  <c r="P27" i="328"/>
  <c r="J27" i="328"/>
  <c r="O28" i="328"/>
  <c r="L28" i="328"/>
  <c r="M28" i="328"/>
  <c r="P28" i="328"/>
  <c r="F28" i="328"/>
  <c r="I23" i="328"/>
  <c r="P27" i="329"/>
  <c r="E22" i="329"/>
  <c r="F27" i="329"/>
  <c r="Q20" i="329"/>
  <c r="G27" i="329"/>
  <c r="O28" i="329"/>
  <c r="L28" i="329"/>
  <c r="H28" i="329"/>
  <c r="I28" i="329"/>
  <c r="I23" i="329"/>
  <c r="F27" i="330"/>
  <c r="H27" i="330"/>
  <c r="E22" i="330"/>
  <c r="E29" i="330" s="1"/>
  <c r="N27" i="330"/>
  <c r="G27" i="330"/>
  <c r="H28" i="330"/>
  <c r="I22" i="330"/>
  <c r="F28" i="331"/>
  <c r="E28" i="331"/>
  <c r="Q19" i="331"/>
  <c r="J26" i="331"/>
  <c r="L26" i="331"/>
  <c r="H22" i="331"/>
  <c r="N26" i="331"/>
  <c r="E27" i="332"/>
  <c r="F27" i="332"/>
  <c r="G27" i="332"/>
  <c r="E22" i="332"/>
  <c r="E29" i="332" s="1"/>
  <c r="J27" i="332"/>
  <c r="K27" i="332"/>
  <c r="K28" i="332"/>
  <c r="Q21" i="332"/>
  <c r="P28" i="332"/>
  <c r="I22" i="332"/>
  <c r="I23" i="332"/>
  <c r="G26" i="356"/>
  <c r="E22" i="356"/>
  <c r="E29" i="356" s="1"/>
  <c r="M23" i="211"/>
  <c r="H27" i="299"/>
  <c r="J26" i="299"/>
  <c r="F26" i="342"/>
  <c r="Q19" i="342"/>
  <c r="G26" i="344"/>
  <c r="L26" i="344"/>
  <c r="O26" i="347"/>
  <c r="P23" i="328"/>
  <c r="P23" i="332"/>
  <c r="J23" i="347"/>
  <c r="F23" i="349"/>
  <c r="E23" i="301"/>
  <c r="P27" i="302"/>
  <c r="H28" i="303"/>
  <c r="E23" i="304"/>
  <c r="P27" i="304"/>
  <c r="N27" i="307"/>
  <c r="G26" i="307"/>
  <c r="L28" i="309"/>
  <c r="H28" i="310"/>
  <c r="J23" i="322"/>
  <c r="N27" i="324"/>
  <c r="N23" i="324"/>
  <c r="O28" i="325"/>
  <c r="O23" i="344"/>
  <c r="O23" i="347"/>
  <c r="K23" i="347"/>
  <c r="O23" i="348"/>
  <c r="K23" i="349"/>
  <c r="I23" i="350"/>
  <c r="O23" i="221"/>
  <c r="M23" i="354"/>
  <c r="I23" i="354"/>
  <c r="F27" i="354"/>
  <c r="F164" i="206"/>
  <c r="G21" i="339" s="1"/>
  <c r="H22" i="220"/>
  <c r="I22" i="215"/>
  <c r="I22" i="347"/>
  <c r="L27" i="216"/>
  <c r="K22" i="212"/>
  <c r="K23" i="212"/>
  <c r="L27" i="298"/>
  <c r="M27" i="298"/>
  <c r="Q20" i="298"/>
  <c r="H27" i="298"/>
  <c r="G27" i="298"/>
  <c r="G23" i="300"/>
  <c r="P26" i="300"/>
  <c r="H26" i="300"/>
  <c r="N28" i="302"/>
  <c r="E28" i="302"/>
  <c r="E30" i="302" s="1"/>
  <c r="L26" i="305"/>
  <c r="K26" i="305"/>
  <c r="H23" i="308"/>
  <c r="I27" i="308"/>
  <c r="N27" i="308"/>
  <c r="H27" i="308"/>
  <c r="P27" i="308"/>
  <c r="L27" i="308"/>
  <c r="H22" i="308"/>
  <c r="H26" i="308"/>
  <c r="G26" i="308"/>
  <c r="J26" i="308"/>
  <c r="O26" i="308"/>
  <c r="Q19" i="308"/>
  <c r="J28" i="322"/>
  <c r="I28" i="322"/>
  <c r="M28" i="322"/>
  <c r="G27" i="322"/>
  <c r="L27" i="322"/>
  <c r="K28" i="323"/>
  <c r="Q21" i="323"/>
  <c r="I28" i="323"/>
  <c r="L28" i="323"/>
  <c r="F22" i="323"/>
  <c r="Q19" i="323"/>
  <c r="F26" i="323"/>
  <c r="G26" i="323"/>
  <c r="O22" i="324"/>
  <c r="O23" i="324"/>
  <c r="G170" i="34"/>
  <c r="J23" i="324"/>
  <c r="O22" i="325"/>
  <c r="O23" i="325"/>
  <c r="G22" i="325"/>
  <c r="I27" i="325"/>
  <c r="K27" i="325"/>
  <c r="L27" i="325"/>
  <c r="H27" i="325"/>
  <c r="P26" i="325"/>
  <c r="F26" i="325"/>
  <c r="G26" i="325"/>
  <c r="Q19" i="325"/>
  <c r="M26" i="325"/>
  <c r="J26" i="325"/>
  <c r="K26" i="325"/>
  <c r="N26" i="325"/>
  <c r="O26" i="325"/>
  <c r="F23" i="325"/>
  <c r="H26" i="325"/>
  <c r="L26" i="325"/>
  <c r="H27" i="326"/>
  <c r="K27" i="326"/>
  <c r="L27" i="326"/>
  <c r="O27" i="326"/>
  <c r="J27" i="326"/>
  <c r="Q20" i="326"/>
  <c r="P27" i="326"/>
  <c r="I27" i="326"/>
  <c r="G27" i="326"/>
  <c r="M27" i="326"/>
  <c r="H27" i="254"/>
  <c r="H22" i="254"/>
  <c r="Q20" i="254"/>
  <c r="G27" i="249"/>
  <c r="G30" i="249" s="1"/>
  <c r="G22" i="249"/>
  <c r="Q20" i="249"/>
  <c r="G23" i="249"/>
  <c r="H27" i="253"/>
  <c r="Q20" i="253"/>
  <c r="F22" i="221"/>
  <c r="F23" i="221"/>
  <c r="I27" i="221"/>
  <c r="F27" i="221"/>
  <c r="G27" i="221"/>
  <c r="J27" i="221"/>
  <c r="K27" i="221"/>
  <c r="H27" i="221"/>
  <c r="N27" i="221"/>
  <c r="I27" i="222"/>
  <c r="M27" i="222"/>
  <c r="I22" i="222"/>
  <c r="O27" i="222"/>
  <c r="Q20" i="222"/>
  <c r="L27" i="222"/>
  <c r="J27" i="222"/>
  <c r="K27" i="222"/>
  <c r="I145" i="206"/>
  <c r="J22" i="309"/>
  <c r="H128" i="206"/>
  <c r="H22" i="349"/>
  <c r="H23" i="349"/>
  <c r="L27" i="218"/>
  <c r="G16" i="206"/>
  <c r="H22" i="228"/>
  <c r="H23" i="228"/>
  <c r="M27" i="228"/>
  <c r="H27" i="228"/>
  <c r="O27" i="228"/>
  <c r="P27" i="228"/>
  <c r="K27" i="228"/>
  <c r="Q20" i="228"/>
  <c r="I27" i="210"/>
  <c r="Q20" i="210"/>
  <c r="M27" i="210"/>
  <c r="J27" i="210"/>
  <c r="I23" i="223"/>
  <c r="K27" i="223"/>
  <c r="L27" i="223"/>
  <c r="P27" i="223"/>
  <c r="I22" i="223"/>
  <c r="J27" i="223"/>
  <c r="O27" i="223"/>
  <c r="H30" i="206"/>
  <c r="I22" i="232" s="1"/>
  <c r="I23" i="231"/>
  <c r="H11" i="34"/>
  <c r="O27" i="217"/>
  <c r="J27" i="217"/>
  <c r="H7" i="34"/>
  <c r="J23" i="209"/>
  <c r="H33" i="34"/>
  <c r="J27" i="227"/>
  <c r="J22" i="227"/>
  <c r="O27" i="227"/>
  <c r="N27" i="227"/>
  <c r="K27" i="227"/>
  <c r="Q20" i="227"/>
  <c r="L27" i="227"/>
  <c r="N27" i="211"/>
  <c r="N27" i="216"/>
  <c r="L27" i="217"/>
  <c r="J26" i="218"/>
  <c r="P27" i="222"/>
  <c r="M27" i="227"/>
  <c r="P27" i="227"/>
  <c r="J27" i="228"/>
  <c r="J22" i="346"/>
  <c r="G206" i="34"/>
  <c r="H27" i="346"/>
  <c r="O27" i="346"/>
  <c r="I27" i="346"/>
  <c r="E22" i="346"/>
  <c r="E29" i="346" s="1"/>
  <c r="N27" i="346"/>
  <c r="Q20" i="346"/>
  <c r="I23" i="319"/>
  <c r="I22" i="319"/>
  <c r="G28" i="316"/>
  <c r="N22" i="318"/>
  <c r="N23" i="318"/>
  <c r="O23" i="314"/>
  <c r="O22" i="314"/>
  <c r="K22" i="314"/>
  <c r="K23" i="314"/>
  <c r="P22" i="311"/>
  <c r="P23" i="311"/>
  <c r="G22" i="310"/>
  <c r="M28" i="123"/>
  <c r="H28" i="123"/>
  <c r="J28" i="123"/>
  <c r="I28" i="123"/>
  <c r="P28" i="123"/>
  <c r="O28" i="123"/>
  <c r="Q19" i="123"/>
  <c r="K26" i="123"/>
  <c r="N26" i="123"/>
  <c r="P26" i="123"/>
  <c r="G26" i="123"/>
  <c r="J26" i="123"/>
  <c r="M26" i="123"/>
  <c r="L26" i="123"/>
  <c r="E26" i="209"/>
  <c r="I26" i="209"/>
  <c r="E22" i="209"/>
  <c r="O26" i="209"/>
  <c r="L26" i="209"/>
  <c r="F26" i="209"/>
  <c r="N27" i="326"/>
  <c r="P26" i="214"/>
  <c r="Q19" i="214"/>
  <c r="I23" i="217"/>
  <c r="I26" i="217"/>
  <c r="I22" i="217"/>
  <c r="O28" i="220"/>
  <c r="K28" i="220"/>
  <c r="L28" i="220"/>
  <c r="M28" i="220"/>
  <c r="J28" i="220"/>
  <c r="Q21" i="220"/>
  <c r="P28" i="220"/>
  <c r="N28" i="220"/>
  <c r="G22" i="220"/>
  <c r="I26" i="220"/>
  <c r="G26" i="220"/>
  <c r="L26" i="220"/>
  <c r="P26" i="220"/>
  <c r="N26" i="220"/>
  <c r="M26" i="220"/>
  <c r="K26" i="220"/>
  <c r="Q19" i="220"/>
  <c r="O26" i="220"/>
  <c r="K28" i="221"/>
  <c r="I28" i="221"/>
  <c r="N28" i="221"/>
  <c r="Q21" i="221"/>
  <c r="H28" i="221"/>
  <c r="M28" i="221"/>
  <c r="G28" i="221"/>
  <c r="L28" i="221"/>
  <c r="H27" i="211"/>
  <c r="M27" i="211"/>
  <c r="F27" i="211"/>
  <c r="O27" i="211"/>
  <c r="L27" i="211"/>
  <c r="E22" i="211"/>
  <c r="E29" i="211" s="1"/>
  <c r="J27" i="211"/>
  <c r="G27" i="211"/>
  <c r="G22" i="212"/>
  <c r="L27" i="212"/>
  <c r="J27" i="212"/>
  <c r="G27" i="212"/>
  <c r="G23" i="212"/>
  <c r="P27" i="212"/>
  <c r="H27" i="212"/>
  <c r="N27" i="212"/>
  <c r="K27" i="212"/>
  <c r="J27" i="220"/>
  <c r="I27" i="220"/>
  <c r="N27" i="220"/>
  <c r="N30" i="220" s="1"/>
  <c r="G27" i="220"/>
  <c r="G30" i="220" s="1"/>
  <c r="Q20" i="220"/>
  <c r="H27" i="220"/>
  <c r="M27" i="220"/>
  <c r="K27" i="220"/>
  <c r="L26" i="301"/>
  <c r="G26" i="301"/>
  <c r="G26" i="302"/>
  <c r="J26" i="302"/>
  <c r="G26" i="304"/>
  <c r="Q19" i="304"/>
  <c r="E28" i="305"/>
  <c r="E30" i="305" s="1"/>
  <c r="E23" i="305"/>
  <c r="N28" i="309"/>
  <c r="H28" i="309"/>
  <c r="J28" i="309"/>
  <c r="G26" i="322"/>
  <c r="I26" i="322"/>
  <c r="G22" i="323"/>
  <c r="H27" i="323"/>
  <c r="K27" i="323"/>
  <c r="I27" i="323"/>
  <c r="G169" i="34"/>
  <c r="Q169" i="34" s="1"/>
  <c r="J23" i="323"/>
  <c r="O28" i="324"/>
  <c r="L28" i="324"/>
  <c r="I28" i="324"/>
  <c r="M28" i="324"/>
  <c r="K23" i="324"/>
  <c r="K22" i="324"/>
  <c r="G27" i="324"/>
  <c r="P27" i="324"/>
  <c r="J27" i="324"/>
  <c r="K27" i="324"/>
  <c r="G26" i="324"/>
  <c r="F23" i="324"/>
  <c r="F26" i="324"/>
  <c r="K26" i="324"/>
  <c r="J26" i="324"/>
  <c r="P26" i="324"/>
  <c r="N26" i="324"/>
  <c r="Q19" i="324"/>
  <c r="Q21" i="325"/>
  <c r="P28" i="325"/>
  <c r="I28" i="325"/>
  <c r="N28" i="325"/>
  <c r="H28" i="326"/>
  <c r="I28" i="326"/>
  <c r="J28" i="326"/>
  <c r="Q21" i="326"/>
  <c r="K27" i="210"/>
  <c r="N27" i="210"/>
  <c r="Q20" i="211"/>
  <c r="K27" i="217"/>
  <c r="L26" i="218"/>
  <c r="H28" i="220"/>
  <c r="L27" i="220"/>
  <c r="N27" i="222"/>
  <c r="K23" i="214"/>
  <c r="H22" i="253"/>
  <c r="O23" i="212"/>
  <c r="O28" i="310"/>
  <c r="E26" i="219"/>
  <c r="N26" i="219"/>
  <c r="O26" i="219"/>
  <c r="E23" i="219"/>
  <c r="G22" i="228"/>
  <c r="G23" i="228"/>
  <c r="O26" i="228"/>
  <c r="O28" i="230"/>
  <c r="I28" i="230"/>
  <c r="J28" i="230"/>
  <c r="Q21" i="230"/>
  <c r="L28" i="230"/>
  <c r="J22" i="230"/>
  <c r="G29" i="34"/>
  <c r="J23" i="230"/>
  <c r="N26" i="233"/>
  <c r="N23" i="233"/>
  <c r="J23" i="233"/>
  <c r="J26" i="233"/>
  <c r="G39" i="34"/>
  <c r="F23" i="233"/>
  <c r="F22" i="233"/>
  <c r="K23" i="236"/>
  <c r="K26" i="236"/>
  <c r="N26" i="237"/>
  <c r="N23" i="237"/>
  <c r="F22" i="237"/>
  <c r="F23" i="237"/>
  <c r="F28" i="238"/>
  <c r="Q21" i="238"/>
  <c r="I26" i="241"/>
  <c r="I30" i="241" s="1"/>
  <c r="I22" i="241"/>
  <c r="I23" i="241"/>
  <c r="Q19" i="241"/>
  <c r="N28" i="293"/>
  <c r="L28" i="293"/>
  <c r="J28" i="293"/>
  <c r="O28" i="293"/>
  <c r="H28" i="293"/>
  <c r="L26" i="293"/>
  <c r="G26" i="293"/>
  <c r="O26" i="293"/>
  <c r="H26" i="293"/>
  <c r="N26" i="293"/>
  <c r="K28" i="294"/>
  <c r="E28" i="294"/>
  <c r="J28" i="294"/>
  <c r="P28" i="294"/>
  <c r="I28" i="294"/>
  <c r="M28" i="294"/>
  <c r="F28" i="294"/>
  <c r="N28" i="294"/>
  <c r="L26" i="294"/>
  <c r="P26" i="294"/>
  <c r="I23" i="294"/>
  <c r="I22" i="294"/>
  <c r="N28" i="323"/>
  <c r="E26" i="218"/>
  <c r="I26" i="218"/>
  <c r="N26" i="218"/>
  <c r="E22" i="218"/>
  <c r="E28" i="306"/>
  <c r="E23" i="306"/>
  <c r="E23" i="307"/>
  <c r="J28" i="307"/>
  <c r="E28" i="307"/>
  <c r="O22" i="322"/>
  <c r="O23" i="322"/>
  <c r="J22" i="216"/>
  <c r="J23" i="216"/>
  <c r="J27" i="216"/>
  <c r="Q20" i="216"/>
  <c r="K27" i="216"/>
  <c r="H20" i="34"/>
  <c r="O27" i="212"/>
  <c r="I128" i="206"/>
  <c r="M22" i="211"/>
  <c r="M27" i="216"/>
  <c r="N27" i="217"/>
  <c r="F23" i="218"/>
  <c r="H26" i="220"/>
  <c r="J28" i="221"/>
  <c r="P27" i="221"/>
  <c r="M27" i="223"/>
  <c r="H23" i="220"/>
  <c r="J27" i="298"/>
  <c r="I27" i="298"/>
  <c r="E23" i="302"/>
  <c r="L27" i="323"/>
  <c r="G27" i="256"/>
  <c r="G22" i="256"/>
  <c r="O27" i="256"/>
  <c r="J26" i="280"/>
  <c r="J23" i="280"/>
  <c r="G102" i="34"/>
  <c r="Q102" i="34" s="1"/>
  <c r="H23" i="312"/>
  <c r="M26" i="267"/>
  <c r="M23" i="267"/>
  <c r="J26" i="267"/>
  <c r="J23" i="267"/>
  <c r="J22" i="267"/>
  <c r="G83" i="34"/>
  <c r="Q83" i="34" s="1"/>
  <c r="F26" i="267"/>
  <c r="F22" i="267"/>
  <c r="N26" i="270"/>
  <c r="N23" i="270"/>
  <c r="J22" i="270"/>
  <c r="G92" i="34"/>
  <c r="Q92" i="34" s="1"/>
  <c r="P26" i="272"/>
  <c r="P30" i="272" s="1"/>
  <c r="P23" i="272"/>
  <c r="H26" i="272"/>
  <c r="H23" i="272"/>
  <c r="H22" i="272"/>
  <c r="G26" i="276"/>
  <c r="G23" i="276"/>
  <c r="G23" i="287"/>
  <c r="G22" i="287"/>
  <c r="F28" i="288"/>
  <c r="G28" i="288"/>
  <c r="P26" i="288"/>
  <c r="F28" i="290"/>
  <c r="Q21" i="290"/>
  <c r="L28" i="290"/>
  <c r="E28" i="290"/>
  <c r="P28" i="290"/>
  <c r="H23" i="290"/>
  <c r="M26" i="290"/>
  <c r="O26" i="290"/>
  <c r="H22" i="290"/>
  <c r="Q19" i="290"/>
  <c r="H28" i="291"/>
  <c r="L28" i="291"/>
  <c r="H28" i="292"/>
  <c r="E28" i="292"/>
  <c r="E30" i="292" s="1"/>
  <c r="I23" i="292"/>
  <c r="N26" i="292"/>
  <c r="K26" i="292"/>
  <c r="M26" i="292"/>
  <c r="P26" i="292"/>
  <c r="I22" i="292"/>
  <c r="O26" i="292"/>
  <c r="J23" i="327"/>
  <c r="P27" i="256"/>
  <c r="I26" i="268"/>
  <c r="I23" i="268"/>
  <c r="G23" i="268"/>
  <c r="K27" i="268"/>
  <c r="K22" i="268"/>
  <c r="I23" i="239"/>
  <c r="I26" i="239"/>
  <c r="I30" i="239" s="1"/>
  <c r="G26" i="253"/>
  <c r="G30" i="253" s="1"/>
  <c r="G23" i="253"/>
  <c r="J26" i="255"/>
  <c r="G68" i="34"/>
  <c r="Q68" i="34" s="1"/>
  <c r="G26" i="255"/>
  <c r="G23" i="255"/>
  <c r="P26" i="259"/>
  <c r="P23" i="259"/>
  <c r="O26" i="260"/>
  <c r="O23" i="260"/>
  <c r="K23" i="260"/>
  <c r="K26" i="260"/>
  <c r="G26" i="260"/>
  <c r="G23" i="260"/>
  <c r="O26" i="261"/>
  <c r="O23" i="261"/>
  <c r="M23" i="264"/>
  <c r="M26" i="264"/>
  <c r="I26" i="264"/>
  <c r="I23" i="264"/>
  <c r="F26" i="264"/>
  <c r="F30" i="264" s="1"/>
  <c r="F22" i="264"/>
  <c r="M28" i="296"/>
  <c r="H28" i="296"/>
  <c r="Q21" i="297"/>
  <c r="J28" i="297"/>
  <c r="G26" i="298"/>
  <c r="Q19" i="298"/>
  <c r="F26" i="298"/>
  <c r="L26" i="298"/>
  <c r="N28" i="298"/>
  <c r="P28" i="298"/>
  <c r="J23" i="298"/>
  <c r="G132" i="34"/>
  <c r="K27" i="234"/>
  <c r="K30" i="234" s="1"/>
  <c r="K22" i="234"/>
  <c r="O27" i="235"/>
  <c r="O22" i="235"/>
  <c r="K27" i="235"/>
  <c r="K30" i="235" s="1"/>
  <c r="K22" i="235"/>
  <c r="O27" i="236"/>
  <c r="O30" i="236" s="1"/>
  <c r="O22" i="236"/>
  <c r="L27" i="237"/>
  <c r="L30" i="237" s="1"/>
  <c r="L23" i="237"/>
  <c r="O27" i="239"/>
  <c r="O30" i="239" s="1"/>
  <c r="O23" i="239"/>
  <c r="O22" i="239"/>
  <c r="K27" i="240"/>
  <c r="K30" i="240" s="1"/>
  <c r="K23" i="240"/>
  <c r="O27" i="241"/>
  <c r="O22" i="241"/>
  <c r="K27" i="241"/>
  <c r="K22" i="241"/>
  <c r="O27" i="242"/>
  <c r="O22" i="242"/>
  <c r="N27" i="247"/>
  <c r="N30" i="247" s="1"/>
  <c r="N23" i="247"/>
  <c r="P27" i="248"/>
  <c r="P30" i="248" s="1"/>
  <c r="P22" i="248"/>
  <c r="L27" i="248"/>
  <c r="L30" i="248" s="1"/>
  <c r="L22" i="248"/>
  <c r="P27" i="249"/>
  <c r="P30" i="249" s="1"/>
  <c r="P23" i="249"/>
  <c r="L27" i="249"/>
  <c r="L30" i="249" s="1"/>
  <c r="L23" i="249"/>
  <c r="M23" i="219"/>
  <c r="G49" i="34"/>
  <c r="J23" i="243"/>
  <c r="J26" i="243"/>
  <c r="K23" i="249"/>
  <c r="K26" i="249"/>
  <c r="K30" i="249" s="1"/>
  <c r="M23" i="251"/>
  <c r="M26" i="251"/>
  <c r="M30" i="251" s="1"/>
  <c r="E23" i="295"/>
  <c r="E28" i="295"/>
  <c r="N26" i="295"/>
  <c r="K26" i="295"/>
  <c r="I22" i="295"/>
  <c r="O26" i="295"/>
  <c r="J28" i="310"/>
  <c r="I23" i="215"/>
  <c r="J26" i="221"/>
  <c r="H23" i="224"/>
  <c r="I26" i="226"/>
  <c r="O28" i="231"/>
  <c r="K23" i="242"/>
  <c r="Q21" i="347"/>
  <c r="L28" i="347"/>
  <c r="K28" i="347"/>
  <c r="E28" i="347"/>
  <c r="P28" i="347"/>
  <c r="F28" i="347"/>
  <c r="J27" i="261"/>
  <c r="H77" i="34"/>
  <c r="J27" i="266"/>
  <c r="H78" i="34"/>
  <c r="J27" i="271"/>
  <c r="H93" i="34"/>
  <c r="M87" i="206"/>
  <c r="K30" i="242"/>
  <c r="N28" i="310"/>
  <c r="I26" i="219"/>
  <c r="N23" i="219"/>
  <c r="N23" i="225"/>
  <c r="J23" i="244"/>
  <c r="M23" i="309"/>
  <c r="F22" i="303"/>
  <c r="G23" i="327"/>
  <c r="O26" i="340"/>
  <c r="F27" i="319"/>
  <c r="F26" i="123"/>
  <c r="J22" i="209"/>
  <c r="O23" i="214"/>
  <c r="O23" i="218"/>
  <c r="J23" i="227"/>
  <c r="K23" i="235"/>
  <c r="P23" i="237"/>
  <c r="O23" i="240"/>
  <c r="I23" i="246"/>
  <c r="N23" i="290"/>
  <c r="F22" i="290"/>
  <c r="K23" i="294"/>
  <c r="K23" i="295"/>
  <c r="J28" i="347"/>
  <c r="K28" i="342"/>
  <c r="J28" i="342"/>
  <c r="L28" i="342"/>
  <c r="N26" i="342"/>
  <c r="K26" i="342"/>
  <c r="K28" i="343"/>
  <c r="P28" i="343"/>
  <c r="F27" i="343"/>
  <c r="P27" i="343"/>
  <c r="L27" i="343"/>
  <c r="Q20" i="343"/>
  <c r="N28" i="344"/>
  <c r="Q21" i="344"/>
  <c r="N22" i="344"/>
  <c r="N23" i="344"/>
  <c r="J22" i="344"/>
  <c r="J23" i="344"/>
  <c r="F23" i="344"/>
  <c r="P27" i="344"/>
  <c r="I27" i="344"/>
  <c r="N27" i="344"/>
  <c r="K27" i="344"/>
  <c r="M27" i="344"/>
  <c r="I23" i="344"/>
  <c r="K26" i="344"/>
  <c r="Q19" i="344"/>
  <c r="P26" i="344"/>
  <c r="I26" i="344"/>
  <c r="I22" i="344"/>
  <c r="O26" i="344"/>
  <c r="N28" i="345"/>
  <c r="K28" i="345"/>
  <c r="M28" i="345"/>
  <c r="O28" i="345"/>
  <c r="Q21" i="345"/>
  <c r="H28" i="345"/>
  <c r="L28" i="345"/>
  <c r="F22" i="345"/>
  <c r="J27" i="345"/>
  <c r="K27" i="345"/>
  <c r="N27" i="345"/>
  <c r="K28" i="346"/>
  <c r="H28" i="346"/>
  <c r="I28" i="346"/>
  <c r="I26" i="347"/>
  <c r="L26" i="347"/>
  <c r="M26" i="347"/>
  <c r="E26" i="348"/>
  <c r="N26" i="348"/>
  <c r="E22" i="348"/>
  <c r="E29" i="348" s="1"/>
  <c r="K26" i="348"/>
  <c r="F26" i="348"/>
  <c r="O26" i="348"/>
  <c r="L26" i="348"/>
  <c r="P28" i="348"/>
  <c r="H210" i="34"/>
  <c r="J22" i="348"/>
  <c r="F23" i="348"/>
  <c r="P27" i="348"/>
  <c r="M27" i="348"/>
  <c r="J27" i="348"/>
  <c r="N27" i="348"/>
  <c r="G27" i="348"/>
  <c r="I23" i="348"/>
  <c r="I22" i="348"/>
  <c r="N26" i="349"/>
  <c r="E22" i="349"/>
  <c r="E29" i="349" s="1"/>
  <c r="K26" i="349"/>
  <c r="L26" i="349"/>
  <c r="E23" i="349"/>
  <c r="H26" i="349"/>
  <c r="H28" i="349"/>
  <c r="F28" i="349"/>
  <c r="Q21" i="349"/>
  <c r="L28" i="349"/>
  <c r="M23" i="349"/>
  <c r="M22" i="349"/>
  <c r="Q21" i="350"/>
  <c r="J28" i="350"/>
  <c r="E23" i="350"/>
  <c r="I27" i="350"/>
  <c r="N27" i="350"/>
  <c r="E28" i="351"/>
  <c r="E23" i="351"/>
  <c r="P23" i="351"/>
  <c r="P22" i="351"/>
  <c r="H22" i="351"/>
  <c r="M27" i="351"/>
  <c r="M26" i="351"/>
  <c r="L26" i="351"/>
  <c r="G22" i="346"/>
  <c r="N26" i="327"/>
  <c r="M28" i="310"/>
  <c r="J146" i="206"/>
  <c r="L23" i="317"/>
  <c r="H22" i="317"/>
  <c r="G23" i="313"/>
  <c r="G28" i="123"/>
  <c r="O23" i="215"/>
  <c r="K23" i="215"/>
  <c r="K23" i="218"/>
  <c r="M23" i="222"/>
  <c r="I23" i="222"/>
  <c r="Q21" i="329"/>
  <c r="M28" i="329"/>
  <c r="F28" i="329"/>
  <c r="N28" i="329"/>
  <c r="O27" i="329"/>
  <c r="M27" i="329"/>
  <c r="H27" i="329"/>
  <c r="I26" i="329"/>
  <c r="H26" i="329"/>
  <c r="J26" i="329"/>
  <c r="K28" i="330"/>
  <c r="P28" i="330"/>
  <c r="M28" i="330"/>
  <c r="E23" i="330"/>
  <c r="G28" i="330"/>
  <c r="Q21" i="330"/>
  <c r="F28" i="330"/>
  <c r="K27" i="330"/>
  <c r="I27" i="330"/>
  <c r="J27" i="330"/>
  <c r="Q20" i="330"/>
  <c r="G26" i="330"/>
  <c r="H26" i="330"/>
  <c r="K28" i="331"/>
  <c r="L28" i="331"/>
  <c r="I28" i="331"/>
  <c r="Q21" i="331"/>
  <c r="P28" i="331"/>
  <c r="M28" i="331"/>
  <c r="K27" i="331"/>
  <c r="H27" i="331"/>
  <c r="I27" i="331"/>
  <c r="J27" i="331"/>
  <c r="I26" i="331"/>
  <c r="G26" i="331"/>
  <c r="H26" i="331"/>
  <c r="N28" i="332"/>
  <c r="H28" i="332"/>
  <c r="I28" i="332"/>
  <c r="F28" i="332"/>
  <c r="L28" i="332"/>
  <c r="M28" i="332"/>
  <c r="J28" i="332"/>
  <c r="H22" i="332"/>
  <c r="H27" i="332"/>
  <c r="I26" i="332"/>
  <c r="J26" i="332"/>
  <c r="O26" i="332"/>
  <c r="H26" i="332"/>
  <c r="P26" i="332"/>
  <c r="N26" i="332"/>
  <c r="L26" i="332"/>
  <c r="N28" i="333"/>
  <c r="H28" i="333"/>
  <c r="I28" i="333"/>
  <c r="O28" i="333"/>
  <c r="L28" i="333"/>
  <c r="M28" i="333"/>
  <c r="H28" i="340"/>
  <c r="J22" i="329"/>
  <c r="H177" i="34"/>
  <c r="P27" i="349"/>
  <c r="K19" i="352"/>
  <c r="K23" i="352" s="1"/>
  <c r="J207" i="205"/>
  <c r="K19" i="353" s="1"/>
  <c r="K23" i="353" s="1"/>
  <c r="D161" i="206"/>
  <c r="E21" i="340" s="1"/>
  <c r="E28" i="340" s="1"/>
  <c r="E30" i="340" s="1"/>
  <c r="K27" i="347"/>
  <c r="H136" i="34"/>
  <c r="J23" i="302"/>
  <c r="I23" i="326"/>
  <c r="G28" i="342"/>
  <c r="L26" i="342"/>
  <c r="E28" i="348"/>
  <c r="E23" i="348"/>
  <c r="I26" i="350"/>
  <c r="E26" i="350"/>
  <c r="E22" i="350"/>
  <c r="E29" i="350" s="1"/>
  <c r="L26" i="350"/>
  <c r="N22" i="350"/>
  <c r="N23" i="350"/>
  <c r="O27" i="350"/>
  <c r="M27" i="350"/>
  <c r="Q20" i="350"/>
  <c r="J27" i="350"/>
  <c r="E26" i="351"/>
  <c r="G26" i="351"/>
  <c r="H26" i="351"/>
  <c r="E22" i="351"/>
  <c r="Q20" i="351"/>
  <c r="J27" i="277"/>
  <c r="H104" i="34"/>
  <c r="J27" i="279"/>
  <c r="H101" i="34"/>
  <c r="F22" i="352"/>
  <c r="F23" i="352"/>
  <c r="K22" i="356"/>
  <c r="K23" i="356"/>
  <c r="G22" i="356"/>
  <c r="G27" i="356"/>
  <c r="F28" i="357"/>
  <c r="H23" i="300"/>
  <c r="I22" i="302"/>
  <c r="I23" i="306"/>
  <c r="K23" i="322"/>
  <c r="H26" i="322"/>
  <c r="M23" i="328"/>
  <c r="M23" i="330"/>
  <c r="I23" i="330"/>
  <c r="M23" i="332"/>
  <c r="N28" i="349"/>
  <c r="L27" i="349"/>
  <c r="I23" i="349"/>
  <c r="K23" i="350"/>
  <c r="G22" i="350"/>
  <c r="G26" i="350"/>
  <c r="N23" i="351"/>
  <c r="J23" i="351"/>
  <c r="P23" i="355"/>
  <c r="N23" i="299"/>
  <c r="K23" i="304"/>
  <c r="F22" i="324"/>
  <c r="N23" i="325"/>
  <c r="G23" i="330"/>
  <c r="K23" i="332"/>
  <c r="N23" i="332"/>
  <c r="L23" i="350"/>
  <c r="I23" i="351"/>
  <c r="I28" i="352"/>
  <c r="I23" i="355"/>
  <c r="H26" i="356"/>
  <c r="M23" i="357"/>
  <c r="I23" i="357"/>
  <c r="H23" i="352"/>
  <c r="G30" i="280"/>
  <c r="E26" i="232"/>
  <c r="F26" i="232"/>
  <c r="H26" i="232"/>
  <c r="K28" i="232"/>
  <c r="H28" i="232"/>
  <c r="E28" i="232"/>
  <c r="F27" i="250"/>
  <c r="E26" i="278"/>
  <c r="E22" i="278"/>
  <c r="E29" i="278" s="1"/>
  <c r="E23" i="278"/>
  <c r="O23" i="238"/>
  <c r="I27" i="327"/>
  <c r="P26" i="340"/>
  <c r="L26" i="219"/>
  <c r="Q21" i="264"/>
  <c r="J26" i="225"/>
  <c r="H26" i="225"/>
  <c r="J26" i="268"/>
  <c r="G85" i="34"/>
  <c r="P26" i="280"/>
  <c r="P30" i="280" s="1"/>
  <c r="P23" i="280"/>
  <c r="E23" i="309"/>
  <c r="E26" i="309"/>
  <c r="E30" i="309" s="1"/>
  <c r="G22" i="340"/>
  <c r="L27" i="327"/>
  <c r="I23" i="238"/>
  <c r="N22" i="219"/>
  <c r="I28" i="232"/>
  <c r="P26" i="225"/>
  <c r="I26" i="340"/>
  <c r="H26" i="340"/>
  <c r="J26" i="340"/>
  <c r="G22" i="238"/>
  <c r="K22" i="274"/>
  <c r="L26" i="327"/>
  <c r="G26" i="327"/>
  <c r="J22" i="327"/>
  <c r="Q19" i="238"/>
  <c r="H175" i="34"/>
  <c r="E23" i="238"/>
  <c r="N26" i="340"/>
  <c r="G26" i="219"/>
  <c r="F26" i="219"/>
  <c r="M26" i="219"/>
  <c r="K26" i="225"/>
  <c r="F28" i="232"/>
  <c r="O26" i="232"/>
  <c r="N26" i="232"/>
  <c r="Q21" i="232"/>
  <c r="F23" i="244"/>
  <c r="Q19" i="268"/>
  <c r="O23" i="313"/>
  <c r="F22" i="244"/>
  <c r="G96" i="34"/>
  <c r="L23" i="263"/>
  <c r="J27" i="327"/>
  <c r="P22" i="333"/>
  <c r="H22" i="244"/>
  <c r="H23" i="250"/>
  <c r="L27" i="250"/>
  <c r="L30" i="250" s="1"/>
  <c r="L22" i="250"/>
  <c r="L23" i="250"/>
  <c r="K27" i="256"/>
  <c r="K22" i="256"/>
  <c r="J23" i="268"/>
  <c r="N27" i="268"/>
  <c r="N22" i="268"/>
  <c r="J23" i="318"/>
  <c r="I23" i="295"/>
  <c r="Q19" i="295"/>
  <c r="L28" i="296"/>
  <c r="K23" i="296"/>
  <c r="P26" i="296"/>
  <c r="M125" i="34" s="1"/>
  <c r="N28" i="297"/>
  <c r="K28" i="297"/>
  <c r="E26" i="298"/>
  <c r="E23" i="298"/>
  <c r="E22" i="298"/>
  <c r="K26" i="298"/>
  <c r="Q21" i="298"/>
  <c r="J28" i="298"/>
  <c r="M28" i="298"/>
  <c r="I27" i="251"/>
  <c r="I30" i="251" s="1"/>
  <c r="I22" i="251"/>
  <c r="J27" i="244"/>
  <c r="H51" i="34"/>
  <c r="I27" i="280"/>
  <c r="I30" i="280" s="1"/>
  <c r="I23" i="280"/>
  <c r="I26" i="263"/>
  <c r="I30" i="263" s="1"/>
  <c r="I23" i="263"/>
  <c r="F26" i="265"/>
  <c r="F30" i="265" s="1"/>
  <c r="F22" i="265"/>
  <c r="L22" i="238"/>
  <c r="Q19" i="340"/>
  <c r="K26" i="219"/>
  <c r="J26" i="219"/>
  <c r="J28" i="232"/>
  <c r="O28" i="232"/>
  <c r="F23" i="265"/>
  <c r="I26" i="261"/>
  <c r="Q19" i="261"/>
  <c r="N27" i="327"/>
  <c r="M22" i="238"/>
  <c r="H26" i="327"/>
  <c r="K26" i="327"/>
  <c r="K26" i="340"/>
  <c r="Q19" i="219"/>
  <c r="Q19" i="225"/>
  <c r="G26" i="225"/>
  <c r="M26" i="225"/>
  <c r="E23" i="232"/>
  <c r="G26" i="232"/>
  <c r="P28" i="232"/>
  <c r="J26" i="232"/>
  <c r="M26" i="232"/>
  <c r="Q20" i="244"/>
  <c r="F23" i="250"/>
  <c r="I22" i="263"/>
  <c r="N23" i="278"/>
  <c r="I22" i="280"/>
  <c r="G22" i="313"/>
  <c r="L22" i="333"/>
  <c r="G28" i="222"/>
  <c r="L28" i="222"/>
  <c r="M28" i="222"/>
  <c r="J28" i="222"/>
  <c r="G23" i="222"/>
  <c r="L26" i="222"/>
  <c r="E26" i="224"/>
  <c r="E30" i="224" s="1"/>
  <c r="O26" i="224"/>
  <c r="Q19" i="224"/>
  <c r="O28" i="224"/>
  <c r="F28" i="224"/>
  <c r="H28" i="226"/>
  <c r="M28" i="226"/>
  <c r="J28" i="226"/>
  <c r="G23" i="227"/>
  <c r="K26" i="227"/>
  <c r="N26" i="228"/>
  <c r="G26" i="228"/>
  <c r="H26" i="228"/>
  <c r="K28" i="228"/>
  <c r="E26" i="230"/>
  <c r="F26" i="230"/>
  <c r="G28" i="230"/>
  <c r="H28" i="230"/>
  <c r="M28" i="230"/>
  <c r="F28" i="230"/>
  <c r="E28" i="234"/>
  <c r="E30" i="234" s="1"/>
  <c r="E23" i="234"/>
  <c r="H26" i="235"/>
  <c r="H30" i="235" s="1"/>
  <c r="H23" i="235"/>
  <c r="E26" i="236"/>
  <c r="E22" i="236"/>
  <c r="M26" i="237"/>
  <c r="M23" i="237"/>
  <c r="L26" i="252"/>
  <c r="L23" i="252"/>
  <c r="P26" i="254"/>
  <c r="P23" i="254"/>
  <c r="H26" i="254"/>
  <c r="Q19" i="254"/>
  <c r="H23" i="254"/>
  <c r="H28" i="257"/>
  <c r="Q21" i="257"/>
  <c r="H23" i="294"/>
  <c r="H22" i="294"/>
  <c r="J26" i="294"/>
  <c r="M26" i="294"/>
  <c r="N28" i="295"/>
  <c r="Q21" i="295"/>
  <c r="M28" i="295"/>
  <c r="K28" i="295"/>
  <c r="J27" i="252"/>
  <c r="G27" i="277"/>
  <c r="G30" i="277" s="1"/>
  <c r="G23" i="277"/>
  <c r="K27" i="278"/>
  <c r="K30" i="278" s="1"/>
  <c r="K22" i="278"/>
  <c r="K27" i="279"/>
  <c r="K22" i="279"/>
  <c r="G27" i="279"/>
  <c r="G22" i="279"/>
  <c r="O22" i="352"/>
  <c r="O23" i="352"/>
  <c r="K22" i="352"/>
  <c r="G22" i="352"/>
  <c r="G23" i="352"/>
  <c r="K27" i="352"/>
  <c r="H27" i="353"/>
  <c r="E27" i="353"/>
  <c r="K27" i="353"/>
  <c r="I27" i="353"/>
  <c r="F27" i="353"/>
  <c r="I28" i="353"/>
  <c r="O28" i="353"/>
  <c r="F28" i="353"/>
  <c r="P28" i="353"/>
  <c r="F26" i="354"/>
  <c r="E26" i="354"/>
  <c r="E22" i="354"/>
  <c r="E29" i="354" s="1"/>
  <c r="J28" i="354"/>
  <c r="F26" i="355"/>
  <c r="E26" i="355"/>
  <c r="I26" i="355"/>
  <c r="K26" i="355"/>
  <c r="G26" i="355"/>
  <c r="E23" i="355"/>
  <c r="N22" i="355"/>
  <c r="N23" i="355"/>
  <c r="F23" i="355"/>
  <c r="F27" i="355"/>
  <c r="K27" i="355"/>
  <c r="P27" i="355"/>
  <c r="E23" i="356"/>
  <c r="E28" i="356"/>
  <c r="J28" i="356"/>
  <c r="P22" i="356"/>
  <c r="P23" i="356"/>
  <c r="L23" i="356"/>
  <c r="L22" i="356"/>
  <c r="M27" i="356"/>
  <c r="N27" i="356"/>
  <c r="K28" i="357"/>
  <c r="J22" i="357"/>
  <c r="H224" i="34"/>
  <c r="F27" i="357"/>
  <c r="L27" i="357"/>
  <c r="I27" i="357"/>
  <c r="N27" i="357"/>
  <c r="G22" i="354"/>
  <c r="I27" i="354"/>
  <c r="O27" i="354"/>
  <c r="Q20" i="354"/>
  <c r="N27" i="354"/>
  <c r="J27" i="354"/>
  <c r="K27" i="354"/>
  <c r="L27" i="354"/>
  <c r="M27" i="354"/>
  <c r="G27" i="354"/>
  <c r="H27" i="354"/>
  <c r="P19" i="352"/>
  <c r="P23" i="352" s="1"/>
  <c r="O207" i="205"/>
  <c r="P19" i="353" s="1"/>
  <c r="P23" i="353" s="1"/>
  <c r="L19" i="352"/>
  <c r="L23" i="352" s="1"/>
  <c r="K207" i="205"/>
  <c r="L19" i="353" s="1"/>
  <c r="L23" i="353" s="1"/>
  <c r="E30" i="313"/>
  <c r="E30" i="249"/>
  <c r="J26" i="263"/>
  <c r="J23" i="263"/>
  <c r="H26" i="266"/>
  <c r="H22" i="266"/>
  <c r="G28" i="322"/>
  <c r="E23" i="322"/>
  <c r="N28" i="322"/>
  <c r="L28" i="322"/>
  <c r="L23" i="322"/>
  <c r="L22" i="322"/>
  <c r="H22" i="322"/>
  <c r="I27" i="322"/>
  <c r="N27" i="322"/>
  <c r="O23" i="340"/>
  <c r="E22" i="311"/>
  <c r="E29" i="311" s="1"/>
  <c r="N174" i="205"/>
  <c r="M23" i="303"/>
  <c r="J22" i="263"/>
  <c r="P23" i="286"/>
  <c r="L23" i="287"/>
  <c r="H23" i="288"/>
  <c r="I23" i="290"/>
  <c r="N23" i="294"/>
  <c r="N23" i="296"/>
  <c r="J27" i="233"/>
  <c r="K26" i="322"/>
  <c r="H27" i="322"/>
  <c r="Q21" i="322"/>
  <c r="N22" i="349"/>
  <c r="N23" i="349"/>
  <c r="N28" i="350"/>
  <c r="O23" i="350"/>
  <c r="O22" i="350"/>
  <c r="H28" i="351"/>
  <c r="K28" i="351"/>
  <c r="J28" i="351"/>
  <c r="G22" i="351"/>
  <c r="G23" i="351"/>
  <c r="O27" i="351"/>
  <c r="L27" i="351"/>
  <c r="H27" i="351"/>
  <c r="N27" i="351"/>
  <c r="I26" i="351"/>
  <c r="J26" i="351"/>
  <c r="K26" i="351"/>
  <c r="G23" i="320"/>
  <c r="I30" i="243"/>
  <c r="J22" i="294"/>
  <c r="F22" i="294"/>
  <c r="F22" i="296"/>
  <c r="L26" i="308"/>
  <c r="M28" i="309"/>
  <c r="K28" i="309"/>
  <c r="F28" i="342"/>
  <c r="I28" i="342"/>
  <c r="J26" i="342"/>
  <c r="J28" i="343"/>
  <c r="I27" i="343"/>
  <c r="H27" i="343"/>
  <c r="J28" i="349"/>
  <c r="Q20" i="349"/>
  <c r="N27" i="349"/>
  <c r="H27" i="349"/>
  <c r="I27" i="349"/>
  <c r="O28" i="349"/>
  <c r="O27" i="349"/>
  <c r="K27" i="350"/>
  <c r="Q19" i="350"/>
  <c r="M28" i="350"/>
  <c r="K28" i="350"/>
  <c r="G27" i="351"/>
  <c r="Q19" i="351"/>
  <c r="N26" i="351"/>
  <c r="J22" i="350"/>
  <c r="O23" i="351"/>
  <c r="N22" i="323"/>
  <c r="N23" i="323"/>
  <c r="J22" i="323"/>
  <c r="H169" i="34"/>
  <c r="O22" i="330"/>
  <c r="O23" i="330"/>
  <c r="J22" i="331"/>
  <c r="J23" i="331"/>
  <c r="M26" i="344"/>
  <c r="H22" i="345"/>
  <c r="O27" i="345"/>
  <c r="N22" i="348"/>
  <c r="N23" i="348"/>
  <c r="E26" i="349"/>
  <c r="E30" i="349" s="1"/>
  <c r="P26" i="349"/>
  <c r="I30" i="275"/>
  <c r="E22" i="319"/>
  <c r="E29" i="319" s="1"/>
  <c r="K23" i="278"/>
  <c r="L23" i="288"/>
  <c r="L23" i="289"/>
  <c r="H23" i="289"/>
  <c r="J22" i="293"/>
  <c r="F22" i="295"/>
  <c r="E28" i="342"/>
  <c r="N27" i="343"/>
  <c r="M28" i="349"/>
  <c r="J27" i="349"/>
  <c r="P28" i="349"/>
  <c r="G27" i="350"/>
  <c r="H28" i="350"/>
  <c r="J26" i="350"/>
  <c r="I28" i="350"/>
  <c r="P28" i="350"/>
  <c r="L27" i="350"/>
  <c r="O28" i="351"/>
  <c r="P26" i="351"/>
  <c r="G23" i="350"/>
  <c r="J27" i="258"/>
  <c r="H74" i="34"/>
  <c r="J27" i="259"/>
  <c r="H75" i="34"/>
  <c r="J27" i="260"/>
  <c r="H76" i="34"/>
  <c r="J27" i="263"/>
  <c r="H81" i="34"/>
  <c r="J27" i="264"/>
  <c r="H82" i="34"/>
  <c r="J27" i="265"/>
  <c r="H87" i="34"/>
  <c r="J27" i="267"/>
  <c r="H83" i="34"/>
  <c r="J27" i="269"/>
  <c r="H91" i="34"/>
  <c r="F19" i="339"/>
  <c r="F19" i="343"/>
  <c r="F26" i="343" s="1"/>
  <c r="F28" i="299"/>
  <c r="N23" i="302"/>
  <c r="K23" i="342"/>
  <c r="G22" i="342"/>
  <c r="L23" i="347"/>
  <c r="M23" i="355"/>
  <c r="H145" i="206"/>
  <c r="K23" i="354"/>
  <c r="G23" i="324"/>
  <c r="K23" i="325"/>
  <c r="G28" i="328"/>
  <c r="H23" i="328"/>
  <c r="G28" i="329"/>
  <c r="L23" i="332"/>
  <c r="H23" i="332"/>
  <c r="M23" i="342"/>
  <c r="I23" i="342"/>
  <c r="G22" i="347"/>
  <c r="G22" i="348"/>
  <c r="G22" i="349"/>
  <c r="P26" i="219"/>
  <c r="K28" i="215"/>
  <c r="G28" i="226"/>
  <c r="E23" i="275"/>
  <c r="H22" i="286"/>
  <c r="L23" i="306"/>
  <c r="H161" i="206"/>
  <c r="I21" i="340" s="1"/>
  <c r="P28" i="340" s="1"/>
  <c r="K30" i="253"/>
  <c r="M23" i="300"/>
  <c r="N26" i="225"/>
  <c r="I26" i="232"/>
  <c r="N28" i="232"/>
  <c r="K28" i="317"/>
  <c r="I26" i="224"/>
  <c r="N23" i="330"/>
  <c r="F22" i="331"/>
  <c r="G28" i="345"/>
  <c r="J27" i="342"/>
  <c r="I23" i="224"/>
  <c r="E30" i="215"/>
  <c r="F26" i="317"/>
  <c r="F23" i="312"/>
  <c r="L27" i="310"/>
  <c r="N26" i="210"/>
  <c r="P28" i="211"/>
  <c r="N28" i="214"/>
  <c r="G28" i="224"/>
  <c r="E30" i="266"/>
  <c r="K23" i="299"/>
  <c r="P23" i="301"/>
  <c r="L23" i="302"/>
  <c r="P23" i="305"/>
  <c r="L23" i="305"/>
  <c r="L23" i="307"/>
  <c r="M19" i="281"/>
  <c r="M26" i="281" s="1"/>
  <c r="I19" i="281"/>
  <c r="O86" i="206"/>
  <c r="P28" i="281" s="1"/>
  <c r="M26" i="327"/>
  <c r="M23" i="268"/>
  <c r="I23" i="320"/>
  <c r="K23" i="317"/>
  <c r="J23" i="313"/>
  <c r="H26" i="123"/>
  <c r="H28" i="210"/>
  <c r="J26" i="241"/>
  <c r="F23" i="299"/>
  <c r="O23" i="302"/>
  <c r="G26" i="305"/>
  <c r="Q21" i="342"/>
  <c r="P26" i="342"/>
  <c r="P23" i="347"/>
  <c r="H23" i="347"/>
  <c r="E19" i="334"/>
  <c r="N19" i="334"/>
  <c r="J19" i="334"/>
  <c r="F19" i="334"/>
  <c r="L144" i="206"/>
  <c r="F144" i="206"/>
  <c r="E19" i="335"/>
  <c r="F145" i="206"/>
  <c r="P19" i="335"/>
  <c r="H19" i="335"/>
  <c r="J145" i="206"/>
  <c r="E19" i="339"/>
  <c r="M26" i="340"/>
  <c r="H22" i="320"/>
  <c r="F26" i="215"/>
  <c r="E26" i="275"/>
  <c r="E30" i="275" s="1"/>
  <c r="M23" i="299"/>
  <c r="N23" i="305"/>
  <c r="K27" i="322"/>
  <c r="F23" i="323"/>
  <c r="G19" i="281"/>
  <c r="M86" i="206"/>
  <c r="N28" i="281" s="1"/>
  <c r="N88" i="206"/>
  <c r="O28" i="283" s="1"/>
  <c r="I145" i="207"/>
  <c r="O145" i="207"/>
  <c r="G145" i="207"/>
  <c r="K26" i="210"/>
  <c r="I28" i="211"/>
  <c r="K22" i="317"/>
  <c r="H23" i="264"/>
  <c r="M22" i="311"/>
  <c r="M23" i="311"/>
  <c r="J22" i="311"/>
  <c r="H151" i="34"/>
  <c r="M23" i="310"/>
  <c r="M22" i="310"/>
  <c r="I23" i="210"/>
  <c r="M26" i="210"/>
  <c r="J26" i="210"/>
  <c r="I22" i="210"/>
  <c r="O28" i="211"/>
  <c r="H28" i="211"/>
  <c r="N28" i="211"/>
  <c r="Q21" i="211"/>
  <c r="M28" i="211"/>
  <c r="G28" i="211"/>
  <c r="L28" i="211"/>
  <c r="J23" i="211"/>
  <c r="G9" i="34"/>
  <c r="F22" i="211"/>
  <c r="F23" i="211"/>
  <c r="N26" i="211"/>
  <c r="O26" i="211"/>
  <c r="P26" i="211"/>
  <c r="I26" i="211"/>
  <c r="F26" i="211"/>
  <c r="L26" i="211"/>
  <c r="J26" i="211"/>
  <c r="G26" i="211"/>
  <c r="Q19" i="211"/>
  <c r="G26" i="230"/>
  <c r="I26" i="230"/>
  <c r="L26" i="230"/>
  <c r="M26" i="230"/>
  <c r="J26" i="230"/>
  <c r="O26" i="230"/>
  <c r="P26" i="230"/>
  <c r="N26" i="230"/>
  <c r="E26" i="231"/>
  <c r="E30" i="231" s="1"/>
  <c r="J26" i="231"/>
  <c r="K26" i="231"/>
  <c r="H26" i="231"/>
  <c r="L26" i="231"/>
  <c r="I26" i="231"/>
  <c r="F26" i="231"/>
  <c r="G26" i="231"/>
  <c r="G28" i="231"/>
  <c r="H28" i="231"/>
  <c r="F28" i="231"/>
  <c r="L28" i="231"/>
  <c r="I28" i="231"/>
  <c r="J28" i="231"/>
  <c r="Q21" i="231"/>
  <c r="P28" i="231"/>
  <c r="N28" i="231"/>
  <c r="K28" i="231"/>
  <c r="G23" i="234"/>
  <c r="G22" i="234"/>
  <c r="L28" i="236"/>
  <c r="Q21" i="236"/>
  <c r="P26" i="236"/>
  <c r="P30" i="236" s="1"/>
  <c r="P23" i="236"/>
  <c r="M23" i="236"/>
  <c r="M26" i="236"/>
  <c r="F28" i="242"/>
  <c r="Q21" i="242"/>
  <c r="O23" i="242"/>
  <c r="O26" i="242"/>
  <c r="H23" i="242"/>
  <c r="H26" i="242"/>
  <c r="H30" i="242" s="1"/>
  <c r="H22" i="242"/>
  <c r="Q19" i="242"/>
  <c r="E28" i="243"/>
  <c r="E30" i="243" s="1"/>
  <c r="E23" i="243"/>
  <c r="Q21" i="243"/>
  <c r="N26" i="260"/>
  <c r="N30" i="260" s="1"/>
  <c r="N23" i="260"/>
  <c r="J26" i="260"/>
  <c r="J22" i="260"/>
  <c r="G76" i="34"/>
  <c r="J23" i="260"/>
  <c r="Q19" i="260"/>
  <c r="E28" i="262"/>
  <c r="Q21" i="262"/>
  <c r="I28" i="263"/>
  <c r="Q21" i="263"/>
  <c r="O26" i="263"/>
  <c r="O23" i="263"/>
  <c r="H26" i="263"/>
  <c r="H30" i="263" s="1"/>
  <c r="H23" i="263"/>
  <c r="Q19" i="263"/>
  <c r="E26" i="264"/>
  <c r="E30" i="264" s="1"/>
  <c r="Q19" i="264"/>
  <c r="E23" i="264"/>
  <c r="E22" i="264"/>
  <c r="L26" i="264"/>
  <c r="L30" i="264" s="1"/>
  <c r="L23" i="264"/>
  <c r="H26" i="211"/>
  <c r="Q19" i="230"/>
  <c r="E23" i="231"/>
  <c r="M28" i="231"/>
  <c r="J27" i="320"/>
  <c r="P27" i="320"/>
  <c r="Q20" i="320"/>
  <c r="M27" i="320"/>
  <c r="E22" i="320"/>
  <c r="E29" i="320" s="1"/>
  <c r="O23" i="318"/>
  <c r="O22" i="318"/>
  <c r="K23" i="318"/>
  <c r="K22" i="318"/>
  <c r="Q20" i="318"/>
  <c r="O23" i="317"/>
  <c r="O22" i="317"/>
  <c r="Q20" i="313"/>
  <c r="N27" i="313"/>
  <c r="I26" i="215"/>
  <c r="H26" i="215"/>
  <c r="O28" i="216"/>
  <c r="H28" i="216"/>
  <c r="J28" i="216"/>
  <c r="G22" i="218"/>
  <c r="O26" i="218"/>
  <c r="H26" i="218"/>
  <c r="G23" i="218"/>
  <c r="M26" i="218"/>
  <c r="G26" i="218"/>
  <c r="G37" i="34"/>
  <c r="J23" i="228"/>
  <c r="P26" i="228"/>
  <c r="I26" i="228"/>
  <c r="K26" i="228"/>
  <c r="L26" i="228"/>
  <c r="F26" i="228"/>
  <c r="M26" i="228"/>
  <c r="J26" i="228"/>
  <c r="Q19" i="228"/>
  <c r="H26" i="230"/>
  <c r="I26" i="235"/>
  <c r="I30" i="235" s="1"/>
  <c r="I23" i="235"/>
  <c r="F28" i="246"/>
  <c r="Q21" i="246"/>
  <c r="J26" i="246"/>
  <c r="G58" i="34"/>
  <c r="Q58" i="34" s="1"/>
  <c r="J22" i="246"/>
  <c r="F26" i="246"/>
  <c r="F30" i="246" s="1"/>
  <c r="F22" i="246"/>
  <c r="F23" i="246"/>
  <c r="Q19" i="246"/>
  <c r="E28" i="247"/>
  <c r="Q21" i="247"/>
  <c r="G28" i="248"/>
  <c r="Q21" i="248"/>
  <c r="J28" i="249"/>
  <c r="J28" i="251"/>
  <c r="Q21" i="251"/>
  <c r="J28" i="252"/>
  <c r="Q21" i="252"/>
  <c r="N26" i="252"/>
  <c r="N23" i="252"/>
  <c r="K23" i="252"/>
  <c r="K26" i="252"/>
  <c r="K30" i="252" s="1"/>
  <c r="G26" i="252"/>
  <c r="G30" i="252" s="1"/>
  <c r="G23" i="252"/>
  <c r="E28" i="253"/>
  <c r="E30" i="253" s="1"/>
  <c r="E23" i="253"/>
  <c r="Q21" i="253"/>
  <c r="H28" i="258"/>
  <c r="Q21" i="258"/>
  <c r="P26" i="258"/>
  <c r="P30" i="258" s="1"/>
  <c r="P23" i="258"/>
  <c r="L26" i="258"/>
  <c r="L23" i="258"/>
  <c r="Q19" i="258"/>
  <c r="L26" i="259"/>
  <c r="L23" i="259"/>
  <c r="I26" i="259"/>
  <c r="I30" i="259" s="1"/>
  <c r="I22" i="259"/>
  <c r="Q19" i="259"/>
  <c r="I23" i="259"/>
  <c r="E30" i="223"/>
  <c r="N27" i="280"/>
  <c r="N30" i="280" s="1"/>
  <c r="N22" i="280"/>
  <c r="O23" i="319"/>
  <c r="O22" i="319"/>
  <c r="K28" i="216"/>
  <c r="M26" i="227"/>
  <c r="N26" i="227"/>
  <c r="H26" i="227"/>
  <c r="Q21" i="228"/>
  <c r="J28" i="228"/>
  <c r="P28" i="228"/>
  <c r="P23" i="235"/>
  <c r="P26" i="235"/>
  <c r="P30" i="235" s="1"/>
  <c r="L26" i="235"/>
  <c r="L30" i="235" s="1"/>
  <c r="L23" i="235"/>
  <c r="J26" i="237"/>
  <c r="J23" i="237"/>
  <c r="G43" i="34"/>
  <c r="J22" i="237"/>
  <c r="G28" i="244"/>
  <c r="Q21" i="244"/>
  <c r="O26" i="245"/>
  <c r="O30" i="245" s="1"/>
  <c r="O23" i="245"/>
  <c r="G22" i="245"/>
  <c r="G23" i="245"/>
  <c r="N26" i="273"/>
  <c r="N30" i="273" s="1"/>
  <c r="N23" i="273"/>
  <c r="J26" i="273"/>
  <c r="J23" i="273"/>
  <c r="G95" i="34"/>
  <c r="J28" i="276"/>
  <c r="Q21" i="276"/>
  <c r="M23" i="276"/>
  <c r="M26" i="276"/>
  <c r="M30" i="276" s="1"/>
  <c r="I23" i="276"/>
  <c r="I26" i="276"/>
  <c r="I30" i="276" s="1"/>
  <c r="P26" i="277"/>
  <c r="P30" i="277" s="1"/>
  <c r="P23" i="277"/>
  <c r="L26" i="277"/>
  <c r="L23" i="277"/>
  <c r="I26" i="277"/>
  <c r="I30" i="277" s="1"/>
  <c r="I22" i="277"/>
  <c r="I23" i="277"/>
  <c r="Q19" i="277"/>
  <c r="H27" i="251"/>
  <c r="H30" i="251" s="1"/>
  <c r="Q20" i="251"/>
  <c r="I164" i="206"/>
  <c r="J21" i="339" s="1"/>
  <c r="Q20" i="123"/>
  <c r="I27" i="123"/>
  <c r="P27" i="123"/>
  <c r="O27" i="123"/>
  <c r="N27" i="123"/>
  <c r="L27" i="123"/>
  <c r="K27" i="123"/>
  <c r="O27" i="210"/>
  <c r="L27" i="210"/>
  <c r="F27" i="210"/>
  <c r="P27" i="210"/>
  <c r="G27" i="210"/>
  <c r="F22" i="224"/>
  <c r="I27" i="224"/>
  <c r="G22" i="210"/>
  <c r="G23" i="210"/>
  <c r="G22" i="223"/>
  <c r="Q20" i="223"/>
  <c r="I27" i="223"/>
  <c r="N27" i="223"/>
  <c r="G22" i="231"/>
  <c r="H27" i="231"/>
  <c r="H144" i="206"/>
  <c r="I27" i="216"/>
  <c r="P27" i="216"/>
  <c r="H23" i="216"/>
  <c r="H22" i="221"/>
  <c r="O27" i="221"/>
  <c r="Q20" i="221"/>
  <c r="L27" i="221"/>
  <c r="M27" i="221"/>
  <c r="P27" i="211"/>
  <c r="I22" i="211"/>
  <c r="K27" i="211"/>
  <c r="I22" i="218"/>
  <c r="I23" i="220"/>
  <c r="P27" i="220"/>
  <c r="I22" i="220"/>
  <c r="O27" i="220"/>
  <c r="N27" i="228"/>
  <c r="L27" i="228"/>
  <c r="I27" i="228"/>
  <c r="H6" i="34"/>
  <c r="J22" i="123"/>
  <c r="J23" i="123"/>
  <c r="H15" i="34"/>
  <c r="J22" i="215"/>
  <c r="H32" i="34"/>
  <c r="J22" i="226"/>
  <c r="J23" i="226"/>
  <c r="H27" i="274"/>
  <c r="G27" i="327"/>
  <c r="H27" i="327"/>
  <c r="F22" i="327"/>
  <c r="K27" i="327"/>
  <c r="G27" i="244"/>
  <c r="G22" i="244"/>
  <c r="N27" i="244"/>
  <c r="N22" i="244"/>
  <c r="J26" i="250"/>
  <c r="G64" i="34"/>
  <c r="Q64" i="34" s="1"/>
  <c r="N27" i="250"/>
  <c r="N30" i="250" s="1"/>
  <c r="N22" i="250"/>
  <c r="E27" i="256"/>
  <c r="E22" i="256"/>
  <c r="I27" i="256"/>
  <c r="I23" i="314"/>
  <c r="I22" i="314"/>
  <c r="J22" i="236"/>
  <c r="J23" i="236"/>
  <c r="J26" i="236"/>
  <c r="G42" i="34"/>
  <c r="Q19" i="236"/>
  <c r="I28" i="265"/>
  <c r="Q21" i="265"/>
  <c r="O26" i="266"/>
  <c r="O23" i="266"/>
  <c r="G26" i="266"/>
  <c r="G22" i="266"/>
  <c r="O26" i="267"/>
  <c r="O23" i="267"/>
  <c r="H28" i="268"/>
  <c r="Q21" i="268"/>
  <c r="N26" i="269"/>
  <c r="N30" i="269" s="1"/>
  <c r="N23" i="269"/>
  <c r="J26" i="269"/>
  <c r="J23" i="269"/>
  <c r="G91" i="34"/>
  <c r="J22" i="269"/>
  <c r="F26" i="269"/>
  <c r="F30" i="269" s="1"/>
  <c r="F23" i="269"/>
  <c r="F22" i="269"/>
  <c r="E28" i="270"/>
  <c r="E30" i="270" s="1"/>
  <c r="E23" i="270"/>
  <c r="Q21" i="270"/>
  <c r="L26" i="270"/>
  <c r="L23" i="270"/>
  <c r="I26" i="272"/>
  <c r="I30" i="272" s="1"/>
  <c r="I22" i="272"/>
  <c r="I23" i="272"/>
  <c r="K23" i="244"/>
  <c r="K22" i="244"/>
  <c r="K27" i="280"/>
  <c r="K22" i="280"/>
  <c r="E26" i="317"/>
  <c r="E23" i="317"/>
  <c r="F23" i="317"/>
  <c r="I23" i="316"/>
  <c r="P23" i="314"/>
  <c r="J22" i="212"/>
  <c r="J23" i="212"/>
  <c r="J23" i="215"/>
  <c r="H22" i="216"/>
  <c r="G23" i="223"/>
  <c r="M23" i="233"/>
  <c r="M26" i="233"/>
  <c r="M30" i="233" s="1"/>
  <c r="G40" i="34"/>
  <c r="J26" i="234"/>
  <c r="J22" i="239"/>
  <c r="J23" i="239"/>
  <c r="G47" i="34"/>
  <c r="P26" i="241"/>
  <c r="P23" i="241"/>
  <c r="K23" i="247"/>
  <c r="K26" i="247"/>
  <c r="J23" i="254"/>
  <c r="G62" i="34"/>
  <c r="M23" i="255"/>
  <c r="M26" i="255"/>
  <c r="G28" i="261"/>
  <c r="Q21" i="261"/>
  <c r="N26" i="261"/>
  <c r="N30" i="261" s="1"/>
  <c r="N23" i="261"/>
  <c r="K23" i="261"/>
  <c r="K26" i="261"/>
  <c r="H26" i="261"/>
  <c r="H23" i="261"/>
  <c r="N26" i="263"/>
  <c r="N30" i="263" s="1"/>
  <c r="N23" i="263"/>
  <c r="K26" i="264"/>
  <c r="K23" i="264"/>
  <c r="H26" i="265"/>
  <c r="H30" i="265" s="1"/>
  <c r="H23" i="265"/>
  <c r="N26" i="266"/>
  <c r="N23" i="266"/>
  <c r="J26" i="266"/>
  <c r="J22" i="266"/>
  <c r="G78" i="34"/>
  <c r="F26" i="266"/>
  <c r="F30" i="266" s="1"/>
  <c r="F22" i="266"/>
  <c r="F23" i="266"/>
  <c r="G28" i="267"/>
  <c r="Q21" i="267"/>
  <c r="N26" i="267"/>
  <c r="N23" i="267"/>
  <c r="K23" i="267"/>
  <c r="K26" i="267"/>
  <c r="G26" i="267"/>
  <c r="G30" i="267" s="1"/>
  <c r="G23" i="267"/>
  <c r="J26" i="271"/>
  <c r="J22" i="271"/>
  <c r="J23" i="271"/>
  <c r="I28" i="278"/>
  <c r="Q21" i="278"/>
  <c r="M28" i="299"/>
  <c r="N28" i="299"/>
  <c r="L28" i="299"/>
  <c r="G28" i="299"/>
  <c r="I28" i="299"/>
  <c r="K28" i="299"/>
  <c r="H28" i="299"/>
  <c r="O28" i="299"/>
  <c r="L22" i="299"/>
  <c r="L23" i="299"/>
  <c r="H23" i="299"/>
  <c r="M27" i="299"/>
  <c r="K27" i="299"/>
  <c r="Q20" i="299"/>
  <c r="O27" i="299"/>
  <c r="I27" i="299"/>
  <c r="L27" i="299"/>
  <c r="H22" i="299"/>
  <c r="J27" i="299"/>
  <c r="H26" i="299"/>
  <c r="P26" i="299"/>
  <c r="M26" i="299"/>
  <c r="G23" i="299"/>
  <c r="L26" i="299"/>
  <c r="O27" i="298"/>
  <c r="P27" i="298"/>
  <c r="K27" i="298"/>
  <c r="H28" i="300"/>
  <c r="O28" i="300"/>
  <c r="E28" i="300"/>
  <c r="K28" i="300"/>
  <c r="I28" i="300"/>
  <c r="L28" i="300"/>
  <c r="J28" i="300"/>
  <c r="N28" i="300"/>
  <c r="P28" i="300"/>
  <c r="E23" i="300"/>
  <c r="P23" i="300"/>
  <c r="P22" i="300"/>
  <c r="L22" i="300"/>
  <c r="L23" i="300"/>
  <c r="I27" i="300"/>
  <c r="H27" i="300"/>
  <c r="L27" i="300"/>
  <c r="M27" i="300"/>
  <c r="P27" i="300"/>
  <c r="K27" i="300"/>
  <c r="H22" i="300"/>
  <c r="G26" i="300"/>
  <c r="L26" i="300"/>
  <c r="O26" i="300"/>
  <c r="I26" i="300"/>
  <c r="O27" i="301"/>
  <c r="G27" i="301"/>
  <c r="H27" i="301"/>
  <c r="M27" i="301"/>
  <c r="L27" i="301"/>
  <c r="N27" i="301"/>
  <c r="I27" i="301"/>
  <c r="K27" i="301"/>
  <c r="P27" i="301"/>
  <c r="N28" i="301"/>
  <c r="Q21" i="301"/>
  <c r="L28" i="301"/>
  <c r="K28" i="301"/>
  <c r="I28" i="301"/>
  <c r="F28" i="301"/>
  <c r="M28" i="301"/>
  <c r="P28" i="301"/>
  <c r="M23" i="301"/>
  <c r="M22" i="301"/>
  <c r="I22" i="301"/>
  <c r="I23" i="301"/>
  <c r="P26" i="301"/>
  <c r="J26" i="301"/>
  <c r="K26" i="301"/>
  <c r="H26" i="301"/>
  <c r="H22" i="301"/>
  <c r="E22" i="302"/>
  <c r="N27" i="302"/>
  <c r="Q20" i="302"/>
  <c r="J27" i="302"/>
  <c r="L27" i="302"/>
  <c r="G27" i="302"/>
  <c r="H27" i="302"/>
  <c r="E27" i="302"/>
  <c r="K27" i="302"/>
  <c r="I27" i="302"/>
  <c r="O27" i="302"/>
  <c r="M27" i="302"/>
  <c r="L28" i="302"/>
  <c r="P28" i="302"/>
  <c r="Q21" i="302"/>
  <c r="I28" i="302"/>
  <c r="J28" i="302"/>
  <c r="M28" i="302"/>
  <c r="M26" i="302"/>
  <c r="H22" i="302"/>
  <c r="I26" i="302"/>
  <c r="Q19" i="302"/>
  <c r="O26" i="302"/>
  <c r="N28" i="303"/>
  <c r="O28" i="303"/>
  <c r="I28" i="303"/>
  <c r="L28" i="303"/>
  <c r="I27" i="304"/>
  <c r="H27" i="304"/>
  <c r="E22" i="304"/>
  <c r="E29" i="304" s="1"/>
  <c r="F27" i="304"/>
  <c r="J27" i="304"/>
  <c r="Q20" i="304"/>
  <c r="G27" i="304"/>
  <c r="M27" i="304"/>
  <c r="N27" i="304"/>
  <c r="K27" i="304"/>
  <c r="H28" i="304"/>
  <c r="M28" i="304"/>
  <c r="L28" i="304"/>
  <c r="N28" i="304"/>
  <c r="I22" i="304"/>
  <c r="I23" i="304"/>
  <c r="P26" i="304"/>
  <c r="H22" i="304"/>
  <c r="J26" i="304"/>
  <c r="H26" i="304"/>
  <c r="M26" i="304"/>
  <c r="N26" i="304"/>
  <c r="K26" i="304"/>
  <c r="I27" i="305"/>
  <c r="J27" i="305"/>
  <c r="F27" i="305"/>
  <c r="Q20" i="305"/>
  <c r="G27" i="305"/>
  <c r="H27" i="305"/>
  <c r="N27" i="305"/>
  <c r="K27" i="305"/>
  <c r="L27" i="305"/>
  <c r="P27" i="305"/>
  <c r="E27" i="305"/>
  <c r="E22" i="305"/>
  <c r="E29" i="305" s="1"/>
  <c r="H28" i="305"/>
  <c r="N28" i="305"/>
  <c r="L28" i="305"/>
  <c r="J28" i="305"/>
  <c r="I28" i="305"/>
  <c r="M23" i="305"/>
  <c r="M22" i="305"/>
  <c r="I23" i="305"/>
  <c r="I22" i="305"/>
  <c r="I26" i="305"/>
  <c r="Q19" i="305"/>
  <c r="N26" i="305"/>
  <c r="H22" i="305"/>
  <c r="L27" i="306"/>
  <c r="Q20" i="306"/>
  <c r="M27" i="306"/>
  <c r="F27" i="306"/>
  <c r="P27" i="306"/>
  <c r="J27" i="306"/>
  <c r="K28" i="306"/>
  <c r="P28" i="306"/>
  <c r="F28" i="306"/>
  <c r="N28" i="306"/>
  <c r="H22" i="306"/>
  <c r="K26" i="306"/>
  <c r="Q19" i="306"/>
  <c r="H23" i="306"/>
  <c r="O27" i="307"/>
  <c r="J27" i="307"/>
  <c r="H27" i="307"/>
  <c r="G27" i="307"/>
  <c r="E27" i="307"/>
  <c r="E22" i="307"/>
  <c r="E29" i="307" s="1"/>
  <c r="F27" i="307"/>
  <c r="L27" i="307"/>
  <c r="O28" i="307"/>
  <c r="M28" i="307"/>
  <c r="Q21" i="307"/>
  <c r="F28" i="307"/>
  <c r="G28" i="307"/>
  <c r="N28" i="307"/>
  <c r="M22" i="307"/>
  <c r="M23" i="307"/>
  <c r="I23" i="307"/>
  <c r="I22" i="307"/>
  <c r="M26" i="307"/>
  <c r="L26" i="307"/>
  <c r="K26" i="307"/>
  <c r="H26" i="307"/>
  <c r="O28" i="308"/>
  <c r="J28" i="308"/>
  <c r="P28" i="308"/>
  <c r="O26" i="327"/>
  <c r="P26" i="327"/>
  <c r="J26" i="327"/>
  <c r="I22" i="274"/>
  <c r="K26" i="209"/>
  <c r="M26" i="209"/>
  <c r="I28" i="210"/>
  <c r="Q19" i="212"/>
  <c r="K26" i="212"/>
  <c r="F26" i="212"/>
  <c r="F23" i="212"/>
  <c r="O26" i="214"/>
  <c r="I22" i="214"/>
  <c r="H28" i="214"/>
  <c r="N26" i="214"/>
  <c r="E23" i="215"/>
  <c r="P28" i="215"/>
  <c r="I28" i="216"/>
  <c r="P28" i="216"/>
  <c r="H26" i="219"/>
  <c r="O26" i="222"/>
  <c r="J26" i="222"/>
  <c r="I26" i="222"/>
  <c r="J28" i="224"/>
  <c r="H26" i="224"/>
  <c r="I28" i="224"/>
  <c r="K26" i="224"/>
  <c r="Q21" i="224"/>
  <c r="L26" i="225"/>
  <c r="I26" i="225"/>
  <c r="O26" i="225"/>
  <c r="E28" i="226"/>
  <c r="E30" i="226" s="1"/>
  <c r="L26" i="232"/>
  <c r="M28" i="232"/>
  <c r="K26" i="232"/>
  <c r="I22" i="233"/>
  <c r="P26" i="209"/>
  <c r="K28" i="123"/>
  <c r="P26" i="212"/>
  <c r="N28" i="123"/>
  <c r="E23" i="239"/>
  <c r="E23" i="248"/>
  <c r="Q21" i="254"/>
  <c r="Q19" i="255"/>
  <c r="Q19" i="265"/>
  <c r="Q19" i="266"/>
  <c r="Q19" i="267"/>
  <c r="E22" i="268"/>
  <c r="E29" i="268" s="1"/>
  <c r="Q19" i="269"/>
  <c r="Q21" i="269"/>
  <c r="Q21" i="271"/>
  <c r="Q21" i="274"/>
  <c r="Q20" i="280"/>
  <c r="N27" i="298"/>
  <c r="G10" i="34"/>
  <c r="P22" i="314"/>
  <c r="J23" i="234"/>
  <c r="O23" i="259"/>
  <c r="G22" i="222"/>
  <c r="N26" i="268"/>
  <c r="N23" i="268"/>
  <c r="F27" i="268"/>
  <c r="F23" i="268"/>
  <c r="J27" i="268"/>
  <c r="J22" i="268"/>
  <c r="L27" i="280"/>
  <c r="L22" i="280"/>
  <c r="K27" i="346"/>
  <c r="E27" i="346"/>
  <c r="J27" i="346"/>
  <c r="G27" i="346"/>
  <c r="M27" i="346"/>
  <c r="F27" i="346"/>
  <c r="P27" i="346"/>
  <c r="I22" i="317"/>
  <c r="P23" i="316"/>
  <c r="L22" i="314"/>
  <c r="L23" i="314"/>
  <c r="L23" i="313"/>
  <c r="L22" i="313"/>
  <c r="L26" i="233"/>
  <c r="L23" i="233"/>
  <c r="H26" i="233"/>
  <c r="H30" i="233" s="1"/>
  <c r="H23" i="233"/>
  <c r="P23" i="239"/>
  <c r="P26" i="239"/>
  <c r="P30" i="239" s="1"/>
  <c r="J23" i="240"/>
  <c r="G48" i="34"/>
  <c r="J26" i="240"/>
  <c r="F26" i="240"/>
  <c r="F30" i="240" s="1"/>
  <c r="F23" i="241"/>
  <c r="F26" i="241"/>
  <c r="F30" i="241" s="1"/>
  <c r="P26" i="243"/>
  <c r="P30" i="243" s="1"/>
  <c r="J26" i="247"/>
  <c r="G59" i="34"/>
  <c r="Q59" i="34" s="1"/>
  <c r="F22" i="258"/>
  <c r="F26" i="258"/>
  <c r="F30" i="258" s="1"/>
  <c r="G26" i="259"/>
  <c r="G30" i="259" s="1"/>
  <c r="G23" i="259"/>
  <c r="O26" i="265"/>
  <c r="O30" i="265" s="1"/>
  <c r="O23" i="265"/>
  <c r="K23" i="265"/>
  <c r="K26" i="265"/>
  <c r="G22" i="271"/>
  <c r="Q19" i="271"/>
  <c r="E26" i="272"/>
  <c r="E30" i="272" s="1"/>
  <c r="E23" i="272"/>
  <c r="P26" i="273"/>
  <c r="P23" i="273"/>
  <c r="E26" i="276"/>
  <c r="E30" i="276" s="1"/>
  <c r="Q19" i="276"/>
  <c r="K23" i="279"/>
  <c r="K26" i="279"/>
  <c r="I26" i="286"/>
  <c r="J26" i="286"/>
  <c r="M26" i="286"/>
  <c r="G26" i="286"/>
  <c r="J22" i="286"/>
  <c r="J23" i="286"/>
  <c r="G114" i="34"/>
  <c r="J22" i="287"/>
  <c r="J23" i="287"/>
  <c r="G115" i="34"/>
  <c r="N28" i="288"/>
  <c r="K28" i="288"/>
  <c r="L28" i="288"/>
  <c r="O23" i="298"/>
  <c r="O28" i="298"/>
  <c r="H28" i="298"/>
  <c r="K28" i="298"/>
  <c r="L28" i="298"/>
  <c r="I28" i="298"/>
  <c r="E29" i="326"/>
  <c r="K26" i="299"/>
  <c r="M28" i="300"/>
  <c r="E22" i="301"/>
  <c r="E29" i="301" s="1"/>
  <c r="L26" i="302"/>
  <c r="K28" i="303"/>
  <c r="I28" i="304"/>
  <c r="E27" i="304"/>
  <c r="K28" i="304"/>
  <c r="P28" i="305"/>
  <c r="I27" i="306"/>
  <c r="H28" i="307"/>
  <c r="I27" i="240"/>
  <c r="I30" i="240" s="1"/>
  <c r="I23" i="240"/>
  <c r="J27" i="241"/>
  <c r="H53" i="34"/>
  <c r="J23" i="241"/>
  <c r="J27" i="245"/>
  <c r="H57" i="34"/>
  <c r="H59" i="34"/>
  <c r="J23" i="247"/>
  <c r="Q20" i="247"/>
  <c r="J27" i="247"/>
  <c r="G23" i="280"/>
  <c r="M23" i="316"/>
  <c r="O23" i="280"/>
  <c r="P23" i="271"/>
  <c r="K26" i="270"/>
  <c r="K30" i="270" s="1"/>
  <c r="G22" i="280"/>
  <c r="G15" i="34"/>
  <c r="Q15" i="34" s="1"/>
  <c r="N26" i="234"/>
  <c r="M23" i="241"/>
  <c r="M26" i="239"/>
  <c r="M30" i="239" s="1"/>
  <c r="E23" i="340"/>
  <c r="L26" i="340"/>
  <c r="F28" i="313"/>
  <c r="G23" i="241"/>
  <c r="O23" i="270"/>
  <c r="H27" i="256"/>
  <c r="L27" i="256"/>
  <c r="K26" i="268"/>
  <c r="K23" i="268"/>
  <c r="O26" i="268"/>
  <c r="O23" i="268"/>
  <c r="G27" i="297"/>
  <c r="F27" i="297"/>
  <c r="E22" i="309"/>
  <c r="F26" i="303"/>
  <c r="E23" i="303"/>
  <c r="J145" i="207"/>
  <c r="F174" i="205"/>
  <c r="J174" i="205"/>
  <c r="K23" i="333"/>
  <c r="H27" i="313"/>
  <c r="E22" i="313"/>
  <c r="E29" i="313" s="1"/>
  <c r="O27" i="313"/>
  <c r="P23" i="319"/>
  <c r="H22" i="319"/>
  <c r="I23" i="318"/>
  <c r="K23" i="313"/>
  <c r="K22" i="313"/>
  <c r="N23" i="312"/>
  <c r="N23" i="310"/>
  <c r="N27" i="310"/>
  <c r="F27" i="310"/>
  <c r="Q20" i="310"/>
  <c r="J22" i="210"/>
  <c r="G8" i="34"/>
  <c r="Q8" i="34" s="1"/>
  <c r="F22" i="210"/>
  <c r="M23" i="235"/>
  <c r="M26" i="235"/>
  <c r="M30" i="235" s="1"/>
  <c r="F26" i="235"/>
  <c r="F30" i="235" s="1"/>
  <c r="F22" i="235"/>
  <c r="I26" i="242"/>
  <c r="I23" i="242"/>
  <c r="F22" i="243"/>
  <c r="F26" i="243"/>
  <c r="F30" i="243" s="1"/>
  <c r="L26" i="245"/>
  <c r="L23" i="245"/>
  <c r="M23" i="249"/>
  <c r="M26" i="249"/>
  <c r="M30" i="249" s="1"/>
  <c r="J26" i="251"/>
  <c r="G66" i="34"/>
  <c r="N26" i="253"/>
  <c r="N30" i="253" s="1"/>
  <c r="N23" i="253"/>
  <c r="H26" i="253"/>
  <c r="H23" i="253"/>
  <c r="J22" i="259"/>
  <c r="J26" i="259"/>
  <c r="G75" i="34"/>
  <c r="F26" i="259"/>
  <c r="F23" i="259"/>
  <c r="J26" i="265"/>
  <c r="G87" i="34"/>
  <c r="J23" i="265"/>
  <c r="F26" i="270"/>
  <c r="F22" i="270"/>
  <c r="F23" i="270"/>
  <c r="N26" i="279"/>
  <c r="N23" i="279"/>
  <c r="K28" i="286"/>
  <c r="M28" i="286"/>
  <c r="H28" i="286"/>
  <c r="E23" i="286"/>
  <c r="M26" i="287"/>
  <c r="J26" i="287"/>
  <c r="K26" i="287"/>
  <c r="L26" i="287"/>
  <c r="G23" i="288"/>
  <c r="M26" i="288"/>
  <c r="K26" i="288"/>
  <c r="E26" i="289"/>
  <c r="E30" i="289" s="1"/>
  <c r="N26" i="289"/>
  <c r="P26" i="289"/>
  <c r="G26" i="289"/>
  <c r="H26" i="289"/>
  <c r="N28" i="289"/>
  <c r="G28" i="289"/>
  <c r="O28" i="289"/>
  <c r="L28" i="289"/>
  <c r="I28" i="289"/>
  <c r="F28" i="289"/>
  <c r="E26" i="290"/>
  <c r="I26" i="290"/>
  <c r="J26" i="290"/>
  <c r="H26" i="290"/>
  <c r="P26" i="290"/>
  <c r="N26" i="290"/>
  <c r="G26" i="290"/>
  <c r="L26" i="290"/>
  <c r="G28" i="290"/>
  <c r="J28" i="290"/>
  <c r="O28" i="290"/>
  <c r="H28" i="290"/>
  <c r="I28" i="290"/>
  <c r="J23" i="290"/>
  <c r="G118" i="34"/>
  <c r="G28" i="291"/>
  <c r="O28" i="291"/>
  <c r="P28" i="291"/>
  <c r="N28" i="291"/>
  <c r="Q21" i="291"/>
  <c r="I28" i="291"/>
  <c r="G28" i="292"/>
  <c r="M28" i="292"/>
  <c r="K28" i="292"/>
  <c r="L28" i="292"/>
  <c r="J28" i="292"/>
  <c r="O28" i="292"/>
  <c r="Q21" i="292"/>
  <c r="P28" i="292"/>
  <c r="I28" i="292"/>
  <c r="H23" i="292"/>
  <c r="I26" i="292"/>
  <c r="H26" i="292"/>
  <c r="L26" i="292"/>
  <c r="Q21" i="293"/>
  <c r="P28" i="293"/>
  <c r="I28" i="293"/>
  <c r="M28" i="293"/>
  <c r="H23" i="293"/>
  <c r="M26" i="293"/>
  <c r="I26" i="293"/>
  <c r="Q19" i="293"/>
  <c r="H22" i="293"/>
  <c r="J26" i="293"/>
  <c r="N26" i="294"/>
  <c r="I26" i="294"/>
  <c r="E22" i="294"/>
  <c r="K26" i="294"/>
  <c r="Q19" i="294"/>
  <c r="O26" i="294"/>
  <c r="E23" i="294"/>
  <c r="H28" i="294"/>
  <c r="G28" i="294"/>
  <c r="O28" i="294"/>
  <c r="L28" i="294"/>
  <c r="G28" i="295"/>
  <c r="H28" i="295"/>
  <c r="O28" i="295"/>
  <c r="P28" i="295"/>
  <c r="I28" i="295"/>
  <c r="L28" i="295"/>
  <c r="J28" i="295"/>
  <c r="H22" i="295"/>
  <c r="P26" i="295"/>
  <c r="I26" i="295"/>
  <c r="J26" i="295"/>
  <c r="H26" i="295"/>
  <c r="M26" i="295"/>
  <c r="L26" i="295"/>
  <c r="E26" i="296"/>
  <c r="E22" i="296"/>
  <c r="K26" i="296"/>
  <c r="L26" i="296"/>
  <c r="O26" i="296"/>
  <c r="I26" i="296"/>
  <c r="F26" i="296"/>
  <c r="Q19" i="296"/>
  <c r="Q21" i="296"/>
  <c r="P28" i="296"/>
  <c r="J28" i="296"/>
  <c r="N28" i="296"/>
  <c r="J22" i="296"/>
  <c r="J23" i="296"/>
  <c r="H28" i="297"/>
  <c r="M28" i="297"/>
  <c r="G28" i="297"/>
  <c r="L28" i="297"/>
  <c r="H23" i="298"/>
  <c r="I26" i="298"/>
  <c r="J26" i="298"/>
  <c r="O26" i="298"/>
  <c r="P26" i="298"/>
  <c r="N26" i="298"/>
  <c r="M26" i="298"/>
  <c r="H26" i="298"/>
  <c r="J22" i="255"/>
  <c r="H68" i="34"/>
  <c r="J27" i="255"/>
  <c r="Q21" i="299"/>
  <c r="J27" i="300"/>
  <c r="Q21" i="300"/>
  <c r="J27" i="301"/>
  <c r="Q20" i="301"/>
  <c r="O28" i="301"/>
  <c r="P28" i="303"/>
  <c r="F28" i="304"/>
  <c r="L27" i="304"/>
  <c r="O26" i="305"/>
  <c r="I22" i="306"/>
  <c r="I27" i="307"/>
  <c r="O30" i="238"/>
  <c r="M23" i="225"/>
  <c r="H23" i="221"/>
  <c r="I23" i="228"/>
  <c r="H23" i="230"/>
  <c r="F22" i="247"/>
  <c r="G22" i="278"/>
  <c r="F27" i="291"/>
  <c r="M23" i="232"/>
  <c r="G23" i="231"/>
  <c r="H71" i="34"/>
  <c r="J27" i="253"/>
  <c r="I26" i="299"/>
  <c r="G22" i="299"/>
  <c r="N26" i="300"/>
  <c r="L23" i="301"/>
  <c r="I26" i="301"/>
  <c r="K28" i="302"/>
  <c r="P26" i="302"/>
  <c r="Q21" i="303"/>
  <c r="O28" i="304"/>
  <c r="O26" i="304"/>
  <c r="G28" i="305"/>
  <c r="H23" i="305"/>
  <c r="M26" i="306"/>
  <c r="P28" i="307"/>
  <c r="K23" i="298"/>
  <c r="E26" i="308"/>
  <c r="F26" i="308"/>
  <c r="M27" i="308"/>
  <c r="Q20" i="308"/>
  <c r="G27" i="308"/>
  <c r="Q21" i="309"/>
  <c r="I28" i="309"/>
  <c r="K28" i="322"/>
  <c r="H28" i="322"/>
  <c r="H23" i="322"/>
  <c r="Q19" i="322"/>
  <c r="O23" i="299"/>
  <c r="O23" i="300"/>
  <c r="O22" i="300"/>
  <c r="K23" i="300"/>
  <c r="G22" i="300"/>
  <c r="G28" i="301"/>
  <c r="H23" i="301"/>
  <c r="P23" i="302"/>
  <c r="P23" i="307"/>
  <c r="G28" i="347"/>
  <c r="N28" i="347"/>
  <c r="O28" i="347"/>
  <c r="M28" i="347"/>
  <c r="H28" i="347"/>
  <c r="L27" i="348"/>
  <c r="F27" i="348"/>
  <c r="O28" i="348"/>
  <c r="H28" i="348"/>
  <c r="F28" i="348"/>
  <c r="N22" i="352"/>
  <c r="J22" i="352"/>
  <c r="H218" i="34"/>
  <c r="G28" i="354"/>
  <c r="E28" i="354"/>
  <c r="Q21" i="354"/>
  <c r="M28" i="354"/>
  <c r="P28" i="354"/>
  <c r="O28" i="354"/>
  <c r="E23" i="354"/>
  <c r="I28" i="354"/>
  <c r="N28" i="354"/>
  <c r="F28" i="354"/>
  <c r="I26" i="354"/>
  <c r="Q19" i="354"/>
  <c r="J26" i="354"/>
  <c r="O26" i="354"/>
  <c r="E27" i="355"/>
  <c r="L27" i="355"/>
  <c r="Q20" i="355"/>
  <c r="G27" i="355"/>
  <c r="M27" i="355"/>
  <c r="H27" i="355"/>
  <c r="E22" i="355"/>
  <c r="E29" i="355" s="1"/>
  <c r="O27" i="355"/>
  <c r="I27" i="355"/>
  <c r="N27" i="355"/>
  <c r="J27" i="355"/>
  <c r="N222" i="34" s="1"/>
  <c r="O28" i="355"/>
  <c r="Q21" i="355"/>
  <c r="N19" i="282"/>
  <c r="N26" i="282" s="1"/>
  <c r="J19" i="282"/>
  <c r="F19" i="282"/>
  <c r="F26" i="282" s="1"/>
  <c r="L87" i="206"/>
  <c r="M28" i="282" s="1"/>
  <c r="H87" i="206"/>
  <c r="I28" i="282" s="1"/>
  <c r="K23" i="326"/>
  <c r="K22" i="326"/>
  <c r="H205" i="34"/>
  <c r="F23" i="345"/>
  <c r="I27" i="345"/>
  <c r="F27" i="345"/>
  <c r="O28" i="346"/>
  <c r="P28" i="346"/>
  <c r="M22" i="355"/>
  <c r="L27" i="352"/>
  <c r="I27" i="352"/>
  <c r="J27" i="352"/>
  <c r="P27" i="352"/>
  <c r="M27" i="352"/>
  <c r="N27" i="352"/>
  <c r="H27" i="352"/>
  <c r="O27" i="352"/>
  <c r="Q20" i="352"/>
  <c r="G27" i="352"/>
  <c r="E27" i="352"/>
  <c r="F27" i="352"/>
  <c r="O28" i="352"/>
  <c r="G28" i="352"/>
  <c r="P28" i="352"/>
  <c r="M28" i="352"/>
  <c r="F28" i="352"/>
  <c r="N28" i="352"/>
  <c r="J28" i="352"/>
  <c r="K28" i="352"/>
  <c r="H28" i="352"/>
  <c r="Q21" i="352"/>
  <c r="L28" i="352"/>
  <c r="G26" i="299"/>
  <c r="N26" i="299"/>
  <c r="Q19" i="299"/>
  <c r="P27" i="299"/>
  <c r="G27" i="300"/>
  <c r="Q19" i="300"/>
  <c r="F23" i="300"/>
  <c r="N27" i="300"/>
  <c r="K26" i="300"/>
  <c r="Q20" i="300"/>
  <c r="J28" i="301"/>
  <c r="Q19" i="301"/>
  <c r="E28" i="301"/>
  <c r="O26" i="301"/>
  <c r="M26" i="301"/>
  <c r="H28" i="301"/>
  <c r="N26" i="301"/>
  <c r="L22" i="301"/>
  <c r="F28" i="302"/>
  <c r="H26" i="302"/>
  <c r="K26" i="302"/>
  <c r="H28" i="302"/>
  <c r="N26" i="302"/>
  <c r="P22" i="302"/>
  <c r="O28" i="302"/>
  <c r="J28" i="303"/>
  <c r="M28" i="303"/>
  <c r="J28" i="304"/>
  <c r="L26" i="304"/>
  <c r="E28" i="304"/>
  <c r="E30" i="304" s="1"/>
  <c r="P28" i="304"/>
  <c r="Q21" i="304"/>
  <c r="F28" i="305"/>
  <c r="H26" i="305"/>
  <c r="M28" i="305"/>
  <c r="O28" i="305"/>
  <c r="K28" i="305"/>
  <c r="L26" i="306"/>
  <c r="G26" i="306"/>
  <c r="N26" i="306"/>
  <c r="M28" i="342"/>
  <c r="P28" i="342"/>
  <c r="Q19" i="347"/>
  <c r="P26" i="347"/>
  <c r="I28" i="348"/>
  <c r="I27" i="348"/>
  <c r="Q21" i="348"/>
  <c r="Q20" i="348"/>
  <c r="P23" i="306"/>
  <c r="J22" i="307"/>
  <c r="H137" i="34"/>
  <c r="J23" i="308"/>
  <c r="H142" i="34"/>
  <c r="J22" i="324"/>
  <c r="J22" i="326"/>
  <c r="H172" i="34"/>
  <c r="O22" i="328"/>
  <c r="O23" i="328"/>
  <c r="G22" i="329"/>
  <c r="G23" i="329"/>
  <c r="G22" i="330"/>
  <c r="M26" i="330"/>
  <c r="E26" i="331"/>
  <c r="P26" i="331"/>
  <c r="O23" i="331"/>
  <c r="G23" i="331"/>
  <c r="O23" i="332"/>
  <c r="G28" i="333"/>
  <c r="J28" i="299"/>
  <c r="F22" i="299"/>
  <c r="F22" i="301"/>
  <c r="G23" i="302"/>
  <c r="G23" i="304"/>
  <c r="G22" i="305"/>
  <c r="N23" i="322"/>
  <c r="M23" i="323"/>
  <c r="L23" i="324"/>
  <c r="J27" i="325"/>
  <c r="M23" i="325"/>
  <c r="F22" i="330"/>
  <c r="M28" i="353"/>
  <c r="G28" i="353"/>
  <c r="K28" i="353"/>
  <c r="H28" i="353"/>
  <c r="J28" i="353"/>
  <c r="N28" i="353"/>
  <c r="Q21" i="353"/>
  <c r="L28" i="353"/>
  <c r="N22" i="353"/>
  <c r="J22" i="353"/>
  <c r="J23" i="353"/>
  <c r="H219" i="34"/>
  <c r="F22" i="353"/>
  <c r="P27" i="353"/>
  <c r="M27" i="353"/>
  <c r="Q20" i="353"/>
  <c r="J27" i="353"/>
  <c r="O27" i="353"/>
  <c r="N27" i="353"/>
  <c r="L27" i="353"/>
  <c r="F23" i="353"/>
  <c r="G27" i="353"/>
  <c r="M207" i="205"/>
  <c r="N19" i="353" s="1"/>
  <c r="N23" i="353" s="1"/>
  <c r="N19" i="352"/>
  <c r="N23" i="352" s="1"/>
  <c r="F22" i="302"/>
  <c r="I26" i="304"/>
  <c r="G28" i="304"/>
  <c r="N23" i="304"/>
  <c r="F22" i="304"/>
  <c r="M23" i="304"/>
  <c r="P23" i="308"/>
  <c r="L23" i="308"/>
  <c r="I26" i="308"/>
  <c r="P23" i="329"/>
  <c r="L23" i="329"/>
  <c r="P23" i="330"/>
  <c r="P23" i="331"/>
  <c r="L23" i="331"/>
  <c r="J22" i="355"/>
  <c r="H222" i="34"/>
  <c r="J23" i="355"/>
  <c r="J26" i="355"/>
  <c r="P26" i="355"/>
  <c r="N26" i="355"/>
  <c r="L26" i="355"/>
  <c r="O26" i="355"/>
  <c r="M26" i="355"/>
  <c r="Q19" i="355"/>
  <c r="H28" i="356"/>
  <c r="K28" i="356"/>
  <c r="F28" i="356"/>
  <c r="Q21" i="356"/>
  <c r="O27" i="356"/>
  <c r="J27" i="356"/>
  <c r="I27" i="356"/>
  <c r="K27" i="356"/>
  <c r="P27" i="356"/>
  <c r="Q20" i="356"/>
  <c r="H23" i="356"/>
  <c r="H27" i="356"/>
  <c r="L27" i="356"/>
  <c r="H22" i="356"/>
  <c r="M26" i="356"/>
  <c r="K26" i="356"/>
  <c r="J26" i="356"/>
  <c r="Q19" i="356"/>
  <c r="I28" i="357"/>
  <c r="H28" i="357"/>
  <c r="O28" i="357"/>
  <c r="Q21" i="357"/>
  <c r="N22" i="357"/>
  <c r="N23" i="357"/>
  <c r="G22" i="357"/>
  <c r="O27" i="357"/>
  <c r="J27" i="357"/>
  <c r="Q20" i="357"/>
  <c r="K27" i="357"/>
  <c r="H27" i="357"/>
  <c r="M27" i="357"/>
  <c r="G27" i="357"/>
  <c r="P27" i="357"/>
  <c r="G224" i="34"/>
  <c r="Q224" i="34" s="1"/>
  <c r="J23" i="357"/>
  <c r="K26" i="357"/>
  <c r="F23" i="357"/>
  <c r="P23" i="354"/>
  <c r="P22" i="354"/>
  <c r="L23" i="344"/>
  <c r="H23" i="344"/>
  <c r="F22" i="350"/>
  <c r="F22" i="351"/>
  <c r="G164" i="206"/>
  <c r="H21" i="339" s="1"/>
  <c r="N19" i="281"/>
  <c r="N26" i="281" s="1"/>
  <c r="J19" i="281"/>
  <c r="D144" i="206"/>
  <c r="F28" i="334" s="1"/>
  <c r="M19" i="334"/>
  <c r="I19" i="334"/>
  <c r="O144" i="206"/>
  <c r="E144" i="206"/>
  <c r="G144" i="206"/>
  <c r="G145" i="206"/>
  <c r="P23" i="342"/>
  <c r="L23" i="342"/>
  <c r="I26" i="342"/>
  <c r="G28" i="348"/>
  <c r="J23" i="348"/>
  <c r="F22" i="348"/>
  <c r="G23" i="357"/>
  <c r="F19" i="281"/>
  <c r="L86" i="206"/>
  <c r="M28" i="281" s="1"/>
  <c r="E87" i="206"/>
  <c r="F28" i="282" s="1"/>
  <c r="M88" i="206"/>
  <c r="N28" i="283" s="1"/>
  <c r="L164" i="206"/>
  <c r="M21" i="339" s="1"/>
  <c r="F26" i="268"/>
  <c r="F22" i="268"/>
  <c r="H154" i="34"/>
  <c r="J22" i="314"/>
  <c r="J23" i="314"/>
  <c r="O28" i="217"/>
  <c r="F28" i="319"/>
  <c r="G26" i="310"/>
  <c r="H26" i="310"/>
  <c r="E23" i="310"/>
  <c r="E26" i="310"/>
  <c r="J26" i="319"/>
  <c r="E26" i="319"/>
  <c r="F26" i="316"/>
  <c r="I26" i="312"/>
  <c r="J26" i="312"/>
  <c r="L26" i="312"/>
  <c r="G26" i="312"/>
  <c r="E23" i="312"/>
  <c r="E22" i="312"/>
  <c r="E27" i="312"/>
  <c r="G160" i="34"/>
  <c r="J23" i="320"/>
  <c r="J22" i="320"/>
  <c r="H22" i="318"/>
  <c r="H23" i="318"/>
  <c r="F26" i="313"/>
  <c r="F22" i="313"/>
  <c r="H26" i="313"/>
  <c r="F23" i="313"/>
  <c r="G151" i="34"/>
  <c r="J23" i="311"/>
  <c r="F26" i="311"/>
  <c r="F22" i="311"/>
  <c r="F23" i="311"/>
  <c r="K26" i="311"/>
  <c r="L145" i="207"/>
  <c r="H145" i="207"/>
  <c r="G23" i="211"/>
  <c r="N22" i="312"/>
  <c r="L23" i="319"/>
  <c r="K23" i="311"/>
  <c r="L23" i="244"/>
  <c r="F22" i="312"/>
  <c r="M26" i="314"/>
  <c r="G27" i="318"/>
  <c r="G23" i="318"/>
  <c r="H159" i="34"/>
  <c r="J22" i="317"/>
  <c r="J27" i="313"/>
  <c r="P27" i="313"/>
  <c r="H27" i="310"/>
  <c r="H22" i="310"/>
  <c r="O27" i="310"/>
  <c r="H23" i="310"/>
  <c r="G23" i="209"/>
  <c r="G22" i="209"/>
  <c r="N23" i="250"/>
  <c r="P26" i="222"/>
  <c r="F26" i="250"/>
  <c r="F22" i="250"/>
  <c r="H102" i="34"/>
  <c r="J27" i="280"/>
  <c r="G22" i="309"/>
  <c r="G23" i="309"/>
  <c r="F27" i="303"/>
  <c r="F23" i="303"/>
  <c r="D174" i="205"/>
  <c r="L174" i="205"/>
  <c r="H146" i="206"/>
  <c r="G28" i="320"/>
  <c r="L28" i="320"/>
  <c r="E23" i="320"/>
  <c r="M28" i="320"/>
  <c r="E28" i="320"/>
  <c r="F28" i="316"/>
  <c r="E28" i="316"/>
  <c r="F28" i="311"/>
  <c r="H28" i="311"/>
  <c r="G28" i="311"/>
  <c r="F27" i="318"/>
  <c r="P27" i="318"/>
  <c r="J27" i="318"/>
  <c r="M27" i="318"/>
  <c r="G164" i="34"/>
  <c r="Q164" i="34" s="1"/>
  <c r="J22" i="318"/>
  <c r="G158" i="34"/>
  <c r="J23" i="316"/>
  <c r="F23" i="316"/>
  <c r="F22" i="316"/>
  <c r="G22" i="312"/>
  <c r="G23" i="312"/>
  <c r="L28" i="317"/>
  <c r="M28" i="317"/>
  <c r="G28" i="317"/>
  <c r="F28" i="317"/>
  <c r="N28" i="313"/>
  <c r="L23" i="240"/>
  <c r="L26" i="240"/>
  <c r="L30" i="240" s="1"/>
  <c r="H22" i="240"/>
  <c r="H26" i="240"/>
  <c r="H30" i="240" s="1"/>
  <c r="H23" i="240"/>
  <c r="I22" i="320"/>
  <c r="G26" i="236"/>
  <c r="G30" i="236" s="1"/>
  <c r="G22" i="236"/>
  <c r="G26" i="247"/>
  <c r="G30" i="247" s="1"/>
  <c r="G22" i="247"/>
  <c r="J26" i="258"/>
  <c r="J22" i="258"/>
  <c r="F27" i="313"/>
  <c r="P23" i="320"/>
  <c r="L23" i="318"/>
  <c r="M23" i="314"/>
  <c r="G22" i="314"/>
  <c r="N23" i="311"/>
  <c r="P28" i="320"/>
  <c r="Q21" i="317"/>
  <c r="H22" i="316"/>
  <c r="N27" i="314"/>
  <c r="G26" i="235"/>
  <c r="G22" i="235"/>
  <c r="G22" i="253"/>
  <c r="E16" i="206"/>
  <c r="F22" i="215"/>
  <c r="E30" i="206"/>
  <c r="O27" i="342"/>
  <c r="I27" i="342"/>
  <c r="E22" i="342"/>
  <c r="P27" i="342"/>
  <c r="G27" i="342"/>
  <c r="M27" i="342"/>
  <c r="F27" i="342"/>
  <c r="K27" i="342"/>
  <c r="G12" i="206"/>
  <c r="G30" i="206"/>
  <c r="I26" i="206"/>
  <c r="J22" i="272"/>
  <c r="K28" i="293"/>
  <c r="E26" i="343"/>
  <c r="E30" i="343" s="1"/>
  <c r="E22" i="343"/>
  <c r="Q21" i="343"/>
  <c r="I28" i="343"/>
  <c r="L28" i="343"/>
  <c r="M28" i="343"/>
  <c r="H203" i="34"/>
  <c r="M27" i="343"/>
  <c r="O27" i="343"/>
  <c r="J27" i="343"/>
  <c r="K27" i="343"/>
  <c r="N26" i="350"/>
  <c r="P26" i="350"/>
  <c r="K26" i="350"/>
  <c r="M26" i="350"/>
  <c r="O26" i="350"/>
  <c r="H26" i="350"/>
  <c r="I27" i="351"/>
  <c r="F27" i="351"/>
  <c r="K27" i="351"/>
  <c r="J27" i="351"/>
  <c r="N28" i="351"/>
  <c r="Q21" i="351"/>
  <c r="L28" i="351"/>
  <c r="I28" i="351"/>
  <c r="G28" i="351"/>
  <c r="P28" i="351"/>
  <c r="M28" i="351"/>
  <c r="F28" i="351"/>
  <c r="M22" i="351"/>
  <c r="M23" i="351"/>
  <c r="O26" i="247"/>
  <c r="H22" i="264"/>
  <c r="G22" i="270"/>
  <c r="H58" i="34"/>
  <c r="J27" i="234"/>
  <c r="G27" i="299"/>
  <c r="N27" i="299"/>
  <c r="J22" i="299"/>
  <c r="H133" i="34"/>
  <c r="M26" i="300"/>
  <c r="E26" i="300"/>
  <c r="N23" i="300"/>
  <c r="N22" i="300"/>
  <c r="J22" i="300"/>
  <c r="H134" i="34"/>
  <c r="J23" i="300"/>
  <c r="F22" i="300"/>
  <c r="O27" i="300"/>
  <c r="O23" i="301"/>
  <c r="O22" i="301"/>
  <c r="K22" i="301"/>
  <c r="K23" i="301"/>
  <c r="G22" i="301"/>
  <c r="G23" i="301"/>
  <c r="J23" i="301"/>
  <c r="G135" i="34"/>
  <c r="J22" i="301"/>
  <c r="Q21" i="305"/>
  <c r="G141" i="34"/>
  <c r="J23" i="305"/>
  <c r="J22" i="305"/>
  <c r="H28" i="306"/>
  <c r="M28" i="306"/>
  <c r="J28" i="306"/>
  <c r="O22" i="306"/>
  <c r="O23" i="306"/>
  <c r="K23" i="306"/>
  <c r="K22" i="306"/>
  <c r="G22" i="306"/>
  <c r="G23" i="306"/>
  <c r="H27" i="306"/>
  <c r="G146" i="34"/>
  <c r="J22" i="306"/>
  <c r="I26" i="306"/>
  <c r="P26" i="306"/>
  <c r="F22" i="306"/>
  <c r="J26" i="306"/>
  <c r="O26" i="306"/>
  <c r="H26" i="306"/>
  <c r="K28" i="307"/>
  <c r="L28" i="307"/>
  <c r="I28" i="307"/>
  <c r="O22" i="307"/>
  <c r="O23" i="307"/>
  <c r="K22" i="307"/>
  <c r="K23" i="307"/>
  <c r="H22" i="307"/>
  <c r="H23" i="307"/>
  <c r="N26" i="307"/>
  <c r="Q19" i="307"/>
  <c r="K28" i="308"/>
  <c r="L28" i="308"/>
  <c r="M28" i="308"/>
  <c r="G23" i="322"/>
  <c r="G22" i="322"/>
  <c r="J27" i="322"/>
  <c r="P27" i="322"/>
  <c r="J22" i="322"/>
  <c r="G168" i="34"/>
  <c r="P26" i="322"/>
  <c r="F26" i="322"/>
  <c r="L26" i="322"/>
  <c r="J27" i="323"/>
  <c r="G27" i="323"/>
  <c r="P28" i="323"/>
  <c r="I23" i="323"/>
  <c r="I22" i="323"/>
  <c r="P26" i="323"/>
  <c r="Q21" i="324"/>
  <c r="H28" i="324"/>
  <c r="I22" i="324"/>
  <c r="I23" i="324"/>
  <c r="L28" i="325"/>
  <c r="J22" i="328"/>
  <c r="H176" i="34"/>
  <c r="M27" i="328"/>
  <c r="N27" i="328"/>
  <c r="K27" i="328"/>
  <c r="J22" i="332"/>
  <c r="J23" i="332"/>
  <c r="L27" i="332"/>
  <c r="M27" i="332"/>
  <c r="N27" i="332"/>
  <c r="Q20" i="332"/>
  <c r="P27" i="332"/>
  <c r="G22" i="246"/>
  <c r="Q20" i="342"/>
  <c r="N27" i="342"/>
  <c r="E27" i="342"/>
  <c r="J22" i="304"/>
  <c r="H140" i="34"/>
  <c r="J23" i="304"/>
  <c r="P26" i="329"/>
  <c r="P26" i="330"/>
  <c r="O28" i="331"/>
  <c r="N28" i="331"/>
  <c r="G28" i="331"/>
  <c r="O27" i="331"/>
  <c r="M26" i="331"/>
  <c r="O27" i="332"/>
  <c r="O22" i="349"/>
  <c r="O23" i="349"/>
  <c r="G213" i="34"/>
  <c r="J23" i="349"/>
  <c r="H23" i="350"/>
  <c r="H22" i="350"/>
  <c r="E26" i="357"/>
  <c r="E30" i="357" s="1"/>
  <c r="L26" i="357"/>
  <c r="G26" i="357"/>
  <c r="Q19" i="357"/>
  <c r="M26" i="357"/>
  <c r="H26" i="357"/>
  <c r="N26" i="357"/>
  <c r="E22" i="357"/>
  <c r="E29" i="357" s="1"/>
  <c r="E23" i="357"/>
  <c r="I26" i="357"/>
  <c r="O26" i="357"/>
  <c r="J26" i="357"/>
  <c r="E19" i="352"/>
  <c r="D207" i="205"/>
  <c r="E19" i="353" s="1"/>
  <c r="F26" i="353" s="1"/>
  <c r="M19" i="352"/>
  <c r="M23" i="352" s="1"/>
  <c r="L207" i="205"/>
  <c r="M19" i="353" s="1"/>
  <c r="M23" i="353" s="1"/>
  <c r="I19" i="352"/>
  <c r="I23" i="352" s="1"/>
  <c r="H207" i="205"/>
  <c r="I19" i="353" s="1"/>
  <c r="I23" i="353" s="1"/>
  <c r="O27" i="348"/>
  <c r="G210" i="34"/>
  <c r="M23" i="302"/>
  <c r="I23" i="302"/>
  <c r="O22" i="326"/>
  <c r="O23" i="326"/>
  <c r="G22" i="326"/>
  <c r="G23" i="326"/>
  <c r="H22" i="329"/>
  <c r="H23" i="329"/>
  <c r="M23" i="347"/>
  <c r="I23" i="347"/>
  <c r="P26" i="357"/>
  <c r="H23" i="342"/>
  <c r="J22" i="325"/>
  <c r="J23" i="325"/>
  <c r="I23" i="325"/>
  <c r="I26" i="325"/>
  <c r="G22" i="328"/>
  <c r="G23" i="328"/>
  <c r="O22" i="329"/>
  <c r="O23" i="329"/>
  <c r="K22" i="329"/>
  <c r="K23" i="329"/>
  <c r="G22" i="332"/>
  <c r="G23" i="332"/>
  <c r="M26" i="332"/>
  <c r="G22" i="344"/>
  <c r="G23" i="344"/>
  <c r="H73" i="34"/>
  <c r="H100" i="34"/>
  <c r="I22" i="299"/>
  <c r="J22" i="308"/>
  <c r="P23" i="322"/>
  <c r="P23" i="323"/>
  <c r="L23" i="330"/>
  <c r="H23" i="330"/>
  <c r="G28" i="332"/>
  <c r="G28" i="344"/>
  <c r="G22" i="345"/>
  <c r="M26" i="354"/>
  <c r="P26" i="354"/>
  <c r="K26" i="354"/>
  <c r="L26" i="354"/>
  <c r="K28" i="355"/>
  <c r="P28" i="355"/>
  <c r="M28" i="355"/>
  <c r="N28" i="355"/>
  <c r="H23" i="355"/>
  <c r="H22" i="355"/>
  <c r="G23" i="355"/>
  <c r="H26" i="355"/>
  <c r="F26" i="356"/>
  <c r="I26" i="356"/>
  <c r="P26" i="356"/>
  <c r="E26" i="356"/>
  <c r="L26" i="356"/>
  <c r="O26" i="356"/>
  <c r="N26" i="356"/>
  <c r="I28" i="356"/>
  <c r="N28" i="356"/>
  <c r="L28" i="356"/>
  <c r="L19" i="282"/>
  <c r="E26" i="206"/>
  <c r="F16" i="206"/>
  <c r="F30" i="206"/>
  <c r="G28" i="326"/>
  <c r="N23" i="342"/>
  <c r="F23" i="342"/>
  <c r="G28" i="343"/>
  <c r="O27" i="344"/>
  <c r="N30" i="255"/>
  <c r="L28" i="354"/>
  <c r="K28" i="354"/>
  <c r="H28" i="354"/>
  <c r="E27" i="354"/>
  <c r="P27" i="354"/>
  <c r="G23" i="325"/>
  <c r="G30" i="233"/>
  <c r="G28" i="357"/>
  <c r="L28" i="357"/>
  <c r="N28" i="357"/>
  <c r="N145" i="206"/>
  <c r="F22" i="357"/>
  <c r="G207" i="205"/>
  <c r="H19" i="353" s="1"/>
  <c r="H23" i="353" s="1"/>
  <c r="P19" i="281"/>
  <c r="L19" i="334"/>
  <c r="N144" i="206"/>
  <c r="J144" i="206"/>
  <c r="M145" i="206"/>
  <c r="O23" i="354"/>
  <c r="I28" i="355"/>
  <c r="D157" i="206"/>
  <c r="E19" i="281"/>
  <c r="H19" i="281"/>
  <c r="N86" i="206"/>
  <c r="O28" i="281" s="1"/>
  <c r="L88" i="206"/>
  <c r="M28" i="283" s="1"/>
  <c r="G19" i="334"/>
  <c r="M144" i="206"/>
  <c r="L145" i="206"/>
  <c r="O164" i="206"/>
  <c r="P21" i="339" s="1"/>
  <c r="K164" i="206"/>
  <c r="L21" i="339" s="1"/>
  <c r="E145" i="207"/>
  <c r="D145" i="207"/>
  <c r="L23" i="309"/>
  <c r="L22" i="309"/>
  <c r="I174" i="205"/>
  <c r="I146" i="206"/>
  <c r="K26" i="346"/>
  <c r="O26" i="346"/>
  <c r="F22" i="346"/>
  <c r="F26" i="346"/>
  <c r="I26" i="346"/>
  <c r="N26" i="346"/>
  <c r="G26" i="346"/>
  <c r="J26" i="346"/>
  <c r="L26" i="346"/>
  <c r="H26" i="346"/>
  <c r="Q19" i="346"/>
  <c r="P26" i="346"/>
  <c r="K26" i="314"/>
  <c r="E22" i="314"/>
  <c r="E29" i="314" s="1"/>
  <c r="P26" i="314"/>
  <c r="G26" i="314"/>
  <c r="Q19" i="314"/>
  <c r="E26" i="314"/>
  <c r="J26" i="314"/>
  <c r="F26" i="314"/>
  <c r="O26" i="319"/>
  <c r="Q19" i="319"/>
  <c r="N26" i="319"/>
  <c r="K23" i="319"/>
  <c r="H26" i="318"/>
  <c r="M26" i="318"/>
  <c r="O26" i="318"/>
  <c r="I26" i="318"/>
  <c r="N26" i="318"/>
  <c r="F22" i="318"/>
  <c r="J26" i="318"/>
  <c r="Q19" i="318"/>
  <c r="H22" i="313"/>
  <c r="J26" i="313"/>
  <c r="H23" i="313"/>
  <c r="O26" i="313"/>
  <c r="Q19" i="313"/>
  <c r="L26" i="313"/>
  <c r="O28" i="316"/>
  <c r="K28" i="316"/>
  <c r="P28" i="316"/>
  <c r="J28" i="316"/>
  <c r="Q21" i="316"/>
  <c r="L28" i="313"/>
  <c r="H28" i="313"/>
  <c r="J28" i="313"/>
  <c r="Q21" i="313"/>
  <c r="O28" i="313"/>
  <c r="P28" i="313"/>
  <c r="I28" i="313"/>
  <c r="K28" i="313"/>
  <c r="N28" i="311"/>
  <c r="I28" i="311"/>
  <c r="O28" i="311"/>
  <c r="J28" i="311"/>
  <c r="M28" i="311"/>
  <c r="Q21" i="311"/>
  <c r="L28" i="311"/>
  <c r="L22" i="320"/>
  <c r="L23" i="320"/>
  <c r="H155" i="34"/>
  <c r="J23" i="319"/>
  <c r="P23" i="317"/>
  <c r="P22" i="317"/>
  <c r="N22" i="313"/>
  <c r="N23" i="313"/>
  <c r="L22" i="312"/>
  <c r="L23" i="312"/>
  <c r="O23" i="310"/>
  <c r="O22" i="310"/>
  <c r="G28" i="209"/>
  <c r="Q21" i="209"/>
  <c r="P28" i="209"/>
  <c r="M28" i="209"/>
  <c r="J28" i="209"/>
  <c r="H28" i="209"/>
  <c r="E23" i="209"/>
  <c r="O28" i="209"/>
  <c r="L28" i="209"/>
  <c r="F28" i="209"/>
  <c r="E28" i="209"/>
  <c r="K28" i="209"/>
  <c r="I28" i="209"/>
  <c r="F22" i="216"/>
  <c r="M26" i="216"/>
  <c r="J26" i="216"/>
  <c r="K26" i="216"/>
  <c r="P26" i="216"/>
  <c r="I26" i="216"/>
  <c r="L26" i="216"/>
  <c r="N26" i="216"/>
  <c r="F23" i="216"/>
  <c r="Q19" i="216"/>
  <c r="G26" i="216"/>
  <c r="O26" i="216"/>
  <c r="H26" i="216"/>
  <c r="N28" i="217"/>
  <c r="H28" i="217"/>
  <c r="Q21" i="217"/>
  <c r="P28" i="217"/>
  <c r="M28" i="217"/>
  <c r="J28" i="217"/>
  <c r="G28" i="217"/>
  <c r="I28" i="217"/>
  <c r="K28" i="217"/>
  <c r="G28" i="218"/>
  <c r="K28" i="218"/>
  <c r="L28" i="218"/>
  <c r="I28" i="218"/>
  <c r="F28" i="218"/>
  <c r="N28" i="218"/>
  <c r="O28" i="218"/>
  <c r="Q21" i="218"/>
  <c r="J28" i="218"/>
  <c r="E28" i="218"/>
  <c r="H28" i="218"/>
  <c r="M28" i="218"/>
  <c r="P23" i="218"/>
  <c r="Q19" i="218"/>
  <c r="P26" i="218"/>
  <c r="M16" i="34" s="1"/>
  <c r="K23" i="221"/>
  <c r="O26" i="221"/>
  <c r="Q19" i="221"/>
  <c r="P26" i="221"/>
  <c r="K26" i="221"/>
  <c r="G28" i="223"/>
  <c r="Q21" i="223"/>
  <c r="I28" i="223"/>
  <c r="N28" i="223"/>
  <c r="K28" i="223"/>
  <c r="E23" i="223"/>
  <c r="P28" i="223"/>
  <c r="M26" i="223"/>
  <c r="P26" i="223"/>
  <c r="J26" i="223"/>
  <c r="K26" i="223"/>
  <c r="Q19" i="223"/>
  <c r="F23" i="223"/>
  <c r="H26" i="223"/>
  <c r="F26" i="223"/>
  <c r="I26" i="223"/>
  <c r="N26" i="223"/>
  <c r="G26" i="223"/>
  <c r="L26" i="223"/>
  <c r="K23" i="226"/>
  <c r="P26" i="226"/>
  <c r="K26" i="226"/>
  <c r="Q19" i="226"/>
  <c r="M26" i="226"/>
  <c r="N26" i="226"/>
  <c r="O26" i="226"/>
  <c r="L26" i="226"/>
  <c r="O28" i="227"/>
  <c r="H28" i="227"/>
  <c r="I28" i="227"/>
  <c r="J28" i="227"/>
  <c r="G28" i="227"/>
  <c r="K28" i="227"/>
  <c r="L28" i="227"/>
  <c r="M28" i="227"/>
  <c r="Q21" i="227"/>
  <c r="P28" i="227"/>
  <c r="F28" i="227"/>
  <c r="N28" i="227"/>
  <c r="O23" i="227"/>
  <c r="Q19" i="227"/>
  <c r="P26" i="227"/>
  <c r="M23" i="231"/>
  <c r="M26" i="231"/>
  <c r="N26" i="231"/>
  <c r="O26" i="231"/>
  <c r="P26" i="231"/>
  <c r="Q19" i="231"/>
  <c r="I26" i="234"/>
  <c r="I30" i="234" s="1"/>
  <c r="I22" i="234"/>
  <c r="I23" i="234"/>
  <c r="E26" i="235"/>
  <c r="Q19" i="235"/>
  <c r="E23" i="235"/>
  <c r="E22" i="235"/>
  <c r="O28" i="237"/>
  <c r="Q21" i="237"/>
  <c r="J28" i="241"/>
  <c r="Q21" i="241"/>
  <c r="J22" i="354"/>
  <c r="H220" i="34"/>
  <c r="J23" i="354"/>
  <c r="I22" i="216"/>
  <c r="P28" i="218"/>
  <c r="M26" i="221"/>
  <c r="N26" i="221"/>
  <c r="O26" i="227"/>
  <c r="K23" i="316"/>
  <c r="L26" i="280"/>
  <c r="L23" i="280"/>
  <c r="Q19" i="280"/>
  <c r="I28" i="334"/>
  <c r="K28" i="334"/>
  <c r="Q20" i="297"/>
  <c r="P27" i="297"/>
  <c r="J27" i="297"/>
  <c r="O27" i="297"/>
  <c r="I27" i="297"/>
  <c r="N27" i="297"/>
  <c r="M27" i="297"/>
  <c r="L27" i="297"/>
  <c r="K27" i="297"/>
  <c r="H27" i="297"/>
  <c r="P23" i="309"/>
  <c r="P22" i="309"/>
  <c r="E174" i="205"/>
  <c r="M146" i="206"/>
  <c r="K28" i="318"/>
  <c r="M28" i="318"/>
  <c r="G28" i="318"/>
  <c r="F28" i="318"/>
  <c r="E28" i="318"/>
  <c r="P28" i="318"/>
  <c r="E23" i="318"/>
  <c r="M26" i="320"/>
  <c r="F22" i="320"/>
  <c r="I26" i="320"/>
  <c r="F23" i="320"/>
  <c r="O26" i="320"/>
  <c r="K26" i="320"/>
  <c r="G26" i="317"/>
  <c r="K26" i="317"/>
  <c r="G23" i="317"/>
  <c r="P26" i="317"/>
  <c r="G22" i="317"/>
  <c r="F22" i="234"/>
  <c r="F26" i="234"/>
  <c r="F30" i="234" s="1"/>
  <c r="Q19" i="234"/>
  <c r="F23" i="234"/>
  <c r="N28" i="209"/>
  <c r="J26" i="215"/>
  <c r="F26" i="216"/>
  <c r="F30" i="216" s="1"/>
  <c r="L26" i="221"/>
  <c r="O22" i="327"/>
  <c r="O27" i="327"/>
  <c r="O23" i="327"/>
  <c r="Q20" i="327"/>
  <c r="P27" i="327"/>
  <c r="F23" i="346"/>
  <c r="P27" i="268"/>
  <c r="P23" i="268"/>
  <c r="P22" i="268"/>
  <c r="Q20" i="268"/>
  <c r="P22" i="297"/>
  <c r="H23" i="309"/>
  <c r="H22" i="309"/>
  <c r="G27" i="303"/>
  <c r="M174" i="205"/>
  <c r="M175" i="205" s="1"/>
  <c r="N19" i="362" s="1"/>
  <c r="E146" i="206"/>
  <c r="E27" i="317"/>
  <c r="E22" i="317"/>
  <c r="E29" i="317" s="1"/>
  <c r="N27" i="317"/>
  <c r="M27" i="317"/>
  <c r="J27" i="317"/>
  <c r="Q20" i="317"/>
  <c r="O26" i="316"/>
  <c r="Q19" i="316"/>
  <c r="L23" i="316"/>
  <c r="M26" i="316"/>
  <c r="N26" i="312"/>
  <c r="M23" i="312"/>
  <c r="P26" i="312"/>
  <c r="J26" i="311"/>
  <c r="P26" i="311"/>
  <c r="H22" i="311"/>
  <c r="M26" i="311"/>
  <c r="I26" i="311"/>
  <c r="O26" i="311"/>
  <c r="M26" i="310"/>
  <c r="I23" i="310"/>
  <c r="O26" i="310"/>
  <c r="I22" i="310"/>
  <c r="L26" i="310"/>
  <c r="N26" i="310"/>
  <c r="P28" i="319"/>
  <c r="K28" i="319"/>
  <c r="M28" i="314"/>
  <c r="N28" i="314"/>
  <c r="I28" i="314"/>
  <c r="H28" i="314"/>
  <c r="O28" i="312"/>
  <c r="N28" i="312"/>
  <c r="H28" i="312"/>
  <c r="Q21" i="312"/>
  <c r="J28" i="312"/>
  <c r="I28" i="312"/>
  <c r="O23" i="320"/>
  <c r="O22" i="320"/>
  <c r="G22" i="319"/>
  <c r="P27" i="319"/>
  <c r="L27" i="319"/>
  <c r="Q20" i="319"/>
  <c r="I27" i="319"/>
  <c r="G23" i="319"/>
  <c r="N27" i="319"/>
  <c r="M23" i="317"/>
  <c r="M22" i="317"/>
  <c r="N27" i="316"/>
  <c r="H23" i="316"/>
  <c r="M27" i="316"/>
  <c r="Q20" i="316"/>
  <c r="P27" i="316"/>
  <c r="I27" i="316"/>
  <c r="L27" i="316"/>
  <c r="J27" i="314"/>
  <c r="M27" i="314"/>
  <c r="F23" i="314"/>
  <c r="Q20" i="314"/>
  <c r="I22" i="312"/>
  <c r="M27" i="312"/>
  <c r="L27" i="312"/>
  <c r="Q20" i="312"/>
  <c r="N27" i="312"/>
  <c r="I23" i="312"/>
  <c r="P27" i="311"/>
  <c r="O27" i="311"/>
  <c r="O30" i="311" s="1"/>
  <c r="J27" i="311"/>
  <c r="M27" i="311"/>
  <c r="M30" i="311" s="1"/>
  <c r="G22" i="311"/>
  <c r="Q20" i="311"/>
  <c r="O23" i="210"/>
  <c r="O26" i="210"/>
  <c r="P26" i="210"/>
  <c r="Q19" i="210"/>
  <c r="G23" i="215"/>
  <c r="L26" i="215"/>
  <c r="N26" i="215"/>
  <c r="K26" i="215"/>
  <c r="P26" i="215"/>
  <c r="M26" i="215"/>
  <c r="Q19" i="215"/>
  <c r="G26" i="215"/>
  <c r="J22" i="217"/>
  <c r="J26" i="217"/>
  <c r="O26" i="217"/>
  <c r="G11" i="34"/>
  <c r="P26" i="217"/>
  <c r="J23" i="217"/>
  <c r="L26" i="217"/>
  <c r="K26" i="217"/>
  <c r="N26" i="217"/>
  <c r="M26" i="217"/>
  <c r="Q19" i="217"/>
  <c r="J23" i="223"/>
  <c r="G27" i="34"/>
  <c r="J22" i="223"/>
  <c r="M23" i="234"/>
  <c r="M26" i="234"/>
  <c r="M30" i="234" s="1"/>
  <c r="N26" i="235"/>
  <c r="N30" i="235" s="1"/>
  <c r="N23" i="235"/>
  <c r="E26" i="237"/>
  <c r="E30" i="237" s="1"/>
  <c r="E22" i="237"/>
  <c r="Q19" i="237"/>
  <c r="E23" i="237"/>
  <c r="N23" i="243"/>
  <c r="N26" i="243"/>
  <c r="Q19" i="243"/>
  <c r="J28" i="245"/>
  <c r="Q21" i="245"/>
  <c r="O26" i="215"/>
  <c r="L28" i="217"/>
  <c r="E23" i="218"/>
  <c r="M26" i="346"/>
  <c r="N22" i="232"/>
  <c r="N23" i="232"/>
  <c r="G27" i="310"/>
  <c r="E27" i="310"/>
  <c r="G27" i="320"/>
  <c r="E27" i="320"/>
  <c r="J23" i="317"/>
  <c r="G159" i="34"/>
  <c r="J27" i="316"/>
  <c r="G23" i="214"/>
  <c r="G22" i="214"/>
  <c r="K26" i="245"/>
  <c r="K23" i="245"/>
  <c r="H26" i="245"/>
  <c r="H30" i="245" s="1"/>
  <c r="H23" i="245"/>
  <c r="H22" i="245"/>
  <c r="O26" i="249"/>
  <c r="O30" i="249" s="1"/>
  <c r="O23" i="249"/>
  <c r="J26" i="252"/>
  <c r="J23" i="252"/>
  <c r="L26" i="261"/>
  <c r="L30" i="261" s="1"/>
  <c r="L23" i="261"/>
  <c r="P26" i="270"/>
  <c r="P23" i="270"/>
  <c r="H27" i="320"/>
  <c r="G28" i="334"/>
  <c r="G27" i="319"/>
  <c r="E27" i="319"/>
  <c r="P28" i="311"/>
  <c r="P26" i="246"/>
  <c r="P23" i="246"/>
  <c r="O26" i="248"/>
  <c r="O30" i="248" s="1"/>
  <c r="O23" i="248"/>
  <c r="E30" i="312"/>
  <c r="F27" i="314"/>
  <c r="G27" i="311"/>
  <c r="G22" i="318"/>
  <c r="H27" i="312"/>
  <c r="F27" i="312"/>
  <c r="O26" i="237"/>
  <c r="O23" i="237"/>
  <c r="P26" i="245"/>
  <c r="P23" i="245"/>
  <c r="J23" i="346"/>
  <c r="I22" i="318"/>
  <c r="G22" i="316"/>
  <c r="G23" i="220"/>
  <c r="H26" i="236"/>
  <c r="P26" i="237"/>
  <c r="P30" i="237" s="1"/>
  <c r="P26" i="242"/>
  <c r="G26" i="245"/>
  <c r="G30" i="245" s="1"/>
  <c r="N26" i="320"/>
  <c r="H26" i="319"/>
  <c r="P26" i="316"/>
  <c r="K28" i="320"/>
  <c r="J28" i="319"/>
  <c r="L28" i="318"/>
  <c r="P28" i="317"/>
  <c r="H23" i="320"/>
  <c r="F23" i="318"/>
  <c r="I23" i="317"/>
  <c r="H23" i="311"/>
  <c r="J26" i="248"/>
  <c r="J22" i="248"/>
  <c r="J26" i="254"/>
  <c r="J22" i="254"/>
  <c r="J26" i="264"/>
  <c r="J22" i="264"/>
  <c r="G22" i="320"/>
  <c r="J22" i="319"/>
  <c r="H23" i="317"/>
  <c r="G23" i="311"/>
  <c r="I27" i="312"/>
  <c r="G26" i="254"/>
  <c r="G30" i="254" s="1"/>
  <c r="G22" i="267"/>
  <c r="G22" i="277"/>
  <c r="O23" i="277"/>
  <c r="O26" i="277"/>
  <c r="G22" i="293"/>
  <c r="G23" i="293"/>
  <c r="G23" i="294"/>
  <c r="G22" i="294"/>
  <c r="F26" i="278"/>
  <c r="F22" i="278"/>
  <c r="J22" i="278"/>
  <c r="F28" i="292"/>
  <c r="J23" i="293"/>
  <c r="H23" i="354"/>
  <c r="H22" i="354"/>
  <c r="J23" i="278"/>
  <c r="K23" i="302"/>
  <c r="G28" i="303"/>
  <c r="F22" i="325"/>
  <c r="L23" i="328"/>
  <c r="M26" i="328"/>
  <c r="Q21" i="346"/>
  <c r="K28" i="348"/>
  <c r="F22" i="349"/>
  <c r="O28" i="350"/>
  <c r="P23" i="350"/>
  <c r="F22" i="355"/>
  <c r="G28" i="356"/>
  <c r="G26" i="206"/>
  <c r="H12" i="206"/>
  <c r="H16" i="206"/>
  <c r="I12" i="206"/>
  <c r="I16" i="206"/>
  <c r="I30" i="206"/>
  <c r="O23" i="308"/>
  <c r="K23" i="308"/>
  <c r="O23" i="323"/>
  <c r="K23" i="323"/>
  <c r="I27" i="329"/>
  <c r="N28" i="330"/>
  <c r="P27" i="330"/>
  <c r="O28" i="342"/>
  <c r="K28" i="344"/>
  <c r="G26" i="354"/>
  <c r="M28" i="356"/>
  <c r="M28" i="357"/>
  <c r="G28" i="300"/>
  <c r="G22" i="304"/>
  <c r="P23" i="304"/>
  <c r="L23" i="304"/>
  <c r="H23" i="304"/>
  <c r="G22" i="324"/>
  <c r="L23" i="351"/>
  <c r="H23" i="351"/>
  <c r="N164" i="206"/>
  <c r="O21" i="339" s="1"/>
  <c r="P23" i="299"/>
  <c r="J22" i="302"/>
  <c r="G22" i="302"/>
  <c r="H23" i="302"/>
  <c r="O23" i="304"/>
  <c r="F22" i="305"/>
  <c r="P28" i="329"/>
  <c r="F22" i="354"/>
  <c r="N87" i="206"/>
  <c r="O28" i="282" s="1"/>
  <c r="J87" i="206"/>
  <c r="K28" i="282" s="1"/>
  <c r="K144" i="206"/>
  <c r="E12" i="206"/>
  <c r="F12" i="206"/>
  <c r="I144" i="206"/>
  <c r="I22" i="346"/>
  <c r="I23" i="346"/>
  <c r="P26" i="318"/>
  <c r="K26" i="318"/>
  <c r="F26" i="318"/>
  <c r="E26" i="318"/>
  <c r="L26" i="318"/>
  <c r="G26" i="318"/>
  <c r="M28" i="319"/>
  <c r="L28" i="319"/>
  <c r="G28" i="319"/>
  <c r="E23" i="319"/>
  <c r="N28" i="319"/>
  <c r="I28" i="319"/>
  <c r="H28" i="319"/>
  <c r="Q21" i="319"/>
  <c r="F27" i="320"/>
  <c r="O27" i="320"/>
  <c r="L27" i="320"/>
  <c r="K27" i="320"/>
  <c r="I27" i="320"/>
  <c r="N27" i="320"/>
  <c r="H27" i="311"/>
  <c r="F27" i="311"/>
  <c r="N27" i="311"/>
  <c r="K27" i="311"/>
  <c r="L27" i="311"/>
  <c r="H23" i="314"/>
  <c r="H22" i="314"/>
  <c r="H26" i="312"/>
  <c r="Q19" i="312"/>
  <c r="F26" i="312"/>
  <c r="M26" i="312"/>
  <c r="K26" i="312"/>
  <c r="O26" i="312"/>
  <c r="I23" i="311"/>
  <c r="I22" i="311"/>
  <c r="N28" i="320"/>
  <c r="I28" i="320"/>
  <c r="H28" i="320"/>
  <c r="O28" i="320"/>
  <c r="J28" i="320"/>
  <c r="Q21" i="320"/>
  <c r="G27" i="268"/>
  <c r="G30" i="268" s="1"/>
  <c r="G22" i="268"/>
  <c r="J28" i="334"/>
  <c r="E22" i="303"/>
  <c r="I23" i="303"/>
  <c r="I22" i="303"/>
  <c r="F146" i="206"/>
  <c r="J26" i="320"/>
  <c r="L26" i="320"/>
  <c r="G26" i="320"/>
  <c r="F26" i="320"/>
  <c r="E26" i="320"/>
  <c r="H26" i="320"/>
  <c r="Q19" i="320"/>
  <c r="E26" i="311"/>
  <c r="E30" i="311" s="1"/>
  <c r="L26" i="311"/>
  <c r="G26" i="311"/>
  <c r="Q19" i="311"/>
  <c r="H26" i="311"/>
  <c r="N26" i="311"/>
  <c r="E23" i="311"/>
  <c r="K28" i="312"/>
  <c r="F28" i="312"/>
  <c r="P28" i="312"/>
  <c r="G28" i="312"/>
  <c r="M28" i="312"/>
  <c r="L28" i="312"/>
  <c r="K27" i="313"/>
  <c r="I27" i="313"/>
  <c r="L27" i="313"/>
  <c r="G27" i="313"/>
  <c r="E27" i="313"/>
  <c r="M27" i="313"/>
  <c r="M26" i="319"/>
  <c r="P26" i="319"/>
  <c r="K26" i="319"/>
  <c r="F22" i="319"/>
  <c r="I26" i="319"/>
  <c r="L26" i="319"/>
  <c r="G26" i="319"/>
  <c r="F26" i="319"/>
  <c r="F26" i="310"/>
  <c r="I26" i="310"/>
  <c r="P26" i="310"/>
  <c r="J26" i="310"/>
  <c r="K26" i="310"/>
  <c r="Q19" i="310"/>
  <c r="F22" i="310"/>
  <c r="I28" i="318"/>
  <c r="H28" i="318"/>
  <c r="N28" i="318"/>
  <c r="O28" i="318"/>
  <c r="J28" i="318"/>
  <c r="H27" i="244"/>
  <c r="H23" i="244"/>
  <c r="G28" i="310"/>
  <c r="L28" i="310"/>
  <c r="E28" i="310"/>
  <c r="Q21" i="310"/>
  <c r="K28" i="310"/>
  <c r="P28" i="310"/>
  <c r="F28" i="310"/>
  <c r="K26" i="313"/>
  <c r="M26" i="313"/>
  <c r="P26" i="313"/>
  <c r="G26" i="313"/>
  <c r="N26" i="313"/>
  <c r="I26" i="313"/>
  <c r="E23" i="313"/>
  <c r="E28" i="314"/>
  <c r="O28" i="314"/>
  <c r="J28" i="314"/>
  <c r="P28" i="314"/>
  <c r="K28" i="314"/>
  <c r="F28" i="314"/>
  <c r="E23" i="314"/>
  <c r="F27" i="316"/>
  <c r="H27" i="316"/>
  <c r="O27" i="316"/>
  <c r="K27" i="316"/>
  <c r="G27" i="316"/>
  <c r="N26" i="317"/>
  <c r="I26" i="317"/>
  <c r="L26" i="317"/>
  <c r="Q19" i="317"/>
  <c r="O26" i="317"/>
  <c r="J26" i="317"/>
  <c r="H26" i="317"/>
  <c r="M28" i="316"/>
  <c r="L28" i="316"/>
  <c r="J27" i="319"/>
  <c r="H23" i="319"/>
  <c r="M27" i="319"/>
  <c r="H27" i="319"/>
  <c r="O27" i="319"/>
  <c r="K27" i="317"/>
  <c r="F27" i="317"/>
  <c r="P27" i="317"/>
  <c r="G27" i="317"/>
  <c r="I27" i="317"/>
  <c r="F22" i="317"/>
  <c r="O27" i="317"/>
  <c r="L27" i="317"/>
  <c r="I22" i="316"/>
  <c r="H27" i="314"/>
  <c r="P27" i="314"/>
  <c r="G23" i="314"/>
  <c r="O27" i="314"/>
  <c r="L27" i="314"/>
  <c r="J22" i="313"/>
  <c r="H153" i="34"/>
  <c r="K27" i="312"/>
  <c r="J22" i="312"/>
  <c r="H152" i="34"/>
  <c r="P27" i="312"/>
  <c r="J23" i="312"/>
  <c r="O27" i="312"/>
  <c r="P27" i="310"/>
  <c r="I27" i="310"/>
  <c r="K27" i="310"/>
  <c r="M27" i="310"/>
  <c r="H23" i="217"/>
  <c r="H22" i="217"/>
  <c r="J23" i="218"/>
  <c r="J22" i="218"/>
  <c r="P26" i="233"/>
  <c r="P30" i="233" s="1"/>
  <c r="P23" i="233"/>
  <c r="O26" i="234"/>
  <c r="O23" i="234"/>
  <c r="G22" i="243"/>
  <c r="G26" i="243"/>
  <c r="G30" i="243" s="1"/>
  <c r="J26" i="249"/>
  <c r="J23" i="249"/>
  <c r="G26" i="258"/>
  <c r="G22" i="258"/>
  <c r="H26" i="259"/>
  <c r="H30" i="259" s="1"/>
  <c r="H23" i="259"/>
  <c r="G26" i="263"/>
  <c r="G30" i="263" s="1"/>
  <c r="G22" i="263"/>
  <c r="G23" i="263"/>
  <c r="O26" i="264"/>
  <c r="O23" i="264"/>
  <c r="P26" i="265"/>
  <c r="P23" i="265"/>
  <c r="E22" i="316"/>
  <c r="P26" i="320"/>
  <c r="M26" i="317"/>
  <c r="Q21" i="318"/>
  <c r="Q21" i="314"/>
  <c r="L28" i="314"/>
  <c r="O28" i="319"/>
  <c r="I28" i="310"/>
  <c r="G27" i="314"/>
  <c r="J27" i="310"/>
  <c r="I27" i="311"/>
  <c r="J27" i="312"/>
  <c r="K27" i="319"/>
  <c r="H27" i="318"/>
  <c r="H27" i="317"/>
  <c r="O27" i="268"/>
  <c r="O22" i="268"/>
  <c r="N26" i="316"/>
  <c r="I26" i="316"/>
  <c r="L26" i="316"/>
  <c r="K26" i="316"/>
  <c r="E23" i="316"/>
  <c r="J26" i="316"/>
  <c r="E26" i="316"/>
  <c r="H26" i="316"/>
  <c r="G26" i="316"/>
  <c r="H28" i="317"/>
  <c r="N28" i="317"/>
  <c r="I28" i="317"/>
  <c r="O28" i="317"/>
  <c r="J28" i="317"/>
  <c r="E28" i="317"/>
  <c r="E27" i="318"/>
  <c r="I27" i="318"/>
  <c r="E22" i="318"/>
  <c r="O27" i="318"/>
  <c r="L27" i="318"/>
  <c r="K27" i="318"/>
  <c r="N27" i="318"/>
  <c r="L26" i="314"/>
  <c r="I26" i="314"/>
  <c r="F22" i="314"/>
  <c r="H26" i="314"/>
  <c r="O26" i="314"/>
  <c r="N26" i="314"/>
  <c r="I23" i="313"/>
  <c r="I22" i="313"/>
  <c r="J23" i="310"/>
  <c r="J22" i="310"/>
  <c r="N28" i="316"/>
  <c r="K27" i="314"/>
  <c r="G26" i="248"/>
  <c r="G22" i="248"/>
  <c r="G23" i="248"/>
  <c r="M28" i="313"/>
  <c r="G28" i="313"/>
  <c r="K28" i="311"/>
  <c r="H28" i="316"/>
  <c r="I28" i="316"/>
  <c r="I27" i="314"/>
  <c r="G27" i="312"/>
  <c r="O26" i="251"/>
  <c r="O23" i="251"/>
  <c r="J26" i="253"/>
  <c r="J23" i="253"/>
  <c r="J26" i="277"/>
  <c r="J22" i="277"/>
  <c r="F26" i="277"/>
  <c r="F22" i="277"/>
  <c r="L26" i="234"/>
  <c r="L30" i="234" s="1"/>
  <c r="L23" i="234"/>
  <c r="N26" i="265"/>
  <c r="N30" i="265" s="1"/>
  <c r="N23" i="265"/>
  <c r="O26" i="275"/>
  <c r="O23" i="275"/>
  <c r="G22" i="269"/>
  <c r="G26" i="269"/>
  <c r="G30" i="269" s="1"/>
  <c r="J26" i="270"/>
  <c r="J23" i="270"/>
  <c r="F26" i="272"/>
  <c r="F30" i="272" s="1"/>
  <c r="F22" i="272"/>
  <c r="O23" i="276"/>
  <c r="O26" i="276"/>
  <c r="O30" i="276" s="1"/>
  <c r="L26" i="278"/>
  <c r="L23" i="278"/>
  <c r="G23" i="295"/>
  <c r="G22" i="295"/>
  <c r="O28" i="297"/>
  <c r="I22" i="269"/>
  <c r="I26" i="269"/>
  <c r="I30" i="269" s="1"/>
  <c r="G23" i="286"/>
  <c r="G22" i="286"/>
  <c r="G23" i="289"/>
  <c r="G22" i="289"/>
  <c r="J22" i="295"/>
  <c r="G119" i="34"/>
  <c r="K28" i="289"/>
  <c r="H23" i="296"/>
  <c r="H22" i="296"/>
  <c r="G28" i="298"/>
  <c r="G23" i="298"/>
  <c r="G22" i="298"/>
  <c r="G28" i="306"/>
  <c r="Q21" i="306"/>
  <c r="L28" i="306"/>
  <c r="I28" i="306"/>
  <c r="O28" i="306"/>
  <c r="N22" i="306"/>
  <c r="N23" i="306"/>
  <c r="G22" i="307"/>
  <c r="G23" i="307"/>
  <c r="M27" i="307"/>
  <c r="P27" i="307"/>
  <c r="Q20" i="307"/>
  <c r="K27" i="307"/>
  <c r="P26" i="307"/>
  <c r="J26" i="307"/>
  <c r="O26" i="307"/>
  <c r="I26" i="307"/>
  <c r="G28" i="308"/>
  <c r="N28" i="308"/>
  <c r="Q21" i="308"/>
  <c r="H28" i="308"/>
  <c r="I28" i="308"/>
  <c r="E23" i="308"/>
  <c r="J27" i="308"/>
  <c r="K27" i="308"/>
  <c r="G22" i="308"/>
  <c r="M26" i="308"/>
  <c r="N26" i="308"/>
  <c r="K26" i="308"/>
  <c r="O28" i="309"/>
  <c r="P28" i="309"/>
  <c r="G28" i="309"/>
  <c r="P28" i="322"/>
  <c r="E28" i="322"/>
  <c r="E30" i="322" s="1"/>
  <c r="F28" i="322"/>
  <c r="O28" i="322"/>
  <c r="F22" i="322"/>
  <c r="O27" i="322"/>
  <c r="M27" i="322"/>
  <c r="F23" i="322"/>
  <c r="Q20" i="322"/>
  <c r="I23" i="322"/>
  <c r="M26" i="322"/>
  <c r="J26" i="322"/>
  <c r="I22" i="322"/>
  <c r="O26" i="322"/>
  <c r="N26" i="322"/>
  <c r="G28" i="323"/>
  <c r="O28" i="323"/>
  <c r="M28" i="323"/>
  <c r="F28" i="323"/>
  <c r="H28" i="323"/>
  <c r="E28" i="323"/>
  <c r="J28" i="323"/>
  <c r="L23" i="323"/>
  <c r="L22" i="323"/>
  <c r="H23" i="323"/>
  <c r="O27" i="323"/>
  <c r="H22" i="323"/>
  <c r="M27" i="323"/>
  <c r="Q20" i="323"/>
  <c r="N27" i="323"/>
  <c r="P27" i="323"/>
  <c r="J26" i="323"/>
  <c r="K26" i="323"/>
  <c r="H26" i="323"/>
  <c r="I26" i="323"/>
  <c r="N26" i="323"/>
  <c r="M26" i="323"/>
  <c r="O26" i="323"/>
  <c r="L26" i="323"/>
  <c r="O27" i="324"/>
  <c r="L27" i="324"/>
  <c r="I27" i="324"/>
  <c r="Q20" i="324"/>
  <c r="M27" i="324"/>
  <c r="F27" i="324"/>
  <c r="H27" i="324"/>
  <c r="G28" i="324"/>
  <c r="P28" i="324"/>
  <c r="F28" i="324"/>
  <c r="N28" i="324"/>
  <c r="K28" i="324"/>
  <c r="J28" i="324"/>
  <c r="M23" i="324"/>
  <c r="M22" i="324"/>
  <c r="H23" i="324"/>
  <c r="I26" i="324"/>
  <c r="O26" i="324"/>
  <c r="H26" i="324"/>
  <c r="M26" i="324"/>
  <c r="L26" i="324"/>
  <c r="O27" i="325"/>
  <c r="P27" i="325"/>
  <c r="M27" i="325"/>
  <c r="E22" i="325"/>
  <c r="N27" i="325"/>
  <c r="G27" i="325"/>
  <c r="Q20" i="325"/>
  <c r="G28" i="325"/>
  <c r="M28" i="325"/>
  <c r="J28" i="325"/>
  <c r="K28" i="325"/>
  <c r="H28" i="325"/>
  <c r="E26" i="326"/>
  <c r="P26" i="326"/>
  <c r="G26" i="326"/>
  <c r="I26" i="326"/>
  <c r="L26" i="326"/>
  <c r="K26" i="326"/>
  <c r="M26" i="326"/>
  <c r="Q19" i="326"/>
  <c r="L28" i="326"/>
  <c r="P28" i="326"/>
  <c r="N28" i="326"/>
  <c r="M28" i="326"/>
  <c r="K28" i="326"/>
  <c r="J27" i="242"/>
  <c r="O27" i="308"/>
  <c r="N22" i="304"/>
  <c r="O27" i="304"/>
  <c r="O23" i="305"/>
  <c r="O22" i="305"/>
  <c r="K23" i="305"/>
  <c r="M27" i="305"/>
  <c r="O27" i="305"/>
  <c r="K22" i="305"/>
  <c r="M26" i="305"/>
  <c r="P26" i="305"/>
  <c r="J26" i="305"/>
  <c r="O27" i="306"/>
  <c r="E27" i="306"/>
  <c r="N27" i="306"/>
  <c r="K27" i="306"/>
  <c r="J23" i="307"/>
  <c r="P26" i="308"/>
  <c r="G23" i="308"/>
  <c r="O26" i="299"/>
  <c r="O27" i="330"/>
  <c r="M26" i="342"/>
  <c r="K23" i="330"/>
  <c r="O23" i="342"/>
  <c r="G28" i="346"/>
  <c r="N28" i="342"/>
  <c r="M26" i="348"/>
  <c r="G23" i="305"/>
  <c r="F22" i="307"/>
  <c r="G23" i="323"/>
  <c r="P23" i="324"/>
  <c r="O28" i="326"/>
  <c r="H26" i="328"/>
  <c r="I27" i="328"/>
  <c r="H27" i="328"/>
  <c r="Q19" i="329"/>
  <c r="J27" i="329"/>
  <c r="G26" i="329"/>
  <c r="F26" i="329"/>
  <c r="J23" i="329"/>
  <c r="M26" i="329"/>
  <c r="I28" i="330"/>
  <c r="M27" i="330"/>
  <c r="H26" i="342"/>
  <c r="H27" i="342"/>
  <c r="O26" i="342"/>
  <c r="H28" i="342"/>
  <c r="L27" i="342"/>
  <c r="F28" i="343"/>
  <c r="E23" i="343"/>
  <c r="H28" i="343"/>
  <c r="G27" i="344"/>
  <c r="L28" i="344"/>
  <c r="E27" i="344"/>
  <c r="L27" i="345"/>
  <c r="M27" i="345"/>
  <c r="H27" i="345"/>
  <c r="Q20" i="345"/>
  <c r="M28" i="346"/>
  <c r="Q19" i="348"/>
  <c r="L28" i="348"/>
  <c r="I26" i="348"/>
  <c r="P26" i="348"/>
  <c r="K27" i="349"/>
  <c r="O26" i="349"/>
  <c r="M27" i="349"/>
  <c r="J26" i="349"/>
  <c r="M26" i="349"/>
  <c r="E28" i="350"/>
  <c r="L28" i="350"/>
  <c r="P27" i="350"/>
  <c r="P27" i="351"/>
  <c r="J22" i="349"/>
  <c r="P22" i="350"/>
  <c r="K23" i="328"/>
  <c r="I26" i="349"/>
  <c r="G23" i="349"/>
  <c r="P28" i="299"/>
  <c r="G28" i="302"/>
  <c r="N22" i="326"/>
  <c r="N23" i="326"/>
  <c r="G23" i="342"/>
  <c r="J23" i="342"/>
  <c r="P26" i="328"/>
  <c r="O28" i="330"/>
  <c r="O28" i="356"/>
  <c r="E28" i="355"/>
  <c r="P28" i="356"/>
  <c r="F28" i="355"/>
  <c r="P28" i="357"/>
  <c r="N26" i="354"/>
  <c r="P23" i="357"/>
  <c r="H28" i="355"/>
  <c r="G23" i="354"/>
  <c r="J28" i="357"/>
  <c r="J28" i="355"/>
  <c r="G28" i="355"/>
  <c r="L28" i="355"/>
  <c r="H26" i="354"/>
  <c r="F87" i="206"/>
  <c r="G28" i="282" s="1"/>
  <c r="E145" i="206"/>
  <c r="M164" i="206"/>
  <c r="N21" i="339" s="1"/>
  <c r="F26" i="206"/>
  <c r="D12" i="206"/>
  <c r="E28" i="213" s="1"/>
  <c r="D26" i="206"/>
  <c r="E28" i="225" s="1"/>
  <c r="E30" i="225" s="1"/>
  <c r="O145" i="206"/>
  <c r="H26" i="206"/>
  <c r="F207" i="205"/>
  <c r="G19" i="353" s="1"/>
  <c r="D145" i="206"/>
  <c r="K145" i="206"/>
  <c r="J19" i="352"/>
  <c r="N125" i="34" l="1"/>
  <c r="O125" i="34" s="1"/>
  <c r="N130" i="34"/>
  <c r="P30" i="268"/>
  <c r="R165" i="34"/>
  <c r="O165" i="34"/>
  <c r="Q166" i="34"/>
  <c r="I166" i="34"/>
  <c r="G111" i="34"/>
  <c r="P23" i="361"/>
  <c r="F26" i="361"/>
  <c r="F30" i="361" s="1"/>
  <c r="N26" i="361"/>
  <c r="N30" i="361" s="1"/>
  <c r="K26" i="361"/>
  <c r="K30" i="361" s="1"/>
  <c r="E23" i="361"/>
  <c r="I26" i="361"/>
  <c r="I30" i="361" s="1"/>
  <c r="H26" i="361"/>
  <c r="H30" i="361" s="1"/>
  <c r="P26" i="361"/>
  <c r="M26" i="361"/>
  <c r="M30" i="361" s="1"/>
  <c r="Q19" i="361"/>
  <c r="L26" i="361"/>
  <c r="L30" i="361" s="1"/>
  <c r="J26" i="361"/>
  <c r="J30" i="361" s="1"/>
  <c r="G26" i="361"/>
  <c r="G30" i="361" s="1"/>
  <c r="O26" i="361"/>
  <c r="O30" i="361" s="1"/>
  <c r="E26" i="361"/>
  <c r="E30" i="361" s="1"/>
  <c r="Q147" i="34"/>
  <c r="I147" i="34"/>
  <c r="R147" i="34"/>
  <c r="O147" i="34"/>
  <c r="Q130" i="34"/>
  <c r="I130" i="34"/>
  <c r="Q89" i="34"/>
  <c r="I89" i="34"/>
  <c r="R88" i="34"/>
  <c r="O88" i="34"/>
  <c r="R89" i="34"/>
  <c r="O89" i="34"/>
  <c r="S4" i="254"/>
  <c r="E30" i="244"/>
  <c r="H30" i="224"/>
  <c r="R55" i="34"/>
  <c r="O55" i="34"/>
  <c r="P30" i="241"/>
  <c r="R21" i="34"/>
  <c r="O21" i="34"/>
  <c r="G22" i="291"/>
  <c r="N22" i="213"/>
  <c r="G22" i="297"/>
  <c r="I22" i="297"/>
  <c r="L22" i="297"/>
  <c r="O22" i="297"/>
  <c r="J22" i="291"/>
  <c r="H22" i="291"/>
  <c r="K22" i="291"/>
  <c r="P26" i="284"/>
  <c r="G109" i="34"/>
  <c r="Q109" i="34" s="1"/>
  <c r="N58" i="34"/>
  <c r="F22" i="297"/>
  <c r="F29" i="297" s="1"/>
  <c r="O30" i="302"/>
  <c r="P30" i="244"/>
  <c r="R161" i="34"/>
  <c r="O161" i="34"/>
  <c r="R17" i="34"/>
  <c r="O17" i="34"/>
  <c r="R143" i="34"/>
  <c r="O143" i="34"/>
  <c r="R125" i="34"/>
  <c r="H30" i="250"/>
  <c r="O30" i="244"/>
  <c r="M30" i="244"/>
  <c r="R174" i="34"/>
  <c r="O174" i="34"/>
  <c r="E30" i="319"/>
  <c r="E30" i="254"/>
  <c r="R120" i="34"/>
  <c r="O120" i="34"/>
  <c r="R30" i="34"/>
  <c r="O30" i="34"/>
  <c r="E30" i="278"/>
  <c r="R138" i="34"/>
  <c r="O138" i="34"/>
  <c r="R12" i="34"/>
  <c r="O12" i="34"/>
  <c r="F30" i="299"/>
  <c r="P145" i="206"/>
  <c r="M28" i="334"/>
  <c r="H28" i="334"/>
  <c r="J28" i="225"/>
  <c r="M147" i="206"/>
  <c r="P146" i="206"/>
  <c r="P144" i="206"/>
  <c r="Q21" i="334"/>
  <c r="O27" i="341"/>
  <c r="E21" i="341"/>
  <c r="F28" i="225"/>
  <c r="L28" i="340"/>
  <c r="Q21" i="340"/>
  <c r="N27" i="282"/>
  <c r="N30" i="282" s="1"/>
  <c r="N28" i="282"/>
  <c r="I28" i="340"/>
  <c r="K147" i="206"/>
  <c r="E27" i="283"/>
  <c r="F30" i="244"/>
  <c r="K30" i="244"/>
  <c r="H30" i="284"/>
  <c r="E32" i="206"/>
  <c r="E28" i="334"/>
  <c r="F147" i="206"/>
  <c r="L28" i="334"/>
  <c r="I147" i="206"/>
  <c r="H147" i="206"/>
  <c r="G28" i="340"/>
  <c r="N28" i="340"/>
  <c r="J147" i="206"/>
  <c r="K28" i="340"/>
  <c r="F27" i="281"/>
  <c r="F28" i="281"/>
  <c r="I27" i="283"/>
  <c r="I28" i="283"/>
  <c r="N147" i="206"/>
  <c r="G27" i="281"/>
  <c r="G28" i="281"/>
  <c r="G149" i="206"/>
  <c r="G147" i="206"/>
  <c r="P28" i="362" s="1"/>
  <c r="D147" i="206"/>
  <c r="F28" i="340"/>
  <c r="L22" i="315"/>
  <c r="E27" i="284"/>
  <c r="H27" i="283"/>
  <c r="H28" i="283"/>
  <c r="E27" i="315"/>
  <c r="E147" i="206"/>
  <c r="K17" i="335"/>
  <c r="L28" i="335"/>
  <c r="J28" i="340"/>
  <c r="L147" i="206"/>
  <c r="P28" i="336"/>
  <c r="E27" i="321"/>
  <c r="F27" i="283"/>
  <c r="F28" i="283"/>
  <c r="O28" i="340"/>
  <c r="I27" i="281"/>
  <c r="I28" i="281"/>
  <c r="E23" i="225"/>
  <c r="G27" i="283"/>
  <c r="G28" i="283"/>
  <c r="E27" i="281"/>
  <c r="K27" i="281"/>
  <c r="K28" i="281"/>
  <c r="F32" i="206"/>
  <c r="I27" i="284"/>
  <c r="I30" i="284" s="1"/>
  <c r="I28" i="284"/>
  <c r="M28" i="340"/>
  <c r="O22" i="321"/>
  <c r="E27" i="282"/>
  <c r="G27" i="284"/>
  <c r="G28" i="284"/>
  <c r="K27" i="283"/>
  <c r="K28" i="283"/>
  <c r="O147" i="206"/>
  <c r="N22" i="321"/>
  <c r="K27" i="284"/>
  <c r="K28" i="284"/>
  <c r="L30" i="328"/>
  <c r="I30" i="256"/>
  <c r="K23" i="213"/>
  <c r="E26" i="291"/>
  <c r="E30" i="291" s="1"/>
  <c r="L23" i="256"/>
  <c r="M100" i="34"/>
  <c r="R100" i="34" s="1"/>
  <c r="E26" i="297"/>
  <c r="E30" i="297" s="1"/>
  <c r="E23" i="334"/>
  <c r="J23" i="297"/>
  <c r="Q126" i="34"/>
  <c r="H23" i="297"/>
  <c r="L30" i="246"/>
  <c r="K30" i="256"/>
  <c r="K23" i="256"/>
  <c r="H30" i="256"/>
  <c r="P23" i="256"/>
  <c r="J175" i="205"/>
  <c r="K19" i="362" s="1"/>
  <c r="K23" i="362" s="1"/>
  <c r="N175" i="205"/>
  <c r="O19" i="362" s="1"/>
  <c r="O23" i="362" s="1"/>
  <c r="J30" i="300"/>
  <c r="D175" i="205"/>
  <c r="E19" i="362" s="1"/>
  <c r="E26" i="362" s="1"/>
  <c r="H22" i="315"/>
  <c r="I175" i="205"/>
  <c r="J19" i="362" s="1"/>
  <c r="J23" i="362" s="1"/>
  <c r="N22" i="315"/>
  <c r="E175" i="205"/>
  <c r="F19" i="362" s="1"/>
  <c r="F23" i="362" s="1"/>
  <c r="L22" i="284"/>
  <c r="I209" i="34"/>
  <c r="K22" i="321"/>
  <c r="H22" i="321"/>
  <c r="P23" i="291"/>
  <c r="M22" i="291"/>
  <c r="N22" i="291"/>
  <c r="H30" i="214"/>
  <c r="P23" i="297"/>
  <c r="M23" i="256"/>
  <c r="K22" i="309"/>
  <c r="K175" i="205"/>
  <c r="L19" i="362" s="1"/>
  <c r="M22" i="297"/>
  <c r="K22" i="303"/>
  <c r="F22" i="291"/>
  <c r="F29" i="291" s="1"/>
  <c r="M23" i="213"/>
  <c r="K22" i="297"/>
  <c r="N22" i="297"/>
  <c r="N23" i="362"/>
  <c r="N22" i="362"/>
  <c r="L175" i="205"/>
  <c r="M19" i="362" s="1"/>
  <c r="F175" i="205"/>
  <c r="G19" i="362" s="1"/>
  <c r="G23" i="362" s="1"/>
  <c r="E23" i="297"/>
  <c r="H175" i="205"/>
  <c r="I19" i="362" s="1"/>
  <c r="I22" i="362" s="1"/>
  <c r="G13" i="34"/>
  <c r="Q13" i="34" s="1"/>
  <c r="L22" i="213"/>
  <c r="O22" i="213"/>
  <c r="O23" i="360"/>
  <c r="O22" i="360"/>
  <c r="L23" i="360"/>
  <c r="L22" i="360"/>
  <c r="N23" i="360"/>
  <c r="N22" i="360"/>
  <c r="K23" i="360"/>
  <c r="K22" i="360"/>
  <c r="P23" i="360"/>
  <c r="P22" i="360"/>
  <c r="M23" i="360"/>
  <c r="M22" i="360"/>
  <c r="J23" i="360"/>
  <c r="J22" i="360"/>
  <c r="N62" i="34"/>
  <c r="H22" i="284"/>
  <c r="F29" i="222"/>
  <c r="G30" i="222"/>
  <c r="J26" i="213"/>
  <c r="G26" i="213"/>
  <c r="I23" i="360"/>
  <c r="I22" i="360"/>
  <c r="P19" i="336"/>
  <c r="O175" i="205"/>
  <c r="P19" i="362" s="1"/>
  <c r="H19" i="336"/>
  <c r="H23" i="336" s="1"/>
  <c r="G175" i="205"/>
  <c r="H19" i="362" s="1"/>
  <c r="I116" i="34"/>
  <c r="I140" i="34"/>
  <c r="N30" i="270"/>
  <c r="I18" i="206"/>
  <c r="H18" i="206"/>
  <c r="F18" i="206"/>
  <c r="K28" i="225"/>
  <c r="H28" i="213"/>
  <c r="O28" i="225"/>
  <c r="G28" i="213"/>
  <c r="H28" i="225"/>
  <c r="L28" i="213"/>
  <c r="Q21" i="225"/>
  <c r="F28" i="213"/>
  <c r="M28" i="213"/>
  <c r="E23" i="213"/>
  <c r="L28" i="225"/>
  <c r="K28" i="213"/>
  <c r="M28" i="225"/>
  <c r="P28" i="213"/>
  <c r="J28" i="223"/>
  <c r="H28" i="223"/>
  <c r="M28" i="223"/>
  <c r="F28" i="223"/>
  <c r="L28" i="223"/>
  <c r="O28" i="223"/>
  <c r="E18" i="206"/>
  <c r="E30" i="296"/>
  <c r="Q21" i="213"/>
  <c r="J28" i="213"/>
  <c r="G28" i="228"/>
  <c r="L28" i="228"/>
  <c r="N28" i="228"/>
  <c r="E30" i="230"/>
  <c r="N28" i="225"/>
  <c r="I28" i="225"/>
  <c r="O28" i="213"/>
  <c r="N28" i="213"/>
  <c r="P28" i="225"/>
  <c r="I28" i="213"/>
  <c r="E28" i="219"/>
  <c r="E30" i="219" s="1"/>
  <c r="G18" i="206"/>
  <c r="N66" i="34"/>
  <c r="M28" i="212"/>
  <c r="G28" i="212"/>
  <c r="K28" i="210"/>
  <c r="M28" i="228"/>
  <c r="I28" i="228"/>
  <c r="G28" i="225"/>
  <c r="P28" i="210"/>
  <c r="J28" i="212"/>
  <c r="M28" i="210"/>
  <c r="H28" i="212"/>
  <c r="E23" i="228"/>
  <c r="E28" i="212"/>
  <c r="E30" i="212" s="1"/>
  <c r="O28" i="210"/>
  <c r="F28" i="210"/>
  <c r="F28" i="228"/>
  <c r="E23" i="210"/>
  <c r="I32" i="206"/>
  <c r="G32" i="206"/>
  <c r="H32" i="206"/>
  <c r="D32" i="206"/>
  <c r="E28" i="362"/>
  <c r="I28" i="362"/>
  <c r="F28" i="362"/>
  <c r="O28" i="362"/>
  <c r="G28" i="362"/>
  <c r="H28" i="362"/>
  <c r="F30" i="270"/>
  <c r="N30" i="267"/>
  <c r="L30" i="258"/>
  <c r="L30" i="267"/>
  <c r="P30" i="266"/>
  <c r="L30" i="271"/>
  <c r="S5" i="276"/>
  <c r="S6" i="276" s="1"/>
  <c r="K26" i="213"/>
  <c r="I172" i="34"/>
  <c r="H23" i="256"/>
  <c r="I57" i="34"/>
  <c r="F26" i="213"/>
  <c r="I26" i="213"/>
  <c r="E26" i="213"/>
  <c r="E30" i="213" s="1"/>
  <c r="F23" i="256"/>
  <c r="P30" i="256"/>
  <c r="S5" i="300"/>
  <c r="S6" i="300" s="1"/>
  <c r="G69" i="34"/>
  <c r="Q69" i="34" s="1"/>
  <c r="G121" i="34"/>
  <c r="Q121" i="34" s="1"/>
  <c r="G23" i="360"/>
  <c r="G22" i="360"/>
  <c r="H23" i="360"/>
  <c r="H22" i="360"/>
  <c r="S4" i="299"/>
  <c r="G30" i="260"/>
  <c r="H30" i="244"/>
  <c r="L26" i="213"/>
  <c r="Q19" i="213"/>
  <c r="M26" i="213"/>
  <c r="N26" i="213"/>
  <c r="H26" i="213"/>
  <c r="O26" i="213"/>
  <c r="P26" i="213"/>
  <c r="G110" i="34"/>
  <c r="Q110" i="34" s="1"/>
  <c r="F23" i="360"/>
  <c r="F22" i="360"/>
  <c r="F26" i="360"/>
  <c r="J26" i="360"/>
  <c r="J30" i="360" s="1"/>
  <c r="N26" i="360"/>
  <c r="N30" i="360" s="1"/>
  <c r="G26" i="360"/>
  <c r="G30" i="360" s="1"/>
  <c r="K26" i="360"/>
  <c r="K30" i="360" s="1"/>
  <c r="O26" i="360"/>
  <c r="O30" i="360" s="1"/>
  <c r="M26" i="360"/>
  <c r="M30" i="360" s="1"/>
  <c r="H26" i="360"/>
  <c r="H30" i="360" s="1"/>
  <c r="L26" i="360"/>
  <c r="L30" i="360" s="1"/>
  <c r="P26" i="360"/>
  <c r="P30" i="360" s="1"/>
  <c r="I26" i="360"/>
  <c r="I30" i="360" s="1"/>
  <c r="E26" i="360"/>
  <c r="E30" i="360" s="1"/>
  <c r="E22" i="360"/>
  <c r="Q19" i="360"/>
  <c r="E23" i="360"/>
  <c r="I137" i="34"/>
  <c r="F30" i="220"/>
  <c r="L30" i="244"/>
  <c r="N26" i="297"/>
  <c r="N30" i="297" s="1"/>
  <c r="K26" i="297"/>
  <c r="K30" i="297" s="1"/>
  <c r="I202" i="34"/>
  <c r="L26" i="297"/>
  <c r="L30" i="297" s="1"/>
  <c r="M30" i="256"/>
  <c r="L30" i="245"/>
  <c r="I155" i="34"/>
  <c r="I134" i="34"/>
  <c r="I67" i="34"/>
  <c r="I176" i="34"/>
  <c r="I61" i="34"/>
  <c r="I123" i="34"/>
  <c r="I74" i="34"/>
  <c r="S5" i="278"/>
  <c r="S6" i="278" s="1"/>
  <c r="I7" i="34"/>
  <c r="K30" i="265"/>
  <c r="O30" i="269"/>
  <c r="K30" i="287"/>
  <c r="S4" i="306"/>
  <c r="I171" i="34"/>
  <c r="N73" i="34"/>
  <c r="S4" i="246"/>
  <c r="N30" i="234"/>
  <c r="K30" i="264"/>
  <c r="O30" i="266"/>
  <c r="N132" i="34"/>
  <c r="F26" i="291"/>
  <c r="F30" i="291" s="1"/>
  <c r="Q19" i="244"/>
  <c r="H26" i="291"/>
  <c r="H30" i="291" s="1"/>
  <c r="M178" i="34"/>
  <c r="R178" i="34" s="1"/>
  <c r="O30" i="325"/>
  <c r="I23" i="274"/>
  <c r="J23" i="256"/>
  <c r="F29" i="267"/>
  <c r="G30" i="256"/>
  <c r="I117" i="34"/>
  <c r="I178" i="34"/>
  <c r="I122" i="34"/>
  <c r="O30" i="223"/>
  <c r="F29" i="279"/>
  <c r="I181" i="34"/>
  <c r="O26" i="297"/>
  <c r="O30" i="297" s="1"/>
  <c r="G51" i="34"/>
  <c r="Q51" i="34" s="1"/>
  <c r="O23" i="256"/>
  <c r="I30" i="244"/>
  <c r="E23" i="291"/>
  <c r="I60" i="34"/>
  <c r="Q19" i="297"/>
  <c r="G179" i="34"/>
  <c r="Q179" i="34" s="1"/>
  <c r="J26" i="297"/>
  <c r="J30" i="297" s="1"/>
  <c r="F26" i="297"/>
  <c r="F30" i="297" s="1"/>
  <c r="I53" i="34"/>
  <c r="G23" i="244"/>
  <c r="H26" i="297"/>
  <c r="H30" i="297" s="1"/>
  <c r="N23" i="256"/>
  <c r="O30" i="256"/>
  <c r="M30" i="211"/>
  <c r="K30" i="290"/>
  <c r="Q19" i="256"/>
  <c r="F30" i="288"/>
  <c r="L30" i="256"/>
  <c r="O26" i="291"/>
  <c r="M26" i="297"/>
  <c r="M30" i="297" s="1"/>
  <c r="G23" i="256"/>
  <c r="I223" i="34"/>
  <c r="P26" i="297"/>
  <c r="M130" i="34" s="1"/>
  <c r="I220" i="34"/>
  <c r="M23" i="282"/>
  <c r="I71" i="34"/>
  <c r="I26" i="297"/>
  <c r="I30" i="297" s="1"/>
  <c r="I23" i="256"/>
  <c r="N23" i="244"/>
  <c r="M26" i="291"/>
  <c r="G26" i="297"/>
  <c r="G30" i="297" s="1"/>
  <c r="N26" i="291"/>
  <c r="I93" i="34"/>
  <c r="I23" i="244"/>
  <c r="F30" i="256"/>
  <c r="H23" i="284"/>
  <c r="I173" i="34"/>
  <c r="I152" i="34"/>
  <c r="I153" i="34"/>
  <c r="I124" i="34"/>
  <c r="G26" i="291"/>
  <c r="G30" i="291" s="1"/>
  <c r="P26" i="291"/>
  <c r="M121" i="34" s="1"/>
  <c r="R121" i="34" s="1"/>
  <c r="Q19" i="291"/>
  <c r="L26" i="291"/>
  <c r="J26" i="291"/>
  <c r="I26" i="291"/>
  <c r="K26" i="291"/>
  <c r="P23" i="244"/>
  <c r="O23" i="244"/>
  <c r="G30" i="244"/>
  <c r="N30" i="244"/>
  <c r="I136" i="34"/>
  <c r="I34" i="34"/>
  <c r="I154" i="34"/>
  <c r="I16" i="34"/>
  <c r="I33" i="34"/>
  <c r="I175" i="34"/>
  <c r="I177" i="34"/>
  <c r="G30" i="209"/>
  <c r="I24" i="34"/>
  <c r="G157" i="34"/>
  <c r="Q157" i="34" s="1"/>
  <c r="G30" i="227"/>
  <c r="I207" i="34"/>
  <c r="F30" i="292"/>
  <c r="F30" i="286"/>
  <c r="I26" i="34"/>
  <c r="I6" i="34"/>
  <c r="I25" i="34"/>
  <c r="F30" i="293"/>
  <c r="G30" i="292"/>
  <c r="M23" i="315"/>
  <c r="I150" i="34"/>
  <c r="I128" i="34"/>
  <c r="E30" i="286"/>
  <c r="I142" i="34"/>
  <c r="I222" i="34"/>
  <c r="M140" i="34"/>
  <c r="R140" i="34" s="1"/>
  <c r="S5" i="340"/>
  <c r="S6" i="340" s="1"/>
  <c r="I204" i="34"/>
  <c r="I32" i="34"/>
  <c r="I20" i="34"/>
  <c r="F30" i="331"/>
  <c r="I81" i="34"/>
  <c r="M47" i="34"/>
  <c r="R47" i="34" s="1"/>
  <c r="S5" i="324"/>
  <c r="S6" i="324" s="1"/>
  <c r="S5" i="330"/>
  <c r="S6" i="330" s="1"/>
  <c r="S5" i="328"/>
  <c r="S6" i="328" s="1"/>
  <c r="M51" i="34"/>
  <c r="R51" i="34" s="1"/>
  <c r="O30" i="317"/>
  <c r="M18" i="34"/>
  <c r="R18" i="34" s="1"/>
  <c r="S5" i="302"/>
  <c r="S6" i="302" s="1"/>
  <c r="S5" i="331"/>
  <c r="S6" i="331" s="1"/>
  <c r="M134" i="34"/>
  <c r="R134" i="34" s="1"/>
  <c r="S5" i="244"/>
  <c r="S6" i="244" s="1"/>
  <c r="G162" i="34"/>
  <c r="Q162" i="34" s="1"/>
  <c r="S5" i="275"/>
  <c r="S6" i="275" s="1"/>
  <c r="M99" i="34"/>
  <c r="R99" i="34" s="1"/>
  <c r="M209" i="34"/>
  <c r="R209" i="34" s="1"/>
  <c r="S5" i="292"/>
  <c r="S6" i="292" s="1"/>
  <c r="S5" i="227"/>
  <c r="S6" i="227" s="1"/>
  <c r="S5" i="226"/>
  <c r="S6" i="226" s="1"/>
  <c r="I30" i="123"/>
  <c r="S5" i="220"/>
  <c r="S6" i="220" s="1"/>
  <c r="S5" i="224"/>
  <c r="S6" i="224" s="1"/>
  <c r="F29" i="230"/>
  <c r="P30" i="344"/>
  <c r="S5" i="326"/>
  <c r="S6" i="326" s="1"/>
  <c r="G144" i="34"/>
  <c r="Q144" i="34" s="1"/>
  <c r="S5" i="308"/>
  <c r="S6" i="308" s="1"/>
  <c r="M135" i="34"/>
  <c r="R135" i="34" s="1"/>
  <c r="O22" i="303"/>
  <c r="N119" i="34"/>
  <c r="H30" i="290"/>
  <c r="G30" i="290"/>
  <c r="M22" i="321"/>
  <c r="L22" i="321"/>
  <c r="S5" i="296"/>
  <c r="S6" i="296" s="1"/>
  <c r="M22" i="334"/>
  <c r="O22" i="315"/>
  <c r="S5" i="289"/>
  <c r="S6" i="289" s="1"/>
  <c r="I22" i="284"/>
  <c r="N30" i="272"/>
  <c r="M96" i="34"/>
  <c r="R96" i="34" s="1"/>
  <c r="O22" i="284"/>
  <c r="F29" i="258"/>
  <c r="S4" i="257"/>
  <c r="F29" i="253"/>
  <c r="F29" i="246"/>
  <c r="O22" i="250"/>
  <c r="Q22" i="250" s="1"/>
  <c r="L22" i="282"/>
  <c r="N22" i="281"/>
  <c r="S5" i="239"/>
  <c r="S6" i="239" s="1"/>
  <c r="S5" i="235"/>
  <c r="S6" i="235" s="1"/>
  <c r="M41" i="34"/>
  <c r="R41" i="34" s="1"/>
  <c r="S5" i="214"/>
  <c r="S6" i="214" s="1"/>
  <c r="I30" i="217"/>
  <c r="S5" i="209"/>
  <c r="S6" i="209" s="1"/>
  <c r="M10" i="34"/>
  <c r="R10" i="34" s="1"/>
  <c r="M6" i="34"/>
  <c r="R6" i="34" s="1"/>
  <c r="P23" i="213"/>
  <c r="O30" i="267"/>
  <c r="O30" i="264"/>
  <c r="O30" i="263"/>
  <c r="O30" i="260"/>
  <c r="I41" i="34"/>
  <c r="F29" i="290"/>
  <c r="F30" i="298"/>
  <c r="L30" i="278"/>
  <c r="P30" i="254"/>
  <c r="F30" i="325"/>
  <c r="F29" i="280"/>
  <c r="N30" i="350"/>
  <c r="K30" i="296"/>
  <c r="M30" i="286"/>
  <c r="S4" i="326"/>
  <c r="D18" i="206"/>
  <c r="S4" i="272"/>
  <c r="S4" i="324"/>
  <c r="S4" i="328"/>
  <c r="F27" i="315"/>
  <c r="S4" i="289"/>
  <c r="G219" i="34"/>
  <c r="Q219" i="34" s="1"/>
  <c r="N181" i="34"/>
  <c r="P30" i="264"/>
  <c r="L30" i="279"/>
  <c r="K22" i="238"/>
  <c r="F30" i="224"/>
  <c r="N25" i="34"/>
  <c r="L27" i="283"/>
  <c r="N213" i="34"/>
  <c r="S4" i="348"/>
  <c r="I100" i="34"/>
  <c r="K30" i="261"/>
  <c r="K22" i="284"/>
  <c r="K30" i="255"/>
  <c r="K30" i="247"/>
  <c r="F30" i="278"/>
  <c r="M30" i="331"/>
  <c r="O30" i="295"/>
  <c r="O30" i="296"/>
  <c r="I30" i="294"/>
  <c r="N30" i="290"/>
  <c r="F30" i="307"/>
  <c r="H30" i="350"/>
  <c r="G30" i="218"/>
  <c r="F29" i="223"/>
  <c r="E30" i="326"/>
  <c r="F30" i="222"/>
  <c r="G30" i="223"/>
  <c r="P30" i="329"/>
  <c r="M33" i="34"/>
  <c r="R33" i="34" s="1"/>
  <c r="L30" i="294"/>
  <c r="F30" i="344"/>
  <c r="L30" i="284"/>
  <c r="P30" i="328"/>
  <c r="H23" i="345"/>
  <c r="O23" i="321"/>
  <c r="M30" i="292"/>
  <c r="N30" i="293"/>
  <c r="L30" i="331"/>
  <c r="F29" i="260"/>
  <c r="K30" i="288"/>
  <c r="G177" i="205"/>
  <c r="H19" i="338" s="1"/>
  <c r="H23" i="338" s="1"/>
  <c r="P27" i="282"/>
  <c r="J23" i="315"/>
  <c r="G30" i="329"/>
  <c r="S4" i="349"/>
  <c r="H23" i="333"/>
  <c r="F30" i="252"/>
  <c r="P30" i="293"/>
  <c r="L30" i="286"/>
  <c r="I30" i="210"/>
  <c r="F30" i="290"/>
  <c r="M173" i="34"/>
  <c r="R173" i="34" s="1"/>
  <c r="M30" i="294"/>
  <c r="H30" i="254"/>
  <c r="J30" i="331"/>
  <c r="M30" i="296"/>
  <c r="I30" i="349"/>
  <c r="H30" i="236"/>
  <c r="G26" i="321"/>
  <c r="N170" i="34"/>
  <c r="F30" i="228"/>
  <c r="F30" i="221"/>
  <c r="O30" i="255"/>
  <c r="O30" i="234"/>
  <c r="I30" i="242"/>
  <c r="L30" i="233"/>
  <c r="M172" i="34"/>
  <c r="R172" i="34" s="1"/>
  <c r="E30" i="294"/>
  <c r="I99" i="34"/>
  <c r="L30" i="288"/>
  <c r="O30" i="288"/>
  <c r="F29" i="249"/>
  <c r="O30" i="237"/>
  <c r="F30" i="324"/>
  <c r="K30" i="323"/>
  <c r="E30" i="323"/>
  <c r="E23" i="321"/>
  <c r="N30" i="243"/>
  <c r="F26" i="315"/>
  <c r="P30" i="273"/>
  <c r="F30" i="304"/>
  <c r="L30" i="259"/>
  <c r="G30" i="231"/>
  <c r="I30" i="327"/>
  <c r="F30" i="217"/>
  <c r="O26" i="309"/>
  <c r="G30" i="295"/>
  <c r="H30" i="267"/>
  <c r="M29" i="288"/>
  <c r="F26" i="321"/>
  <c r="P30" i="270"/>
  <c r="G30" i="216"/>
  <c r="L30" i="322"/>
  <c r="J30" i="326"/>
  <c r="L23" i="315"/>
  <c r="F30" i="296"/>
  <c r="M30" i="295"/>
  <c r="M30" i="293"/>
  <c r="I30" i="292"/>
  <c r="P30" i="289"/>
  <c r="M30" i="288"/>
  <c r="I30" i="222"/>
  <c r="M28" i="34"/>
  <c r="R28" i="34" s="1"/>
  <c r="F29" i="295"/>
  <c r="H30" i="266"/>
  <c r="F30" i="357"/>
  <c r="E22" i="238"/>
  <c r="E29" i="238" s="1"/>
  <c r="J30" i="289"/>
  <c r="F30" i="301"/>
  <c r="F30" i="349"/>
  <c r="I26" i="315"/>
  <c r="P30" i="308"/>
  <c r="G30" i="326"/>
  <c r="M30" i="325"/>
  <c r="P30" i="265"/>
  <c r="H30" i="223"/>
  <c r="I30" i="325"/>
  <c r="H30" i="295"/>
  <c r="H23" i="274"/>
  <c r="S4" i="221"/>
  <c r="P30" i="296"/>
  <c r="I30" i="268"/>
  <c r="K30" i="269"/>
  <c r="O30" i="253"/>
  <c r="N117" i="34"/>
  <c r="K30" i="289"/>
  <c r="H30" i="287"/>
  <c r="H22" i="274"/>
  <c r="F29" i="289"/>
  <c r="N23" i="321"/>
  <c r="P30" i="325"/>
  <c r="I29" i="288"/>
  <c r="G30" i="323"/>
  <c r="G30" i="308"/>
  <c r="I30" i="290"/>
  <c r="F30" i="212"/>
  <c r="H30" i="274"/>
  <c r="E30" i="236"/>
  <c r="G29" i="233"/>
  <c r="L30" i="227"/>
  <c r="F29" i="344"/>
  <c r="F22" i="321"/>
  <c r="P30" i="286"/>
  <c r="N30" i="296"/>
  <c r="F30" i="294"/>
  <c r="H30" i="294"/>
  <c r="H30" i="288"/>
  <c r="I30" i="289"/>
  <c r="F30" i="263"/>
  <c r="P30" i="287"/>
  <c r="F30" i="326"/>
  <c r="K29" i="276"/>
  <c r="H30" i="210"/>
  <c r="F30" i="289"/>
  <c r="G29" i="123"/>
  <c r="F29" i="248"/>
  <c r="F29" i="356"/>
  <c r="F29" i="241"/>
  <c r="M30" i="354"/>
  <c r="H29" i="252"/>
  <c r="M30" i="255"/>
  <c r="G30" i="230"/>
  <c r="F22" i="315"/>
  <c r="J29" i="252"/>
  <c r="L23" i="238"/>
  <c r="I101" i="34"/>
  <c r="P30" i="259"/>
  <c r="G30" i="293"/>
  <c r="O30" i="278"/>
  <c r="P30" i="279"/>
  <c r="I214" i="34"/>
  <c r="N30" i="239"/>
  <c r="K30" i="237"/>
  <c r="F23" i="315"/>
  <c r="M30" i="287"/>
  <c r="H30" i="261"/>
  <c r="L30" i="270"/>
  <c r="L30" i="210"/>
  <c r="O177" i="205"/>
  <c r="P19" i="338" s="1"/>
  <c r="K30" i="330"/>
  <c r="H30" i="272"/>
  <c r="K23" i="238"/>
  <c r="F30" i="227"/>
  <c r="F30" i="218"/>
  <c r="M14" i="34"/>
  <c r="R14" i="34" s="1"/>
  <c r="F29" i="243"/>
  <c r="H30" i="230"/>
  <c r="K30" i="322"/>
  <c r="N94" i="34"/>
  <c r="K29" i="252"/>
  <c r="G30" i="276"/>
  <c r="M24" i="34"/>
  <c r="R24" i="34" s="1"/>
  <c r="G30" i="212"/>
  <c r="P30" i="260"/>
  <c r="M30" i="247"/>
  <c r="N30" i="242"/>
  <c r="N30" i="240"/>
  <c r="I30" i="227"/>
  <c r="H23" i="315"/>
  <c r="E30" i="217"/>
  <c r="I30" i="288"/>
  <c r="M32" i="34"/>
  <c r="R32" i="34" s="1"/>
  <c r="E30" i="293"/>
  <c r="F29" i="292"/>
  <c r="K30" i="266"/>
  <c r="G30" i="224"/>
  <c r="L27" i="274"/>
  <c r="L30" i="274" s="1"/>
  <c r="I30" i="328"/>
  <c r="O30" i="251"/>
  <c r="N26" i="309"/>
  <c r="F29" i="123"/>
  <c r="L30" i="346"/>
  <c r="I30" i="346"/>
  <c r="I68" i="34"/>
  <c r="H30" i="292"/>
  <c r="N30" i="279"/>
  <c r="J30" i="302"/>
  <c r="M136" i="34"/>
  <c r="R136" i="34" s="1"/>
  <c r="G29" i="230"/>
  <c r="O27" i="231"/>
  <c r="O30" i="231" s="1"/>
  <c r="N172" i="34"/>
  <c r="H30" i="211"/>
  <c r="K30" i="210"/>
  <c r="H22" i="238"/>
  <c r="I82" i="34"/>
  <c r="L30" i="252"/>
  <c r="O30" i="293"/>
  <c r="S4" i="295"/>
  <c r="L30" i="330"/>
  <c r="M23" i="321"/>
  <c r="H29" i="230"/>
  <c r="L23" i="284"/>
  <c r="H30" i="276"/>
  <c r="H30" i="221"/>
  <c r="L30" i="242"/>
  <c r="K29" i="273"/>
  <c r="F29" i="263"/>
  <c r="F29" i="245"/>
  <c r="O27" i="274"/>
  <c r="O30" i="274" s="1"/>
  <c r="O22" i="274"/>
  <c r="L30" i="323"/>
  <c r="N30" i="314"/>
  <c r="H26" i="309"/>
  <c r="P30" i="246"/>
  <c r="K29" i="288"/>
  <c r="P30" i="216"/>
  <c r="G26" i="309"/>
  <c r="F29" i="247"/>
  <c r="K30" i="212"/>
  <c r="G29" i="288"/>
  <c r="N30" i="123"/>
  <c r="G29" i="245"/>
  <c r="I30" i="211"/>
  <c r="F30" i="230"/>
  <c r="N29" i="288"/>
  <c r="H29" i="288"/>
  <c r="I77" i="34"/>
  <c r="E30" i="295"/>
  <c r="I30" i="264"/>
  <c r="N30" i="237"/>
  <c r="H23" i="238"/>
  <c r="M30" i="258"/>
  <c r="N30" i="258"/>
  <c r="G30" i="241"/>
  <c r="G29" i="217"/>
  <c r="O30" i="212"/>
  <c r="F30" i="327"/>
  <c r="I23" i="284"/>
  <c r="J29" i="288"/>
  <c r="H30" i="275"/>
  <c r="K26" i="321"/>
  <c r="Q19" i="309"/>
  <c r="K30" i="217"/>
  <c r="M26" i="309"/>
  <c r="O30" i="247"/>
  <c r="E30" i="308"/>
  <c r="G23" i="250"/>
  <c r="L29" i="288"/>
  <c r="G30" i="210"/>
  <c r="M30" i="327"/>
  <c r="E30" i="298"/>
  <c r="F29" i="288"/>
  <c r="E27" i="232"/>
  <c r="G30" i="332"/>
  <c r="G30" i="217"/>
  <c r="G30" i="294"/>
  <c r="K30" i="293"/>
  <c r="F29" i="220"/>
  <c r="Q22" i="288"/>
  <c r="H29" i="275"/>
  <c r="N29" i="227"/>
  <c r="M30" i="356"/>
  <c r="P30" i="355"/>
  <c r="K30" i="268"/>
  <c r="G29" i="252"/>
  <c r="K30" i="280"/>
  <c r="G26" i="250"/>
  <c r="G30" i="250" s="1"/>
  <c r="K30" i="211"/>
  <c r="M30" i="230"/>
  <c r="L23" i="303"/>
  <c r="S5" i="212"/>
  <c r="S6" i="212" s="1"/>
  <c r="O30" i="235"/>
  <c r="G23" i="321"/>
  <c r="R124" i="34"/>
  <c r="H30" i="217"/>
  <c r="M30" i="212"/>
  <c r="M117" i="34"/>
  <c r="R117" i="34" s="1"/>
  <c r="N43" i="34"/>
  <c r="S4" i="237"/>
  <c r="L27" i="262"/>
  <c r="M101" i="34"/>
  <c r="R101" i="34" s="1"/>
  <c r="S5" i="279"/>
  <c r="S6" i="279" s="1"/>
  <c r="I26" i="321"/>
  <c r="P26" i="309"/>
  <c r="O30" i="350"/>
  <c r="I30" i="342"/>
  <c r="K26" i="309"/>
  <c r="H26" i="321"/>
  <c r="L29" i="273"/>
  <c r="F29" i="217"/>
  <c r="I26" i="309"/>
  <c r="F30" i="322"/>
  <c r="G22" i="321"/>
  <c r="O26" i="250"/>
  <c r="O30" i="250" s="1"/>
  <c r="G30" i="266"/>
  <c r="L30" i="277"/>
  <c r="L23" i="274"/>
  <c r="D90" i="206"/>
  <c r="F30" i="123"/>
  <c r="K30" i="260"/>
  <c r="N30" i="222"/>
  <c r="G29" i="240"/>
  <c r="F29" i="227"/>
  <c r="F30" i="260"/>
  <c r="H29" i="259"/>
  <c r="G29" i="242"/>
  <c r="L30" i="276"/>
  <c r="N30" i="241"/>
  <c r="G30" i="258"/>
  <c r="J26" i="309"/>
  <c r="P29" i="292"/>
  <c r="P30" i="320"/>
  <c r="E30" i="310"/>
  <c r="L26" i="309"/>
  <c r="P29" i="273"/>
  <c r="K29" i="227"/>
  <c r="F29" i="242"/>
  <c r="G29" i="292"/>
  <c r="K30" i="267"/>
  <c r="F30" i="210"/>
  <c r="F29" i="332"/>
  <c r="I29" i="252"/>
  <c r="F22" i="238"/>
  <c r="H30" i="212"/>
  <c r="H30" i="278"/>
  <c r="F30" i="287"/>
  <c r="F30" i="295"/>
  <c r="F30" i="302"/>
  <c r="P30" i="261"/>
  <c r="F30" i="317"/>
  <c r="O30" i="242"/>
  <c r="N30" i="210"/>
  <c r="S5" i="123"/>
  <c r="S6" i="123" s="1"/>
  <c r="O30" i="261"/>
  <c r="J30" i="212"/>
  <c r="I22" i="321"/>
  <c r="H30" i="344"/>
  <c r="F30" i="271"/>
  <c r="E30" i="250"/>
  <c r="H29" i="292"/>
  <c r="J30" i="272"/>
  <c r="K27" i="262"/>
  <c r="F29" i="286"/>
  <c r="F29" i="218"/>
  <c r="O30" i="241"/>
  <c r="N29" i="273"/>
  <c r="F29" i="251"/>
  <c r="G30" i="261"/>
  <c r="H30" i="317"/>
  <c r="L30" i="280"/>
  <c r="L30" i="332"/>
  <c r="E30" i="342"/>
  <c r="K23" i="274"/>
  <c r="I30" i="212"/>
  <c r="K30" i="230"/>
  <c r="K30" i="276"/>
  <c r="G30" i="296"/>
  <c r="L30" i="289"/>
  <c r="O30" i="287"/>
  <c r="L27" i="282"/>
  <c r="M122" i="34"/>
  <c r="R122" i="34" s="1"/>
  <c r="P29" i="276"/>
  <c r="G30" i="264"/>
  <c r="F29" i="271"/>
  <c r="I29" i="261"/>
  <c r="D1" i="206"/>
  <c r="D149" i="206"/>
  <c r="P27" i="274"/>
  <c r="P30" i="274" s="1"/>
  <c r="P22" i="274"/>
  <c r="E30" i="355"/>
  <c r="K30" i="349"/>
  <c r="O30" i="268"/>
  <c r="O30" i="277"/>
  <c r="P30" i="242"/>
  <c r="K30" i="245"/>
  <c r="G23" i="303"/>
  <c r="L30" i="216"/>
  <c r="I133" i="34"/>
  <c r="F30" i="342"/>
  <c r="I30" i="308"/>
  <c r="N30" i="294"/>
  <c r="F30" i="259"/>
  <c r="F29" i="240"/>
  <c r="J30" i="230"/>
  <c r="F27" i="238"/>
  <c r="F30" i="238" s="1"/>
  <c r="O23" i="333"/>
  <c r="O29" i="265"/>
  <c r="Q22" i="251"/>
  <c r="O30" i="292"/>
  <c r="K30" i="292"/>
  <c r="K30" i="236"/>
  <c r="O30" i="328"/>
  <c r="N30" i="331"/>
  <c r="G29" i="251"/>
  <c r="M29" i="276"/>
  <c r="L30" i="272"/>
  <c r="P23" i="284"/>
  <c r="P27" i="284"/>
  <c r="P22" i="284"/>
  <c r="S5" i="261"/>
  <c r="S6" i="261" s="1"/>
  <c r="M77" i="34"/>
  <c r="R77" i="34" s="1"/>
  <c r="M30" i="348"/>
  <c r="F23" i="213"/>
  <c r="E1" i="206"/>
  <c r="L30" i="217"/>
  <c r="P30" i="227"/>
  <c r="O26" i="303"/>
  <c r="F22" i="225"/>
  <c r="E2" i="206"/>
  <c r="G30" i="235"/>
  <c r="G30" i="306"/>
  <c r="P30" i="295"/>
  <c r="K30" i="294"/>
  <c r="L30" i="290"/>
  <c r="N30" i="266"/>
  <c r="F29" i="275"/>
  <c r="G23" i="281"/>
  <c r="K90" i="206"/>
  <c r="M30" i="237"/>
  <c r="K149" i="206"/>
  <c r="K30" i="295"/>
  <c r="F30" i="323"/>
  <c r="F30" i="332"/>
  <c r="L29" i="275"/>
  <c r="O30" i="289"/>
  <c r="K30" i="286"/>
  <c r="I29" i="305"/>
  <c r="M30" i="328"/>
  <c r="E22" i="225"/>
  <c r="D2" i="206"/>
  <c r="F27" i="321"/>
  <c r="F27" i="341"/>
  <c r="M30" i="346"/>
  <c r="F30" i="351"/>
  <c r="G30" i="342"/>
  <c r="F30" i="348"/>
  <c r="F30" i="305"/>
  <c r="N30" i="252"/>
  <c r="F29" i="261"/>
  <c r="G29" i="254"/>
  <c r="I30" i="332"/>
  <c r="E30" i="347"/>
  <c r="M30" i="290"/>
  <c r="F30" i="267"/>
  <c r="P30" i="294"/>
  <c r="G30" i="123"/>
  <c r="F30" i="328"/>
  <c r="N30" i="248"/>
  <c r="J29" i="241"/>
  <c r="O23" i="315"/>
  <c r="G30" i="288"/>
  <c r="P23" i="274"/>
  <c r="O149" i="206"/>
  <c r="F29" i="345"/>
  <c r="G27" i="214"/>
  <c r="G30" i="214" s="1"/>
  <c r="I30" i="267"/>
  <c r="Q22" i="228"/>
  <c r="N30" i="295"/>
  <c r="J29" i="261"/>
  <c r="H29" i="273"/>
  <c r="H22" i="213"/>
  <c r="G1" i="206"/>
  <c r="I22" i="213"/>
  <c r="H1" i="206"/>
  <c r="N146" i="34"/>
  <c r="E30" i="301"/>
  <c r="M30" i="298"/>
  <c r="P30" i="304"/>
  <c r="N30" i="349"/>
  <c r="M29" i="249"/>
  <c r="K30" i="332"/>
  <c r="N30" i="286"/>
  <c r="F29" i="308"/>
  <c r="E30" i="344"/>
  <c r="H30" i="296"/>
  <c r="F29" i="239"/>
  <c r="F30" i="350"/>
  <c r="S4" i="273"/>
  <c r="N95" i="34"/>
  <c r="H23" i="225"/>
  <c r="G2" i="206"/>
  <c r="I22" i="225"/>
  <c r="H2" i="206"/>
  <c r="F30" i="310"/>
  <c r="J23" i="213"/>
  <c r="I1" i="206"/>
  <c r="E30" i="356"/>
  <c r="H31" i="34"/>
  <c r="I31" i="34" s="1"/>
  <c r="I2" i="206"/>
  <c r="I30" i="354"/>
  <c r="G29" i="218"/>
  <c r="F27" i="262"/>
  <c r="G29" i="241"/>
  <c r="L30" i="293"/>
  <c r="F29" i="323"/>
  <c r="M116" i="34"/>
  <c r="R116" i="34" s="1"/>
  <c r="S5" i="288"/>
  <c r="S6" i="288" s="1"/>
  <c r="N92" i="34"/>
  <c r="S4" i="270"/>
  <c r="G22" i="225"/>
  <c r="F2" i="206"/>
  <c r="F30" i="277"/>
  <c r="G30" i="248"/>
  <c r="O30" i="344"/>
  <c r="N30" i="307"/>
  <c r="N27" i="347"/>
  <c r="N30" i="347" s="1"/>
  <c r="E30" i="354"/>
  <c r="G30" i="286"/>
  <c r="F30" i="306"/>
  <c r="L30" i="305"/>
  <c r="M176" i="34"/>
  <c r="R176" i="34" s="1"/>
  <c r="L29" i="276"/>
  <c r="Q20" i="218"/>
  <c r="G29" i="223"/>
  <c r="E30" i="247"/>
  <c r="M30" i="210"/>
  <c r="S4" i="251"/>
  <c r="G29" i="212"/>
  <c r="H29" i="241"/>
  <c r="H29" i="249"/>
  <c r="J30" i="294"/>
  <c r="G30" i="228"/>
  <c r="F29" i="244"/>
  <c r="S4" i="296"/>
  <c r="E29" i="273"/>
  <c r="K23" i="340"/>
  <c r="M30" i="264"/>
  <c r="M30" i="267"/>
  <c r="L30" i="212"/>
  <c r="H30" i="348"/>
  <c r="L19" i="336"/>
  <c r="L23" i="336" s="1"/>
  <c r="K177" i="205"/>
  <c r="L19" i="338" s="1"/>
  <c r="G30" i="354"/>
  <c r="M26" i="321"/>
  <c r="G29" i="276"/>
  <c r="M29" i="273"/>
  <c r="H29" i="123"/>
  <c r="Q19" i="321"/>
  <c r="H30" i="216"/>
  <c r="M23" i="333"/>
  <c r="L30" i="326"/>
  <c r="E27" i="341"/>
  <c r="L29" i="292"/>
  <c r="F29" i="273"/>
  <c r="O30" i="217"/>
  <c r="F23" i="321"/>
  <c r="J22" i="315"/>
  <c r="H29" i="223"/>
  <c r="S4" i="302"/>
  <c r="E30" i="235"/>
  <c r="O30" i="216"/>
  <c r="L30" i="348"/>
  <c r="F30" i="308"/>
  <c r="H30" i="299"/>
  <c r="M181" i="34"/>
  <c r="R181" i="34" s="1"/>
  <c r="F29" i="269"/>
  <c r="G29" i="261"/>
  <c r="P26" i="321"/>
  <c r="N30" i="227"/>
  <c r="I29" i="239"/>
  <c r="G26" i="315"/>
  <c r="E29" i="218"/>
  <c r="Q22" i="273"/>
  <c r="G30" i="279"/>
  <c r="G29" i="273"/>
  <c r="I29" i="292"/>
  <c r="N30" i="292"/>
  <c r="O30" i="290"/>
  <c r="P30" i="288"/>
  <c r="N30" i="233"/>
  <c r="P30" i="349"/>
  <c r="I29" i="123"/>
  <c r="I29" i="273"/>
  <c r="I29" i="241"/>
  <c r="P29" i="239"/>
  <c r="E19" i="337"/>
  <c r="E26" i="337" s="1"/>
  <c r="I23" i="321"/>
  <c r="N30" i="308"/>
  <c r="O30" i="275"/>
  <c r="M29" i="292"/>
  <c r="O29" i="273"/>
  <c r="J29" i="273"/>
  <c r="L30" i="223"/>
  <c r="L30" i="357"/>
  <c r="P30" i="306"/>
  <c r="F29" i="300"/>
  <c r="J26" i="315"/>
  <c r="H26" i="315"/>
  <c r="F30" i="268"/>
  <c r="H30" i="289"/>
  <c r="L30" i="287"/>
  <c r="G29" i="260"/>
  <c r="E29" i="261"/>
  <c r="P29" i="123"/>
  <c r="N176" i="34"/>
  <c r="G29" i="239"/>
  <c r="S5" i="294"/>
  <c r="S6" i="294" s="1"/>
  <c r="E22" i="315"/>
  <c r="E29" i="315" s="1"/>
  <c r="J29" i="265"/>
  <c r="L30" i="308"/>
  <c r="M7" i="34"/>
  <c r="R7" i="34" s="1"/>
  <c r="J30" i="296"/>
  <c r="G30" i="348"/>
  <c r="K30" i="348"/>
  <c r="H30" i="293"/>
  <c r="F30" i="209"/>
  <c r="I27" i="309"/>
  <c r="K30" i="222"/>
  <c r="G30" i="221"/>
  <c r="H29" i="254"/>
  <c r="O30" i="326"/>
  <c r="N30" i="324"/>
  <c r="L30" i="344"/>
  <c r="G30" i="349"/>
  <c r="H29" i="260"/>
  <c r="O23" i="309"/>
  <c r="M30" i="271"/>
  <c r="N23" i="315"/>
  <c r="P29" i="261"/>
  <c r="I29" i="260"/>
  <c r="Q22" i="252"/>
  <c r="H30" i="222"/>
  <c r="F30" i="300"/>
  <c r="N149" i="206"/>
  <c r="G26" i="303"/>
  <c r="G30" i="303" s="1"/>
  <c r="P30" i="346"/>
  <c r="O30" i="331"/>
  <c r="P30" i="332"/>
  <c r="N30" i="328"/>
  <c r="J27" i="347"/>
  <c r="N30" i="289"/>
  <c r="F29" i="270"/>
  <c r="N29" i="275"/>
  <c r="F30" i="231"/>
  <c r="K29" i="275"/>
  <c r="E22" i="282"/>
  <c r="E29" i="282" s="1"/>
  <c r="O29" i="275"/>
  <c r="H30" i="123"/>
  <c r="I83" i="34"/>
  <c r="O29" i="261"/>
  <c r="P29" i="288"/>
  <c r="E30" i="307"/>
  <c r="E30" i="306"/>
  <c r="G30" i="287"/>
  <c r="G29" i="275"/>
  <c r="N48" i="34"/>
  <c r="S4" i="240"/>
  <c r="Q22" i="275"/>
  <c r="G27" i="347"/>
  <c r="G30" i="347" s="1"/>
  <c r="J29" i="230"/>
  <c r="N29" i="252"/>
  <c r="P29" i="275"/>
  <c r="O29" i="252"/>
  <c r="L29" i="252"/>
  <c r="F29" i="328"/>
  <c r="I94" i="34"/>
  <c r="F29" i="324"/>
  <c r="M29" i="252"/>
  <c r="Q22" i="230"/>
  <c r="I30" i="221"/>
  <c r="L30" i="329"/>
  <c r="I26" i="345"/>
  <c r="I30" i="345" s="1"/>
  <c r="N30" i="288"/>
  <c r="K30" i="306"/>
  <c r="M30" i="330"/>
  <c r="F30" i="329"/>
  <c r="F1" i="206"/>
  <c r="I30" i="312"/>
  <c r="F30" i="223"/>
  <c r="F30" i="356"/>
  <c r="N26" i="315"/>
  <c r="H27" i="347"/>
  <c r="H30" i="347" s="1"/>
  <c r="I30" i="295"/>
  <c r="G30" i="289"/>
  <c r="I30" i="286"/>
  <c r="N29" i="327"/>
  <c r="Q22" i="261"/>
  <c r="J30" i="123"/>
  <c r="I29" i="242"/>
  <c r="G30" i="351"/>
  <c r="H30" i="349"/>
  <c r="S4" i="331"/>
  <c r="I29" i="275"/>
  <c r="H29" i="255"/>
  <c r="M29" i="228"/>
  <c r="P29" i="241"/>
  <c r="E23" i="282"/>
  <c r="O27" i="214"/>
  <c r="O30" i="214" s="1"/>
  <c r="F30" i="330"/>
  <c r="O30" i="246"/>
  <c r="F29" i="212"/>
  <c r="P30" i="357"/>
  <c r="O30" i="228"/>
  <c r="N30" i="330"/>
  <c r="F29" i="329"/>
  <c r="G30" i="328"/>
  <c r="O29" i="288"/>
  <c r="I30" i="302"/>
  <c r="N30" i="348"/>
  <c r="M30" i="220"/>
  <c r="M30" i="222"/>
  <c r="O26" i="321"/>
  <c r="N27" i="303"/>
  <c r="Q20" i="284"/>
  <c r="K30" i="227"/>
  <c r="H30" i="325"/>
  <c r="G30" i="322"/>
  <c r="P30" i="292"/>
  <c r="G23" i="315"/>
  <c r="J23" i="284"/>
  <c r="M29" i="265"/>
  <c r="P29" i="252"/>
  <c r="P29" i="249"/>
  <c r="N41" i="34"/>
  <c r="J30" i="235"/>
  <c r="S4" i="235"/>
  <c r="N60" i="34"/>
  <c r="S4" i="248"/>
  <c r="M57" i="34"/>
  <c r="R57" i="34" s="1"/>
  <c r="S5" i="245"/>
  <c r="S6" i="245" s="1"/>
  <c r="G30" i="324"/>
  <c r="H30" i="220"/>
  <c r="O29" i="220"/>
  <c r="K30" i="331"/>
  <c r="K30" i="329"/>
  <c r="N30" i="329"/>
  <c r="I30" i="293"/>
  <c r="H30" i="286"/>
  <c r="O26" i="315"/>
  <c r="N29" i="261"/>
  <c r="G90" i="206"/>
  <c r="H27" i="282"/>
  <c r="I22" i="345"/>
  <c r="M30" i="289"/>
  <c r="J19" i="345"/>
  <c r="G30" i="312"/>
  <c r="G30" i="314"/>
  <c r="P30" i="317"/>
  <c r="N26" i="303"/>
  <c r="H27" i="321"/>
  <c r="E22" i="321"/>
  <c r="M30" i="217"/>
  <c r="K27" i="303"/>
  <c r="G29" i="227"/>
  <c r="L27" i="315"/>
  <c r="L26" i="303"/>
  <c r="F19" i="341"/>
  <c r="F22" i="341" s="1"/>
  <c r="M29" i="227"/>
  <c r="P30" i="302"/>
  <c r="I30" i="296"/>
  <c r="G22" i="274"/>
  <c r="J30" i="330"/>
  <c r="G30" i="327"/>
  <c r="M30" i="236"/>
  <c r="N22" i="282"/>
  <c r="J27" i="321"/>
  <c r="H29" i="212"/>
  <c r="L29" i="265"/>
  <c r="K29" i="228"/>
  <c r="L30" i="327"/>
  <c r="J22" i="284"/>
  <c r="G30" i="331"/>
  <c r="H30" i="330"/>
  <c r="I30" i="330"/>
  <c r="I30" i="344"/>
  <c r="I23" i="232"/>
  <c r="I27" i="214"/>
  <c r="I30" i="214" s="1"/>
  <c r="Q22" i="249"/>
  <c r="P30" i="300"/>
  <c r="N27" i="214"/>
  <c r="N30" i="214" s="1"/>
  <c r="J27" i="214"/>
  <c r="J30" i="214" s="1"/>
  <c r="G30" i="345"/>
  <c r="P29" i="265"/>
  <c r="E30" i="222"/>
  <c r="I30" i="287"/>
  <c r="N128" i="34"/>
  <c r="S4" i="294"/>
  <c r="N122" i="34"/>
  <c r="J30" i="292"/>
  <c r="S4" i="292"/>
  <c r="M27" i="274"/>
  <c r="M30" i="274" s="1"/>
  <c r="M22" i="274"/>
  <c r="M23" i="274"/>
  <c r="E26" i="274"/>
  <c r="E30" i="274" s="1"/>
  <c r="E22" i="274"/>
  <c r="E29" i="274" s="1"/>
  <c r="E23" i="274"/>
  <c r="I27" i="238"/>
  <c r="I30" i="238" s="1"/>
  <c r="I22" i="238"/>
  <c r="N100" i="34"/>
  <c r="S4" i="276"/>
  <c r="J30" i="276"/>
  <c r="O30" i="330"/>
  <c r="S5" i="304"/>
  <c r="S6" i="304" s="1"/>
  <c r="O30" i="307"/>
  <c r="M170" i="34"/>
  <c r="K26" i="303"/>
  <c r="P30" i="245"/>
  <c r="N27" i="315"/>
  <c r="H29" i="220"/>
  <c r="O30" i="346"/>
  <c r="I102" i="34"/>
  <c r="J30" i="298"/>
  <c r="O30" i="294"/>
  <c r="L30" i="292"/>
  <c r="M29" i="271"/>
  <c r="L29" i="212"/>
  <c r="F29" i="255"/>
  <c r="M211" i="34"/>
  <c r="R211" i="34" s="1"/>
  <c r="P30" i="220"/>
  <c r="O30" i="123"/>
  <c r="O29" i="227"/>
  <c r="G22" i="315"/>
  <c r="S5" i="219"/>
  <c r="S6" i="219" s="1"/>
  <c r="Q19" i="315"/>
  <c r="G27" i="321"/>
  <c r="Q22" i="279"/>
  <c r="H30" i="228"/>
  <c r="I30" i="261"/>
  <c r="I104" i="34"/>
  <c r="K30" i="347"/>
  <c r="H29" i="290"/>
  <c r="I29" i="212"/>
  <c r="N30" i="326"/>
  <c r="M30" i="123"/>
  <c r="L27" i="214"/>
  <c r="L30" i="214" s="1"/>
  <c r="M27" i="214"/>
  <c r="M30" i="214" s="1"/>
  <c r="G29" i="331"/>
  <c r="F29" i="293"/>
  <c r="M30" i="270"/>
  <c r="K30" i="246"/>
  <c r="H29" i="251"/>
  <c r="G29" i="255"/>
  <c r="N30" i="287"/>
  <c r="O30" i="286"/>
  <c r="O23" i="284"/>
  <c r="I29" i="230"/>
  <c r="I27" i="262"/>
  <c r="S4" i="290"/>
  <c r="N118" i="34"/>
  <c r="J30" i="288"/>
  <c r="N116" i="34"/>
  <c r="S4" i="288"/>
  <c r="S5" i="272"/>
  <c r="S6" i="272" s="1"/>
  <c r="M94" i="34"/>
  <c r="K29" i="261"/>
  <c r="L29" i="261"/>
  <c r="H29" i="261"/>
  <c r="M29" i="261"/>
  <c r="E30" i="327"/>
  <c r="M27" i="284"/>
  <c r="M30" i="284" s="1"/>
  <c r="M22" i="284"/>
  <c r="M23" i="284"/>
  <c r="E26" i="284"/>
  <c r="E22" i="284"/>
  <c r="E29" i="284" s="1"/>
  <c r="F29" i="259"/>
  <c r="E29" i="259"/>
  <c r="P30" i="313"/>
  <c r="H23" i="303"/>
  <c r="H27" i="315"/>
  <c r="J27" i="315"/>
  <c r="I29" i="227"/>
  <c r="L30" i="310"/>
  <c r="O30" i="332"/>
  <c r="K30" i="342"/>
  <c r="N134" i="34"/>
  <c r="E27" i="333"/>
  <c r="G27" i="315"/>
  <c r="I30" i="329"/>
  <c r="G27" i="341"/>
  <c r="L29" i="227"/>
  <c r="G29" i="220"/>
  <c r="H29" i="227"/>
  <c r="O27" i="303"/>
  <c r="J27" i="303"/>
  <c r="Q22" i="227"/>
  <c r="E30" i="209"/>
  <c r="K30" i="328"/>
  <c r="J30" i="348"/>
  <c r="L30" i="296"/>
  <c r="L30" i="295"/>
  <c r="P30" i="290"/>
  <c r="N30" i="268"/>
  <c r="N30" i="228"/>
  <c r="E29" i="329"/>
  <c r="G29" i="259"/>
  <c r="N30" i="230"/>
  <c r="L30" i="211"/>
  <c r="O29" i="230"/>
  <c r="P29" i="227"/>
  <c r="F30" i="343"/>
  <c r="H30" i="351"/>
  <c r="I224" i="34"/>
  <c r="I29" i="228"/>
  <c r="K29" i="230"/>
  <c r="G29" i="356"/>
  <c r="H23" i="218"/>
  <c r="M27" i="321"/>
  <c r="P30" i="324"/>
  <c r="G30" i="302"/>
  <c r="K27" i="214"/>
  <c r="K30" i="214" s="1"/>
  <c r="J29" i="227"/>
  <c r="Q20" i="214"/>
  <c r="G30" i="307"/>
  <c r="G30" i="330"/>
  <c r="O30" i="329"/>
  <c r="H30" i="326"/>
  <c r="S5" i="347"/>
  <c r="S6" i="347" s="1"/>
  <c r="K26" i="315"/>
  <c r="S4" i="287"/>
  <c r="N115" i="34"/>
  <c r="E29" i="228"/>
  <c r="F29" i="228"/>
  <c r="N6" i="34"/>
  <c r="S4" i="123"/>
  <c r="S4" i="293"/>
  <c r="N123" i="34"/>
  <c r="N114" i="34"/>
  <c r="S4" i="286"/>
  <c r="J26" i="274"/>
  <c r="G98" i="34"/>
  <c r="Q98" i="34" s="1"/>
  <c r="N207" i="34"/>
  <c r="S4" i="350"/>
  <c r="N8" i="34"/>
  <c r="S4" i="210"/>
  <c r="M27" i="315"/>
  <c r="I27" i="315"/>
  <c r="K27" i="315"/>
  <c r="O27" i="315"/>
  <c r="I23" i="315"/>
  <c r="I26" i="352"/>
  <c r="I30" i="352" s="1"/>
  <c r="I22" i="315"/>
  <c r="L30" i="304"/>
  <c r="J30" i="350"/>
  <c r="M29" i="239"/>
  <c r="J29" i="239"/>
  <c r="O29" i="239"/>
  <c r="N29" i="239"/>
  <c r="F29" i="233"/>
  <c r="N202" i="34"/>
  <c r="S4" i="342"/>
  <c r="Q85" i="34"/>
  <c r="I85" i="34"/>
  <c r="L30" i="325"/>
  <c r="E27" i="219"/>
  <c r="E22" i="219"/>
  <c r="E29" i="219" s="1"/>
  <c r="S4" i="278"/>
  <c r="J30" i="278"/>
  <c r="N96" i="34"/>
  <c r="F22" i="309"/>
  <c r="F23" i="309"/>
  <c r="H27" i="309"/>
  <c r="M27" i="309"/>
  <c r="F27" i="309"/>
  <c r="F30" i="309" s="1"/>
  <c r="G27" i="309"/>
  <c r="G26" i="284"/>
  <c r="G23" i="284"/>
  <c r="Q19" i="284"/>
  <c r="G22" i="284"/>
  <c r="Q20" i="250"/>
  <c r="J23" i="250"/>
  <c r="J27" i="250"/>
  <c r="J30" i="250" s="1"/>
  <c r="H64" i="34"/>
  <c r="I64" i="34" s="1"/>
  <c r="K23" i="250"/>
  <c r="Q19" i="250"/>
  <c r="K26" i="250"/>
  <c r="K30" i="250" s="1"/>
  <c r="H46" i="34"/>
  <c r="I46" i="34" s="1"/>
  <c r="J22" i="238"/>
  <c r="J27" i="238"/>
  <c r="J30" i="238" s="1"/>
  <c r="Q20" i="238"/>
  <c r="H164" i="206"/>
  <c r="P30" i="351"/>
  <c r="N30" i="325"/>
  <c r="L30" i="313"/>
  <c r="F30" i="311"/>
  <c r="I29" i="223"/>
  <c r="N27" i="309"/>
  <c r="N30" i="221"/>
  <c r="E22" i="281"/>
  <c r="E29" i="281" s="1"/>
  <c r="L30" i="354"/>
  <c r="L29" i="344"/>
  <c r="F22" i="232"/>
  <c r="F29" i="232" s="1"/>
  <c r="F23" i="232"/>
  <c r="F29" i="299"/>
  <c r="G29" i="299"/>
  <c r="N210" i="34"/>
  <c r="N29" i="251"/>
  <c r="H29" i="233"/>
  <c r="I29" i="254"/>
  <c r="P23" i="321"/>
  <c r="P22" i="321"/>
  <c r="E29" i="351"/>
  <c r="J29" i="351"/>
  <c r="S5" i="332"/>
  <c r="S6" i="332" s="1"/>
  <c r="J30" i="332"/>
  <c r="S4" i="227"/>
  <c r="N33" i="34"/>
  <c r="J30" i="227"/>
  <c r="I23" i="309"/>
  <c r="I22" i="309"/>
  <c r="E30" i="350"/>
  <c r="I30" i="326"/>
  <c r="J27" i="309"/>
  <c r="I27" i="341"/>
  <c r="Q20" i="341"/>
  <c r="E22" i="341"/>
  <c r="E29" i="341" s="1"/>
  <c r="H27" i="341"/>
  <c r="J30" i="342"/>
  <c r="K30" i="351"/>
  <c r="Q22" i="239"/>
  <c r="K29" i="233"/>
  <c r="J23" i="238"/>
  <c r="N30" i="344"/>
  <c r="N29" i="290"/>
  <c r="K29" i="241"/>
  <c r="N29" i="241"/>
  <c r="N30" i="212"/>
  <c r="S5" i="299"/>
  <c r="S6" i="299" s="1"/>
  <c r="M133" i="34"/>
  <c r="R133" i="34" s="1"/>
  <c r="M210" i="34"/>
  <c r="R210" i="34" s="1"/>
  <c r="S5" i="348"/>
  <c r="S6" i="348" s="1"/>
  <c r="S5" i="344"/>
  <c r="S6" i="344" s="1"/>
  <c r="M204" i="34"/>
  <c r="R204" i="34" s="1"/>
  <c r="J23" i="303"/>
  <c r="J22" i="303"/>
  <c r="I26" i="303"/>
  <c r="G22" i="303"/>
  <c r="G29" i="303" s="1"/>
  <c r="M26" i="303"/>
  <c r="Q19" i="303"/>
  <c r="J26" i="303"/>
  <c r="P26" i="303"/>
  <c r="F27" i="274"/>
  <c r="F30" i="274" s="1"/>
  <c r="Q20" i="274"/>
  <c r="F22" i="274"/>
  <c r="F23" i="274"/>
  <c r="N23" i="274"/>
  <c r="N27" i="274"/>
  <c r="N30" i="274" s="1"/>
  <c r="N22" i="274"/>
  <c r="J27" i="262"/>
  <c r="H80" i="34"/>
  <c r="O30" i="222"/>
  <c r="I29" i="244"/>
  <c r="G30" i="356"/>
  <c r="N42" i="34"/>
  <c r="S4" i="236"/>
  <c r="I19" i="336"/>
  <c r="H177" i="205"/>
  <c r="I19" i="338" s="1"/>
  <c r="F22" i="340"/>
  <c r="F23" i="340"/>
  <c r="J27" i="282"/>
  <c r="H107" i="34"/>
  <c r="J27" i="281"/>
  <c r="H106" i="34"/>
  <c r="O23" i="274"/>
  <c r="F23" i="284"/>
  <c r="F27" i="284"/>
  <c r="F30" i="284" s="1"/>
  <c r="F22" i="284"/>
  <c r="N23" i="284"/>
  <c r="N22" i="284"/>
  <c r="N27" i="284"/>
  <c r="N30" i="284" s="1"/>
  <c r="I90" i="206"/>
  <c r="J28" i="285" s="1"/>
  <c r="M27" i="347"/>
  <c r="M30" i="347" s="1"/>
  <c r="M30" i="329"/>
  <c r="K30" i="314"/>
  <c r="N30" i="318"/>
  <c r="H22" i="303"/>
  <c r="I29" i="349"/>
  <c r="L26" i="321"/>
  <c r="M26" i="315"/>
  <c r="N29" i="292"/>
  <c r="J29" i="276"/>
  <c r="Q22" i="276"/>
  <c r="N29" i="223"/>
  <c r="L27" i="303"/>
  <c r="M27" i="303"/>
  <c r="J26" i="321"/>
  <c r="N27" i="281"/>
  <c r="N30" i="281" s="1"/>
  <c r="P30" i="223"/>
  <c r="P30" i="221"/>
  <c r="I27" i="232"/>
  <c r="I30" i="232" s="1"/>
  <c r="I30" i="356"/>
  <c r="N30" i="357"/>
  <c r="Q22" i="270"/>
  <c r="P30" i="222"/>
  <c r="M23" i="334"/>
  <c r="M29" i="302"/>
  <c r="P30" i="331"/>
  <c r="P27" i="347"/>
  <c r="P30" i="347" s="1"/>
  <c r="H29" i="299"/>
  <c r="P29" i="222"/>
  <c r="J29" i="279"/>
  <c r="H30" i="300"/>
  <c r="J30" i="299"/>
  <c r="P29" i="279"/>
  <c r="O30" i="220"/>
  <c r="K30" i="123"/>
  <c r="J30" i="328"/>
  <c r="G29" i="265"/>
  <c r="K30" i="228"/>
  <c r="P30" i="230"/>
  <c r="L30" i="230"/>
  <c r="F30" i="211"/>
  <c r="M128" i="34"/>
  <c r="R128" i="34" s="1"/>
  <c r="I27" i="321"/>
  <c r="H29" i="276"/>
  <c r="H162" i="34"/>
  <c r="F29" i="331"/>
  <c r="Q22" i="265"/>
  <c r="K29" i="265"/>
  <c r="I169" i="34"/>
  <c r="O30" i="351"/>
  <c r="M29" i="327"/>
  <c r="K29" i="292"/>
  <c r="O29" i="249"/>
  <c r="L30" i="350"/>
  <c r="H30" i="332"/>
  <c r="E30" i="351"/>
  <c r="M30" i="344"/>
  <c r="G30" i="255"/>
  <c r="K30" i="324"/>
  <c r="K30" i="220"/>
  <c r="L30" i="220"/>
  <c r="L30" i="222"/>
  <c r="K30" i="325"/>
  <c r="G29" i="323"/>
  <c r="N29" i="249"/>
  <c r="S4" i="332"/>
  <c r="N178" i="34"/>
  <c r="G30" i="251"/>
  <c r="J30" i="275"/>
  <c r="S4" i="275"/>
  <c r="N99" i="34"/>
  <c r="M44" i="34"/>
  <c r="R44" i="34" s="1"/>
  <c r="S5" i="242"/>
  <c r="S6" i="242" s="1"/>
  <c r="H29" i="239"/>
  <c r="I29" i="255"/>
  <c r="S4" i="249"/>
  <c r="N61" i="34"/>
  <c r="S4" i="243"/>
  <c r="N47" i="34"/>
  <c r="S4" i="239"/>
  <c r="I14" i="34"/>
  <c r="J27" i="274"/>
  <c r="J23" i="274"/>
  <c r="J22" i="274"/>
  <c r="S4" i="256"/>
  <c r="N69" i="34"/>
  <c r="N29" i="34"/>
  <c r="S4" i="230"/>
  <c r="H30" i="298"/>
  <c r="K30" i="305"/>
  <c r="H30" i="327"/>
  <c r="M30" i="227"/>
  <c r="O30" i="211"/>
  <c r="L30" i="349"/>
  <c r="M30" i="351"/>
  <c r="I29" i="290"/>
  <c r="K30" i="241"/>
  <c r="I30" i="220"/>
  <c r="I29" i="276"/>
  <c r="O29" i="276"/>
  <c r="S4" i="344"/>
  <c r="N204" i="34"/>
  <c r="Q44" i="34"/>
  <c r="I44" i="34"/>
  <c r="H30" i="354"/>
  <c r="G30" i="344"/>
  <c r="L30" i="342"/>
  <c r="O27" i="347"/>
  <c r="O30" i="347" s="1"/>
  <c r="O30" i="306"/>
  <c r="O30" i="308"/>
  <c r="P30" i="326"/>
  <c r="G30" i="325"/>
  <c r="H30" i="323"/>
  <c r="I27" i="303"/>
  <c r="N30" i="320"/>
  <c r="K27" i="321"/>
  <c r="N26" i="321"/>
  <c r="P26" i="315"/>
  <c r="O29" i="292"/>
  <c r="J29" i="292"/>
  <c r="N29" i="276"/>
  <c r="N30" i="217"/>
  <c r="P30" i="217"/>
  <c r="M30" i="320"/>
  <c r="M30" i="223"/>
  <c r="E30" i="218"/>
  <c r="N30" i="216"/>
  <c r="K30" i="216"/>
  <c r="K29" i="123"/>
  <c r="O30" i="348"/>
  <c r="F30" i="353"/>
  <c r="I30" i="357"/>
  <c r="N30" i="342"/>
  <c r="N30" i="332"/>
  <c r="J30" i="344"/>
  <c r="F29" i="311"/>
  <c r="H30" i="356"/>
  <c r="K29" i="330"/>
  <c r="E30" i="331"/>
  <c r="G29" i="329"/>
  <c r="Q20" i="347"/>
  <c r="E27" i="347"/>
  <c r="F30" i="345"/>
  <c r="I30" i="298"/>
  <c r="E30" i="290"/>
  <c r="N29" i="279"/>
  <c r="K29" i="249"/>
  <c r="G30" i="301"/>
  <c r="F29" i="276"/>
  <c r="K29" i="220"/>
  <c r="P30" i="211"/>
  <c r="J30" i="324"/>
  <c r="H30" i="227"/>
  <c r="H29" i="265"/>
  <c r="M30" i="228"/>
  <c r="O30" i="230"/>
  <c r="I30" i="230"/>
  <c r="G30" i="211"/>
  <c r="L26" i="315"/>
  <c r="N29" i="265"/>
  <c r="G30" i="350"/>
  <c r="N30" i="351"/>
  <c r="F30" i="355"/>
  <c r="F30" i="354"/>
  <c r="P23" i="333"/>
  <c r="L23" i="333"/>
  <c r="E30" i="348"/>
  <c r="H30" i="331"/>
  <c r="I30" i="331"/>
  <c r="K30" i="344"/>
  <c r="K23" i="315"/>
  <c r="G30" i="298"/>
  <c r="L30" i="298"/>
  <c r="M29" i="275"/>
  <c r="J29" i="275"/>
  <c r="E22" i="214"/>
  <c r="K29" i="214" s="1"/>
  <c r="E27" i="214"/>
  <c r="P27" i="214"/>
  <c r="P30" i="214" s="1"/>
  <c r="F27" i="214"/>
  <c r="F30" i="214" s="1"/>
  <c r="L149" i="206"/>
  <c r="F29" i="287"/>
  <c r="E29" i="287"/>
  <c r="G26" i="274"/>
  <c r="G30" i="274" s="1"/>
  <c r="Q19" i="274"/>
  <c r="Q20" i="262"/>
  <c r="J27" i="284"/>
  <c r="J30" i="284" s="1"/>
  <c r="H109" i="34"/>
  <c r="K26" i="284"/>
  <c r="K23" i="284"/>
  <c r="S4" i="345"/>
  <c r="N205" i="34"/>
  <c r="M68" i="34"/>
  <c r="R68" i="34" s="1"/>
  <c r="S5" i="255"/>
  <c r="S6" i="255" s="1"/>
  <c r="S5" i="280"/>
  <c r="S6" i="280" s="1"/>
  <c r="M102" i="34"/>
  <c r="R102" i="34" s="1"/>
  <c r="Q39" i="34"/>
  <c r="I39" i="34"/>
  <c r="N37" i="34"/>
  <c r="S4" i="228"/>
  <c r="M30" i="319"/>
  <c r="O29" i="290"/>
  <c r="O29" i="241"/>
  <c r="H30" i="346"/>
  <c r="H30" i="355"/>
  <c r="Q22" i="348"/>
  <c r="H29" i="331"/>
  <c r="P30" i="212"/>
  <c r="L30" i="301"/>
  <c r="I29" i="331"/>
  <c r="L29" i="230"/>
  <c r="P29" i="211"/>
  <c r="H30" i="231"/>
  <c r="P30" i="123"/>
  <c r="J29" i="228"/>
  <c r="N30" i="211"/>
  <c r="L27" i="321"/>
  <c r="J22" i="321"/>
  <c r="N29" i="230"/>
  <c r="O29" i="331"/>
  <c r="I30" i="322"/>
  <c r="N173" i="34"/>
  <c r="Q22" i="290"/>
  <c r="N29" i="228"/>
  <c r="H144" i="34"/>
  <c r="N78" i="34"/>
  <c r="S4" i="266"/>
  <c r="S5" i="221"/>
  <c r="S6" i="221" s="1"/>
  <c r="M25" i="34"/>
  <c r="R25" i="34" s="1"/>
  <c r="M39" i="34"/>
  <c r="R39" i="34" s="1"/>
  <c r="S5" i="233"/>
  <c r="S6" i="233" s="1"/>
  <c r="E29" i="209"/>
  <c r="F29" i="209"/>
  <c r="Q206" i="34"/>
  <c r="I206" i="34"/>
  <c r="J27" i="231"/>
  <c r="J30" i="231" s="1"/>
  <c r="L27" i="231"/>
  <c r="L30" i="231" s="1"/>
  <c r="I22" i="231"/>
  <c r="P29" i="231" s="1"/>
  <c r="N27" i="231"/>
  <c r="N30" i="231" s="1"/>
  <c r="P27" i="231"/>
  <c r="P30" i="231" s="1"/>
  <c r="I27" i="231"/>
  <c r="I30" i="231" s="1"/>
  <c r="Q20" i="231"/>
  <c r="M27" i="231"/>
  <c r="M30" i="231" s="1"/>
  <c r="K27" i="231"/>
  <c r="K30" i="231" s="1"/>
  <c r="J30" i="221"/>
  <c r="Q20" i="321"/>
  <c r="O29" i="329"/>
  <c r="N104" i="34"/>
  <c r="S4" i="277"/>
  <c r="Q49" i="34"/>
  <c r="I49" i="34"/>
  <c r="G29" i="287"/>
  <c r="I29" i="287"/>
  <c r="P29" i="228"/>
  <c r="H29" i="228"/>
  <c r="O29" i="228"/>
  <c r="S5" i="218"/>
  <c r="S6" i="218" s="1"/>
  <c r="R16" i="34"/>
  <c r="N27" i="34"/>
  <c r="S4" i="223"/>
  <c r="M171" i="34"/>
  <c r="R171" i="34" s="1"/>
  <c r="S5" i="325"/>
  <c r="S6" i="325" s="1"/>
  <c r="M30" i="326"/>
  <c r="N30" i="322"/>
  <c r="F30" i="319"/>
  <c r="K30" i="223"/>
  <c r="P30" i="348"/>
  <c r="O30" i="304"/>
  <c r="K30" i="326"/>
  <c r="L29" i="290"/>
  <c r="P29" i="290"/>
  <c r="L27" i="309"/>
  <c r="Q20" i="309"/>
  <c r="L29" i="327"/>
  <c r="O30" i="227"/>
  <c r="L29" i="241"/>
  <c r="M29" i="123"/>
  <c r="K30" i="221"/>
  <c r="M30" i="216"/>
  <c r="K30" i="346"/>
  <c r="N30" i="356"/>
  <c r="K29" i="328"/>
  <c r="N30" i="299"/>
  <c r="I58" i="34"/>
  <c r="M30" i="350"/>
  <c r="O27" i="321"/>
  <c r="Q22" i="241"/>
  <c r="N27" i="321"/>
  <c r="K29" i="351"/>
  <c r="G30" i="300"/>
  <c r="G30" i="355"/>
  <c r="H30" i="253"/>
  <c r="G29" i="290"/>
  <c r="G30" i="304"/>
  <c r="M29" i="301"/>
  <c r="K30" i="301"/>
  <c r="K29" i="331"/>
  <c r="M142" i="34"/>
  <c r="R142" i="34" s="1"/>
  <c r="K30" i="327"/>
  <c r="M29" i="230"/>
  <c r="L30" i="218"/>
  <c r="L30" i="123"/>
  <c r="P30" i="228"/>
  <c r="H30" i="322"/>
  <c r="O29" i="356"/>
  <c r="K30" i="355"/>
  <c r="S4" i="330"/>
  <c r="J23" i="309"/>
  <c r="N101" i="34"/>
  <c r="J30" i="279"/>
  <c r="S4" i="279"/>
  <c r="H30" i="329"/>
  <c r="J149" i="206"/>
  <c r="I30" i="350"/>
  <c r="S5" i="243"/>
  <c r="S6" i="243" s="1"/>
  <c r="M49" i="34"/>
  <c r="J30" i="243"/>
  <c r="S5" i="256"/>
  <c r="S6" i="256" s="1"/>
  <c r="J30" i="256"/>
  <c r="M69" i="34"/>
  <c r="S5" i="267"/>
  <c r="S6" i="267" s="1"/>
  <c r="M83" i="34"/>
  <c r="R83" i="34" s="1"/>
  <c r="N11" i="34"/>
  <c r="S4" i="217"/>
  <c r="H23" i="219"/>
  <c r="H22" i="219"/>
  <c r="G29" i="221"/>
  <c r="F29" i="221"/>
  <c r="Q170" i="34"/>
  <c r="I170" i="34"/>
  <c r="H30" i="308"/>
  <c r="H29" i="287"/>
  <c r="N24" i="34"/>
  <c r="J30" i="220"/>
  <c r="S4" i="220"/>
  <c r="I30" i="323"/>
  <c r="M30" i="308"/>
  <c r="Q22" i="123"/>
  <c r="J29" i="290"/>
  <c r="O27" i="309"/>
  <c r="M30" i="318"/>
  <c r="N30" i="346"/>
  <c r="N30" i="354"/>
  <c r="I30" i="348"/>
  <c r="J29" i="348"/>
  <c r="K29" i="348"/>
  <c r="J29" i="300"/>
  <c r="N30" i="313"/>
  <c r="L30" i="319"/>
  <c r="M29" i="290"/>
  <c r="P29" i="271"/>
  <c r="K27" i="309"/>
  <c r="P27" i="309"/>
  <c r="P30" i="327"/>
  <c r="P29" i="327"/>
  <c r="O30" i="356"/>
  <c r="I29" i="299"/>
  <c r="M29" i="306"/>
  <c r="I30" i="351"/>
  <c r="K30" i="350"/>
  <c r="F30" i="250"/>
  <c r="J23" i="321"/>
  <c r="G29" i="350"/>
  <c r="I29" i="356"/>
  <c r="O29" i="287"/>
  <c r="K30" i="279"/>
  <c r="P29" i="331"/>
  <c r="G29" i="228"/>
  <c r="S4" i="298"/>
  <c r="P27" i="321"/>
  <c r="L30" i="351"/>
  <c r="N30" i="327"/>
  <c r="Q22" i="292"/>
  <c r="L29" i="228"/>
  <c r="P29" i="230"/>
  <c r="F27" i="347"/>
  <c r="F30" i="347" s="1"/>
  <c r="E22" i="347"/>
  <c r="P29" i="347" s="1"/>
  <c r="I27" i="347"/>
  <c r="I30" i="347" s="1"/>
  <c r="L27" i="347"/>
  <c r="L30" i="347" s="1"/>
  <c r="M177" i="34"/>
  <c r="R177" i="34" s="1"/>
  <c r="S5" i="329"/>
  <c r="S6" i="329" s="1"/>
  <c r="N93" i="34"/>
  <c r="S4" i="271"/>
  <c r="J30" i="261"/>
  <c r="N77" i="34"/>
  <c r="S4" i="261"/>
  <c r="Q132" i="34"/>
  <c r="I132" i="34"/>
  <c r="K29" i="290"/>
  <c r="N20" i="34"/>
  <c r="S4" i="216"/>
  <c r="M29" i="241"/>
  <c r="Q29" i="34"/>
  <c r="I29" i="34"/>
  <c r="N10" i="34"/>
  <c r="S4" i="212"/>
  <c r="N9" i="34"/>
  <c r="S4" i="211"/>
  <c r="J27" i="218"/>
  <c r="K27" i="218"/>
  <c r="K30" i="218" s="1"/>
  <c r="H27" i="218"/>
  <c r="H30" i="218" s="1"/>
  <c r="N27" i="218"/>
  <c r="N30" i="218" s="1"/>
  <c r="O27" i="218"/>
  <c r="O30" i="218" s="1"/>
  <c r="I27" i="218"/>
  <c r="I30" i="218" s="1"/>
  <c r="P27" i="218"/>
  <c r="P30" i="218" s="1"/>
  <c r="M27" i="218"/>
  <c r="M30" i="218" s="1"/>
  <c r="H22" i="218"/>
  <c r="I29" i="218" s="1"/>
  <c r="N26" i="34"/>
  <c r="S4" i="222"/>
  <c r="J29" i="249"/>
  <c r="I29" i="249"/>
  <c r="L29" i="249"/>
  <c r="G29" i="249"/>
  <c r="I92" i="34"/>
  <c r="Q96" i="34"/>
  <c r="I96" i="34"/>
  <c r="K30" i="319"/>
  <c r="K29" i="327"/>
  <c r="J29" i="220"/>
  <c r="O30" i="221"/>
  <c r="G29" i="322"/>
  <c r="P30" i="342"/>
  <c r="M30" i="301"/>
  <c r="L29" i="331"/>
  <c r="H29" i="244"/>
  <c r="K30" i="298"/>
  <c r="M29" i="331"/>
  <c r="N29" i="331"/>
  <c r="F22" i="343"/>
  <c r="F29" i="343" s="1"/>
  <c r="F23" i="343"/>
  <c r="N91" i="34"/>
  <c r="S4" i="269"/>
  <c r="N87" i="34"/>
  <c r="S4" i="265"/>
  <c r="J30" i="263"/>
  <c r="S4" i="263"/>
  <c r="N81" i="34"/>
  <c r="S4" i="259"/>
  <c r="N75" i="34"/>
  <c r="S4" i="354"/>
  <c r="N220" i="34"/>
  <c r="M35" i="34"/>
  <c r="R35" i="34" s="1"/>
  <c r="S5" i="232"/>
  <c r="S6" i="232" s="1"/>
  <c r="F29" i="265"/>
  <c r="I29" i="265"/>
  <c r="F29" i="298"/>
  <c r="E29" i="298"/>
  <c r="H30" i="313"/>
  <c r="M81" i="34"/>
  <c r="R81" i="34" s="1"/>
  <c r="S5" i="263"/>
  <c r="S6" i="263" s="1"/>
  <c r="N175" i="34"/>
  <c r="S4" i="327"/>
  <c r="E26" i="353"/>
  <c r="E30" i="353" s="1"/>
  <c r="P30" i="323"/>
  <c r="P30" i="314"/>
  <c r="O30" i="342"/>
  <c r="E23" i="353"/>
  <c r="F29" i="349"/>
  <c r="M29" i="348"/>
  <c r="I29" i="344"/>
  <c r="I30" i="216"/>
  <c r="H29" i="313"/>
  <c r="S4" i="355"/>
  <c r="L29" i="326"/>
  <c r="J29" i="304"/>
  <c r="L29" i="351"/>
  <c r="I29" i="220"/>
  <c r="I30" i="355"/>
  <c r="I30" i="299"/>
  <c r="G29" i="244"/>
  <c r="H30" i="305"/>
  <c r="M30" i="299"/>
  <c r="P29" i="299"/>
  <c r="J29" i="331"/>
  <c r="Q22" i="331"/>
  <c r="S5" i="342"/>
  <c r="S6" i="342" s="1"/>
  <c r="M202" i="34"/>
  <c r="R202" i="34" s="1"/>
  <c r="M214" i="34"/>
  <c r="R214" i="34" s="1"/>
  <c r="S5" i="351"/>
  <c r="S6" i="351" s="1"/>
  <c r="N177" i="205"/>
  <c r="O19" i="338" s="1"/>
  <c r="O19" i="336"/>
  <c r="M85" i="34"/>
  <c r="R85" i="34" s="1"/>
  <c r="S5" i="268"/>
  <c r="S6" i="268" s="1"/>
  <c r="M31" i="34"/>
  <c r="R31" i="34" s="1"/>
  <c r="S5" i="225"/>
  <c r="S6" i="225" s="1"/>
  <c r="O30" i="349"/>
  <c r="K29" i="344"/>
  <c r="F29" i="348"/>
  <c r="M29" i="344"/>
  <c r="O29" i="348"/>
  <c r="L29" i="348"/>
  <c r="K30" i="307"/>
  <c r="I30" i="316"/>
  <c r="I30" i="311"/>
  <c r="H29" i="304"/>
  <c r="N29" i="220"/>
  <c r="Q22" i="220"/>
  <c r="P29" i="220"/>
  <c r="K30" i="354"/>
  <c r="P30" i="322"/>
  <c r="F29" i="351"/>
  <c r="O30" i="354"/>
  <c r="I29" i="266"/>
  <c r="J29" i="327"/>
  <c r="G19" i="343"/>
  <c r="G26" i="343" s="1"/>
  <c r="G30" i="343" s="1"/>
  <c r="N83" i="34"/>
  <c r="J30" i="267"/>
  <c r="S4" i="267"/>
  <c r="N82" i="34"/>
  <c r="S4" i="264"/>
  <c r="S4" i="260"/>
  <c r="N76" i="34"/>
  <c r="N74" i="34"/>
  <c r="S4" i="258"/>
  <c r="M207" i="34"/>
  <c r="S5" i="350"/>
  <c r="S6" i="350" s="1"/>
  <c r="N39" i="34"/>
  <c r="J30" i="233"/>
  <c r="S4" i="233"/>
  <c r="I29" i="279"/>
  <c r="O29" i="279"/>
  <c r="G29" i="279"/>
  <c r="H29" i="279"/>
  <c r="K29" i="279"/>
  <c r="M29" i="279"/>
  <c r="L29" i="279"/>
  <c r="N67" i="34"/>
  <c r="S4" i="252"/>
  <c r="F29" i="236"/>
  <c r="E29" i="236"/>
  <c r="N51" i="34"/>
  <c r="S4" i="244"/>
  <c r="J30" i="244"/>
  <c r="P29" i="251"/>
  <c r="K29" i="251"/>
  <c r="L29" i="251"/>
  <c r="M29" i="251"/>
  <c r="I29" i="251"/>
  <c r="J29" i="251"/>
  <c r="O29" i="251"/>
  <c r="E30" i="232"/>
  <c r="O30" i="305"/>
  <c r="H29" i="344"/>
  <c r="S4" i="300"/>
  <c r="K29" i="300"/>
  <c r="O30" i="318"/>
  <c r="M30" i="310"/>
  <c r="F30" i="316"/>
  <c r="I30" i="319"/>
  <c r="G30" i="320"/>
  <c r="H30" i="303"/>
  <c r="E30" i="318"/>
  <c r="J27" i="341"/>
  <c r="P27" i="341"/>
  <c r="K27" i="341"/>
  <c r="N27" i="341"/>
  <c r="H29" i="300"/>
  <c r="M30" i="316"/>
  <c r="P30" i="311"/>
  <c r="F27" i="232"/>
  <c r="F30" i="232" s="1"/>
  <c r="D164" i="206"/>
  <c r="N136" i="34"/>
  <c r="L30" i="356"/>
  <c r="K29" i="329"/>
  <c r="P29" i="348"/>
  <c r="F29" i="268"/>
  <c r="N29" i="123"/>
  <c r="H30" i="307"/>
  <c r="G30" i="305"/>
  <c r="I30" i="305"/>
  <c r="M30" i="304"/>
  <c r="P30" i="301"/>
  <c r="O30" i="298"/>
  <c r="P30" i="299"/>
  <c r="L30" i="299"/>
  <c r="K30" i="299"/>
  <c r="N29" i="211"/>
  <c r="I23" i="340"/>
  <c r="I22" i="340"/>
  <c r="N30" i="306"/>
  <c r="G29" i="344"/>
  <c r="L29" i="300"/>
  <c r="J29" i="302"/>
  <c r="N30" i="319"/>
  <c r="O30" i="310"/>
  <c r="Q22" i="246"/>
  <c r="Q22" i="301"/>
  <c r="E30" i="300"/>
  <c r="F30" i="346"/>
  <c r="P29" i="349"/>
  <c r="P30" i="305"/>
  <c r="M30" i="307"/>
  <c r="Q22" i="300"/>
  <c r="N29" i="300"/>
  <c r="J29" i="123"/>
  <c r="H148" i="206"/>
  <c r="M29" i="300"/>
  <c r="I29" i="300"/>
  <c r="M30" i="317"/>
  <c r="E30" i="320"/>
  <c r="K30" i="320"/>
  <c r="G30" i="318"/>
  <c r="O29" i="123"/>
  <c r="L29" i="123"/>
  <c r="L27" i="341"/>
  <c r="M27" i="341"/>
  <c r="M29" i="270"/>
  <c r="O30" i="210"/>
  <c r="N30" i="310"/>
  <c r="L30" i="221"/>
  <c r="O90" i="206"/>
  <c r="P28" i="285" s="1"/>
  <c r="G26" i="281"/>
  <c r="N30" i="223"/>
  <c r="O30" i="313"/>
  <c r="P30" i="356"/>
  <c r="Q22" i="330"/>
  <c r="N30" i="301"/>
  <c r="G30" i="299"/>
  <c r="P29" i="300"/>
  <c r="N30" i="305"/>
  <c r="N19" i="337"/>
  <c r="N19" i="335"/>
  <c r="N23" i="335" s="1"/>
  <c r="N29" i="302"/>
  <c r="O29" i="300"/>
  <c r="I30" i="314"/>
  <c r="E30" i="317"/>
  <c r="E30" i="316"/>
  <c r="P30" i="319"/>
  <c r="P30" i="330"/>
  <c r="J27" i="232"/>
  <c r="P29" i="356"/>
  <c r="F29" i="357"/>
  <c r="G29" i="300"/>
  <c r="Q22" i="271"/>
  <c r="P30" i="210"/>
  <c r="L30" i="312"/>
  <c r="L29" i="242"/>
  <c r="I30" i="223"/>
  <c r="K29" i="356"/>
  <c r="J29" i="356"/>
  <c r="O30" i="357"/>
  <c r="G30" i="357"/>
  <c r="M30" i="300"/>
  <c r="J29" i="330"/>
  <c r="N29" i="210"/>
  <c r="I30" i="224"/>
  <c r="J29" i="233"/>
  <c r="O29" i="210"/>
  <c r="P22" i="281"/>
  <c r="P27" i="281"/>
  <c r="J148" i="206"/>
  <c r="M30" i="342"/>
  <c r="O29" i="304"/>
  <c r="K29" i="304"/>
  <c r="O30" i="320"/>
  <c r="G22" i="281"/>
  <c r="G148" i="206"/>
  <c r="N29" i="356"/>
  <c r="H29" i="356"/>
  <c r="H30" i="357"/>
  <c r="N30" i="298"/>
  <c r="K30" i="302"/>
  <c r="L30" i="302"/>
  <c r="H30" i="301"/>
  <c r="P29" i="330"/>
  <c r="L30" i="228"/>
  <c r="L29" i="220"/>
  <c r="O29" i="212"/>
  <c r="H29" i="271"/>
  <c r="P29" i="210"/>
  <c r="E26" i="339"/>
  <c r="F148" i="206"/>
  <c r="I26" i="281"/>
  <c r="I22" i="281"/>
  <c r="I23" i="281"/>
  <c r="I30" i="307"/>
  <c r="Q22" i="356"/>
  <c r="J29" i="357"/>
  <c r="N29" i="271"/>
  <c r="M30" i="314"/>
  <c r="P30" i="350"/>
  <c r="I30" i="318"/>
  <c r="G30" i="311"/>
  <c r="F30" i="314"/>
  <c r="J29" i="271"/>
  <c r="L29" i="223"/>
  <c r="M29" i="326"/>
  <c r="G29" i="351"/>
  <c r="H29" i="351"/>
  <c r="P29" i="351"/>
  <c r="Q22" i="357"/>
  <c r="M29" i="304"/>
  <c r="O30" i="301"/>
  <c r="G29" i="327"/>
  <c r="O29" i="271"/>
  <c r="O27" i="283"/>
  <c r="K22" i="335"/>
  <c r="K23" i="335"/>
  <c r="J19" i="337"/>
  <c r="G187" i="34" s="1"/>
  <c r="J19" i="335"/>
  <c r="E26" i="334"/>
  <c r="F26" i="334"/>
  <c r="M53" i="34"/>
  <c r="R53" i="34" s="1"/>
  <c r="S5" i="241"/>
  <c r="S6" i="241" s="1"/>
  <c r="L27" i="281"/>
  <c r="N29" i="215"/>
  <c r="K29" i="215"/>
  <c r="O30" i="312"/>
  <c r="H23" i="335"/>
  <c r="H22" i="335"/>
  <c r="N224" i="34"/>
  <c r="S4" i="357"/>
  <c r="N219" i="34"/>
  <c r="S4" i="353"/>
  <c r="N171" i="34"/>
  <c r="S4" i="325"/>
  <c r="J30" i="325"/>
  <c r="J26" i="282"/>
  <c r="J22" i="282"/>
  <c r="J23" i="282"/>
  <c r="M220" i="34"/>
  <c r="S5" i="354"/>
  <c r="S6" i="354" s="1"/>
  <c r="J30" i="354"/>
  <c r="Q22" i="255"/>
  <c r="J29" i="255"/>
  <c r="N29" i="255"/>
  <c r="P29" i="255"/>
  <c r="K29" i="255"/>
  <c r="J30" i="293"/>
  <c r="M123" i="34"/>
  <c r="S5" i="293"/>
  <c r="S6" i="293" s="1"/>
  <c r="M115" i="34"/>
  <c r="J30" i="287"/>
  <c r="S5" i="287"/>
  <c r="S6" i="287" s="1"/>
  <c r="Q87" i="34"/>
  <c r="I87" i="34"/>
  <c r="Q75" i="34"/>
  <c r="I75" i="34"/>
  <c r="M66" i="34"/>
  <c r="S5" i="251"/>
  <c r="S6" i="251" s="1"/>
  <c r="G19" i="336"/>
  <c r="F177" i="205"/>
  <c r="G19" i="338" s="1"/>
  <c r="H29" i="280"/>
  <c r="K29" i="280"/>
  <c r="I29" i="280"/>
  <c r="L29" i="280"/>
  <c r="G29" i="280"/>
  <c r="Q22" i="280"/>
  <c r="N29" i="280"/>
  <c r="J29" i="280"/>
  <c r="P29" i="280"/>
  <c r="M29" i="280"/>
  <c r="O29" i="280"/>
  <c r="L29" i="222"/>
  <c r="K29" i="222"/>
  <c r="I29" i="222"/>
  <c r="G29" i="222"/>
  <c r="J29" i="222"/>
  <c r="L30" i="307"/>
  <c r="E29" i="302"/>
  <c r="F29" i="302"/>
  <c r="I30" i="301"/>
  <c r="M91" i="34"/>
  <c r="S5" i="269"/>
  <c r="S6" i="269" s="1"/>
  <c r="J30" i="269"/>
  <c r="N64" i="34"/>
  <c r="O29" i="255"/>
  <c r="M29" i="221"/>
  <c r="L29" i="221"/>
  <c r="I29" i="221"/>
  <c r="H29" i="221"/>
  <c r="J29" i="221"/>
  <c r="O29" i="221"/>
  <c r="K29" i="221"/>
  <c r="P29" i="221"/>
  <c r="I22" i="291"/>
  <c r="P27" i="291"/>
  <c r="N27" i="291"/>
  <c r="M27" i="291"/>
  <c r="L27" i="291"/>
  <c r="I27" i="291"/>
  <c r="J27" i="291"/>
  <c r="Q20" i="291"/>
  <c r="O27" i="291"/>
  <c r="I23" i="291"/>
  <c r="K27" i="291"/>
  <c r="G29" i="224"/>
  <c r="F29" i="224"/>
  <c r="I29" i="224"/>
  <c r="H29" i="224"/>
  <c r="M95" i="34"/>
  <c r="S5" i="273"/>
  <c r="S6" i="273" s="1"/>
  <c r="J30" i="273"/>
  <c r="M43" i="34"/>
  <c r="S5" i="237"/>
  <c r="S6" i="237" s="1"/>
  <c r="J30" i="237"/>
  <c r="H29" i="222"/>
  <c r="M29" i="259"/>
  <c r="Q22" i="259"/>
  <c r="J29" i="259"/>
  <c r="O29" i="259"/>
  <c r="P29" i="259"/>
  <c r="K29" i="259"/>
  <c r="N29" i="259"/>
  <c r="L29" i="259"/>
  <c r="M58" i="34"/>
  <c r="J30" i="246"/>
  <c r="S5" i="246"/>
  <c r="S6" i="246" s="1"/>
  <c r="S4" i="320"/>
  <c r="N160" i="34"/>
  <c r="J29" i="260"/>
  <c r="P29" i="260"/>
  <c r="O29" i="260"/>
  <c r="M29" i="260"/>
  <c r="L29" i="260"/>
  <c r="K29" i="260"/>
  <c r="Q22" i="242"/>
  <c r="N29" i="242"/>
  <c r="H29" i="231"/>
  <c r="S5" i="210"/>
  <c r="S6" i="210" s="1"/>
  <c r="M8" i="34"/>
  <c r="R8" i="34" s="1"/>
  <c r="Q22" i="221"/>
  <c r="K26" i="353"/>
  <c r="K30" i="353" s="1"/>
  <c r="E22" i="353"/>
  <c r="Q22" i="353" s="1"/>
  <c r="O30" i="299"/>
  <c r="I29" i="326"/>
  <c r="O29" i="306"/>
  <c r="L29" i="304"/>
  <c r="Q22" i="302"/>
  <c r="N30" i="316"/>
  <c r="K30" i="312"/>
  <c r="H30" i="320"/>
  <c r="M30" i="312"/>
  <c r="I30" i="320"/>
  <c r="F30" i="318"/>
  <c r="N133" i="34"/>
  <c r="O29" i="242"/>
  <c r="N29" i="222"/>
  <c r="O29" i="222"/>
  <c r="O30" i="327"/>
  <c r="K29" i="242"/>
  <c r="M30" i="221"/>
  <c r="H29" i="242"/>
  <c r="F29" i="304"/>
  <c r="M30" i="357"/>
  <c r="O30" i="300"/>
  <c r="F30" i="303"/>
  <c r="H30" i="310"/>
  <c r="M90" i="206"/>
  <c r="N28" i="285" s="1"/>
  <c r="E90" i="206"/>
  <c r="M29" i="356"/>
  <c r="L29" i="356"/>
  <c r="S4" i="356"/>
  <c r="J30" i="356"/>
  <c r="N223" i="34"/>
  <c r="S5" i="355"/>
  <c r="S6" i="355" s="1"/>
  <c r="M222" i="34"/>
  <c r="R222" i="34" s="1"/>
  <c r="H90" i="206"/>
  <c r="N30" i="355"/>
  <c r="L30" i="355"/>
  <c r="F29" i="350"/>
  <c r="L29" i="330"/>
  <c r="G29" i="296"/>
  <c r="F29" i="296"/>
  <c r="E29" i="296"/>
  <c r="E29" i="294"/>
  <c r="F29" i="294"/>
  <c r="Q118" i="34"/>
  <c r="I118" i="34"/>
  <c r="S5" i="290"/>
  <c r="S6" i="290" s="1"/>
  <c r="J30" i="290"/>
  <c r="M118" i="34"/>
  <c r="S5" i="265"/>
  <c r="S6" i="265" s="1"/>
  <c r="J30" i="265"/>
  <c r="M87" i="34"/>
  <c r="J30" i="259"/>
  <c r="M75" i="34"/>
  <c r="S5" i="259"/>
  <c r="S6" i="259" s="1"/>
  <c r="I59" i="34"/>
  <c r="P29" i="287"/>
  <c r="K29" i="287"/>
  <c r="Q22" i="287"/>
  <c r="N29" i="287"/>
  <c r="J29" i="287"/>
  <c r="S5" i="247"/>
  <c r="S6" i="247" s="1"/>
  <c r="M59" i="34"/>
  <c r="R59" i="34" s="1"/>
  <c r="S4" i="346"/>
  <c r="N206" i="34"/>
  <c r="L30" i="306"/>
  <c r="S4" i="305"/>
  <c r="N141" i="34"/>
  <c r="N30" i="304"/>
  <c r="N140" i="34"/>
  <c r="J30" i="304"/>
  <c r="S4" i="304"/>
  <c r="I30" i="304"/>
  <c r="M30" i="302"/>
  <c r="I30" i="300"/>
  <c r="P30" i="298"/>
  <c r="G29" i="330"/>
  <c r="M29" i="330"/>
  <c r="N29" i="266"/>
  <c r="G29" i="266"/>
  <c r="M29" i="266"/>
  <c r="L29" i="266"/>
  <c r="J29" i="266"/>
  <c r="H29" i="266"/>
  <c r="F29" i="266"/>
  <c r="Q22" i="266"/>
  <c r="K29" i="266"/>
  <c r="M78" i="34"/>
  <c r="S5" i="266"/>
  <c r="S6" i="266" s="1"/>
  <c r="J30" i="266"/>
  <c r="Q62" i="34"/>
  <c r="I62" i="34"/>
  <c r="L29" i="255"/>
  <c r="I23" i="334"/>
  <c r="I22" i="334"/>
  <c r="J23" i="340"/>
  <c r="J22" i="340"/>
  <c r="H211" i="34"/>
  <c r="I211" i="34" s="1"/>
  <c r="M76" i="34"/>
  <c r="S5" i="260"/>
  <c r="S6" i="260" s="1"/>
  <c r="J30" i="260"/>
  <c r="S5" i="231"/>
  <c r="S6" i="231" s="1"/>
  <c r="M34" i="34"/>
  <c r="R34" i="34" s="1"/>
  <c r="S5" i="211"/>
  <c r="S6" i="211" s="1"/>
  <c r="J30" i="211"/>
  <c r="M9" i="34"/>
  <c r="H29" i="211"/>
  <c r="M29" i="211"/>
  <c r="J30" i="251"/>
  <c r="G29" i="231"/>
  <c r="N23" i="282"/>
  <c r="O29" i="233"/>
  <c r="G29" i="211"/>
  <c r="F29" i="211"/>
  <c r="Q22" i="211"/>
  <c r="G29" i="210"/>
  <c r="L29" i="210"/>
  <c r="K29" i="210"/>
  <c r="H30" i="345"/>
  <c r="N29" i="326"/>
  <c r="J29" i="326"/>
  <c r="L30" i="324"/>
  <c r="L30" i="318"/>
  <c r="I30" i="310"/>
  <c r="P30" i="312"/>
  <c r="G30" i="317"/>
  <c r="I29" i="304"/>
  <c r="J29" i="242"/>
  <c r="J30" i="306"/>
  <c r="J30" i="355"/>
  <c r="M27" i="281"/>
  <c r="M30" i="281" s="1"/>
  <c r="M22" i="281"/>
  <c r="M23" i="281"/>
  <c r="I29" i="348"/>
  <c r="H29" i="348"/>
  <c r="G29" i="348"/>
  <c r="N29" i="348"/>
  <c r="F22" i="334"/>
  <c r="F23" i="334"/>
  <c r="E27" i="334"/>
  <c r="F27" i="334"/>
  <c r="H27" i="334"/>
  <c r="G27" i="334"/>
  <c r="I27" i="334"/>
  <c r="E22" i="334"/>
  <c r="M223" i="34"/>
  <c r="R223" i="34" s="1"/>
  <c r="S5" i="356"/>
  <c r="S6" i="356" s="1"/>
  <c r="K30" i="300"/>
  <c r="M22" i="282"/>
  <c r="M27" i="282"/>
  <c r="M30" i="282" s="1"/>
  <c r="M30" i="355"/>
  <c r="N68" i="34"/>
  <c r="S4" i="255"/>
  <c r="J30" i="255"/>
  <c r="M132" i="34"/>
  <c r="S5" i="298"/>
  <c r="S6" i="298" s="1"/>
  <c r="S5" i="295"/>
  <c r="S6" i="295" s="1"/>
  <c r="J30" i="295"/>
  <c r="M119" i="34"/>
  <c r="K19" i="336"/>
  <c r="J177" i="205"/>
  <c r="K19" i="338" s="1"/>
  <c r="E29" i="309"/>
  <c r="S4" i="247"/>
  <c r="J30" i="247"/>
  <c r="N59" i="34"/>
  <c r="S4" i="241"/>
  <c r="J30" i="241"/>
  <c r="N53" i="34"/>
  <c r="Q114" i="34"/>
  <c r="I114" i="34"/>
  <c r="I29" i="271"/>
  <c r="K29" i="271"/>
  <c r="L29" i="271"/>
  <c r="M48" i="34"/>
  <c r="S5" i="240"/>
  <c r="S6" i="240" s="1"/>
  <c r="J30" i="240"/>
  <c r="M26" i="34"/>
  <c r="J30" i="222"/>
  <c r="S5" i="222"/>
  <c r="S6" i="222" s="1"/>
  <c r="S5" i="327"/>
  <c r="S6" i="327" s="1"/>
  <c r="J30" i="327"/>
  <c r="M175" i="34"/>
  <c r="S4" i="307"/>
  <c r="N137" i="34"/>
  <c r="H30" i="304"/>
  <c r="H30" i="302"/>
  <c r="I29" i="330"/>
  <c r="F29" i="330"/>
  <c r="M40" i="34"/>
  <c r="R40" i="34" s="1"/>
  <c r="S5" i="234"/>
  <c r="S6" i="234" s="1"/>
  <c r="P29" i="212"/>
  <c r="K29" i="212"/>
  <c r="N29" i="212"/>
  <c r="Q22" i="212"/>
  <c r="Q91" i="34"/>
  <c r="I91" i="34"/>
  <c r="Q42" i="34"/>
  <c r="I42" i="34"/>
  <c r="M29" i="256"/>
  <c r="L29" i="256"/>
  <c r="K29" i="256"/>
  <c r="F29" i="256"/>
  <c r="I29" i="256"/>
  <c r="Q22" i="256"/>
  <c r="J29" i="256"/>
  <c r="E29" i="256"/>
  <c r="O29" i="256"/>
  <c r="P29" i="256"/>
  <c r="G29" i="256"/>
  <c r="N29" i="256"/>
  <c r="H29" i="256"/>
  <c r="S5" i="250"/>
  <c r="S6" i="250" s="1"/>
  <c r="M64" i="34"/>
  <c r="R64" i="34" s="1"/>
  <c r="H29" i="327"/>
  <c r="I29" i="327"/>
  <c r="F29" i="327"/>
  <c r="M29" i="255"/>
  <c r="Q95" i="34"/>
  <c r="I95" i="34"/>
  <c r="Q43" i="34"/>
  <c r="I43" i="34"/>
  <c r="I29" i="259"/>
  <c r="I8" i="34"/>
  <c r="Q22" i="222"/>
  <c r="J29" i="212"/>
  <c r="S5" i="230"/>
  <c r="S6" i="230" s="1"/>
  <c r="M29" i="34"/>
  <c r="M29" i="212"/>
  <c r="I9" i="34"/>
  <c r="Q9" i="34"/>
  <c r="O29" i="266"/>
  <c r="M29" i="220"/>
  <c r="P29" i="233"/>
  <c r="Q22" i="233"/>
  <c r="L29" i="233"/>
  <c r="L29" i="211"/>
  <c r="O29" i="211"/>
  <c r="H29" i="210"/>
  <c r="M29" i="210"/>
  <c r="Q22" i="210"/>
  <c r="M29" i="242"/>
  <c r="M29" i="222"/>
  <c r="N23" i="281"/>
  <c r="G30" i="346"/>
  <c r="S5" i="301"/>
  <c r="S6" i="301" s="1"/>
  <c r="I30" i="306"/>
  <c r="F30" i="313"/>
  <c r="P29" i="242"/>
  <c r="G30" i="310"/>
  <c r="F26" i="281"/>
  <c r="F22" i="281"/>
  <c r="F23" i="281"/>
  <c r="J26" i="281"/>
  <c r="J22" i="281"/>
  <c r="J23" i="281"/>
  <c r="K30" i="357"/>
  <c r="K30" i="356"/>
  <c r="I29" i="351"/>
  <c r="N30" i="300"/>
  <c r="S4" i="352"/>
  <c r="N218" i="34"/>
  <c r="O30" i="355"/>
  <c r="S4" i="253"/>
  <c r="N71" i="34"/>
  <c r="S4" i="301"/>
  <c r="N135" i="34"/>
  <c r="J30" i="301"/>
  <c r="Q66" i="34"/>
  <c r="I66" i="34"/>
  <c r="N57" i="34"/>
  <c r="J30" i="245"/>
  <c r="S4" i="245"/>
  <c r="F29" i="301"/>
  <c r="H29" i="330"/>
  <c r="Q115" i="34"/>
  <c r="I115" i="34"/>
  <c r="M114" i="34"/>
  <c r="S5" i="286"/>
  <c r="S6" i="286" s="1"/>
  <c r="J30" i="286"/>
  <c r="Q48" i="34"/>
  <c r="I48" i="34"/>
  <c r="J30" i="268"/>
  <c r="N85" i="34"/>
  <c r="S4" i="268"/>
  <c r="Q10" i="34"/>
  <c r="I10" i="34"/>
  <c r="L29" i="287"/>
  <c r="Q22" i="260"/>
  <c r="N29" i="221"/>
  <c r="M30" i="306"/>
  <c r="K30" i="304"/>
  <c r="N30" i="302"/>
  <c r="L30" i="300"/>
  <c r="N29" i="330"/>
  <c r="O29" i="330"/>
  <c r="S5" i="271"/>
  <c r="S6" i="271" s="1"/>
  <c r="M93" i="34"/>
  <c r="J30" i="271"/>
  <c r="Q78" i="34"/>
  <c r="I78" i="34"/>
  <c r="Q47" i="34"/>
  <c r="I47" i="34"/>
  <c r="Q40" i="34"/>
  <c r="I40" i="34"/>
  <c r="S5" i="236"/>
  <c r="S6" i="236" s="1"/>
  <c r="M42" i="34"/>
  <c r="J30" i="236"/>
  <c r="L29" i="244"/>
  <c r="N29" i="244"/>
  <c r="M29" i="244"/>
  <c r="Q22" i="244"/>
  <c r="J29" i="244"/>
  <c r="O29" i="244"/>
  <c r="P29" i="244"/>
  <c r="K29" i="244"/>
  <c r="I15" i="34"/>
  <c r="I30" i="228"/>
  <c r="M29" i="287"/>
  <c r="N29" i="260"/>
  <c r="J30" i="228"/>
  <c r="S5" i="228"/>
  <c r="S6" i="228" s="1"/>
  <c r="M37" i="34"/>
  <c r="Q37" i="34"/>
  <c r="I37" i="34"/>
  <c r="K29" i="239"/>
  <c r="G29" i="264"/>
  <c r="E29" i="264"/>
  <c r="F29" i="264"/>
  <c r="Q76" i="34"/>
  <c r="I76" i="34"/>
  <c r="P29" i="266"/>
  <c r="G29" i="271"/>
  <c r="L29" i="239"/>
  <c r="J29" i="211"/>
  <c r="N29" i="233"/>
  <c r="I29" i="233"/>
  <c r="M29" i="233"/>
  <c r="K29" i="211"/>
  <c r="I29" i="211"/>
  <c r="J30" i="210"/>
  <c r="I29" i="210"/>
  <c r="F29" i="210"/>
  <c r="J29" i="210"/>
  <c r="O27" i="281"/>
  <c r="H19" i="334"/>
  <c r="J26" i="334" s="1"/>
  <c r="H19" i="337"/>
  <c r="G22" i="232"/>
  <c r="G23" i="232"/>
  <c r="J30" i="357"/>
  <c r="M224" i="34"/>
  <c r="S5" i="357"/>
  <c r="S6" i="357" s="1"/>
  <c r="I29" i="301"/>
  <c r="O29" i="301"/>
  <c r="J29" i="299"/>
  <c r="M155" i="34"/>
  <c r="R155" i="34" s="1"/>
  <c r="S5" i="319"/>
  <c r="S6" i="319" s="1"/>
  <c r="L29" i="328"/>
  <c r="O29" i="299"/>
  <c r="M29" i="351"/>
  <c r="I29" i="328"/>
  <c r="K29" i="299"/>
  <c r="N29" i="322"/>
  <c r="J29" i="301"/>
  <c r="H30" i="318"/>
  <c r="P30" i="318"/>
  <c r="G29" i="357"/>
  <c r="K29" i="357"/>
  <c r="O29" i="357"/>
  <c r="L29" i="301"/>
  <c r="M29" i="246"/>
  <c r="Q22" i="215"/>
  <c r="G27" i="232"/>
  <c r="G30" i="232" s="1"/>
  <c r="G23" i="334"/>
  <c r="G26" i="334"/>
  <c r="G22" i="334"/>
  <c r="H26" i="281"/>
  <c r="H30" i="281" s="1"/>
  <c r="H23" i="281"/>
  <c r="H22" i="281"/>
  <c r="G19" i="335"/>
  <c r="G19" i="337"/>
  <c r="P26" i="281"/>
  <c r="P23" i="281"/>
  <c r="L19" i="335"/>
  <c r="L19" i="337"/>
  <c r="G23" i="219"/>
  <c r="G22" i="219"/>
  <c r="F26" i="339"/>
  <c r="F22" i="339"/>
  <c r="F23" i="339"/>
  <c r="O29" i="350"/>
  <c r="H29" i="350"/>
  <c r="M29" i="350"/>
  <c r="K29" i="350"/>
  <c r="I29" i="350"/>
  <c r="J29" i="350"/>
  <c r="N29" i="350"/>
  <c r="L29" i="350"/>
  <c r="N168" i="34"/>
  <c r="S4" i="322"/>
  <c r="H29" i="306"/>
  <c r="F29" i="306"/>
  <c r="I29" i="306"/>
  <c r="J29" i="306"/>
  <c r="K29" i="306"/>
  <c r="L29" i="306"/>
  <c r="G29" i="306"/>
  <c r="Q146" i="34"/>
  <c r="I146" i="34"/>
  <c r="Q135" i="34"/>
  <c r="I135" i="34"/>
  <c r="N40" i="34"/>
  <c r="S4" i="234"/>
  <c r="J30" i="234"/>
  <c r="I29" i="264"/>
  <c r="H29" i="264"/>
  <c r="N214" i="34"/>
  <c r="J30" i="351"/>
  <c r="S4" i="351"/>
  <c r="E29" i="343"/>
  <c r="H22" i="226"/>
  <c r="H23" i="226"/>
  <c r="F22" i="226"/>
  <c r="O27" i="226"/>
  <c r="O30" i="226" s="1"/>
  <c r="Q20" i="226"/>
  <c r="L27" i="226"/>
  <c r="L30" i="226" s="1"/>
  <c r="J27" i="226"/>
  <c r="K27" i="226"/>
  <c r="K30" i="226" s="1"/>
  <c r="F23" i="226"/>
  <c r="P27" i="226"/>
  <c r="P30" i="226" s="1"/>
  <c r="N27" i="226"/>
  <c r="N30" i="226" s="1"/>
  <c r="I27" i="226"/>
  <c r="I30" i="226" s="1"/>
  <c r="H27" i="226"/>
  <c r="H30" i="226" s="1"/>
  <c r="M27" i="226"/>
  <c r="M30" i="226" s="1"/>
  <c r="F27" i="226"/>
  <c r="F30" i="226" s="1"/>
  <c r="G27" i="226"/>
  <c r="G30" i="226" s="1"/>
  <c r="M29" i="253"/>
  <c r="L29" i="253"/>
  <c r="J29" i="253"/>
  <c r="I29" i="253"/>
  <c r="H29" i="253"/>
  <c r="O29" i="253"/>
  <c r="Q22" i="253"/>
  <c r="K29" i="253"/>
  <c r="P29" i="253"/>
  <c r="N29" i="253"/>
  <c r="G29" i="253"/>
  <c r="M29" i="215"/>
  <c r="M29" i="236"/>
  <c r="L29" i="236"/>
  <c r="J29" i="236"/>
  <c r="I29" i="236"/>
  <c r="H29" i="236"/>
  <c r="O29" i="236"/>
  <c r="Q22" i="236"/>
  <c r="K29" i="236"/>
  <c r="P29" i="236"/>
  <c r="N29" i="236"/>
  <c r="G29" i="236"/>
  <c r="H149" i="206"/>
  <c r="E19" i="336"/>
  <c r="E23" i="336" s="1"/>
  <c r="D177" i="205"/>
  <c r="E19" i="338" s="1"/>
  <c r="Q151" i="34"/>
  <c r="I151" i="34"/>
  <c r="L27" i="232"/>
  <c r="L30" i="232" s="1"/>
  <c r="L90" i="206"/>
  <c r="M28" i="285" s="1"/>
  <c r="L19" i="281"/>
  <c r="L22" i="281" s="1"/>
  <c r="Q213" i="34"/>
  <c r="I213" i="34"/>
  <c r="L29" i="246"/>
  <c r="I29" i="246"/>
  <c r="H29" i="246"/>
  <c r="K29" i="246"/>
  <c r="J29" i="246"/>
  <c r="G29" i="246"/>
  <c r="S5" i="306"/>
  <c r="S6" i="306" s="1"/>
  <c r="M146" i="34"/>
  <c r="R146" i="34" s="1"/>
  <c r="I29" i="270"/>
  <c r="O29" i="270"/>
  <c r="K29" i="270"/>
  <c r="L29" i="270"/>
  <c r="G29" i="270"/>
  <c r="H29" i="270"/>
  <c r="N203" i="34"/>
  <c r="S4" i="343"/>
  <c r="F22" i="219"/>
  <c r="G27" i="219"/>
  <c r="G30" i="219" s="1"/>
  <c r="F23" i="219"/>
  <c r="H27" i="219"/>
  <c r="H30" i="219" s="1"/>
  <c r="F27" i="219"/>
  <c r="F30" i="219" s="1"/>
  <c r="E26" i="333"/>
  <c r="E30" i="333" s="1"/>
  <c r="E23" i="333"/>
  <c r="J29" i="250"/>
  <c r="M29" i="250"/>
  <c r="L29" i="250"/>
  <c r="K29" i="250"/>
  <c r="F29" i="250"/>
  <c r="I29" i="250"/>
  <c r="H29" i="250"/>
  <c r="G29" i="250"/>
  <c r="N29" i="250"/>
  <c r="H29" i="312"/>
  <c r="E29" i="312"/>
  <c r="F29" i="312"/>
  <c r="G29" i="312"/>
  <c r="N148" i="206"/>
  <c r="P29" i="307"/>
  <c r="O29" i="305"/>
  <c r="Q22" i="351"/>
  <c r="N29" i="299"/>
  <c r="K29" i="301"/>
  <c r="L30" i="317"/>
  <c r="O30" i="319"/>
  <c r="G30" i="319"/>
  <c r="H30" i="312"/>
  <c r="K30" i="311"/>
  <c r="M148" i="206"/>
  <c r="H29" i="357"/>
  <c r="L29" i="357"/>
  <c r="P29" i="357"/>
  <c r="L29" i="299"/>
  <c r="P29" i="301"/>
  <c r="Q22" i="299"/>
  <c r="N29" i="270"/>
  <c r="J29" i="270"/>
  <c r="P29" i="246"/>
  <c r="H27" i="232"/>
  <c r="H30" i="232" s="1"/>
  <c r="L148" i="206"/>
  <c r="K19" i="334"/>
  <c r="K22" i="334" s="1"/>
  <c r="K19" i="337"/>
  <c r="K19" i="281"/>
  <c r="K22" i="281" s="1"/>
  <c r="P19" i="334"/>
  <c r="P23" i="334" s="1"/>
  <c r="P19" i="337"/>
  <c r="P30" i="354"/>
  <c r="I29" i="332"/>
  <c r="L29" i="332"/>
  <c r="K29" i="332"/>
  <c r="H29" i="332"/>
  <c r="G29" i="332"/>
  <c r="J29" i="332"/>
  <c r="Q22" i="332"/>
  <c r="N29" i="332"/>
  <c r="M29" i="332"/>
  <c r="P29" i="332"/>
  <c r="O29" i="332"/>
  <c r="H29" i="326"/>
  <c r="G29" i="326"/>
  <c r="K29" i="326"/>
  <c r="S4" i="323"/>
  <c r="N169" i="34"/>
  <c r="Q168" i="34"/>
  <c r="I168" i="34"/>
  <c r="H30" i="306"/>
  <c r="I141" i="34"/>
  <c r="Q141" i="34"/>
  <c r="H23" i="232"/>
  <c r="H22" i="232"/>
  <c r="M29" i="342"/>
  <c r="P29" i="342"/>
  <c r="O29" i="342"/>
  <c r="F29" i="342"/>
  <c r="I29" i="342"/>
  <c r="L29" i="342"/>
  <c r="K29" i="342"/>
  <c r="E29" i="342"/>
  <c r="H29" i="342"/>
  <c r="G29" i="342"/>
  <c r="J29" i="342"/>
  <c r="Q22" i="342"/>
  <c r="N29" i="342"/>
  <c r="M29" i="247"/>
  <c r="L29" i="247"/>
  <c r="K29" i="247"/>
  <c r="I29" i="247"/>
  <c r="H29" i="247"/>
  <c r="G29" i="247"/>
  <c r="Q22" i="247"/>
  <c r="N29" i="247"/>
  <c r="P29" i="247"/>
  <c r="O29" i="247"/>
  <c r="J29" i="247"/>
  <c r="P29" i="240"/>
  <c r="O29" i="240"/>
  <c r="J29" i="240"/>
  <c r="M29" i="240"/>
  <c r="L29" i="240"/>
  <c r="K29" i="240"/>
  <c r="I29" i="240"/>
  <c r="H29" i="240"/>
  <c r="Q22" i="240"/>
  <c r="N29" i="240"/>
  <c r="J30" i="280"/>
  <c r="N102" i="34"/>
  <c r="S4" i="280"/>
  <c r="N153" i="34"/>
  <c r="S4" i="313"/>
  <c r="Q160" i="34"/>
  <c r="I160" i="34"/>
  <c r="N22" i="334"/>
  <c r="N23" i="334"/>
  <c r="E26" i="281"/>
  <c r="E23" i="281"/>
  <c r="O22" i="335"/>
  <c r="O23" i="335"/>
  <c r="P29" i="328"/>
  <c r="G29" i="328"/>
  <c r="H29" i="328"/>
  <c r="N29" i="328"/>
  <c r="Q22" i="328"/>
  <c r="J29" i="328"/>
  <c r="O29" i="328"/>
  <c r="Q22" i="329"/>
  <c r="J29" i="329"/>
  <c r="P29" i="329"/>
  <c r="M29" i="329"/>
  <c r="H29" i="329"/>
  <c r="N29" i="329"/>
  <c r="H28" i="34"/>
  <c r="I28" i="34" s="1"/>
  <c r="O27" i="224"/>
  <c r="O30" i="224" s="1"/>
  <c r="Q20" i="224"/>
  <c r="J27" i="224"/>
  <c r="L27" i="224"/>
  <c r="L30" i="224" s="1"/>
  <c r="M27" i="224"/>
  <c r="M30" i="224" s="1"/>
  <c r="N27" i="224"/>
  <c r="N30" i="224" s="1"/>
  <c r="J22" i="224"/>
  <c r="J23" i="224"/>
  <c r="P27" i="224"/>
  <c r="P30" i="224" s="1"/>
  <c r="K27" i="224"/>
  <c r="K30" i="224" s="1"/>
  <c r="H29" i="215"/>
  <c r="F29" i="215"/>
  <c r="I29" i="215"/>
  <c r="O29" i="215"/>
  <c r="G29" i="215"/>
  <c r="P29" i="215"/>
  <c r="J29" i="215"/>
  <c r="I23" i="333"/>
  <c r="I22" i="333"/>
  <c r="F29" i="313"/>
  <c r="G29" i="313"/>
  <c r="M152" i="34"/>
  <c r="R152" i="34" s="1"/>
  <c r="S5" i="312"/>
  <c r="S6" i="312" s="1"/>
  <c r="L29" i="329"/>
  <c r="N29" i="351"/>
  <c r="G29" i="301"/>
  <c r="H29" i="301"/>
  <c r="M29" i="328"/>
  <c r="N29" i="357"/>
  <c r="I29" i="357"/>
  <c r="M29" i="357"/>
  <c r="N29" i="301"/>
  <c r="M29" i="299"/>
  <c r="P29" i="270"/>
  <c r="Q20" i="281"/>
  <c r="L29" i="215"/>
  <c r="I29" i="312"/>
  <c r="N29" i="246"/>
  <c r="O29" i="246"/>
  <c r="Q22" i="223"/>
  <c r="O27" i="232"/>
  <c r="O30" i="232" s="1"/>
  <c r="F19" i="337"/>
  <c r="F19" i="335"/>
  <c r="F26" i="335" s="1"/>
  <c r="O19" i="334"/>
  <c r="O23" i="334" s="1"/>
  <c r="O19" i="337"/>
  <c r="O19" i="281"/>
  <c r="O26" i="281" s="1"/>
  <c r="L26" i="282"/>
  <c r="L23" i="282"/>
  <c r="G29" i="345"/>
  <c r="H29" i="345"/>
  <c r="Q22" i="344"/>
  <c r="O29" i="344"/>
  <c r="N29" i="344"/>
  <c r="P29" i="344"/>
  <c r="J29" i="344"/>
  <c r="I29" i="329"/>
  <c r="I210" i="34"/>
  <c r="Q210" i="34"/>
  <c r="E26" i="352"/>
  <c r="E30" i="352" s="1"/>
  <c r="F26" i="352"/>
  <c r="F30" i="352" s="1"/>
  <c r="G26" i="352"/>
  <c r="G30" i="352" s="1"/>
  <c r="E23" i="352"/>
  <c r="H26" i="352"/>
  <c r="H30" i="352" s="1"/>
  <c r="E22" i="352"/>
  <c r="M30" i="332"/>
  <c r="O29" i="351"/>
  <c r="H23" i="209"/>
  <c r="I27" i="209"/>
  <c r="I30" i="209" s="1"/>
  <c r="P27" i="209"/>
  <c r="P30" i="209" s="1"/>
  <c r="J27" i="209"/>
  <c r="H22" i="209"/>
  <c r="I29" i="209" s="1"/>
  <c r="Q20" i="209"/>
  <c r="M27" i="209"/>
  <c r="M30" i="209" s="1"/>
  <c r="N27" i="209"/>
  <c r="N30" i="209" s="1"/>
  <c r="H27" i="209"/>
  <c r="H30" i="209" s="1"/>
  <c r="K27" i="209"/>
  <c r="K30" i="209" s="1"/>
  <c r="O27" i="209"/>
  <c r="O30" i="209" s="1"/>
  <c r="L27" i="209"/>
  <c r="L30" i="209" s="1"/>
  <c r="O27" i="215"/>
  <c r="O30" i="215" s="1"/>
  <c r="M27" i="215"/>
  <c r="M30" i="215" s="1"/>
  <c r="F27" i="215"/>
  <c r="F30" i="215" s="1"/>
  <c r="P27" i="215"/>
  <c r="P30" i="215" s="1"/>
  <c r="K27" i="215"/>
  <c r="K30" i="215" s="1"/>
  <c r="J27" i="215"/>
  <c r="Q20" i="215"/>
  <c r="N27" i="215"/>
  <c r="N30" i="215" s="1"/>
  <c r="F23" i="215"/>
  <c r="H27" i="215"/>
  <c r="H30" i="215" s="1"/>
  <c r="I27" i="215"/>
  <c r="I30" i="215" s="1"/>
  <c r="L27" i="215"/>
  <c r="L30" i="215" s="1"/>
  <c r="G27" i="215"/>
  <c r="G30" i="215" s="1"/>
  <c r="M74" i="34"/>
  <c r="S5" i="258"/>
  <c r="S6" i="258" s="1"/>
  <c r="J30" i="258"/>
  <c r="Q158" i="34"/>
  <c r="I158" i="34"/>
  <c r="N164" i="34"/>
  <c r="S4" i="318"/>
  <c r="M19" i="336"/>
  <c r="L177" i="205"/>
  <c r="M19" i="338" s="1"/>
  <c r="G29" i="209"/>
  <c r="I164" i="34"/>
  <c r="L22" i="334"/>
  <c r="L23" i="334"/>
  <c r="N158" i="34"/>
  <c r="S4" i="316"/>
  <c r="Q11" i="34"/>
  <c r="I11" i="34"/>
  <c r="S4" i="297"/>
  <c r="M29" i="235"/>
  <c r="L29" i="235"/>
  <c r="K29" i="235"/>
  <c r="F29" i="235"/>
  <c r="J29" i="235"/>
  <c r="I29" i="235"/>
  <c r="H29" i="235"/>
  <c r="G29" i="235"/>
  <c r="P29" i="235"/>
  <c r="E29" i="235"/>
  <c r="Q22" i="235"/>
  <c r="N29" i="235"/>
  <c r="O29" i="235"/>
  <c r="J30" i="313"/>
  <c r="M153" i="34"/>
  <c r="S5" i="313"/>
  <c r="S6" i="313" s="1"/>
  <c r="J19" i="336"/>
  <c r="I177" i="205"/>
  <c r="J19" i="338" s="1"/>
  <c r="K30" i="310"/>
  <c r="K30" i="317"/>
  <c r="M30" i="313"/>
  <c r="I30" i="313"/>
  <c r="G27" i="333"/>
  <c r="F30" i="312"/>
  <c r="J90" i="206"/>
  <c r="K28" i="285" s="1"/>
  <c r="P29" i="354"/>
  <c r="N29" i="354"/>
  <c r="G29" i="354"/>
  <c r="M29" i="354"/>
  <c r="L29" i="354"/>
  <c r="F29" i="354"/>
  <c r="J29" i="354"/>
  <c r="I29" i="354"/>
  <c r="H29" i="354"/>
  <c r="O29" i="354"/>
  <c r="Q22" i="354"/>
  <c r="K29" i="354"/>
  <c r="L29" i="324"/>
  <c r="I29" i="324"/>
  <c r="H29" i="324"/>
  <c r="K29" i="324"/>
  <c r="J29" i="324"/>
  <c r="G29" i="324"/>
  <c r="I23" i="219"/>
  <c r="O27" i="219"/>
  <c r="O30" i="219" s="1"/>
  <c r="P27" i="219"/>
  <c r="P30" i="219" s="1"/>
  <c r="M27" i="219"/>
  <c r="M30" i="219" s="1"/>
  <c r="I22" i="219"/>
  <c r="L27" i="219"/>
  <c r="L30" i="219" s="1"/>
  <c r="J27" i="219"/>
  <c r="K27" i="219"/>
  <c r="K30" i="219" s="1"/>
  <c r="N27" i="219"/>
  <c r="N30" i="219" s="1"/>
  <c r="Q20" i="219"/>
  <c r="I27" i="219"/>
  <c r="I30" i="219" s="1"/>
  <c r="L29" i="264"/>
  <c r="K29" i="264"/>
  <c r="J29" i="264"/>
  <c r="N29" i="264"/>
  <c r="O29" i="264"/>
  <c r="Q22" i="264"/>
  <c r="M29" i="264"/>
  <c r="P29" i="264"/>
  <c r="I29" i="245"/>
  <c r="H29" i="245"/>
  <c r="L29" i="245"/>
  <c r="Q22" i="245"/>
  <c r="N29" i="245"/>
  <c r="K29" i="245"/>
  <c r="P29" i="245"/>
  <c r="O29" i="245"/>
  <c r="J29" i="245"/>
  <c r="M29" i="245"/>
  <c r="Q159" i="34"/>
  <c r="I159" i="34"/>
  <c r="G29" i="311"/>
  <c r="H29" i="311"/>
  <c r="M151" i="34"/>
  <c r="R151" i="34" s="1"/>
  <c r="S5" i="311"/>
  <c r="S6" i="311" s="1"/>
  <c r="N19" i="336"/>
  <c r="M177" i="205"/>
  <c r="N19" i="338" s="1"/>
  <c r="F19" i="336"/>
  <c r="E177" i="205"/>
  <c r="F19" i="338" s="1"/>
  <c r="N27" i="232"/>
  <c r="N30" i="232" s="1"/>
  <c r="E27" i="340"/>
  <c r="E22" i="340"/>
  <c r="I27" i="340"/>
  <c r="I30" i="340" s="1"/>
  <c r="M27" i="340"/>
  <c r="M30" i="340" s="1"/>
  <c r="P27" i="340"/>
  <c r="P30" i="340" s="1"/>
  <c r="J27" i="340"/>
  <c r="K27" i="340"/>
  <c r="K30" i="340" s="1"/>
  <c r="G27" i="340"/>
  <c r="G30" i="340" s="1"/>
  <c r="F27" i="340"/>
  <c r="F30" i="340" s="1"/>
  <c r="N27" i="340"/>
  <c r="N30" i="340" s="1"/>
  <c r="L27" i="340"/>
  <c r="L30" i="340" s="1"/>
  <c r="Q20" i="340"/>
  <c r="H27" i="340"/>
  <c r="H30" i="340" s="1"/>
  <c r="O27" i="340"/>
  <c r="O30" i="340" s="1"/>
  <c r="G29" i="304"/>
  <c r="J30" i="223"/>
  <c r="S5" i="223"/>
  <c r="S6" i="223" s="1"/>
  <c r="M27" i="34"/>
  <c r="M62" i="34"/>
  <c r="S5" i="254"/>
  <c r="S6" i="254" s="1"/>
  <c r="J30" i="254"/>
  <c r="J29" i="237"/>
  <c r="Q22" i="237"/>
  <c r="G29" i="237"/>
  <c r="H29" i="237"/>
  <c r="M29" i="237"/>
  <c r="P29" i="237"/>
  <c r="F29" i="237"/>
  <c r="N29" i="237"/>
  <c r="E29" i="237"/>
  <c r="I29" i="237"/>
  <c r="L29" i="237"/>
  <c r="O29" i="237"/>
  <c r="K29" i="237"/>
  <c r="F23" i="333"/>
  <c r="F22" i="333"/>
  <c r="F29" i="333" s="1"/>
  <c r="L30" i="316"/>
  <c r="O30" i="316"/>
  <c r="N90" i="206"/>
  <c r="O28" i="285" s="1"/>
  <c r="H29" i="302"/>
  <c r="O29" i="302"/>
  <c r="P29" i="302"/>
  <c r="K29" i="302"/>
  <c r="L29" i="302"/>
  <c r="I29" i="302"/>
  <c r="G29" i="302"/>
  <c r="H35" i="34"/>
  <c r="I35" i="34" s="1"/>
  <c r="J23" i="232"/>
  <c r="J22" i="232"/>
  <c r="M29" i="355"/>
  <c r="J29" i="355"/>
  <c r="Q22" i="355"/>
  <c r="F29" i="355"/>
  <c r="I29" i="355"/>
  <c r="P29" i="355"/>
  <c r="O29" i="355"/>
  <c r="L29" i="355"/>
  <c r="K29" i="355"/>
  <c r="G29" i="355"/>
  <c r="H29" i="355"/>
  <c r="N29" i="355"/>
  <c r="H29" i="349"/>
  <c r="G29" i="349"/>
  <c r="H29" i="293"/>
  <c r="K29" i="293"/>
  <c r="Q22" i="293"/>
  <c r="G29" i="293"/>
  <c r="O29" i="293"/>
  <c r="M29" i="293"/>
  <c r="P29" i="293"/>
  <c r="J29" i="293"/>
  <c r="I29" i="293"/>
  <c r="L29" i="293"/>
  <c r="N29" i="293"/>
  <c r="Q22" i="267"/>
  <c r="G29" i="267"/>
  <c r="P29" i="267"/>
  <c r="N29" i="267"/>
  <c r="J29" i="267"/>
  <c r="M29" i="267"/>
  <c r="H29" i="267"/>
  <c r="I29" i="267"/>
  <c r="O29" i="267"/>
  <c r="K29" i="267"/>
  <c r="L29" i="267"/>
  <c r="S5" i="264"/>
  <c r="S6" i="264" s="1"/>
  <c r="J30" i="264"/>
  <c r="M82" i="34"/>
  <c r="S5" i="248"/>
  <c r="S6" i="248" s="1"/>
  <c r="M60" i="34"/>
  <c r="J30" i="248"/>
  <c r="M67" i="34"/>
  <c r="S5" i="252"/>
  <c r="S6" i="252" s="1"/>
  <c r="J30" i="252"/>
  <c r="P29" i="223"/>
  <c r="J29" i="223"/>
  <c r="O29" i="223"/>
  <c r="M11" i="34"/>
  <c r="S5" i="217"/>
  <c r="S6" i="217" s="1"/>
  <c r="J30" i="217"/>
  <c r="P30" i="316"/>
  <c r="S4" i="317"/>
  <c r="N159" i="34"/>
  <c r="S5" i="215"/>
  <c r="S6" i="215" s="1"/>
  <c r="M15" i="34"/>
  <c r="F29" i="320"/>
  <c r="J29" i="320"/>
  <c r="M29" i="320"/>
  <c r="N29" i="320"/>
  <c r="P29" i="320"/>
  <c r="G29" i="320"/>
  <c r="Q22" i="320"/>
  <c r="I29" i="320"/>
  <c r="O29" i="320"/>
  <c r="H29" i="320"/>
  <c r="K29" i="320"/>
  <c r="L29" i="320"/>
  <c r="M26" i="333"/>
  <c r="O26" i="333"/>
  <c r="L26" i="333"/>
  <c r="K26" i="333"/>
  <c r="I26" i="333"/>
  <c r="P26" i="333"/>
  <c r="Q19" i="333"/>
  <c r="H26" i="333"/>
  <c r="F26" i="333"/>
  <c r="J26" i="333"/>
  <c r="G26" i="333"/>
  <c r="N26" i="333"/>
  <c r="P27" i="232"/>
  <c r="P30" i="232" s="1"/>
  <c r="M27" i="232"/>
  <c r="M30" i="232" s="1"/>
  <c r="E26" i="335"/>
  <c r="I29" i="216"/>
  <c r="L29" i="216"/>
  <c r="F29" i="216"/>
  <c r="H29" i="216"/>
  <c r="O29" i="216"/>
  <c r="M29" i="216"/>
  <c r="G29" i="216"/>
  <c r="N29" i="216"/>
  <c r="J29" i="216"/>
  <c r="Q22" i="216"/>
  <c r="K29" i="216"/>
  <c r="P29" i="216"/>
  <c r="M206" i="34"/>
  <c r="J30" i="346"/>
  <c r="S5" i="346"/>
  <c r="S6" i="346" s="1"/>
  <c r="I149" i="206"/>
  <c r="G28" i="335"/>
  <c r="K28" i="335"/>
  <c r="F28" i="335"/>
  <c r="M28" i="335"/>
  <c r="E23" i="335"/>
  <c r="E28" i="335"/>
  <c r="O28" i="335"/>
  <c r="M29" i="223"/>
  <c r="M29" i="349"/>
  <c r="K27" i="334"/>
  <c r="J22" i="334"/>
  <c r="J27" i="334"/>
  <c r="M27" i="334"/>
  <c r="H183" i="34"/>
  <c r="L27" i="334"/>
  <c r="J23" i="334"/>
  <c r="N27" i="334"/>
  <c r="O27" i="334"/>
  <c r="P27" i="334"/>
  <c r="Q20" i="334"/>
  <c r="P19" i="282"/>
  <c r="P22" i="282" s="1"/>
  <c r="I148" i="206"/>
  <c r="J29" i="278"/>
  <c r="Q22" i="278"/>
  <c r="G29" i="278"/>
  <c r="M29" i="278"/>
  <c r="P29" i="278"/>
  <c r="F29" i="278"/>
  <c r="N29" i="278"/>
  <c r="H29" i="278"/>
  <c r="L29" i="278"/>
  <c r="I29" i="278"/>
  <c r="O29" i="278"/>
  <c r="K29" i="278"/>
  <c r="Q22" i="327"/>
  <c r="O29" i="327"/>
  <c r="L29" i="234"/>
  <c r="K29" i="234"/>
  <c r="I29" i="234"/>
  <c r="N29" i="234"/>
  <c r="H29" i="234"/>
  <c r="G29" i="234"/>
  <c r="P29" i="234"/>
  <c r="M29" i="234"/>
  <c r="F29" i="234"/>
  <c r="Q22" i="234"/>
  <c r="J29" i="234"/>
  <c r="O29" i="234"/>
  <c r="N22" i="333"/>
  <c r="N23" i="333"/>
  <c r="H28" i="336"/>
  <c r="M28" i="336"/>
  <c r="E28" i="336"/>
  <c r="F28" i="336"/>
  <c r="I28" i="336"/>
  <c r="J28" i="336"/>
  <c r="G28" i="336"/>
  <c r="N28" i="336"/>
  <c r="K28" i="336"/>
  <c r="L28" i="336"/>
  <c r="P27" i="283"/>
  <c r="J30" i="216"/>
  <c r="S5" i="216"/>
  <c r="S6" i="216" s="1"/>
  <c r="M20" i="34"/>
  <c r="K30" i="308"/>
  <c r="H30" i="342"/>
  <c r="O29" i="349"/>
  <c r="J29" i="322"/>
  <c r="F27" i="333"/>
  <c r="P30" i="310"/>
  <c r="H30" i="319"/>
  <c r="N30" i="317"/>
  <c r="E30" i="314"/>
  <c r="H19" i="282"/>
  <c r="F29" i="305"/>
  <c r="H29" i="305"/>
  <c r="J29" i="305"/>
  <c r="G29" i="305"/>
  <c r="H18" i="34"/>
  <c r="I18" i="34" s="1"/>
  <c r="J23" i="219"/>
  <c r="J22" i="219"/>
  <c r="P29" i="294"/>
  <c r="J29" i="294"/>
  <c r="G29" i="294"/>
  <c r="M29" i="294"/>
  <c r="L29" i="294"/>
  <c r="N29" i="294"/>
  <c r="H29" i="294"/>
  <c r="K29" i="294"/>
  <c r="Q22" i="294"/>
  <c r="O29" i="294"/>
  <c r="I29" i="294"/>
  <c r="M29" i="254"/>
  <c r="L29" i="254"/>
  <c r="K29" i="254"/>
  <c r="O29" i="254"/>
  <c r="J29" i="254"/>
  <c r="Q22" i="254"/>
  <c r="N29" i="254"/>
  <c r="P29" i="254"/>
  <c r="K29" i="223"/>
  <c r="Q27" i="34"/>
  <c r="I27" i="34"/>
  <c r="J30" i="311"/>
  <c r="N151" i="34"/>
  <c r="S4" i="311"/>
  <c r="N30" i="312"/>
  <c r="N154" i="34"/>
  <c r="J30" i="314"/>
  <c r="S4" i="314"/>
  <c r="E149" i="206"/>
  <c r="M149" i="206"/>
  <c r="Q20" i="232"/>
  <c r="K27" i="232"/>
  <c r="K30" i="232" s="1"/>
  <c r="S5" i="318"/>
  <c r="S6" i="318" s="1"/>
  <c r="J30" i="318"/>
  <c r="M164" i="34"/>
  <c r="M154" i="34"/>
  <c r="R154" i="34" s="1"/>
  <c r="S5" i="314"/>
  <c r="S6" i="314" s="1"/>
  <c r="F29" i="346"/>
  <c r="H29" i="346"/>
  <c r="G29" i="346"/>
  <c r="H179" i="34"/>
  <c r="J23" i="333"/>
  <c r="J22" i="333"/>
  <c r="M29" i="272"/>
  <c r="J29" i="272"/>
  <c r="Q22" i="272"/>
  <c r="F29" i="272"/>
  <c r="I29" i="272"/>
  <c r="P29" i="272"/>
  <c r="O29" i="272"/>
  <c r="L29" i="272"/>
  <c r="G29" i="272"/>
  <c r="K29" i="272"/>
  <c r="H29" i="272"/>
  <c r="N29" i="272"/>
  <c r="J30" i="316"/>
  <c r="M158" i="34"/>
  <c r="S5" i="316"/>
  <c r="S6" i="316" s="1"/>
  <c r="J30" i="312"/>
  <c r="S4" i="312"/>
  <c r="N152" i="34"/>
  <c r="G29" i="316"/>
  <c r="H29" i="316"/>
  <c r="P29" i="316"/>
  <c r="E29" i="316"/>
  <c r="L29" i="316"/>
  <c r="N29" i="316"/>
  <c r="J29" i="316"/>
  <c r="K29" i="316"/>
  <c r="O29" i="316"/>
  <c r="I29" i="316"/>
  <c r="F29" i="316"/>
  <c r="M29" i="316"/>
  <c r="Q22" i="316"/>
  <c r="E148" i="206"/>
  <c r="O28" i="337" s="1"/>
  <c r="Q19" i="353"/>
  <c r="S4" i="329"/>
  <c r="J30" i="329"/>
  <c r="N177" i="34"/>
  <c r="K29" i="307"/>
  <c r="L29" i="307"/>
  <c r="I29" i="307"/>
  <c r="O29" i="307"/>
  <c r="H29" i="307"/>
  <c r="P26" i="353"/>
  <c r="P30" i="353" s="1"/>
  <c r="Q22" i="307"/>
  <c r="M141" i="34"/>
  <c r="S5" i="305"/>
  <c r="S6" i="305" s="1"/>
  <c r="J30" i="305"/>
  <c r="Q22" i="322"/>
  <c r="N29" i="307"/>
  <c r="M29" i="325"/>
  <c r="F29" i="325"/>
  <c r="Q22" i="325"/>
  <c r="J29" i="325"/>
  <c r="I29" i="325"/>
  <c r="P29" i="325"/>
  <c r="O29" i="325"/>
  <c r="L29" i="325"/>
  <c r="H29" i="325"/>
  <c r="N29" i="325"/>
  <c r="G29" i="325"/>
  <c r="E29" i="325"/>
  <c r="K29" i="325"/>
  <c r="M30" i="324"/>
  <c r="O30" i="324"/>
  <c r="M169" i="34"/>
  <c r="S5" i="323"/>
  <c r="S6" i="323" s="1"/>
  <c r="J30" i="323"/>
  <c r="M30" i="323"/>
  <c r="M168" i="34"/>
  <c r="S5" i="322"/>
  <c r="S6" i="322" s="1"/>
  <c r="J30" i="322"/>
  <c r="N142" i="34"/>
  <c r="J30" i="308"/>
  <c r="S4" i="308"/>
  <c r="K29" i="305"/>
  <c r="J29" i="307"/>
  <c r="J29" i="286"/>
  <c r="H29" i="286"/>
  <c r="O29" i="286"/>
  <c r="Q22" i="286"/>
  <c r="M29" i="286"/>
  <c r="K29" i="286"/>
  <c r="P29" i="286"/>
  <c r="N29" i="286"/>
  <c r="I29" i="286"/>
  <c r="G29" i="286"/>
  <c r="L29" i="286"/>
  <c r="G29" i="269"/>
  <c r="I29" i="269"/>
  <c r="Q22" i="269"/>
  <c r="J29" i="269"/>
  <c r="H29" i="269"/>
  <c r="N29" i="269"/>
  <c r="O29" i="269"/>
  <c r="P29" i="269"/>
  <c r="M29" i="269"/>
  <c r="L29" i="269"/>
  <c r="K29" i="269"/>
  <c r="S5" i="277"/>
  <c r="S6" i="277" s="1"/>
  <c r="J30" i="277"/>
  <c r="M104" i="34"/>
  <c r="I29" i="314"/>
  <c r="P29" i="314"/>
  <c r="L29" i="314"/>
  <c r="F29" i="314"/>
  <c r="G29" i="314"/>
  <c r="O29" i="314"/>
  <c r="J29" i="314"/>
  <c r="Q22" i="314"/>
  <c r="K29" i="314"/>
  <c r="H29" i="314"/>
  <c r="M29" i="314"/>
  <c r="N29" i="314"/>
  <c r="K30" i="318"/>
  <c r="P29" i="243"/>
  <c r="O29" i="243"/>
  <c r="J29" i="243"/>
  <c r="M29" i="243"/>
  <c r="L29" i="243"/>
  <c r="K29" i="243"/>
  <c r="I29" i="243"/>
  <c r="H29" i="243"/>
  <c r="G29" i="243"/>
  <c r="Q22" i="243"/>
  <c r="N29" i="243"/>
  <c r="H30" i="316"/>
  <c r="F29" i="310"/>
  <c r="O29" i="310"/>
  <c r="H29" i="310"/>
  <c r="L29" i="310"/>
  <c r="P29" i="310"/>
  <c r="I29" i="310"/>
  <c r="K29" i="310"/>
  <c r="N29" i="310"/>
  <c r="J29" i="310"/>
  <c r="G29" i="310"/>
  <c r="Q22" i="310"/>
  <c r="M29" i="310"/>
  <c r="K30" i="313"/>
  <c r="J30" i="320"/>
  <c r="S5" i="320"/>
  <c r="S6" i="320" s="1"/>
  <c r="M160" i="34"/>
  <c r="E29" i="303"/>
  <c r="F29" i="303"/>
  <c r="L30" i="311"/>
  <c r="H30" i="311"/>
  <c r="L30" i="320"/>
  <c r="H27" i="333"/>
  <c r="G23" i="353"/>
  <c r="G26" i="353"/>
  <c r="G30" i="353" s="1"/>
  <c r="O26" i="353"/>
  <c r="O30" i="353" s="1"/>
  <c r="I29" i="289"/>
  <c r="H29" i="289"/>
  <c r="O29" i="289"/>
  <c r="Q22" i="289"/>
  <c r="K29" i="289"/>
  <c r="P29" i="289"/>
  <c r="N29" i="289"/>
  <c r="G29" i="289"/>
  <c r="M29" i="289"/>
  <c r="L29" i="289"/>
  <c r="J29" i="289"/>
  <c r="J30" i="317"/>
  <c r="M159" i="34"/>
  <c r="S5" i="317"/>
  <c r="S6" i="317" s="1"/>
  <c r="M150" i="34"/>
  <c r="R150" i="34" s="1"/>
  <c r="S5" i="310"/>
  <c r="S6" i="310" s="1"/>
  <c r="J29" i="319"/>
  <c r="G29" i="319"/>
  <c r="Q22" i="319"/>
  <c r="M29" i="319"/>
  <c r="N29" i="319"/>
  <c r="F29" i="319"/>
  <c r="L29" i="319"/>
  <c r="O29" i="319"/>
  <c r="I29" i="319"/>
  <c r="H29" i="319"/>
  <c r="K29" i="319"/>
  <c r="P29" i="319"/>
  <c r="K148" i="206"/>
  <c r="G218" i="34"/>
  <c r="M26" i="352"/>
  <c r="M30" i="352" s="1"/>
  <c r="Q19" i="352"/>
  <c r="J23" i="352"/>
  <c r="J26" i="352"/>
  <c r="K26" i="352"/>
  <c r="K30" i="352" s="1"/>
  <c r="P26" i="352"/>
  <c r="P30" i="352" s="1"/>
  <c r="N26" i="352"/>
  <c r="N30" i="352" s="1"/>
  <c r="O26" i="352"/>
  <c r="O30" i="352" s="1"/>
  <c r="L26" i="352"/>
  <c r="L30" i="352" s="1"/>
  <c r="I19" i="337"/>
  <c r="I19" i="335"/>
  <c r="E27" i="213"/>
  <c r="P29" i="350"/>
  <c r="Q22" i="350"/>
  <c r="M213" i="34"/>
  <c r="S5" i="349"/>
  <c r="S6" i="349" s="1"/>
  <c r="J30" i="349"/>
  <c r="M26" i="353"/>
  <c r="M30" i="353" s="1"/>
  <c r="J26" i="353"/>
  <c r="G29" i="307"/>
  <c r="M30" i="305"/>
  <c r="N44" i="34"/>
  <c r="S4" i="242"/>
  <c r="J30" i="242"/>
  <c r="F29" i="307"/>
  <c r="I29" i="323"/>
  <c r="L29" i="323"/>
  <c r="O29" i="323"/>
  <c r="H29" i="323"/>
  <c r="K29" i="323"/>
  <c r="J29" i="323"/>
  <c r="N29" i="323"/>
  <c r="M29" i="323"/>
  <c r="Q22" i="323"/>
  <c r="P29" i="323"/>
  <c r="M30" i="322"/>
  <c r="S5" i="307"/>
  <c r="S6" i="307" s="1"/>
  <c r="J30" i="307"/>
  <c r="M137" i="34"/>
  <c r="P30" i="307"/>
  <c r="M29" i="298"/>
  <c r="L29" i="298"/>
  <c r="K29" i="298"/>
  <c r="I29" i="298"/>
  <c r="H29" i="298"/>
  <c r="G29" i="298"/>
  <c r="Q22" i="298"/>
  <c r="N29" i="298"/>
  <c r="P29" i="298"/>
  <c r="O29" i="298"/>
  <c r="J29" i="298"/>
  <c r="Q119" i="34"/>
  <c r="I119" i="34"/>
  <c r="I29" i="295"/>
  <c r="J29" i="295"/>
  <c r="Q22" i="295"/>
  <c r="P29" i="295"/>
  <c r="O29" i="295"/>
  <c r="K29" i="295"/>
  <c r="L29" i="295"/>
  <c r="N29" i="295"/>
  <c r="M29" i="295"/>
  <c r="G29" i="295"/>
  <c r="H29" i="295"/>
  <c r="I29" i="277"/>
  <c r="L29" i="277"/>
  <c r="O29" i="277"/>
  <c r="H29" i="277"/>
  <c r="K29" i="277"/>
  <c r="J29" i="277"/>
  <c r="Q22" i="277"/>
  <c r="G29" i="277"/>
  <c r="M29" i="277"/>
  <c r="P29" i="277"/>
  <c r="F29" i="277"/>
  <c r="N29" i="277"/>
  <c r="Q22" i="248"/>
  <c r="N29" i="248"/>
  <c r="P29" i="248"/>
  <c r="O29" i="248"/>
  <c r="J29" i="248"/>
  <c r="M29" i="248"/>
  <c r="L29" i="248"/>
  <c r="K29" i="248"/>
  <c r="I29" i="248"/>
  <c r="H29" i="248"/>
  <c r="G29" i="248"/>
  <c r="J30" i="310"/>
  <c r="N150" i="34"/>
  <c r="S4" i="310"/>
  <c r="H29" i="263"/>
  <c r="K29" i="263"/>
  <c r="N29" i="263"/>
  <c r="Q22" i="263"/>
  <c r="G29" i="263"/>
  <c r="M29" i="263"/>
  <c r="P29" i="263"/>
  <c r="J29" i="263"/>
  <c r="I29" i="263"/>
  <c r="L29" i="263"/>
  <c r="O29" i="263"/>
  <c r="K29" i="258"/>
  <c r="L29" i="258"/>
  <c r="G29" i="258"/>
  <c r="M29" i="258"/>
  <c r="J29" i="258"/>
  <c r="H29" i="258"/>
  <c r="N29" i="258"/>
  <c r="I29" i="258"/>
  <c r="Q22" i="258"/>
  <c r="P29" i="258"/>
  <c r="O29" i="258"/>
  <c r="J29" i="312"/>
  <c r="K29" i="312"/>
  <c r="P29" i="312"/>
  <c r="L29" i="312"/>
  <c r="O29" i="312"/>
  <c r="M29" i="312"/>
  <c r="N29" i="312"/>
  <c r="Q22" i="312"/>
  <c r="L30" i="314"/>
  <c r="H30" i="314"/>
  <c r="G29" i="317"/>
  <c r="Q22" i="317"/>
  <c r="P29" i="317"/>
  <c r="H29" i="317"/>
  <c r="O29" i="317"/>
  <c r="F29" i="317"/>
  <c r="J29" i="317"/>
  <c r="M29" i="317"/>
  <c r="K29" i="317"/>
  <c r="I29" i="317"/>
  <c r="L29" i="317"/>
  <c r="N29" i="317"/>
  <c r="G30" i="316"/>
  <c r="G30" i="313"/>
  <c r="M19" i="335"/>
  <c r="M19" i="337"/>
  <c r="L26" i="353"/>
  <c r="L30" i="353" s="1"/>
  <c r="N26" i="353"/>
  <c r="N30" i="353" s="1"/>
  <c r="N29" i="305"/>
  <c r="P29" i="305"/>
  <c r="Q22" i="305"/>
  <c r="M29" i="305"/>
  <c r="M29" i="322"/>
  <c r="O29" i="322"/>
  <c r="I29" i="322"/>
  <c r="K29" i="322"/>
  <c r="L29" i="322"/>
  <c r="P29" i="322"/>
  <c r="F29" i="322"/>
  <c r="P29" i="313"/>
  <c r="K29" i="313"/>
  <c r="N29" i="313"/>
  <c r="I29" i="313"/>
  <c r="L29" i="313"/>
  <c r="O29" i="313"/>
  <c r="J29" i="313"/>
  <c r="Q22" i="313"/>
  <c r="M29" i="313"/>
  <c r="E29" i="318"/>
  <c r="I29" i="318"/>
  <c r="M29" i="318"/>
  <c r="L29" i="318"/>
  <c r="F29" i="318"/>
  <c r="G29" i="318"/>
  <c r="P29" i="318"/>
  <c r="J29" i="318"/>
  <c r="Q22" i="318"/>
  <c r="O29" i="318"/>
  <c r="H29" i="318"/>
  <c r="N29" i="318"/>
  <c r="K29" i="318"/>
  <c r="P29" i="217"/>
  <c r="O29" i="217"/>
  <c r="J29" i="217"/>
  <c r="M29" i="217"/>
  <c r="L29" i="217"/>
  <c r="K29" i="217"/>
  <c r="I29" i="217"/>
  <c r="H29" i="217"/>
  <c r="Q22" i="217"/>
  <c r="N29" i="217"/>
  <c r="J30" i="319"/>
  <c r="S4" i="319"/>
  <c r="N155" i="34"/>
  <c r="Q20" i="333"/>
  <c r="P27" i="333"/>
  <c r="L27" i="333"/>
  <c r="K27" i="333"/>
  <c r="G23" i="333"/>
  <c r="M27" i="333"/>
  <c r="G22" i="333"/>
  <c r="I27" i="333"/>
  <c r="N27" i="333"/>
  <c r="O27" i="333"/>
  <c r="D148" i="206"/>
  <c r="J28" i="337" s="1"/>
  <c r="O148" i="206"/>
  <c r="F90" i="206"/>
  <c r="G28" i="285" s="1"/>
  <c r="Q22" i="326"/>
  <c r="O29" i="326"/>
  <c r="P29" i="326"/>
  <c r="Q22" i="349"/>
  <c r="J29" i="349"/>
  <c r="K29" i="349"/>
  <c r="M30" i="349"/>
  <c r="H30" i="328"/>
  <c r="I26" i="353"/>
  <c r="I30" i="353" s="1"/>
  <c r="H26" i="353"/>
  <c r="H30" i="353" s="1"/>
  <c r="N29" i="349"/>
  <c r="H29" i="322"/>
  <c r="N29" i="304"/>
  <c r="Q22" i="304"/>
  <c r="P29" i="304"/>
  <c r="L29" i="349"/>
  <c r="M29" i="307"/>
  <c r="Q22" i="324"/>
  <c r="N29" i="324"/>
  <c r="M29" i="324"/>
  <c r="P29" i="324"/>
  <c r="O29" i="324"/>
  <c r="H30" i="324"/>
  <c r="I30" i="324"/>
  <c r="N30" i="323"/>
  <c r="O30" i="323"/>
  <c r="O30" i="322"/>
  <c r="P29" i="308"/>
  <c r="J29" i="308"/>
  <c r="G29" i="308"/>
  <c r="M29" i="308"/>
  <c r="L29" i="308"/>
  <c r="N29" i="308"/>
  <c r="H29" i="308"/>
  <c r="K29" i="308"/>
  <c r="Q22" i="308"/>
  <c r="O29" i="308"/>
  <c r="I29" i="308"/>
  <c r="Q22" i="306"/>
  <c r="N29" i="306"/>
  <c r="P29" i="306"/>
  <c r="L29" i="305"/>
  <c r="M29" i="296"/>
  <c r="K29" i="296"/>
  <c r="H29" i="296"/>
  <c r="I29" i="296"/>
  <c r="Q22" i="296"/>
  <c r="P29" i="296"/>
  <c r="N29" i="296"/>
  <c r="O29" i="296"/>
  <c r="L29" i="296"/>
  <c r="J29" i="296"/>
  <c r="M92" i="34"/>
  <c r="S5" i="270"/>
  <c r="S6" i="270" s="1"/>
  <c r="J30" i="270"/>
  <c r="S5" i="253"/>
  <c r="S6" i="253" s="1"/>
  <c r="J30" i="253"/>
  <c r="M71" i="34"/>
  <c r="M61" i="34"/>
  <c r="J30" i="249"/>
  <c r="S5" i="249"/>
  <c r="S6" i="249" s="1"/>
  <c r="O30" i="314"/>
  <c r="I30" i="317"/>
  <c r="K30" i="316"/>
  <c r="F149" i="206"/>
  <c r="I29" i="268"/>
  <c r="L29" i="268"/>
  <c r="O29" i="268"/>
  <c r="H29" i="268"/>
  <c r="K29" i="268"/>
  <c r="N29" i="268"/>
  <c r="Q22" i="268"/>
  <c r="G29" i="268"/>
  <c r="M29" i="268"/>
  <c r="P29" i="268"/>
  <c r="J29" i="268"/>
  <c r="O29" i="311"/>
  <c r="Q22" i="311"/>
  <c r="I29" i="311"/>
  <c r="N29" i="311"/>
  <c r="M29" i="311"/>
  <c r="K29" i="311"/>
  <c r="J29" i="311"/>
  <c r="P29" i="311"/>
  <c r="L29" i="311"/>
  <c r="N30" i="311"/>
  <c r="F30" i="320"/>
  <c r="Q22" i="346"/>
  <c r="N29" i="346"/>
  <c r="O29" i="346"/>
  <c r="K29" i="346"/>
  <c r="I29" i="346"/>
  <c r="M29" i="346"/>
  <c r="L29" i="346"/>
  <c r="J29" i="346"/>
  <c r="P29" i="346"/>
  <c r="J27" i="333"/>
  <c r="R166" i="34" l="1"/>
  <c r="O166" i="34"/>
  <c r="M111" i="34"/>
  <c r="S5" i="361"/>
  <c r="S6" i="361" s="1"/>
  <c r="P30" i="361"/>
  <c r="S5" i="309"/>
  <c r="S6" i="309" s="1"/>
  <c r="I29" i="297"/>
  <c r="R130" i="34"/>
  <c r="O130" i="34"/>
  <c r="H29" i="297"/>
  <c r="L29" i="297"/>
  <c r="G29" i="297"/>
  <c r="J29" i="297"/>
  <c r="R54" i="34"/>
  <c r="O54" i="34"/>
  <c r="P30" i="284"/>
  <c r="I69" i="34"/>
  <c r="S4" i="250"/>
  <c r="G30" i="281"/>
  <c r="I30" i="281"/>
  <c r="R97" i="34"/>
  <c r="O97" i="34"/>
  <c r="R156" i="34"/>
  <c r="O156" i="34"/>
  <c r="R63" i="34"/>
  <c r="O63" i="34"/>
  <c r="Q21" i="337"/>
  <c r="K28" i="337"/>
  <c r="E28" i="281"/>
  <c r="E30" i="281" s="1"/>
  <c r="Q21" i="281"/>
  <c r="H28" i="315"/>
  <c r="E28" i="315"/>
  <c r="E30" i="315" s="1"/>
  <c r="L28" i="315"/>
  <c r="F28" i="315"/>
  <c r="I28" i="315"/>
  <c r="O28" i="315"/>
  <c r="Q21" i="315"/>
  <c r="G28" i="315"/>
  <c r="P28" i="315"/>
  <c r="K28" i="315"/>
  <c r="J28" i="315"/>
  <c r="N28" i="315"/>
  <c r="M28" i="315"/>
  <c r="E28" i="284"/>
  <c r="Q21" i="284"/>
  <c r="O28" i="334"/>
  <c r="E28" i="283"/>
  <c r="Q21" i="283"/>
  <c r="Q21" i="336"/>
  <c r="Q21" i="335"/>
  <c r="H28" i="335"/>
  <c r="N28" i="335"/>
  <c r="G28" i="337"/>
  <c r="L28" i="337"/>
  <c r="N28" i="337"/>
  <c r="L27" i="285"/>
  <c r="L28" i="285"/>
  <c r="Q21" i="362"/>
  <c r="N28" i="362"/>
  <c r="M28" i="362"/>
  <c r="E28" i="282"/>
  <c r="E30" i="282" s="1"/>
  <c r="Q21" i="282"/>
  <c r="E23" i="284"/>
  <c r="F28" i="337"/>
  <c r="O28" i="336"/>
  <c r="I28" i="335"/>
  <c r="P28" i="335"/>
  <c r="P28" i="337"/>
  <c r="H28" i="337"/>
  <c r="M28" i="337"/>
  <c r="I27" i="285"/>
  <c r="I28" i="285"/>
  <c r="F27" i="285"/>
  <c r="F28" i="285"/>
  <c r="G27" i="339"/>
  <c r="E21" i="339"/>
  <c r="G30" i="284"/>
  <c r="H27" i="285"/>
  <c r="H28" i="285"/>
  <c r="E27" i="285"/>
  <c r="J28" i="362"/>
  <c r="L28" i="219"/>
  <c r="J28" i="321"/>
  <c r="I28" i="321"/>
  <c r="L28" i="321"/>
  <c r="M28" i="321"/>
  <c r="P28" i="321"/>
  <c r="E28" i="321"/>
  <c r="E30" i="321" s="1"/>
  <c r="N28" i="321"/>
  <c r="G28" i="321"/>
  <c r="O28" i="321"/>
  <c r="H28" i="321"/>
  <c r="K28" i="321"/>
  <c r="F28" i="321"/>
  <c r="Q21" i="321"/>
  <c r="H28" i="341"/>
  <c r="N28" i="341"/>
  <c r="E23" i="341"/>
  <c r="J28" i="341"/>
  <c r="Q21" i="341"/>
  <c r="P28" i="341"/>
  <c r="I28" i="341"/>
  <c r="O28" i="341"/>
  <c r="K28" i="341"/>
  <c r="L28" i="341"/>
  <c r="E28" i="341"/>
  <c r="E30" i="341" s="1"/>
  <c r="F28" i="341"/>
  <c r="M28" i="341"/>
  <c r="G28" i="341"/>
  <c r="N28" i="334"/>
  <c r="E30" i="284"/>
  <c r="J28" i="335"/>
  <c r="I28" i="337"/>
  <c r="E28" i="337"/>
  <c r="K30" i="284"/>
  <c r="J17" i="339"/>
  <c r="I21" i="339"/>
  <c r="E23" i="315"/>
  <c r="L28" i="362"/>
  <c r="K28" i="362"/>
  <c r="P28" i="334"/>
  <c r="O178" i="34"/>
  <c r="K29" i="297"/>
  <c r="M29" i="297"/>
  <c r="N29" i="297"/>
  <c r="O100" i="34"/>
  <c r="S5" i="284"/>
  <c r="S6" i="284" s="1"/>
  <c r="R126" i="34"/>
  <c r="E30" i="334"/>
  <c r="M109" i="34"/>
  <c r="R109" i="34" s="1"/>
  <c r="I126" i="34"/>
  <c r="G29" i="291"/>
  <c r="O22" i="362"/>
  <c r="H29" i="291"/>
  <c r="K22" i="362"/>
  <c r="E23" i="362"/>
  <c r="J22" i="362"/>
  <c r="E30" i="362"/>
  <c r="F22" i="362"/>
  <c r="F26" i="362"/>
  <c r="G22" i="362"/>
  <c r="I23" i="362"/>
  <c r="M30" i="291"/>
  <c r="Q22" i="297"/>
  <c r="O22" i="334"/>
  <c r="P26" i="362"/>
  <c r="G26" i="362"/>
  <c r="M23" i="362"/>
  <c r="M22" i="362"/>
  <c r="P29" i="297"/>
  <c r="L23" i="362"/>
  <c r="L22" i="362"/>
  <c r="O29" i="297"/>
  <c r="G186" i="34"/>
  <c r="Q186" i="34" s="1"/>
  <c r="P22" i="338"/>
  <c r="S5" i="213"/>
  <c r="S6" i="213" s="1"/>
  <c r="G106" i="34"/>
  <c r="I106" i="34" s="1"/>
  <c r="M13" i="34"/>
  <c r="R13" i="34" s="1"/>
  <c r="K26" i="362"/>
  <c r="N26" i="362"/>
  <c r="I26" i="362"/>
  <c r="J26" i="362"/>
  <c r="O26" i="362"/>
  <c r="L26" i="362"/>
  <c r="H22" i="362"/>
  <c r="H23" i="362"/>
  <c r="M26" i="362"/>
  <c r="Q19" i="362"/>
  <c r="H26" i="362"/>
  <c r="I121" i="34"/>
  <c r="O41" i="34"/>
  <c r="N28" i="219"/>
  <c r="Q21" i="219"/>
  <c r="G28" i="219"/>
  <c r="P28" i="219"/>
  <c r="F28" i="219"/>
  <c r="O28" i="219"/>
  <c r="K28" i="219"/>
  <c r="M28" i="219"/>
  <c r="H28" i="219"/>
  <c r="I28" i="219"/>
  <c r="J28" i="219"/>
  <c r="I110" i="34"/>
  <c r="N29" i="360"/>
  <c r="H29" i="360"/>
  <c r="G29" i="360"/>
  <c r="F29" i="360"/>
  <c r="Q22" i="360"/>
  <c r="I29" i="360"/>
  <c r="O29" i="360"/>
  <c r="E29" i="360"/>
  <c r="L29" i="360"/>
  <c r="M29" i="360"/>
  <c r="J29" i="360"/>
  <c r="P29" i="360"/>
  <c r="K29" i="360"/>
  <c r="S5" i="360"/>
  <c r="S6" i="360" s="1"/>
  <c r="M110" i="34"/>
  <c r="F30" i="360"/>
  <c r="F30" i="321"/>
  <c r="Q111" i="34"/>
  <c r="I111" i="34"/>
  <c r="F30" i="281"/>
  <c r="I179" i="34"/>
  <c r="O10" i="34"/>
  <c r="O140" i="34"/>
  <c r="F30" i="315"/>
  <c r="O47" i="34"/>
  <c r="O96" i="34"/>
  <c r="P30" i="297"/>
  <c r="I30" i="291"/>
  <c r="S5" i="297"/>
  <c r="S6" i="297" s="1"/>
  <c r="S5" i="291"/>
  <c r="S6" i="291" s="1"/>
  <c r="P30" i="291"/>
  <c r="O30" i="291"/>
  <c r="I51" i="34"/>
  <c r="J29" i="231"/>
  <c r="O135" i="34"/>
  <c r="K30" i="291"/>
  <c r="N30" i="291"/>
  <c r="O30" i="321"/>
  <c r="S5" i="321"/>
  <c r="S6" i="321" s="1"/>
  <c r="I144" i="34"/>
  <c r="I162" i="34"/>
  <c r="L30" i="291"/>
  <c r="O134" i="34"/>
  <c r="M30" i="309"/>
  <c r="F29" i="315"/>
  <c r="O99" i="34"/>
  <c r="I30" i="315"/>
  <c r="O51" i="34"/>
  <c r="M29" i="309"/>
  <c r="O6" i="34"/>
  <c r="M144" i="34"/>
  <c r="R144" i="34" s="1"/>
  <c r="I29" i="309"/>
  <c r="K16" i="335"/>
  <c r="L17" i="335" s="1"/>
  <c r="F29" i="284"/>
  <c r="M139" i="34"/>
  <c r="R139" i="34" s="1"/>
  <c r="O29" i="250"/>
  <c r="P29" i="250"/>
  <c r="G107" i="34"/>
  <c r="Q107" i="34" s="1"/>
  <c r="G183" i="34"/>
  <c r="Q183" i="34" s="1"/>
  <c r="S5" i="315"/>
  <c r="S6" i="315" s="1"/>
  <c r="O22" i="336"/>
  <c r="K22" i="336"/>
  <c r="L22" i="338"/>
  <c r="L22" i="336"/>
  <c r="G188" i="34"/>
  <c r="Q188" i="34" s="1"/>
  <c r="M22" i="336"/>
  <c r="L29" i="309"/>
  <c r="J30" i="309"/>
  <c r="H29" i="309"/>
  <c r="N22" i="335"/>
  <c r="G29" i="309"/>
  <c r="K30" i="309"/>
  <c r="M22" i="335"/>
  <c r="M22" i="337"/>
  <c r="Q187" i="34"/>
  <c r="K22" i="337"/>
  <c r="O22" i="337"/>
  <c r="P22" i="334"/>
  <c r="H22" i="338"/>
  <c r="M22" i="338"/>
  <c r="K22" i="338"/>
  <c r="O22" i="338"/>
  <c r="O22" i="281"/>
  <c r="O29" i="281" s="1"/>
  <c r="O59" i="34"/>
  <c r="O116" i="34"/>
  <c r="I219" i="34"/>
  <c r="P29" i="309"/>
  <c r="H216" i="34"/>
  <c r="O29" i="309"/>
  <c r="F29" i="309"/>
  <c r="S4" i="321"/>
  <c r="N209" i="34"/>
  <c r="O209" i="34" s="1"/>
  <c r="J22" i="213"/>
  <c r="H22" i="336"/>
  <c r="O172" i="34"/>
  <c r="N208" i="34"/>
  <c r="N35" i="34"/>
  <c r="O35" i="34" s="1"/>
  <c r="H23" i="213"/>
  <c r="J30" i="347"/>
  <c r="G30" i="321"/>
  <c r="F30" i="333"/>
  <c r="F22" i="213"/>
  <c r="J22" i="225"/>
  <c r="O33" i="34"/>
  <c r="O173" i="34"/>
  <c r="H27" i="339"/>
  <c r="O177" i="34"/>
  <c r="P27" i="285"/>
  <c r="I23" i="213"/>
  <c r="O77" i="34"/>
  <c r="O30" i="309"/>
  <c r="O170" i="34"/>
  <c r="L29" i="321"/>
  <c r="G29" i="321"/>
  <c r="L30" i="282"/>
  <c r="H29" i="238"/>
  <c r="O136" i="34"/>
  <c r="O24" i="34"/>
  <c r="M23" i="338"/>
  <c r="N30" i="309"/>
  <c r="G29" i="238"/>
  <c r="I27" i="225"/>
  <c r="I30" i="225" s="1"/>
  <c r="O29" i="347"/>
  <c r="P30" i="309"/>
  <c r="K30" i="321"/>
  <c r="I23" i="225"/>
  <c r="O181" i="34"/>
  <c r="O23" i="338"/>
  <c r="H30" i="321"/>
  <c r="S4" i="341"/>
  <c r="O57" i="34"/>
  <c r="N29" i="231"/>
  <c r="L30" i="309"/>
  <c r="Q20" i="225"/>
  <c r="H22" i="225"/>
  <c r="F27" i="339"/>
  <c r="F30" i="339" s="1"/>
  <c r="E22" i="339"/>
  <c r="F29" i="339" s="1"/>
  <c r="H30" i="309"/>
  <c r="G30" i="315"/>
  <c r="I27" i="213"/>
  <c r="I30" i="213" s="1"/>
  <c r="I30" i="309"/>
  <c r="O117" i="34"/>
  <c r="M30" i="333"/>
  <c r="J27" i="339"/>
  <c r="E27" i="225"/>
  <c r="E27" i="339"/>
  <c r="E23" i="337"/>
  <c r="J23" i="225"/>
  <c r="F29" i="238"/>
  <c r="G30" i="309"/>
  <c r="O30" i="303"/>
  <c r="O122" i="34"/>
  <c r="O27" i="225"/>
  <c r="O30" i="225" s="1"/>
  <c r="I29" i="274"/>
  <c r="Q22" i="214"/>
  <c r="I30" i="333"/>
  <c r="M29" i="214"/>
  <c r="J29" i="347"/>
  <c r="I30" i="321"/>
  <c r="L23" i="338"/>
  <c r="N27" i="213"/>
  <c r="N30" i="213" s="1"/>
  <c r="N29" i="321"/>
  <c r="N14" i="34"/>
  <c r="O14" i="34" s="1"/>
  <c r="G29" i="315"/>
  <c r="G23" i="225"/>
  <c r="F27" i="213"/>
  <c r="F30" i="213" s="1"/>
  <c r="E22" i="213"/>
  <c r="E29" i="213" s="1"/>
  <c r="F27" i="225"/>
  <c r="F30" i="225" s="1"/>
  <c r="G27" i="225"/>
  <c r="G30" i="225" s="1"/>
  <c r="L27" i="225"/>
  <c r="L30" i="225" s="1"/>
  <c r="J29" i="321"/>
  <c r="M29" i="321"/>
  <c r="P29" i="214"/>
  <c r="H13" i="34"/>
  <c r="I13" i="34" s="1"/>
  <c r="J30" i="232"/>
  <c r="M23" i="336"/>
  <c r="Q22" i="231"/>
  <c r="O101" i="34"/>
  <c r="K27" i="213"/>
  <c r="K30" i="213" s="1"/>
  <c r="K27" i="225"/>
  <c r="K30" i="225" s="1"/>
  <c r="N27" i="225"/>
  <c r="N30" i="225" s="1"/>
  <c r="P27" i="225"/>
  <c r="P30" i="225" s="1"/>
  <c r="O29" i="321"/>
  <c r="H29" i="214"/>
  <c r="F23" i="225"/>
  <c r="K23" i="338"/>
  <c r="I29" i="231"/>
  <c r="M29" i="231"/>
  <c r="O23" i="336"/>
  <c r="P30" i="321"/>
  <c r="N30" i="321"/>
  <c r="H29" i="315"/>
  <c r="L27" i="339"/>
  <c r="N30" i="315"/>
  <c r="O27" i="213"/>
  <c r="O30" i="213" s="1"/>
  <c r="J27" i="225"/>
  <c r="J30" i="225" s="1"/>
  <c r="M27" i="225"/>
  <c r="M30" i="225" s="1"/>
  <c r="H27" i="225"/>
  <c r="H30" i="225" s="1"/>
  <c r="N29" i="214"/>
  <c r="L29" i="214"/>
  <c r="O39" i="34"/>
  <c r="I29" i="321"/>
  <c r="O124" i="34"/>
  <c r="O25" i="34"/>
  <c r="P23" i="338"/>
  <c r="P22" i="336"/>
  <c r="P23" i="336"/>
  <c r="N30" i="303"/>
  <c r="M29" i="353"/>
  <c r="H27" i="213"/>
  <c r="H30" i="213" s="1"/>
  <c r="P27" i="213"/>
  <c r="P30" i="213" s="1"/>
  <c r="L27" i="213"/>
  <c r="L30" i="213" s="1"/>
  <c r="G23" i="213"/>
  <c r="M157" i="34"/>
  <c r="R157" i="34" s="1"/>
  <c r="O214" i="34"/>
  <c r="G29" i="232"/>
  <c r="I29" i="347"/>
  <c r="I30" i="303"/>
  <c r="L30" i="303"/>
  <c r="Q20" i="213"/>
  <c r="G22" i="213"/>
  <c r="M30" i="321"/>
  <c r="P29" i="353"/>
  <c r="G27" i="213"/>
  <c r="G30" i="213" s="1"/>
  <c r="M27" i="213"/>
  <c r="M30" i="213" s="1"/>
  <c r="J27" i="213"/>
  <c r="J30" i="213" s="1"/>
  <c r="J30" i="303"/>
  <c r="G29" i="347"/>
  <c r="O30" i="315"/>
  <c r="F26" i="341"/>
  <c r="F30" i="341" s="1"/>
  <c r="F23" i="341"/>
  <c r="S4" i="347"/>
  <c r="O176" i="34"/>
  <c r="G29" i="274"/>
  <c r="H30" i="315"/>
  <c r="R170" i="34"/>
  <c r="I29" i="345"/>
  <c r="F26" i="337"/>
  <c r="M29" i="347"/>
  <c r="J29" i="345"/>
  <c r="K29" i="347"/>
  <c r="S4" i="214"/>
  <c r="K30" i="303"/>
  <c r="N46" i="34"/>
  <c r="O46" i="34" s="1"/>
  <c r="O133" i="34"/>
  <c r="I109" i="34"/>
  <c r="O204" i="34"/>
  <c r="J29" i="238"/>
  <c r="I29" i="315"/>
  <c r="N144" i="34"/>
  <c r="J29" i="303"/>
  <c r="S4" i="238"/>
  <c r="M30" i="315"/>
  <c r="N29" i="303"/>
  <c r="S4" i="309"/>
  <c r="K19" i="345"/>
  <c r="O29" i="238"/>
  <c r="O128" i="34"/>
  <c r="K27" i="339"/>
  <c r="G29" i="284"/>
  <c r="J26" i="345"/>
  <c r="J23" i="345"/>
  <c r="S5" i="303"/>
  <c r="S6" i="303" s="1"/>
  <c r="J30" i="315"/>
  <c r="O29" i="274"/>
  <c r="O8" i="34"/>
  <c r="S5" i="274"/>
  <c r="S6" i="274" s="1"/>
  <c r="M98" i="34"/>
  <c r="R98" i="34" s="1"/>
  <c r="O29" i="218"/>
  <c r="I29" i="303"/>
  <c r="Q22" i="321"/>
  <c r="E29" i="321"/>
  <c r="H29" i="321"/>
  <c r="F29" i="321"/>
  <c r="O29" i="214"/>
  <c r="I29" i="214"/>
  <c r="O102" i="34"/>
  <c r="N162" i="34"/>
  <c r="I29" i="238"/>
  <c r="K29" i="231"/>
  <c r="O85" i="34"/>
  <c r="H29" i="274"/>
  <c r="L29" i="231"/>
  <c r="O29" i="231"/>
  <c r="L30" i="315"/>
  <c r="J30" i="321"/>
  <c r="M30" i="303"/>
  <c r="R94" i="34"/>
  <c r="O94" i="34"/>
  <c r="F29" i="274"/>
  <c r="O29" i="284"/>
  <c r="J29" i="284"/>
  <c r="K30" i="315"/>
  <c r="O44" i="34"/>
  <c r="K29" i="321"/>
  <c r="P29" i="321"/>
  <c r="J29" i="214"/>
  <c r="G29" i="214"/>
  <c r="L29" i="315"/>
  <c r="H29" i="284"/>
  <c r="Q22" i="238"/>
  <c r="M29" i="238"/>
  <c r="N29" i="274"/>
  <c r="I98" i="34"/>
  <c r="I22" i="337"/>
  <c r="K29" i="303"/>
  <c r="F30" i="334"/>
  <c r="M29" i="303"/>
  <c r="N23" i="337"/>
  <c r="N29" i="315"/>
  <c r="N29" i="284"/>
  <c r="Q22" i="284"/>
  <c r="J27" i="285"/>
  <c r="H112" i="34"/>
  <c r="O210" i="34"/>
  <c r="M27" i="339"/>
  <c r="I27" i="339"/>
  <c r="Q22" i="309"/>
  <c r="J29" i="309"/>
  <c r="L29" i="303"/>
  <c r="O29" i="303"/>
  <c r="M162" i="34"/>
  <c r="R162" i="34" s="1"/>
  <c r="M29" i="315"/>
  <c r="K29" i="315"/>
  <c r="S4" i="232"/>
  <c r="I29" i="232"/>
  <c r="J29" i="315"/>
  <c r="H23" i="337"/>
  <c r="P29" i="238"/>
  <c r="F29" i="281"/>
  <c r="Q22" i="274"/>
  <c r="K23" i="336"/>
  <c r="M29" i="274"/>
  <c r="K29" i="284"/>
  <c r="J27" i="283"/>
  <c r="H108" i="34"/>
  <c r="S4" i="262"/>
  <c r="N80" i="34"/>
  <c r="K29" i="238"/>
  <c r="L29" i="238"/>
  <c r="N29" i="238"/>
  <c r="K29" i="218"/>
  <c r="H29" i="353"/>
  <c r="K29" i="309"/>
  <c r="N29" i="309"/>
  <c r="H29" i="303"/>
  <c r="O29" i="315"/>
  <c r="K23" i="337"/>
  <c r="J29" i="274"/>
  <c r="P29" i="274"/>
  <c r="L29" i="274"/>
  <c r="K29" i="274"/>
  <c r="I29" i="284"/>
  <c r="P29" i="284"/>
  <c r="L29" i="284"/>
  <c r="M29" i="284"/>
  <c r="L30" i="321"/>
  <c r="S4" i="284"/>
  <c r="N109" i="34"/>
  <c r="F29" i="214"/>
  <c r="E29" i="214"/>
  <c r="J30" i="274"/>
  <c r="N98" i="34"/>
  <c r="S4" i="274"/>
  <c r="N106" i="34"/>
  <c r="S4" i="281"/>
  <c r="S4" i="218"/>
  <c r="N16" i="34"/>
  <c r="O16" i="34" s="1"/>
  <c r="J30" i="218"/>
  <c r="S4" i="231"/>
  <c r="N34" i="34"/>
  <c r="O34" i="34" s="1"/>
  <c r="N27" i="339"/>
  <c r="L29" i="218"/>
  <c r="P29" i="218"/>
  <c r="N22" i="337"/>
  <c r="H26" i="335"/>
  <c r="H29" i="218"/>
  <c r="O83" i="34"/>
  <c r="L29" i="347"/>
  <c r="H29" i="347"/>
  <c r="N29" i="347"/>
  <c r="F29" i="347"/>
  <c r="E29" i="347"/>
  <c r="O69" i="34"/>
  <c r="R69" i="34"/>
  <c r="R49" i="34"/>
  <c r="O49" i="34"/>
  <c r="Q22" i="347"/>
  <c r="P27" i="339"/>
  <c r="M29" i="218"/>
  <c r="N29" i="218"/>
  <c r="O142" i="34"/>
  <c r="Q20" i="339"/>
  <c r="O27" i="339"/>
  <c r="J29" i="218"/>
  <c r="Q22" i="218"/>
  <c r="O68" i="34"/>
  <c r="O171" i="34"/>
  <c r="O202" i="34"/>
  <c r="G19" i="339"/>
  <c r="G19" i="341"/>
  <c r="R207" i="34"/>
  <c r="O207" i="34"/>
  <c r="H19" i="343"/>
  <c r="O81" i="34"/>
  <c r="H30" i="333"/>
  <c r="G23" i="343"/>
  <c r="G22" i="343"/>
  <c r="F29" i="353"/>
  <c r="G29" i="353"/>
  <c r="L29" i="353"/>
  <c r="I29" i="353"/>
  <c r="N29" i="281"/>
  <c r="N29" i="209"/>
  <c r="L29" i="281"/>
  <c r="K29" i="353"/>
  <c r="O29" i="353"/>
  <c r="E29" i="353"/>
  <c r="G29" i="281"/>
  <c r="O23" i="337"/>
  <c r="P30" i="281"/>
  <c r="O30" i="333"/>
  <c r="P30" i="333"/>
  <c r="N29" i="353"/>
  <c r="J29" i="353"/>
  <c r="I26" i="334"/>
  <c r="I30" i="334" s="1"/>
  <c r="M29" i="281"/>
  <c r="I29" i="281"/>
  <c r="H29" i="232"/>
  <c r="O53" i="34"/>
  <c r="O64" i="34"/>
  <c r="Q20" i="283"/>
  <c r="J29" i="281"/>
  <c r="K29" i="281"/>
  <c r="O29" i="209"/>
  <c r="Q22" i="209"/>
  <c r="K26" i="334"/>
  <c r="K30" i="334" s="1"/>
  <c r="O40" i="34"/>
  <c r="H26" i="334"/>
  <c r="H30" i="334" s="1"/>
  <c r="H22" i="337"/>
  <c r="O223" i="34"/>
  <c r="O222" i="34"/>
  <c r="H29" i="281"/>
  <c r="J29" i="209"/>
  <c r="K29" i="209"/>
  <c r="G26" i="335"/>
  <c r="J23" i="335"/>
  <c r="G184" i="34"/>
  <c r="J22" i="335"/>
  <c r="R78" i="34"/>
  <c r="O78" i="34"/>
  <c r="R87" i="34"/>
  <c r="O87" i="34"/>
  <c r="Q19" i="281"/>
  <c r="R76" i="34"/>
  <c r="O76" i="34"/>
  <c r="N27" i="283"/>
  <c r="J29" i="291"/>
  <c r="L29" i="291"/>
  <c r="O29" i="291"/>
  <c r="Q22" i="291"/>
  <c r="N29" i="291"/>
  <c r="M29" i="291"/>
  <c r="P29" i="291"/>
  <c r="K29" i="291"/>
  <c r="I29" i="291"/>
  <c r="R115" i="34"/>
  <c r="O115" i="34"/>
  <c r="M23" i="337"/>
  <c r="F29" i="341"/>
  <c r="L29" i="209"/>
  <c r="P29" i="209"/>
  <c r="H29" i="209"/>
  <c r="O146" i="34"/>
  <c r="R93" i="34"/>
  <c r="O93" i="34"/>
  <c r="R114" i="34"/>
  <c r="O114" i="34"/>
  <c r="R175" i="34"/>
  <c r="O175" i="34"/>
  <c r="R48" i="34"/>
  <c r="O48" i="34"/>
  <c r="R119" i="34"/>
  <c r="O119" i="34"/>
  <c r="R132" i="34"/>
  <c r="O132" i="34"/>
  <c r="E29" i="334"/>
  <c r="F29" i="334"/>
  <c r="O9" i="34"/>
  <c r="R9" i="34"/>
  <c r="R75" i="34"/>
  <c r="O75" i="34"/>
  <c r="F27" i="282"/>
  <c r="F30" i="282" s="1"/>
  <c r="F22" i="282"/>
  <c r="F29" i="282" s="1"/>
  <c r="F23" i="282"/>
  <c r="R95" i="34"/>
  <c r="O95" i="34"/>
  <c r="R66" i="34"/>
  <c r="O66" i="34"/>
  <c r="R220" i="34"/>
  <c r="O220" i="34"/>
  <c r="J30" i="282"/>
  <c r="G26" i="337"/>
  <c r="N27" i="285"/>
  <c r="R91" i="34"/>
  <c r="O91" i="34"/>
  <c r="R37" i="34"/>
  <c r="O37" i="34"/>
  <c r="R42" i="34"/>
  <c r="O42" i="34"/>
  <c r="R29" i="34"/>
  <c r="O29" i="34"/>
  <c r="I22" i="282"/>
  <c r="I27" i="282"/>
  <c r="I30" i="282" s="1"/>
  <c r="I23" i="282"/>
  <c r="M23" i="335"/>
  <c r="K29" i="232"/>
  <c r="M29" i="209"/>
  <c r="G30" i="334"/>
  <c r="J30" i="281"/>
  <c r="R26" i="34"/>
  <c r="O26" i="34"/>
  <c r="R118" i="34"/>
  <c r="O118" i="34"/>
  <c r="R58" i="34"/>
  <c r="O58" i="34"/>
  <c r="R43" i="34"/>
  <c r="O43" i="34"/>
  <c r="J30" i="291"/>
  <c r="S4" i="291"/>
  <c r="N121" i="34"/>
  <c r="O121" i="34" s="1"/>
  <c r="R123" i="34"/>
  <c r="O123" i="34"/>
  <c r="M26" i="334"/>
  <c r="M30" i="334" s="1"/>
  <c r="O151" i="34"/>
  <c r="G30" i="333"/>
  <c r="O74" i="34"/>
  <c r="R74" i="34"/>
  <c r="N15" i="34"/>
  <c r="O15" i="34" s="1"/>
  <c r="S4" i="215"/>
  <c r="J30" i="215"/>
  <c r="K23" i="334"/>
  <c r="H29" i="219"/>
  <c r="G29" i="219"/>
  <c r="F29" i="219"/>
  <c r="E26" i="336"/>
  <c r="E30" i="336" s="1"/>
  <c r="G23" i="335"/>
  <c r="G22" i="335"/>
  <c r="Q19" i="334"/>
  <c r="R224" i="34"/>
  <c r="O224" i="34"/>
  <c r="O23" i="281"/>
  <c r="K26" i="281"/>
  <c r="K30" i="281" s="1"/>
  <c r="K23" i="281"/>
  <c r="E26" i="338"/>
  <c r="E23" i="338"/>
  <c r="G22" i="337"/>
  <c r="G23" i="337"/>
  <c r="I23" i="337"/>
  <c r="O155" i="34"/>
  <c r="O150" i="34"/>
  <c r="O152" i="34"/>
  <c r="O154" i="34"/>
  <c r="H26" i="337"/>
  <c r="M27" i="283"/>
  <c r="I23" i="338"/>
  <c r="I22" i="338"/>
  <c r="N26" i="334"/>
  <c r="N30" i="334" s="1"/>
  <c r="L26" i="334"/>
  <c r="L30" i="334" s="1"/>
  <c r="O30" i="281"/>
  <c r="E29" i="352"/>
  <c r="F29" i="352"/>
  <c r="H29" i="352"/>
  <c r="N29" i="352"/>
  <c r="I29" i="352"/>
  <c r="G29" i="352"/>
  <c r="M29" i="352"/>
  <c r="L29" i="352"/>
  <c r="Q22" i="352"/>
  <c r="J29" i="352"/>
  <c r="P29" i="352"/>
  <c r="K29" i="352"/>
  <c r="O29" i="352"/>
  <c r="O26" i="334"/>
  <c r="O30" i="334" s="1"/>
  <c r="L30" i="333"/>
  <c r="N7" i="34"/>
  <c r="O7" i="34" s="1"/>
  <c r="J30" i="209"/>
  <c r="S4" i="209"/>
  <c r="Q22" i="224"/>
  <c r="N29" i="224"/>
  <c r="P29" i="224"/>
  <c r="O29" i="224"/>
  <c r="J29" i="224"/>
  <c r="M29" i="224"/>
  <c r="L29" i="224"/>
  <c r="K29" i="224"/>
  <c r="N28" i="34"/>
  <c r="O28" i="34" s="1"/>
  <c r="S4" i="224"/>
  <c r="J30" i="224"/>
  <c r="L23" i="281"/>
  <c r="L26" i="281"/>
  <c r="L30" i="281" s="1"/>
  <c r="M27" i="285"/>
  <c r="I23" i="336"/>
  <c r="I22" i="336"/>
  <c r="N32" i="34"/>
  <c r="O32" i="34" s="1"/>
  <c r="J30" i="226"/>
  <c r="S4" i="226"/>
  <c r="I29" i="226"/>
  <c r="H29" i="226"/>
  <c r="G29" i="226"/>
  <c r="Q22" i="226"/>
  <c r="N29" i="226"/>
  <c r="P29" i="226"/>
  <c r="O29" i="226"/>
  <c r="J29" i="226"/>
  <c r="M29" i="226"/>
  <c r="L29" i="226"/>
  <c r="K29" i="226"/>
  <c r="F29" i="226"/>
  <c r="G29" i="334"/>
  <c r="H22" i="334"/>
  <c r="H29" i="334" s="1"/>
  <c r="H23" i="334"/>
  <c r="P26" i="334"/>
  <c r="P30" i="334" s="1"/>
  <c r="R20" i="34"/>
  <c r="O20" i="34"/>
  <c r="J22" i="336"/>
  <c r="J23" i="336"/>
  <c r="K17" i="336"/>
  <c r="R67" i="34"/>
  <c r="O67" i="34"/>
  <c r="R27" i="34"/>
  <c r="O27" i="34"/>
  <c r="J30" i="340"/>
  <c r="S4" i="340"/>
  <c r="N211" i="34"/>
  <c r="O211" i="34" s="1"/>
  <c r="J29" i="232"/>
  <c r="Q22" i="232"/>
  <c r="N30" i="333"/>
  <c r="F23" i="336"/>
  <c r="F22" i="336"/>
  <c r="P26" i="282"/>
  <c r="P30" i="282" s="1"/>
  <c r="P23" i="282"/>
  <c r="R62" i="34"/>
  <c r="O62" i="34"/>
  <c r="P26" i="338"/>
  <c r="N26" i="338"/>
  <c r="J26" i="338"/>
  <c r="O26" i="338"/>
  <c r="F26" i="338"/>
  <c r="I26" i="338"/>
  <c r="K26" i="338"/>
  <c r="L26" i="338"/>
  <c r="H26" i="338"/>
  <c r="Q19" i="338"/>
  <c r="M26" i="338"/>
  <c r="G26" i="338"/>
  <c r="J30" i="219"/>
  <c r="S4" i="219"/>
  <c r="N18" i="34"/>
  <c r="O18" i="34" s="1"/>
  <c r="R153" i="34"/>
  <c r="O153" i="34"/>
  <c r="O29" i="232"/>
  <c r="L29" i="232"/>
  <c r="F22" i="338"/>
  <c r="F23" i="338"/>
  <c r="K30" i="333"/>
  <c r="H26" i="282"/>
  <c r="H30" i="282" s="1"/>
  <c r="Q19" i="282"/>
  <c r="H23" i="282"/>
  <c r="H22" i="282"/>
  <c r="J30" i="334"/>
  <c r="S4" i="334"/>
  <c r="N183" i="34"/>
  <c r="E30" i="335"/>
  <c r="S5" i="333"/>
  <c r="S6" i="333" s="1"/>
  <c r="M179" i="34"/>
  <c r="R179" i="34" s="1"/>
  <c r="R60" i="34"/>
  <c r="O60" i="34"/>
  <c r="O27" i="285"/>
  <c r="E30" i="337"/>
  <c r="F26" i="336"/>
  <c r="N26" i="336"/>
  <c r="I26" i="336"/>
  <c r="H26" i="336"/>
  <c r="M26" i="336"/>
  <c r="J26" i="336"/>
  <c r="O26" i="336"/>
  <c r="K26" i="336"/>
  <c r="L26" i="336"/>
  <c r="Q19" i="336"/>
  <c r="P26" i="336"/>
  <c r="G26" i="336"/>
  <c r="K27" i="285"/>
  <c r="P29" i="232"/>
  <c r="N29" i="232"/>
  <c r="N22" i="336"/>
  <c r="N23" i="336"/>
  <c r="R15" i="34"/>
  <c r="R82" i="34"/>
  <c r="O82" i="34"/>
  <c r="E29" i="340"/>
  <c r="F29" i="340"/>
  <c r="P29" i="340"/>
  <c r="O29" i="340"/>
  <c r="I29" i="340"/>
  <c r="K29" i="340"/>
  <c r="J29" i="340"/>
  <c r="L29" i="340"/>
  <c r="G29" i="340"/>
  <c r="Q22" i="340"/>
  <c r="H29" i="340"/>
  <c r="N29" i="340"/>
  <c r="M29" i="340"/>
  <c r="R164" i="34"/>
  <c r="O164" i="34"/>
  <c r="N22" i="338"/>
  <c r="N23" i="338"/>
  <c r="J23" i="337"/>
  <c r="J22" i="337"/>
  <c r="J22" i="338"/>
  <c r="J23" i="338"/>
  <c r="R206" i="34"/>
  <c r="O206" i="34"/>
  <c r="R11" i="34"/>
  <c r="O11" i="34"/>
  <c r="O22" i="282"/>
  <c r="O23" i="282"/>
  <c r="O27" i="282"/>
  <c r="O30" i="282" s="1"/>
  <c r="Q22" i="219"/>
  <c r="N29" i="219"/>
  <c r="O29" i="219"/>
  <c r="P29" i="219"/>
  <c r="J29" i="219"/>
  <c r="M29" i="219"/>
  <c r="L29" i="219"/>
  <c r="K29" i="219"/>
  <c r="I29" i="219"/>
  <c r="K27" i="282"/>
  <c r="K30" i="282" s="1"/>
  <c r="K22" i="282"/>
  <c r="K23" i="282"/>
  <c r="G185" i="34"/>
  <c r="Q185" i="34" s="1"/>
  <c r="K16" i="336"/>
  <c r="M29" i="232"/>
  <c r="G22" i="338"/>
  <c r="G23" i="338"/>
  <c r="R92" i="34"/>
  <c r="O92" i="34"/>
  <c r="O168" i="34"/>
  <c r="R168" i="34"/>
  <c r="O141" i="34"/>
  <c r="R141" i="34"/>
  <c r="R158" i="34"/>
  <c r="O158" i="34"/>
  <c r="G23" i="336"/>
  <c r="G22" i="336"/>
  <c r="G27" i="285"/>
  <c r="Q20" i="285"/>
  <c r="O137" i="34"/>
  <c r="R137" i="34"/>
  <c r="J30" i="353"/>
  <c r="M219" i="34"/>
  <c r="S5" i="353"/>
  <c r="S6" i="353" s="1"/>
  <c r="R213" i="34"/>
  <c r="O213" i="34"/>
  <c r="J26" i="337"/>
  <c r="N26" i="337"/>
  <c r="M26" i="337"/>
  <c r="Q19" i="337"/>
  <c r="I26" i="337"/>
  <c r="L26" i="337"/>
  <c r="P26" i="337"/>
  <c r="K26" i="337"/>
  <c r="O26" i="337"/>
  <c r="L23" i="337"/>
  <c r="L22" i="337"/>
  <c r="R160" i="34"/>
  <c r="O160" i="34"/>
  <c r="F23" i="337"/>
  <c r="F22" i="337"/>
  <c r="O169" i="34"/>
  <c r="R169" i="34"/>
  <c r="N179" i="34"/>
  <c r="S4" i="333"/>
  <c r="J30" i="333"/>
  <c r="G27" i="282"/>
  <c r="G30" i="282" s="1"/>
  <c r="G23" i="282"/>
  <c r="G22" i="282"/>
  <c r="Q20" i="282"/>
  <c r="O29" i="333"/>
  <c r="L29" i="333"/>
  <c r="I29" i="333"/>
  <c r="J29" i="333"/>
  <c r="K29" i="333"/>
  <c r="H29" i="333"/>
  <c r="G29" i="333"/>
  <c r="P29" i="333"/>
  <c r="M29" i="333"/>
  <c r="Q22" i="333"/>
  <c r="N29" i="333"/>
  <c r="R104" i="34"/>
  <c r="O104" i="34"/>
  <c r="F23" i="335"/>
  <c r="F22" i="335"/>
  <c r="R71" i="34"/>
  <c r="O71" i="34"/>
  <c r="P26" i="335"/>
  <c r="I26" i="335"/>
  <c r="O26" i="335"/>
  <c r="J26" i="335"/>
  <c r="N26" i="335"/>
  <c r="K26" i="335"/>
  <c r="I23" i="335"/>
  <c r="M26" i="335"/>
  <c r="Q19" i="335"/>
  <c r="L26" i="335"/>
  <c r="I22" i="335"/>
  <c r="L22" i="335"/>
  <c r="L23" i="335"/>
  <c r="F29" i="225"/>
  <c r="E29" i="225"/>
  <c r="G29" i="225"/>
  <c r="R61" i="34"/>
  <c r="O61" i="34"/>
  <c r="E27" i="335"/>
  <c r="M27" i="335"/>
  <c r="I27" i="335"/>
  <c r="J27" i="335"/>
  <c r="N27" i="335"/>
  <c r="G27" i="335"/>
  <c r="O27" i="335"/>
  <c r="H27" i="335"/>
  <c r="F27" i="335"/>
  <c r="F30" i="335" s="1"/>
  <c r="E22" i="335"/>
  <c r="K27" i="335"/>
  <c r="L27" i="335"/>
  <c r="J30" i="352"/>
  <c r="S5" i="352"/>
  <c r="S6" i="352" s="1"/>
  <c r="M218" i="34"/>
  <c r="Q218" i="34"/>
  <c r="I218" i="34"/>
  <c r="R159" i="34"/>
  <c r="O159" i="34"/>
  <c r="R148" i="34" l="1"/>
  <c r="O148" i="34"/>
  <c r="E28" i="285"/>
  <c r="Q21" i="285"/>
  <c r="F28" i="339"/>
  <c r="O28" i="339"/>
  <c r="L28" i="339"/>
  <c r="Q21" i="339"/>
  <c r="K28" i="339"/>
  <c r="I28" i="339"/>
  <c r="E28" i="339"/>
  <c r="E30" i="339" s="1"/>
  <c r="M28" i="339"/>
  <c r="P28" i="339"/>
  <c r="N28" i="339"/>
  <c r="H28" i="339"/>
  <c r="J28" i="339"/>
  <c r="G28" i="339"/>
  <c r="E23" i="339"/>
  <c r="E28" i="338"/>
  <c r="E30" i="338" s="1"/>
  <c r="L28" i="338"/>
  <c r="M28" i="338"/>
  <c r="I28" i="338"/>
  <c r="H28" i="338"/>
  <c r="O28" i="338"/>
  <c r="Q21" i="338"/>
  <c r="J28" i="338"/>
  <c r="K28" i="338"/>
  <c r="G28" i="338"/>
  <c r="P28" i="338"/>
  <c r="N28" i="338"/>
  <c r="F28" i="338"/>
  <c r="O126" i="34"/>
  <c r="O109" i="34"/>
  <c r="Q106" i="34"/>
  <c r="Q22" i="281"/>
  <c r="S5" i="281"/>
  <c r="S6" i="281" s="1"/>
  <c r="M106" i="34"/>
  <c r="O106" i="34" s="1"/>
  <c r="N13" i="34"/>
  <c r="O13" i="34" s="1"/>
  <c r="S4" i="213"/>
  <c r="S5" i="362"/>
  <c r="S6" i="362" s="1"/>
  <c r="M186" i="34"/>
  <c r="R186" i="34" s="1"/>
  <c r="R110" i="34"/>
  <c r="O110" i="34"/>
  <c r="E29" i="339"/>
  <c r="O144" i="34"/>
  <c r="O98" i="34"/>
  <c r="Q22" i="225"/>
  <c r="M183" i="34"/>
  <c r="R183" i="34" s="1"/>
  <c r="I107" i="34"/>
  <c r="P29" i="281"/>
  <c r="P29" i="225"/>
  <c r="J29" i="225"/>
  <c r="S5" i="334"/>
  <c r="S6" i="334" s="1"/>
  <c r="M107" i="34"/>
  <c r="R107" i="34" s="1"/>
  <c r="S5" i="282"/>
  <c r="S6" i="282" s="1"/>
  <c r="I183" i="34"/>
  <c r="K26" i="345"/>
  <c r="K30" i="345" s="1"/>
  <c r="K22" i="345"/>
  <c r="S4" i="282"/>
  <c r="N107" i="34"/>
  <c r="F29" i="213"/>
  <c r="M29" i="225"/>
  <c r="L29" i="225"/>
  <c r="O29" i="213"/>
  <c r="O29" i="225"/>
  <c r="K29" i="225"/>
  <c r="H29" i="225"/>
  <c r="I29" i="225"/>
  <c r="N29" i="225"/>
  <c r="S4" i="339"/>
  <c r="G29" i="213"/>
  <c r="P29" i="213"/>
  <c r="N216" i="34"/>
  <c r="I29" i="213"/>
  <c r="L29" i="213"/>
  <c r="K29" i="213"/>
  <c r="Q22" i="213"/>
  <c r="H29" i="213"/>
  <c r="M29" i="213"/>
  <c r="J29" i="213"/>
  <c r="N29" i="213"/>
  <c r="O162" i="34"/>
  <c r="S4" i="225"/>
  <c r="N31" i="34"/>
  <c r="O31" i="34" s="1"/>
  <c r="P29" i="334"/>
  <c r="O179" i="34"/>
  <c r="L30" i="335"/>
  <c r="J30" i="345"/>
  <c r="K23" i="345"/>
  <c r="L19" i="345"/>
  <c r="L26" i="345" s="1"/>
  <c r="L30" i="345" s="1"/>
  <c r="H30" i="335"/>
  <c r="N112" i="34"/>
  <c r="S4" i="285"/>
  <c r="S4" i="283"/>
  <c r="N108" i="34"/>
  <c r="G30" i="335"/>
  <c r="L29" i="334"/>
  <c r="G22" i="341"/>
  <c r="G23" i="341"/>
  <c r="G26" i="341"/>
  <c r="G30" i="341" s="1"/>
  <c r="G22" i="339"/>
  <c r="G23" i="339"/>
  <c r="G26" i="339"/>
  <c r="G30" i="339" s="1"/>
  <c r="H22" i="343"/>
  <c r="H29" i="343" s="1"/>
  <c r="H23" i="343"/>
  <c r="G29" i="343"/>
  <c r="H19" i="341"/>
  <c r="H19" i="339"/>
  <c r="H26" i="343"/>
  <c r="H30" i="343" s="1"/>
  <c r="I19" i="343"/>
  <c r="N30" i="335"/>
  <c r="Q184" i="34"/>
  <c r="N29" i="334"/>
  <c r="K29" i="334"/>
  <c r="I30" i="335"/>
  <c r="O29" i="334"/>
  <c r="Q22" i="334"/>
  <c r="I29" i="334"/>
  <c r="M29" i="334"/>
  <c r="J29" i="334"/>
  <c r="S5" i="338"/>
  <c r="S6" i="338" s="1"/>
  <c r="M188" i="34"/>
  <c r="R188" i="34" s="1"/>
  <c r="L17" i="336"/>
  <c r="K30" i="335"/>
  <c r="S5" i="336"/>
  <c r="S6" i="336" s="1"/>
  <c r="M185" i="34"/>
  <c r="R185" i="34" s="1"/>
  <c r="R219" i="34"/>
  <c r="O219" i="34"/>
  <c r="E29" i="335"/>
  <c r="I29" i="335"/>
  <c r="O29" i="335"/>
  <c r="J29" i="335"/>
  <c r="L29" i="335"/>
  <c r="N29" i="335"/>
  <c r="H29" i="335"/>
  <c r="M29" i="335"/>
  <c r="G29" i="335"/>
  <c r="F29" i="335"/>
  <c r="K29" i="335"/>
  <c r="O30" i="335"/>
  <c r="M184" i="34"/>
  <c r="R184" i="34" s="1"/>
  <c r="S5" i="335"/>
  <c r="S6" i="335" s="1"/>
  <c r="M187" i="34"/>
  <c r="R187" i="34" s="1"/>
  <c r="S5" i="337"/>
  <c r="S6" i="337" s="1"/>
  <c r="J30" i="335"/>
  <c r="R218" i="34"/>
  <c r="O218" i="34"/>
  <c r="M30" i="335"/>
  <c r="H29" i="282"/>
  <c r="M29" i="282"/>
  <c r="Q22" i="282"/>
  <c r="J29" i="282"/>
  <c r="L29" i="282"/>
  <c r="G29" i="282"/>
  <c r="O29" i="282"/>
  <c r="P29" i="282"/>
  <c r="I29" i="282"/>
  <c r="N29" i="282"/>
  <c r="K29" i="282"/>
  <c r="E27" i="336" l="1"/>
  <c r="H185" i="34"/>
  <c r="I185" i="34" s="1"/>
  <c r="H27" i="336"/>
  <c r="H30" i="336" s="1"/>
  <c r="L27" i="336"/>
  <c r="L30" i="336" s="1"/>
  <c r="M27" i="336"/>
  <c r="M30" i="336" s="1"/>
  <c r="I27" i="336"/>
  <c r="I30" i="336" s="1"/>
  <c r="K27" i="336"/>
  <c r="K30" i="336" s="1"/>
  <c r="P27" i="336"/>
  <c r="P30" i="336" s="1"/>
  <c r="E22" i="336"/>
  <c r="F27" i="336"/>
  <c r="F30" i="336" s="1"/>
  <c r="N27" i="336"/>
  <c r="N30" i="336" s="1"/>
  <c r="Q20" i="336"/>
  <c r="J27" i="336"/>
  <c r="J30" i="336" s="1"/>
  <c r="O27" i="336"/>
  <c r="O30" i="336" s="1"/>
  <c r="G27" i="336"/>
  <c r="G30" i="336" s="1"/>
  <c r="E27" i="362"/>
  <c r="J27" i="362"/>
  <c r="J30" i="362" s="1"/>
  <c r="L27" i="362"/>
  <c r="L30" i="362" s="1"/>
  <c r="F27" i="362"/>
  <c r="F30" i="362" s="1"/>
  <c r="I27" i="362"/>
  <c r="I30" i="362" s="1"/>
  <c r="K27" i="362"/>
  <c r="K30" i="362" s="1"/>
  <c r="H27" i="362"/>
  <c r="H30" i="362" s="1"/>
  <c r="N27" i="362"/>
  <c r="N30" i="362" s="1"/>
  <c r="M27" i="362"/>
  <c r="M30" i="362" s="1"/>
  <c r="G27" i="362"/>
  <c r="G30" i="362" s="1"/>
  <c r="O27" i="362"/>
  <c r="O30" i="362" s="1"/>
  <c r="E22" i="362"/>
  <c r="J27" i="337"/>
  <c r="J30" i="337" s="1"/>
  <c r="F27" i="337"/>
  <c r="F30" i="337" s="1"/>
  <c r="K27" i="337"/>
  <c r="K30" i="337" s="1"/>
  <c r="L27" i="337"/>
  <c r="L30" i="337" s="1"/>
  <c r="H27" i="337"/>
  <c r="H30" i="337" s="1"/>
  <c r="N27" i="337"/>
  <c r="N30" i="337" s="1"/>
  <c r="I27" i="337"/>
  <c r="I30" i="337" s="1"/>
  <c r="G27" i="337"/>
  <c r="G30" i="337" s="1"/>
  <c r="E22" i="337"/>
  <c r="O27" i="337"/>
  <c r="O30" i="337" s="1"/>
  <c r="E27" i="337"/>
  <c r="M27" i="337"/>
  <c r="M30" i="337" s="1"/>
  <c r="I23" i="343"/>
  <c r="I22" i="343"/>
  <c r="J29" i="343" s="1"/>
  <c r="R106" i="34"/>
  <c r="R111" i="34"/>
  <c r="O111" i="34"/>
  <c r="O183" i="34"/>
  <c r="O107" i="34"/>
  <c r="K29" i="345"/>
  <c r="L29" i="345"/>
  <c r="P29" i="345"/>
  <c r="O29" i="345"/>
  <c r="N29" i="345"/>
  <c r="M29" i="345"/>
  <c r="Q22" i="345"/>
  <c r="L23" i="345"/>
  <c r="M19" i="345"/>
  <c r="I26" i="343"/>
  <c r="I30" i="343" s="1"/>
  <c r="H22" i="339"/>
  <c r="H29" i="339" s="1"/>
  <c r="H23" i="339"/>
  <c r="G29" i="339"/>
  <c r="H23" i="341"/>
  <c r="H22" i="341"/>
  <c r="H29" i="341" s="1"/>
  <c r="H26" i="341"/>
  <c r="H30" i="341" s="1"/>
  <c r="I19" i="339"/>
  <c r="I19" i="341"/>
  <c r="J19" i="343"/>
  <c r="H26" i="339"/>
  <c r="H30" i="339" s="1"/>
  <c r="G29" i="341"/>
  <c r="Q20" i="365" l="1"/>
  <c r="H190" i="34"/>
  <c r="F27" i="338"/>
  <c r="F30" i="338" s="1"/>
  <c r="G27" i="338"/>
  <c r="G30" i="338" s="1"/>
  <c r="K27" i="338"/>
  <c r="K30" i="338" s="1"/>
  <c r="E22" i="338"/>
  <c r="H188" i="34"/>
  <c r="I188" i="34" s="1"/>
  <c r="L27" i="338"/>
  <c r="L30" i="338" s="1"/>
  <c r="N27" i="338"/>
  <c r="N30" i="338" s="1"/>
  <c r="Q20" i="338"/>
  <c r="E27" i="338"/>
  <c r="J27" i="338"/>
  <c r="J30" i="338" s="1"/>
  <c r="M27" i="338"/>
  <c r="M30" i="338" s="1"/>
  <c r="P27" i="338"/>
  <c r="P30" i="338" s="1"/>
  <c r="O27" i="338"/>
  <c r="O30" i="338" s="1"/>
  <c r="I27" i="338"/>
  <c r="I30" i="338" s="1"/>
  <c r="H27" i="338"/>
  <c r="H30" i="338" s="1"/>
  <c r="J29" i="337"/>
  <c r="E29" i="337"/>
  <c r="F29" i="337"/>
  <c r="G29" i="337"/>
  <c r="L29" i="337"/>
  <c r="O29" i="337"/>
  <c r="M29" i="337"/>
  <c r="I29" i="337"/>
  <c r="H29" i="337"/>
  <c r="K29" i="337"/>
  <c r="N29" i="337"/>
  <c r="E29" i="362"/>
  <c r="F29" i="362"/>
  <c r="O29" i="362"/>
  <c r="I29" i="362"/>
  <c r="G29" i="362"/>
  <c r="K29" i="362"/>
  <c r="M29" i="362"/>
  <c r="H29" i="362"/>
  <c r="L29" i="362"/>
  <c r="J29" i="362"/>
  <c r="N29" i="362"/>
  <c r="E29" i="336"/>
  <c r="G29" i="336"/>
  <c r="N29" i="336"/>
  <c r="K29" i="336"/>
  <c r="L29" i="336"/>
  <c r="P29" i="336"/>
  <c r="F29" i="336"/>
  <c r="H29" i="336"/>
  <c r="J29" i="336"/>
  <c r="M29" i="336"/>
  <c r="O29" i="336"/>
  <c r="I29" i="336"/>
  <c r="Q22" i="336"/>
  <c r="N185" i="34"/>
  <c r="O185" i="34" s="1"/>
  <c r="S4" i="336"/>
  <c r="I29" i="343"/>
  <c r="M23" i="345"/>
  <c r="N19" i="345"/>
  <c r="M26" i="345"/>
  <c r="M30" i="345" s="1"/>
  <c r="K19" i="343"/>
  <c r="K22" i="343" s="1"/>
  <c r="I26" i="339"/>
  <c r="I30" i="339" s="1"/>
  <c r="I22" i="339"/>
  <c r="I23" i="339"/>
  <c r="J19" i="341"/>
  <c r="J19" i="339"/>
  <c r="J16" i="339" s="1"/>
  <c r="J23" i="343"/>
  <c r="I22" i="341"/>
  <c r="I23" i="341"/>
  <c r="J26" i="343"/>
  <c r="I26" i="341"/>
  <c r="I30" i="341" s="1"/>
  <c r="N27" i="366" l="1"/>
  <c r="H27" i="366"/>
  <c r="Q20" i="366"/>
  <c r="E27" i="366"/>
  <c r="H191" i="34"/>
  <c r="I27" i="366"/>
  <c r="L27" i="366"/>
  <c r="M27" i="366"/>
  <c r="J27" i="366"/>
  <c r="O27" i="366"/>
  <c r="F27" i="366"/>
  <c r="K27" i="366"/>
  <c r="G27" i="366"/>
  <c r="P27" i="366"/>
  <c r="S4" i="338"/>
  <c r="N188" i="34"/>
  <c r="O188" i="34" s="1"/>
  <c r="S4" i="365"/>
  <c r="N190" i="34"/>
  <c r="E29" i="338"/>
  <c r="G29" i="338"/>
  <c r="Q22" i="338"/>
  <c r="L29" i="338"/>
  <c r="K29" i="338"/>
  <c r="J29" i="338"/>
  <c r="F29" i="338"/>
  <c r="P29" i="338"/>
  <c r="O29" i="338"/>
  <c r="N29" i="338"/>
  <c r="H29" i="338"/>
  <c r="I29" i="338"/>
  <c r="M29" i="338"/>
  <c r="O29" i="343"/>
  <c r="N29" i="343"/>
  <c r="K29" i="343"/>
  <c r="M29" i="343"/>
  <c r="L29" i="343"/>
  <c r="N23" i="345"/>
  <c r="P19" i="345"/>
  <c r="O19" i="345"/>
  <c r="N26" i="345"/>
  <c r="N30" i="345" s="1"/>
  <c r="J30" i="343"/>
  <c r="K26" i="343"/>
  <c r="K30" i="343" s="1"/>
  <c r="K23" i="343"/>
  <c r="J23" i="341"/>
  <c r="J22" i="341"/>
  <c r="J29" i="341" s="1"/>
  <c r="J26" i="341"/>
  <c r="I29" i="339"/>
  <c r="K19" i="339"/>
  <c r="K19" i="341"/>
  <c r="K22" i="341" s="1"/>
  <c r="J23" i="339"/>
  <c r="J22" i="339"/>
  <c r="I29" i="341"/>
  <c r="J26" i="339"/>
  <c r="L19" i="343"/>
  <c r="S4" i="366" l="1"/>
  <c r="N191" i="34"/>
  <c r="P23" i="345"/>
  <c r="G205" i="34"/>
  <c r="K23" i="339"/>
  <c r="K22" i="339"/>
  <c r="K29" i="339" s="1"/>
  <c r="K26" i="339"/>
  <c r="K30" i="339" s="1"/>
  <c r="K29" i="341"/>
  <c r="O23" i="345"/>
  <c r="Q19" i="345"/>
  <c r="P26" i="345"/>
  <c r="O26" i="345"/>
  <c r="O30" i="345" s="1"/>
  <c r="J30" i="341"/>
  <c r="M19" i="343"/>
  <c r="J30" i="339"/>
  <c r="J29" i="339"/>
  <c r="L19" i="339"/>
  <c r="L19" i="341"/>
  <c r="L22" i="341" s="1"/>
  <c r="L23" i="343"/>
  <c r="L26" i="343"/>
  <c r="L30" i="343" s="1"/>
  <c r="K23" i="341"/>
  <c r="K26" i="341"/>
  <c r="K30" i="341" s="1"/>
  <c r="I205" i="34" l="1"/>
  <c r="Q205" i="34"/>
  <c r="P30" i="345"/>
  <c r="M205" i="34"/>
  <c r="S5" i="345"/>
  <c r="S6" i="345" s="1"/>
  <c r="L26" i="339"/>
  <c r="L30" i="339" s="1"/>
  <c r="L22" i="339"/>
  <c r="L29" i="341"/>
  <c r="M19" i="339"/>
  <c r="M19" i="341"/>
  <c r="M22" i="341" s="1"/>
  <c r="M29" i="341" s="1"/>
  <c r="N19" i="343"/>
  <c r="L23" i="339"/>
  <c r="L23" i="341"/>
  <c r="M23" i="343"/>
  <c r="M26" i="343"/>
  <c r="M30" i="343" s="1"/>
  <c r="L26" i="341"/>
  <c r="L30" i="341" s="1"/>
  <c r="R205" i="34" l="1"/>
  <c r="O205" i="34"/>
  <c r="L29" i="339"/>
  <c r="M23" i="339"/>
  <c r="M22" i="339"/>
  <c r="M29" i="339" s="1"/>
  <c r="M26" i="339"/>
  <c r="M30" i="339" s="1"/>
  <c r="O19" i="343"/>
  <c r="O23" i="343" s="1"/>
  <c r="M23" i="341"/>
  <c r="M26" i="341"/>
  <c r="M30" i="341" s="1"/>
  <c r="N23" i="343"/>
  <c r="N26" i="343"/>
  <c r="N30" i="343" s="1"/>
  <c r="N19" i="341"/>
  <c r="N22" i="341" s="1"/>
  <c r="N19" i="339"/>
  <c r="N22" i="339" s="1"/>
  <c r="N29" i="339" l="1"/>
  <c r="N29" i="341"/>
  <c r="O26" i="343"/>
  <c r="O30" i="343" s="1"/>
  <c r="P19" i="343"/>
  <c r="G203" i="34" s="1"/>
  <c r="N23" i="341"/>
  <c r="N26" i="341"/>
  <c r="N30" i="341" s="1"/>
  <c r="N23" i="339"/>
  <c r="N26" i="339"/>
  <c r="N30" i="339" s="1"/>
  <c r="O19" i="339"/>
  <c r="O19" i="341"/>
  <c r="I203" i="34" l="1"/>
  <c r="Q203" i="34"/>
  <c r="O23" i="341"/>
  <c r="O22" i="341"/>
  <c r="O23" i="339"/>
  <c r="O22" i="339"/>
  <c r="P26" i="343"/>
  <c r="P22" i="343"/>
  <c r="P23" i="343"/>
  <c r="Q19" i="343"/>
  <c r="O26" i="339"/>
  <c r="O30" i="339" s="1"/>
  <c r="O26" i="341"/>
  <c r="O30" i="341" s="1"/>
  <c r="P19" i="339"/>
  <c r="G216" i="34" s="1"/>
  <c r="P19" i="341"/>
  <c r="G208" i="34" s="1"/>
  <c r="Q216" i="34" l="1"/>
  <c r="I216" i="34"/>
  <c r="Q208" i="34"/>
  <c r="I208" i="34"/>
  <c r="P30" i="343"/>
  <c r="M203" i="34"/>
  <c r="S5" i="343"/>
  <c r="S6" i="343" s="1"/>
  <c r="P23" i="341"/>
  <c r="P22" i="341"/>
  <c r="P29" i="341" s="1"/>
  <c r="O29" i="339"/>
  <c r="P23" i="339"/>
  <c r="P22" i="339"/>
  <c r="Q22" i="339" s="1"/>
  <c r="P29" i="343"/>
  <c r="Q22" i="343"/>
  <c r="O29" i="341"/>
  <c r="P26" i="341"/>
  <c r="Q19" i="339"/>
  <c r="Q19" i="341"/>
  <c r="P26" i="339"/>
  <c r="Q22" i="341" l="1"/>
  <c r="P30" i="341"/>
  <c r="S5" i="341"/>
  <c r="S6" i="341" s="1"/>
  <c r="M208" i="34"/>
  <c r="P30" i="339"/>
  <c r="M216" i="34"/>
  <c r="S5" i="339"/>
  <c r="S6" i="339" s="1"/>
  <c r="R203" i="34"/>
  <c r="O203" i="34"/>
  <c r="P29" i="339"/>
  <c r="R208" i="34" l="1"/>
  <c r="O208" i="34"/>
  <c r="R216" i="34"/>
  <c r="O216" i="34"/>
  <c r="E19" i="257"/>
  <c r="E23" i="257" s="1"/>
  <c r="F19" i="257" l="1"/>
  <c r="F26" i="257" s="1"/>
  <c r="F30" i="257" s="1"/>
  <c r="E26" i="257"/>
  <c r="E30" i="257" s="1"/>
  <c r="E22" i="257"/>
  <c r="E29" i="257" s="1"/>
  <c r="F19" i="262"/>
  <c r="E19" i="262"/>
  <c r="D182" i="205" l="1"/>
  <c r="E19" i="373" s="1"/>
  <c r="D183" i="205"/>
  <c r="E183" i="205"/>
  <c r="E182" i="205"/>
  <c r="F19" i="373" s="1"/>
  <c r="F22" i="373" s="1"/>
  <c r="D179" i="205"/>
  <c r="D180" i="205" s="1"/>
  <c r="E19" i="366" s="1"/>
  <c r="E22" i="366" s="1"/>
  <c r="E179" i="205"/>
  <c r="F22" i="257"/>
  <c r="F29" i="257" s="1"/>
  <c r="F23" i="257"/>
  <c r="E23" i="262"/>
  <c r="E22" i="262"/>
  <c r="E26" i="262"/>
  <c r="E30" i="262" s="1"/>
  <c r="F23" i="262"/>
  <c r="F22" i="262"/>
  <c r="F26" i="262"/>
  <c r="F30" i="262" s="1"/>
  <c r="G19" i="257"/>
  <c r="D105" i="205"/>
  <c r="E19" i="285" s="1"/>
  <c r="E19" i="283"/>
  <c r="F19" i="283"/>
  <c r="E105" i="205"/>
  <c r="F19" i="285" s="1"/>
  <c r="D184" i="205" l="1"/>
  <c r="E23" i="373"/>
  <c r="E26" i="373"/>
  <c r="E22" i="373"/>
  <c r="F26" i="373"/>
  <c r="F30" i="373" s="1"/>
  <c r="F23" i="373"/>
  <c r="E29" i="366"/>
  <c r="E19" i="365"/>
  <c r="E22" i="365" s="1"/>
  <c r="E26" i="366"/>
  <c r="E23" i="366"/>
  <c r="F19" i="365"/>
  <c r="F22" i="365" s="1"/>
  <c r="E180" i="205"/>
  <c r="F19" i="366" s="1"/>
  <c r="F22" i="366" s="1"/>
  <c r="E26" i="283"/>
  <c r="E30" i="283" s="1"/>
  <c r="E22" i="283"/>
  <c r="E23" i="283"/>
  <c r="E23" i="285"/>
  <c r="E22" i="285"/>
  <c r="E26" i="285"/>
  <c r="E30" i="285" s="1"/>
  <c r="G23" i="257"/>
  <c r="G22" i="257"/>
  <c r="G26" i="257"/>
  <c r="G30" i="257" s="1"/>
  <c r="F26" i="285"/>
  <c r="F30" i="285" s="1"/>
  <c r="F22" i="285"/>
  <c r="F23" i="285"/>
  <c r="G19" i="262"/>
  <c r="E29" i="262"/>
  <c r="F29" i="262"/>
  <c r="F23" i="283"/>
  <c r="F26" i="283"/>
  <c r="F30" i="283" s="1"/>
  <c r="F22" i="283"/>
  <c r="H19" i="257"/>
  <c r="F29" i="366" l="1"/>
  <c r="F29" i="373"/>
  <c r="E29" i="373"/>
  <c r="E30" i="373"/>
  <c r="F182" i="205"/>
  <c r="G19" i="373" s="1"/>
  <c r="G22" i="373" s="1"/>
  <c r="F183" i="205"/>
  <c r="E29" i="365"/>
  <c r="F29" i="365"/>
  <c r="E30" i="366"/>
  <c r="E26" i="365"/>
  <c r="E23" i="365"/>
  <c r="E19" i="367"/>
  <c r="E19" i="368"/>
  <c r="E22" i="368" s="1"/>
  <c r="F179" i="205"/>
  <c r="F180" i="205" s="1"/>
  <c r="G19" i="366" s="1"/>
  <c r="G22" i="366" s="1"/>
  <c r="F26" i="366"/>
  <c r="F30" i="366" s="1"/>
  <c r="F23" i="366"/>
  <c r="E184" i="205"/>
  <c r="F19" i="368" s="1"/>
  <c r="F22" i="368" s="1"/>
  <c r="F19" i="367"/>
  <c r="F22" i="367" s="1"/>
  <c r="F26" i="365"/>
  <c r="F30" i="365" s="1"/>
  <c r="F23" i="365"/>
  <c r="H19" i="262"/>
  <c r="I19" i="257"/>
  <c r="G29" i="257"/>
  <c r="F29" i="285"/>
  <c r="E29" i="285"/>
  <c r="E29" i="283"/>
  <c r="F29" i="283"/>
  <c r="F105" i="205"/>
  <c r="G19" i="285" s="1"/>
  <c r="G19" i="283"/>
  <c r="H23" i="257"/>
  <c r="H22" i="257"/>
  <c r="H29" i="257" s="1"/>
  <c r="H26" i="257"/>
  <c r="H30" i="257" s="1"/>
  <c r="G23" i="262"/>
  <c r="G22" i="262"/>
  <c r="G26" i="262"/>
  <c r="G30" i="262" s="1"/>
  <c r="G29" i="373" l="1"/>
  <c r="G29" i="366"/>
  <c r="G183" i="205"/>
  <c r="G182" i="205"/>
  <c r="H19" i="373" s="1"/>
  <c r="H22" i="373" s="1"/>
  <c r="G23" i="373"/>
  <c r="G26" i="373"/>
  <c r="G30" i="373" s="1"/>
  <c r="E29" i="368"/>
  <c r="F29" i="368"/>
  <c r="E22" i="367"/>
  <c r="E26" i="368"/>
  <c r="E23" i="368"/>
  <c r="E30" i="365"/>
  <c r="E23" i="367"/>
  <c r="E26" i="367"/>
  <c r="G179" i="205"/>
  <c r="G180" i="205" s="1"/>
  <c r="H19" i="366" s="1"/>
  <c r="H22" i="366" s="1"/>
  <c r="H29" i="366" s="1"/>
  <c r="F26" i="367"/>
  <c r="F30" i="367" s="1"/>
  <c r="F23" i="367"/>
  <c r="F26" i="368"/>
  <c r="F30" i="368" s="1"/>
  <c r="F23" i="368"/>
  <c r="G26" i="366"/>
  <c r="G30" i="366" s="1"/>
  <c r="G23" i="366"/>
  <c r="G19" i="365"/>
  <c r="G22" i="365" s="1"/>
  <c r="J19" i="257"/>
  <c r="J22" i="257" s="1"/>
  <c r="H19" i="283"/>
  <c r="G105" i="205"/>
  <c r="H19" i="285" s="1"/>
  <c r="G23" i="283"/>
  <c r="G26" i="283"/>
  <c r="G30" i="283" s="1"/>
  <c r="G22" i="283"/>
  <c r="G22" i="285"/>
  <c r="G23" i="285"/>
  <c r="G26" i="285"/>
  <c r="G30" i="285" s="1"/>
  <c r="I26" i="257"/>
  <c r="I22" i="257"/>
  <c r="I23" i="257"/>
  <c r="G29" i="262"/>
  <c r="I19" i="262"/>
  <c r="H23" i="262"/>
  <c r="H22" i="262"/>
  <c r="H26" i="262"/>
  <c r="H30" i="262" s="1"/>
  <c r="G29" i="365" l="1"/>
  <c r="H29" i="373"/>
  <c r="H26" i="373"/>
  <c r="H30" i="373" s="1"/>
  <c r="H23" i="373"/>
  <c r="H182" i="205"/>
  <c r="I19" i="373" s="1"/>
  <c r="H183" i="205"/>
  <c r="F29" i="367"/>
  <c r="E29" i="367"/>
  <c r="E30" i="367"/>
  <c r="E30" i="368"/>
  <c r="G19" i="367"/>
  <c r="G22" i="367" s="1"/>
  <c r="F184" i="205"/>
  <c r="G19" i="368" s="1"/>
  <c r="G22" i="368" s="1"/>
  <c r="H179" i="205"/>
  <c r="H180" i="205" s="1"/>
  <c r="I19" i="366" s="1"/>
  <c r="I22" i="366" s="1"/>
  <c r="G26" i="365"/>
  <c r="G30" i="365" s="1"/>
  <c r="G23" i="365"/>
  <c r="H26" i="366"/>
  <c r="H30" i="366" s="1"/>
  <c r="H23" i="366"/>
  <c r="H19" i="365"/>
  <c r="H22" i="365" s="1"/>
  <c r="H26" i="283"/>
  <c r="H30" i="283" s="1"/>
  <c r="H23" i="283"/>
  <c r="H22" i="283"/>
  <c r="H29" i="283" s="1"/>
  <c r="K19" i="257"/>
  <c r="K22" i="257" s="1"/>
  <c r="I23" i="262"/>
  <c r="I26" i="262"/>
  <c r="I22" i="262"/>
  <c r="G29" i="283"/>
  <c r="H105" i="205"/>
  <c r="I19" i="285" s="1"/>
  <c r="I19" i="283"/>
  <c r="G29" i="285"/>
  <c r="J26" i="257"/>
  <c r="J30" i="257" s="1"/>
  <c r="J23" i="257"/>
  <c r="J19" i="262"/>
  <c r="J22" i="262" s="1"/>
  <c r="J29" i="257"/>
  <c r="H29" i="262"/>
  <c r="I30" i="257"/>
  <c r="H22" i="285"/>
  <c r="H29" i="285" s="1"/>
  <c r="H26" i="285"/>
  <c r="H30" i="285" s="1"/>
  <c r="H23" i="285"/>
  <c r="I29" i="257"/>
  <c r="G29" i="368" l="1"/>
  <c r="G29" i="367"/>
  <c r="I29" i="366"/>
  <c r="I23" i="373"/>
  <c r="I22" i="373"/>
  <c r="H29" i="365"/>
  <c r="I26" i="373"/>
  <c r="I30" i="373" s="1"/>
  <c r="I183" i="205"/>
  <c r="I182" i="205"/>
  <c r="J19" i="373" s="1"/>
  <c r="J22" i="373" s="1"/>
  <c r="I19" i="365"/>
  <c r="I22" i="365" s="1"/>
  <c r="G26" i="368"/>
  <c r="G30" i="368" s="1"/>
  <c r="G23" i="368"/>
  <c r="H26" i="365"/>
  <c r="H30" i="365" s="1"/>
  <c r="H23" i="365"/>
  <c r="I26" i="366"/>
  <c r="I30" i="366" s="1"/>
  <c r="I23" i="366"/>
  <c r="I179" i="205"/>
  <c r="I180" i="205" s="1"/>
  <c r="J19" i="366" s="1"/>
  <c r="J22" i="366" s="1"/>
  <c r="G184" i="205"/>
  <c r="H19" i="368" s="1"/>
  <c r="H22" i="368" s="1"/>
  <c r="H19" i="367"/>
  <c r="H22" i="367" s="1"/>
  <c r="H29" i="367" s="1"/>
  <c r="G26" i="367"/>
  <c r="G30" i="367" s="1"/>
  <c r="G23" i="367"/>
  <c r="K29" i="257"/>
  <c r="I26" i="283"/>
  <c r="I22" i="283"/>
  <c r="I23" i="283"/>
  <c r="I30" i="262"/>
  <c r="K19" i="262"/>
  <c r="K22" i="262" s="1"/>
  <c r="K29" i="262" s="1"/>
  <c r="I105" i="205"/>
  <c r="J19" i="285" s="1"/>
  <c r="J22" i="285" s="1"/>
  <c r="J19" i="283"/>
  <c r="J22" i="283" s="1"/>
  <c r="I22" i="285"/>
  <c r="I29" i="285" s="1"/>
  <c r="I23" i="285"/>
  <c r="I26" i="285"/>
  <c r="J23" i="262"/>
  <c r="J26" i="262"/>
  <c r="J30" i="262" s="1"/>
  <c r="L19" i="257"/>
  <c r="L22" i="257" s="1"/>
  <c r="J29" i="262"/>
  <c r="I29" i="262"/>
  <c r="K23" i="257"/>
  <c r="K26" i="257"/>
  <c r="K30" i="257" s="1"/>
  <c r="J29" i="373" l="1"/>
  <c r="I29" i="373"/>
  <c r="I29" i="365"/>
  <c r="H29" i="368"/>
  <c r="J29" i="366"/>
  <c r="J182" i="205"/>
  <c r="K19" i="373" s="1"/>
  <c r="K22" i="373" s="1"/>
  <c r="K29" i="373" s="1"/>
  <c r="J183" i="205"/>
  <c r="J23" i="373"/>
  <c r="J26" i="373"/>
  <c r="J30" i="373" s="1"/>
  <c r="I19" i="367"/>
  <c r="I22" i="367" s="1"/>
  <c r="H184" i="205"/>
  <c r="I19" i="368" s="1"/>
  <c r="I22" i="368" s="1"/>
  <c r="J179" i="205"/>
  <c r="J19" i="365"/>
  <c r="J22" i="365" s="1"/>
  <c r="I26" i="365"/>
  <c r="I30" i="365" s="1"/>
  <c r="I23" i="365"/>
  <c r="H26" i="367"/>
  <c r="H30" i="367" s="1"/>
  <c r="H23" i="367"/>
  <c r="H26" i="368"/>
  <c r="H30" i="368" s="1"/>
  <c r="H23" i="368"/>
  <c r="J26" i="366"/>
  <c r="J30" i="366" s="1"/>
  <c r="J23" i="366"/>
  <c r="L29" i="257"/>
  <c r="J29" i="285"/>
  <c r="L19" i="262"/>
  <c r="L22" i="262" s="1"/>
  <c r="K23" i="262"/>
  <c r="K26" i="262"/>
  <c r="K30" i="262" s="1"/>
  <c r="M19" i="257"/>
  <c r="M22" i="257" s="1"/>
  <c r="J23" i="283"/>
  <c r="J26" i="283"/>
  <c r="J30" i="283" s="1"/>
  <c r="J29" i="283"/>
  <c r="I29" i="283"/>
  <c r="L26" i="257"/>
  <c r="L30" i="257" s="1"/>
  <c r="L23" i="257"/>
  <c r="I30" i="285"/>
  <c r="J26" i="285"/>
  <c r="J30" i="285" s="1"/>
  <c r="J23" i="285"/>
  <c r="I30" i="283"/>
  <c r="K19" i="283"/>
  <c r="K22" i="283" s="1"/>
  <c r="K29" i="283" s="1"/>
  <c r="J105" i="205"/>
  <c r="K19" i="285" s="1"/>
  <c r="K22" i="285" s="1"/>
  <c r="I29" i="367" l="1"/>
  <c r="J29" i="365"/>
  <c r="I29" i="368"/>
  <c r="K182" i="205"/>
  <c r="L19" i="373" s="1"/>
  <c r="L22" i="373" s="1"/>
  <c r="K183" i="205"/>
  <c r="K26" i="373"/>
  <c r="K30" i="373" s="1"/>
  <c r="K23" i="373"/>
  <c r="K179" i="205"/>
  <c r="K180" i="205" s="1"/>
  <c r="L19" i="366" s="1"/>
  <c r="L22" i="366" s="1"/>
  <c r="J23" i="365"/>
  <c r="J26" i="365"/>
  <c r="J30" i="365" s="1"/>
  <c r="I26" i="368"/>
  <c r="I30" i="368" s="1"/>
  <c r="I23" i="368"/>
  <c r="J19" i="367"/>
  <c r="J22" i="367" s="1"/>
  <c r="I184" i="205"/>
  <c r="J19" i="368" s="1"/>
  <c r="J22" i="368" s="1"/>
  <c r="I26" i="367"/>
  <c r="I30" i="367" s="1"/>
  <c r="I23" i="367"/>
  <c r="K19" i="365"/>
  <c r="K22" i="365" s="1"/>
  <c r="K29" i="365" s="1"/>
  <c r="J180" i="205"/>
  <c r="K19" i="366" s="1"/>
  <c r="K22" i="366" s="1"/>
  <c r="L29" i="262"/>
  <c r="M29" i="257"/>
  <c r="K29" i="285"/>
  <c r="K23" i="285"/>
  <c r="K26" i="285"/>
  <c r="K30" i="285" s="1"/>
  <c r="N19" i="257"/>
  <c r="N22" i="257" s="1"/>
  <c r="K26" i="283"/>
  <c r="K30" i="283" s="1"/>
  <c r="K23" i="283"/>
  <c r="K105" i="205"/>
  <c r="L19" i="285" s="1"/>
  <c r="L19" i="283"/>
  <c r="M19" i="262"/>
  <c r="M22" i="262" s="1"/>
  <c r="M29" i="262" s="1"/>
  <c r="M26" i="257"/>
  <c r="M30" i="257" s="1"/>
  <c r="M23" i="257"/>
  <c r="L26" i="262"/>
  <c r="L30" i="262" s="1"/>
  <c r="L23" i="262"/>
  <c r="K29" i="366" l="1"/>
  <c r="L29" i="373"/>
  <c r="L29" i="366"/>
  <c r="J29" i="368"/>
  <c r="J29" i="367"/>
  <c r="L182" i="205"/>
  <c r="M19" i="373" s="1"/>
  <c r="L183" i="205"/>
  <c r="L26" i="373"/>
  <c r="L30" i="373" s="1"/>
  <c r="L23" i="373"/>
  <c r="K26" i="366"/>
  <c r="K30" i="366" s="1"/>
  <c r="K23" i="366"/>
  <c r="J184" i="205"/>
  <c r="K19" i="368" s="1"/>
  <c r="K22" i="368" s="1"/>
  <c r="K19" i="367"/>
  <c r="K22" i="367" s="1"/>
  <c r="K29" i="367" s="1"/>
  <c r="J23" i="368"/>
  <c r="J26" i="368"/>
  <c r="J30" i="368" s="1"/>
  <c r="L26" i="366"/>
  <c r="L30" i="366" s="1"/>
  <c r="L23" i="366"/>
  <c r="K26" i="365"/>
  <c r="K30" i="365" s="1"/>
  <c r="K23" i="365"/>
  <c r="J26" i="367"/>
  <c r="J30" i="367" s="1"/>
  <c r="J23" i="367"/>
  <c r="L179" i="205"/>
  <c r="L19" i="365"/>
  <c r="L22" i="365" s="1"/>
  <c r="L29" i="365" s="1"/>
  <c r="N29" i="257"/>
  <c r="L22" i="283"/>
  <c r="L22" i="285"/>
  <c r="O19" i="257"/>
  <c r="O22" i="257" s="1"/>
  <c r="N23" i="257"/>
  <c r="N26" i="257"/>
  <c r="N30" i="257" s="1"/>
  <c r="L105" i="205"/>
  <c r="M19" i="285" s="1"/>
  <c r="M22" i="285" s="1"/>
  <c r="M19" i="283"/>
  <c r="M22" i="283" s="1"/>
  <c r="L23" i="283"/>
  <c r="L26" i="283"/>
  <c r="M23" i="262"/>
  <c r="M26" i="262"/>
  <c r="M30" i="262" s="1"/>
  <c r="L23" i="285"/>
  <c r="L26" i="285"/>
  <c r="N19" i="262"/>
  <c r="N22" i="262" s="1"/>
  <c r="K29" i="368" l="1"/>
  <c r="M23" i="373"/>
  <c r="M22" i="373"/>
  <c r="M26" i="373"/>
  <c r="M30" i="373" s="1"/>
  <c r="M183" i="205"/>
  <c r="M182" i="205"/>
  <c r="N19" i="373" s="1"/>
  <c r="N22" i="373" s="1"/>
  <c r="M19" i="365"/>
  <c r="M22" i="365" s="1"/>
  <c r="M29" i="365" s="1"/>
  <c r="K26" i="368"/>
  <c r="K30" i="368" s="1"/>
  <c r="K23" i="368"/>
  <c r="M179" i="205"/>
  <c r="M180" i="205" s="1"/>
  <c r="N19" i="366" s="1"/>
  <c r="N22" i="366" s="1"/>
  <c r="K184" i="205"/>
  <c r="L19" i="368" s="1"/>
  <c r="L22" i="368" s="1"/>
  <c r="L19" i="367"/>
  <c r="L22" i="367" s="1"/>
  <c r="L29" i="367" s="1"/>
  <c r="L180" i="205"/>
  <c r="M19" i="366" s="1"/>
  <c r="M22" i="366" s="1"/>
  <c r="L23" i="365"/>
  <c r="L26" i="365"/>
  <c r="L30" i="365" s="1"/>
  <c r="K26" i="367"/>
  <c r="K30" i="367" s="1"/>
  <c r="K23" i="367"/>
  <c r="O29" i="257"/>
  <c r="N29" i="262"/>
  <c r="L30" i="283"/>
  <c r="L29" i="283"/>
  <c r="M29" i="283"/>
  <c r="L30" i="285"/>
  <c r="M29" i="285"/>
  <c r="L29" i="285"/>
  <c r="O19" i="262"/>
  <c r="O22" i="262" s="1"/>
  <c r="O29" i="262" s="1"/>
  <c r="N26" i="262"/>
  <c r="N30" i="262" s="1"/>
  <c r="N23" i="262"/>
  <c r="M105" i="205"/>
  <c r="N19" i="285" s="1"/>
  <c r="N22" i="285" s="1"/>
  <c r="N29" i="285" s="1"/>
  <c r="N19" i="283"/>
  <c r="N22" i="283" s="1"/>
  <c r="M23" i="285"/>
  <c r="M26" i="285"/>
  <c r="M30" i="285" s="1"/>
  <c r="P19" i="257"/>
  <c r="M23" i="283"/>
  <c r="M26" i="283"/>
  <c r="M30" i="283" s="1"/>
  <c r="O23" i="257"/>
  <c r="O26" i="257"/>
  <c r="O30" i="257" s="1"/>
  <c r="N29" i="366" l="1"/>
  <c r="M29" i="366"/>
  <c r="L29" i="368"/>
  <c r="M29" i="373"/>
  <c r="N29" i="373"/>
  <c r="N182" i="205"/>
  <c r="O19" i="373" s="1"/>
  <c r="O22" i="373" s="1"/>
  <c r="O29" i="373" s="1"/>
  <c r="N183" i="205"/>
  <c r="N26" i="373"/>
  <c r="N30" i="373" s="1"/>
  <c r="N23" i="373"/>
  <c r="N179" i="205"/>
  <c r="N26" i="366"/>
  <c r="N30" i="366" s="1"/>
  <c r="N23" i="366"/>
  <c r="M26" i="365"/>
  <c r="M30" i="365" s="1"/>
  <c r="M23" i="365"/>
  <c r="M23" i="366"/>
  <c r="M26" i="366"/>
  <c r="M30" i="366" s="1"/>
  <c r="N19" i="365"/>
  <c r="N22" i="365" s="1"/>
  <c r="N29" i="365" s="1"/>
  <c r="M19" i="367"/>
  <c r="M22" i="367" s="1"/>
  <c r="L184" i="205"/>
  <c r="M19" i="368" s="1"/>
  <c r="M22" i="368" s="1"/>
  <c r="M29" i="368" s="1"/>
  <c r="L26" i="367"/>
  <c r="L30" i="367" s="1"/>
  <c r="L23" i="367"/>
  <c r="L26" i="368"/>
  <c r="L30" i="368" s="1"/>
  <c r="L23" i="368"/>
  <c r="P22" i="257"/>
  <c r="G73" i="34"/>
  <c r="N29" i="283"/>
  <c r="P23" i="257"/>
  <c r="P26" i="257"/>
  <c r="Q19" i="257"/>
  <c r="O26" i="262"/>
  <c r="O30" i="262" s="1"/>
  <c r="O23" i="262"/>
  <c r="N23" i="285"/>
  <c r="N26" i="285"/>
  <c r="N30" i="285" s="1"/>
  <c r="N26" i="283"/>
  <c r="N30" i="283" s="1"/>
  <c r="N23" i="283"/>
  <c r="P19" i="262"/>
  <c r="N105" i="205"/>
  <c r="O19" i="285" s="1"/>
  <c r="O22" i="285" s="1"/>
  <c r="O29" i="285" s="1"/>
  <c r="O19" i="283"/>
  <c r="O22" i="283" s="1"/>
  <c r="M29" i="367" l="1"/>
  <c r="O182" i="205"/>
  <c r="P19" i="373" s="1"/>
  <c r="O183" i="205"/>
  <c r="O23" i="373"/>
  <c r="O26" i="373"/>
  <c r="O30" i="373" s="1"/>
  <c r="M26" i="368"/>
  <c r="M30" i="368" s="1"/>
  <c r="M23" i="368"/>
  <c r="M23" i="367"/>
  <c r="M26" i="367"/>
  <c r="M30" i="367" s="1"/>
  <c r="N26" i="365"/>
  <c r="N30" i="365" s="1"/>
  <c r="N23" i="365"/>
  <c r="O19" i="365"/>
  <c r="O22" i="365" s="1"/>
  <c r="O29" i="365" s="1"/>
  <c r="O179" i="205"/>
  <c r="O180" i="205" s="1"/>
  <c r="P19" i="366" s="1"/>
  <c r="M184" i="205"/>
  <c r="N19" i="368" s="1"/>
  <c r="N22" i="368" s="1"/>
  <c r="N19" i="367"/>
  <c r="N22" i="367" s="1"/>
  <c r="N29" i="367" s="1"/>
  <c r="N180" i="205"/>
  <c r="O19" i="366" s="1"/>
  <c r="O22" i="366" s="1"/>
  <c r="O29" i="366" s="1"/>
  <c r="P22" i="262"/>
  <c r="G80" i="34"/>
  <c r="P30" i="257"/>
  <c r="M73" i="34"/>
  <c r="S5" i="257"/>
  <c r="S6" i="257" s="1"/>
  <c r="P29" i="257"/>
  <c r="Q22" i="257"/>
  <c r="I73" i="34"/>
  <c r="Q73" i="34"/>
  <c r="O29" i="283"/>
  <c r="P23" i="262"/>
  <c r="P26" i="262"/>
  <c r="Q19" i="262"/>
  <c r="O23" i="285"/>
  <c r="O26" i="285"/>
  <c r="O30" i="285" s="1"/>
  <c r="O105" i="205"/>
  <c r="P19" i="285" s="1"/>
  <c r="P19" i="283"/>
  <c r="O26" i="283"/>
  <c r="O30" i="283" s="1"/>
  <c r="O23" i="283"/>
  <c r="N29" i="368" l="1"/>
  <c r="P22" i="373"/>
  <c r="G193" i="34"/>
  <c r="P22" i="366"/>
  <c r="G191" i="34"/>
  <c r="P26" i="373"/>
  <c r="P23" i="373"/>
  <c r="Q19" i="373"/>
  <c r="O26" i="365"/>
  <c r="O30" i="365" s="1"/>
  <c r="O23" i="365"/>
  <c r="P26" i="366"/>
  <c r="P23" i="366"/>
  <c r="Q19" i="366"/>
  <c r="N26" i="367"/>
  <c r="N30" i="367" s="1"/>
  <c r="N23" i="367"/>
  <c r="O19" i="367"/>
  <c r="O22" i="367" s="1"/>
  <c r="O29" i="367" s="1"/>
  <c r="N184" i="205"/>
  <c r="O19" i="368" s="1"/>
  <c r="O22" i="368" s="1"/>
  <c r="O29" i="368" s="1"/>
  <c r="N26" i="368"/>
  <c r="N30" i="368" s="1"/>
  <c r="N23" i="368"/>
  <c r="O26" i="366"/>
  <c r="O30" i="366" s="1"/>
  <c r="O23" i="366"/>
  <c r="P19" i="365"/>
  <c r="P30" i="262"/>
  <c r="M80" i="34"/>
  <c r="S5" i="262"/>
  <c r="S6" i="262" s="1"/>
  <c r="P22" i="285"/>
  <c r="G112" i="34"/>
  <c r="Q80" i="34"/>
  <c r="I80" i="34"/>
  <c r="P22" i="283"/>
  <c r="G108" i="34"/>
  <c r="O73" i="34"/>
  <c r="R73" i="34"/>
  <c r="P29" i="262"/>
  <c r="Q22" i="262"/>
  <c r="P23" i="285"/>
  <c r="P26" i="285"/>
  <c r="Q19" i="285"/>
  <c r="P23" i="283"/>
  <c r="P26" i="283"/>
  <c r="Q19" i="283"/>
  <c r="P30" i="366" l="1"/>
  <c r="S5" i="366"/>
  <c r="S6" i="366" s="1"/>
  <c r="M191" i="34"/>
  <c r="Q193" i="34"/>
  <c r="I193" i="34"/>
  <c r="P22" i="365"/>
  <c r="G190" i="34"/>
  <c r="P30" i="373"/>
  <c r="S5" i="373"/>
  <c r="S6" i="373" s="1"/>
  <c r="M193" i="34"/>
  <c r="Q22" i="373"/>
  <c r="P29" i="373"/>
  <c r="I191" i="34"/>
  <c r="Q191" i="34"/>
  <c r="Q22" i="366"/>
  <c r="P29" i="366"/>
  <c r="O26" i="368"/>
  <c r="O30" i="368" s="1"/>
  <c r="O23" i="368"/>
  <c r="O26" i="367"/>
  <c r="O30" i="367" s="1"/>
  <c r="O23" i="367"/>
  <c r="P26" i="365"/>
  <c r="P23" i="365"/>
  <c r="Q19" i="365"/>
  <c r="O184" i="205"/>
  <c r="P19" i="368" s="1"/>
  <c r="P19" i="367"/>
  <c r="P29" i="283"/>
  <c r="Q22" i="283"/>
  <c r="P30" i="285"/>
  <c r="M112" i="34"/>
  <c r="S5" i="285"/>
  <c r="S6" i="285" s="1"/>
  <c r="Q22" i="285"/>
  <c r="P29" i="285"/>
  <c r="O80" i="34"/>
  <c r="R80" i="34"/>
  <c r="P30" i="283"/>
  <c r="S5" i="283"/>
  <c r="S6" i="283" s="1"/>
  <c r="M108" i="34"/>
  <c r="I108" i="34"/>
  <c r="Q108" i="34"/>
  <c r="I112" i="34"/>
  <c r="Q112" i="34"/>
  <c r="I190" i="34" l="1"/>
  <c r="Q190" i="34"/>
  <c r="O191" i="34"/>
  <c r="R191" i="34"/>
  <c r="O193" i="34"/>
  <c r="R193" i="34"/>
  <c r="Q22" i="365"/>
  <c r="P29" i="365"/>
  <c r="P22" i="368"/>
  <c r="G195" i="34"/>
  <c r="P22" i="367"/>
  <c r="G194" i="34"/>
  <c r="P30" i="365"/>
  <c r="S5" i="365"/>
  <c r="S6" i="365" s="1"/>
  <c r="M190" i="34"/>
  <c r="P26" i="367"/>
  <c r="P23" i="367"/>
  <c r="Q19" i="367"/>
  <c r="P26" i="368"/>
  <c r="P23" i="368"/>
  <c r="Q19" i="368"/>
  <c r="O112" i="34"/>
  <c r="R112" i="34"/>
  <c r="O108" i="34"/>
  <c r="R108" i="34"/>
  <c r="P140" i="358"/>
  <c r="P163" i="358"/>
  <c r="P165" i="358" s="1"/>
  <c r="P27" i="303"/>
  <c r="I194" i="34" l="1"/>
  <c r="Q194" i="34"/>
  <c r="P29" i="367"/>
  <c r="Q22" i="367"/>
  <c r="P30" i="368"/>
  <c r="M195" i="34"/>
  <c r="S5" i="368"/>
  <c r="S6" i="368" s="1"/>
  <c r="Q195" i="34"/>
  <c r="I195" i="34"/>
  <c r="P30" i="367"/>
  <c r="S5" i="367"/>
  <c r="S6" i="367" s="1"/>
  <c r="M194" i="34"/>
  <c r="R190" i="34"/>
  <c r="O190" i="34"/>
  <c r="P29" i="368"/>
  <c r="Q22" i="368"/>
  <c r="P166" i="358"/>
  <c r="P27" i="337" s="1"/>
  <c r="P22" i="362"/>
  <c r="H186" i="34"/>
  <c r="I186" i="34" s="1"/>
  <c r="P23" i="362"/>
  <c r="Q20" i="362"/>
  <c r="P27" i="362"/>
  <c r="P23" i="315"/>
  <c r="P22" i="315"/>
  <c r="H157" i="34"/>
  <c r="I157" i="34" s="1"/>
  <c r="Q20" i="315"/>
  <c r="P27" i="315"/>
  <c r="S4" i="303"/>
  <c r="N139" i="34"/>
  <c r="O139" i="34" s="1"/>
  <c r="P30" i="303"/>
  <c r="H187" i="34"/>
  <c r="I187" i="34" s="1"/>
  <c r="Q20" i="337"/>
  <c r="P22" i="303"/>
  <c r="P23" i="303"/>
  <c r="H139" i="34"/>
  <c r="I139" i="34" s="1"/>
  <c r="Q20" i="303"/>
  <c r="R194" i="34" l="1"/>
  <c r="O194" i="34"/>
  <c r="R195" i="34"/>
  <c r="O195" i="34"/>
  <c r="P22" i="337"/>
  <c r="P29" i="337" s="1"/>
  <c r="P23" i="337"/>
  <c r="P29" i="303"/>
  <c r="Q22" i="303"/>
  <c r="Q22" i="315"/>
  <c r="P29" i="315"/>
  <c r="S4" i="315"/>
  <c r="P30" i="315"/>
  <c r="N157" i="34"/>
  <c r="O157" i="34" s="1"/>
  <c r="Q20" i="335"/>
  <c r="H184" i="34"/>
  <c r="I184" i="34" s="1"/>
  <c r="P22" i="335"/>
  <c r="P27" i="335"/>
  <c r="P23" i="335"/>
  <c r="P30" i="337"/>
  <c r="N187" i="34"/>
  <c r="O187" i="34" s="1"/>
  <c r="S4" i="337"/>
  <c r="S4" i="362"/>
  <c r="N186" i="34"/>
  <c r="O186" i="34" s="1"/>
  <c r="P30" i="362"/>
  <c r="Q22" i="362"/>
  <c r="P29" i="362"/>
  <c r="Q22" i="337" l="1"/>
  <c r="Q22" i="335"/>
  <c r="P29" i="335"/>
  <c r="P30" i="335"/>
  <c r="N184" i="34"/>
  <c r="O184" i="34" s="1"/>
  <c r="S4" i="335"/>
</calcChain>
</file>

<file path=xl/comments1.xml><?xml version="1.0" encoding="utf-8"?>
<comments xmlns="http://schemas.openxmlformats.org/spreadsheetml/2006/main">
  <authors>
    <author>Senior Accountant</author>
    <author>Nyash</author>
  </authors>
  <commentList>
    <comment ref="BB10" authorId="0" shapeId="0">
      <text>
        <r>
          <rPr>
            <b/>
            <sz val="9"/>
            <color indexed="81"/>
            <rFont val="Tahoma"/>
            <family val="2"/>
          </rPr>
          <t>Senior Accountant:</t>
        </r>
        <r>
          <rPr>
            <sz val="9"/>
            <color indexed="81"/>
            <rFont val="Tahoma"/>
            <family val="2"/>
          </rPr>
          <t xml:space="preserve">
marketing budget</t>
        </r>
      </text>
    </comment>
    <comment ref="BB20" authorId="0" shapeId="0">
      <text>
        <r>
          <rPr>
            <b/>
            <sz val="9"/>
            <color indexed="81"/>
            <rFont val="Tahoma"/>
            <family val="2"/>
          </rPr>
          <t>Senior Accountant:</t>
        </r>
        <r>
          <rPr>
            <sz val="9"/>
            <color indexed="81"/>
            <rFont val="Tahoma"/>
            <family val="2"/>
          </rPr>
          <t xml:space="preserve">
marketing budget</t>
        </r>
      </text>
    </comment>
    <comment ref="BB30" authorId="0" shapeId="0">
      <text>
        <r>
          <rPr>
            <b/>
            <sz val="9"/>
            <color indexed="81"/>
            <rFont val="Tahoma"/>
            <family val="2"/>
          </rPr>
          <t>Senior Accountant:</t>
        </r>
        <r>
          <rPr>
            <sz val="9"/>
            <color indexed="81"/>
            <rFont val="Tahoma"/>
            <family val="2"/>
          </rPr>
          <t xml:space="preserve">
marketing budget</t>
        </r>
      </text>
    </comment>
    <comment ref="BB40" authorId="0" shapeId="0">
      <text>
        <r>
          <rPr>
            <b/>
            <sz val="9"/>
            <color indexed="81"/>
            <rFont val="Tahoma"/>
            <family val="2"/>
          </rPr>
          <t>Senior Accountant:</t>
        </r>
        <r>
          <rPr>
            <sz val="9"/>
            <color indexed="81"/>
            <rFont val="Tahoma"/>
            <family val="2"/>
          </rPr>
          <t xml:space="preserve">
Marketing </t>
        </r>
      </text>
    </comment>
    <comment ref="BB47" authorId="0" shapeId="0">
      <text>
        <r>
          <rPr>
            <b/>
            <sz val="9"/>
            <color indexed="81"/>
            <rFont val="Tahoma"/>
            <family val="2"/>
          </rPr>
          <t>Senior Accountant:</t>
        </r>
        <r>
          <rPr>
            <sz val="9"/>
            <color indexed="81"/>
            <rFont val="Tahoma"/>
            <family val="2"/>
          </rPr>
          <t xml:space="preserve">
Marketing</t>
        </r>
      </text>
    </comment>
    <comment ref="BB54" authorId="0" shapeId="0">
      <text>
        <r>
          <rPr>
            <b/>
            <sz val="9"/>
            <color indexed="81"/>
            <rFont val="Tahoma"/>
            <family val="2"/>
          </rPr>
          <t>Senior Accountant:</t>
        </r>
        <r>
          <rPr>
            <sz val="9"/>
            <color indexed="81"/>
            <rFont val="Tahoma"/>
            <family val="2"/>
          </rPr>
          <t xml:space="preserve">
Marketing</t>
        </r>
      </text>
    </comment>
    <comment ref="BB81" authorId="0" shapeId="0">
      <text>
        <r>
          <rPr>
            <b/>
            <sz val="9"/>
            <color indexed="81"/>
            <rFont val="Tahoma"/>
            <family val="2"/>
          </rPr>
          <t>Senior Accountant:</t>
        </r>
        <r>
          <rPr>
            <sz val="9"/>
            <color indexed="81"/>
            <rFont val="Tahoma"/>
            <family val="2"/>
          </rPr>
          <t xml:space="preserve">
marketing</t>
        </r>
      </text>
    </comment>
    <comment ref="BB128" authorId="1" shapeId="0">
      <text>
        <r>
          <rPr>
            <b/>
            <sz val="9"/>
            <color indexed="81"/>
            <rFont val="Tahoma"/>
            <family val="2"/>
          </rPr>
          <t>Nyash:</t>
        </r>
        <r>
          <rPr>
            <sz val="9"/>
            <color indexed="81"/>
            <rFont val="Tahoma"/>
            <family val="2"/>
          </rPr>
          <t xml:space="preserve">
Ksh. 3,918 for a ustomer pulling from a 32mm at a distance of 11 Meters</t>
        </r>
      </text>
    </comment>
  </commentList>
</comments>
</file>

<file path=xl/sharedStrings.xml><?xml version="1.0" encoding="utf-8"?>
<sst xmlns="http://schemas.openxmlformats.org/spreadsheetml/2006/main" count="6331" uniqueCount="541">
  <si>
    <t>Total</t>
  </si>
  <si>
    <t>Actual</t>
  </si>
  <si>
    <t>Ksh</t>
  </si>
  <si>
    <t>CUMULATIVE</t>
  </si>
  <si>
    <t>KPI</t>
  </si>
  <si>
    <t>l</t>
  </si>
  <si>
    <t>Comments</t>
  </si>
  <si>
    <t>Difference</t>
  </si>
  <si>
    <t>MONTHLY</t>
  </si>
  <si>
    <t>Actual month:</t>
  </si>
  <si>
    <t>General</t>
  </si>
  <si>
    <t>Actual month</t>
  </si>
  <si>
    <t>Actions</t>
  </si>
  <si>
    <t>Unit</t>
  </si>
  <si>
    <t>Percentage volume sewerage of water</t>
  </si>
  <si>
    <t>Monthly</t>
  </si>
  <si>
    <t>Cumulative</t>
  </si>
  <si>
    <t>Target</t>
  </si>
  <si>
    <t>details</t>
  </si>
  <si>
    <t>Dashboard</t>
  </si>
  <si>
    <t>% real.</t>
  </si>
  <si>
    <t>H</t>
  </si>
  <si>
    <t>actual</t>
  </si>
  <si>
    <t>target</t>
  </si>
  <si>
    <t>v</t>
  </si>
  <si>
    <t>cumluative</t>
  </si>
  <si>
    <t>monthly</t>
  </si>
  <si>
    <t>Ksh.</t>
  </si>
  <si>
    <t>MONTH</t>
  </si>
  <si>
    <t>UNIT</t>
  </si>
  <si>
    <t>JUL</t>
  </si>
  <si>
    <t>AUG</t>
  </si>
  <si>
    <t>SEP</t>
  </si>
  <si>
    <t>OCT</t>
  </si>
  <si>
    <t>NOV</t>
  </si>
  <si>
    <t>DEC</t>
  </si>
  <si>
    <t>JAN</t>
  </si>
  <si>
    <t>FEB</t>
  </si>
  <si>
    <t>MAR</t>
  </si>
  <si>
    <t>APR</t>
  </si>
  <si>
    <t>MAY</t>
  </si>
  <si>
    <t>JUN</t>
  </si>
  <si>
    <t>Actual 2021-22</t>
  </si>
  <si>
    <t>Realisation</t>
  </si>
  <si>
    <t>NEW CONNECTIONS WATER</t>
  </si>
  <si>
    <t>NEW CONNECTIONS SEWER</t>
  </si>
  <si>
    <t>TOTAL BILLING IN M3 - WATER</t>
  </si>
  <si>
    <t>TOTAL BILLING IN KSH - WATER</t>
  </si>
  <si>
    <t>AVG TARIFF- WATER KSH/M3</t>
  </si>
  <si>
    <t>TOTAL SALES SEWER - KSH.</t>
  </si>
  <si>
    <t>TOTAL EXHAUSTER SALES</t>
  </si>
  <si>
    <t>CBD - NEW WATER</t>
  </si>
  <si>
    <t>CCCR- NEW WATER</t>
  </si>
  <si>
    <t>KABATI- NEW WATER</t>
  </si>
  <si>
    <t>SITE- NEW WATER</t>
  </si>
  <si>
    <t>KIHOTO- NEW WATER</t>
  </si>
  <si>
    <t>HELLSGATE- NEW WATER</t>
  </si>
  <si>
    <t>KAMERE- NEW WATER</t>
  </si>
  <si>
    <t>KAYOLE- NEW WATER</t>
  </si>
  <si>
    <t>LAKEVIEW- NEW WATER</t>
  </si>
  <si>
    <t>MAI-MAHIU- NEW WATER</t>
  </si>
  <si>
    <t>CBD- NEW SEWER</t>
  </si>
  <si>
    <t>CCCR- NEW SEWER</t>
  </si>
  <si>
    <t>KABATI- NEW SEWER</t>
  </si>
  <si>
    <t>SITE- NEW SEWER</t>
  </si>
  <si>
    <t>KIHOTO- NEW SEWER</t>
  </si>
  <si>
    <t>HELLSGATE- NEW SEWER</t>
  </si>
  <si>
    <t>KAMERE- NEW SEWER</t>
  </si>
  <si>
    <t>KAYOLE- NEW SEWER</t>
  </si>
  <si>
    <t>LAKEVIEW- NEW SEWER</t>
  </si>
  <si>
    <t>MAI-MAHIU- NEW SEWER</t>
  </si>
  <si>
    <t>No.</t>
  </si>
  <si>
    <t>CBD - WATER(M3)</t>
  </si>
  <si>
    <t>CCCR - WATER(M3)</t>
  </si>
  <si>
    <t>KABATI - WATER(M3)</t>
  </si>
  <si>
    <t>SITE - WATER(M3)</t>
  </si>
  <si>
    <t>KIHOTO - WATER(M3)</t>
  </si>
  <si>
    <t>HELLSGATE - WATER(M3)</t>
  </si>
  <si>
    <t>KAMERE - WATER(M3)</t>
  </si>
  <si>
    <t>KAYOLE - WATER(M3)</t>
  </si>
  <si>
    <t>LAKEVIEW - WATER(M3)</t>
  </si>
  <si>
    <t>MAI-MAHIU - WATER(M3)</t>
  </si>
  <si>
    <t>CBD - WATER(KES)</t>
  </si>
  <si>
    <t>M3</t>
  </si>
  <si>
    <t>CCCR - WATER(KES)</t>
  </si>
  <si>
    <t>KABATI - WATER(KES)</t>
  </si>
  <si>
    <t>SITE - WATER(KES)</t>
  </si>
  <si>
    <t>KIHOTO - WATER(KES)</t>
  </si>
  <si>
    <t>HELLSGATE - WATER(KES)</t>
  </si>
  <si>
    <t>KAMERE - WATER(KES)</t>
  </si>
  <si>
    <t>KAYOLE - WATER(KES)</t>
  </si>
  <si>
    <t>LAKEVIEW - WATER(KES)</t>
  </si>
  <si>
    <t>MAI-MAHIU - WATER(KES)</t>
  </si>
  <si>
    <t>CBD - KSH/M3</t>
  </si>
  <si>
    <t>CCCR - KSH/M3</t>
  </si>
  <si>
    <t>KABATI - KSH/M3</t>
  </si>
  <si>
    <t>SITE - KSH/M3</t>
  </si>
  <si>
    <t>KIHOTO - KSH/M3</t>
  </si>
  <si>
    <t>HELLSGATE - KSH/M3</t>
  </si>
  <si>
    <t>KAMERE - KSH/M3</t>
  </si>
  <si>
    <t>KAYOLE - KSH/M3</t>
  </si>
  <si>
    <t>LAKEVIEW - KSH/M3</t>
  </si>
  <si>
    <t>MAI-MAHIU - KSH/M3</t>
  </si>
  <si>
    <t>CBD - SEWER(KES)</t>
  </si>
  <si>
    <t>CCCR- SEWER(KES)</t>
  </si>
  <si>
    <t>KABATI- SEWER(KES)</t>
  </si>
  <si>
    <t>SITE- SEWER(KES)</t>
  </si>
  <si>
    <t>KIHOTO- SEWER(KES)</t>
  </si>
  <si>
    <t>HELLSGATE- SEWER(KES)</t>
  </si>
  <si>
    <t>KAMERE- SEWER(KES)</t>
  </si>
  <si>
    <t>KAYOLE- SEWER(KES)</t>
  </si>
  <si>
    <t>LAKEVIEW- SEWER(KES)</t>
  </si>
  <si>
    <t>MAI-MAHIU- SEWER(KES)</t>
  </si>
  <si>
    <t>CBD- EXHAUSTER SALES</t>
  </si>
  <si>
    <t>CCCR- EXHAUSTER SALES</t>
  </si>
  <si>
    <t>KABATI- EXHAUSTER SALES</t>
  </si>
  <si>
    <t>SITE- EXHAUSTER SALES</t>
  </si>
  <si>
    <t>KIHOTO- EXHAUSTER SALES</t>
  </si>
  <si>
    <t>HELLSGATE- EXHAUSTER SALES</t>
  </si>
  <si>
    <t>KAMERE- EXHAUSTER SALES</t>
  </si>
  <si>
    <t>KAYOLE- EXHAUSTER SALES</t>
  </si>
  <si>
    <t>LAKEVIEW- EXHAUSTER SALES</t>
  </si>
  <si>
    <t>Ksh/M3</t>
  </si>
  <si>
    <t>TOTAL ACTIVE CONNECTIONS-WATER</t>
  </si>
  <si>
    <t>TOTAL ACTIVE CONNECTIONS-SEWER</t>
  </si>
  <si>
    <t>CBD- ACTIVE WATER</t>
  </si>
  <si>
    <t>CCCR- ACTIVE WATER</t>
  </si>
  <si>
    <t>KABATI- ACTIVE WATER</t>
  </si>
  <si>
    <t>SITE- ACTIVE WATER</t>
  </si>
  <si>
    <t>KIHOTO-ACTIVE WATER</t>
  </si>
  <si>
    <t>HELLSGATE- ACTIVE WATER</t>
  </si>
  <si>
    <t>KAMERE- ACTIVE WATER</t>
  </si>
  <si>
    <t>KAYOLE- ACTIVE WATER</t>
  </si>
  <si>
    <t>LAKEVIEW- ACTIVE WATER</t>
  </si>
  <si>
    <t>MAI-MAHIU- ACTIVE WATER</t>
  </si>
  <si>
    <t>CBD- ACTIVE SEWER</t>
  </si>
  <si>
    <t>CCCR- ACTIVE SEWER</t>
  </si>
  <si>
    <t>KABATI- ACTIVE SEWER</t>
  </si>
  <si>
    <t>SITE- ACTIVE SEWER</t>
  </si>
  <si>
    <t>KIHOTO- ACTIVE SEWER</t>
  </si>
  <si>
    <t>HELLSGATE- ACTIVE SEWER</t>
  </si>
  <si>
    <t>KAMERE- ACTIVE SEWER</t>
  </si>
  <si>
    <t>KAYOLE- ACTIVE SEWER</t>
  </si>
  <si>
    <t>LAKEVIEW- ACTIVE SEWER</t>
  </si>
  <si>
    <t>MAI-MAHIU- ACTIVE SEWER</t>
  </si>
  <si>
    <t>TOTAL CONNECTIONS-WATER</t>
  </si>
  <si>
    <t>CBD-  WATER</t>
  </si>
  <si>
    <t>CCCR-  WATER</t>
  </si>
  <si>
    <t>KABATI- WATER</t>
  </si>
  <si>
    <t>SITE- WATER</t>
  </si>
  <si>
    <t>KIHOTO- WATER</t>
  </si>
  <si>
    <t>HELLSGATE-  WATER</t>
  </si>
  <si>
    <t>KAMERE- WATER</t>
  </si>
  <si>
    <t>KAYOLE-WATER</t>
  </si>
  <si>
    <t>LAKEVIEW- WATER</t>
  </si>
  <si>
    <t>MAI-MAHIU- WATER</t>
  </si>
  <si>
    <t>TOTAL  CONNECTIONS-SEWER</t>
  </si>
  <si>
    <t>CBD- SEWER</t>
  </si>
  <si>
    <t>CCCR-SEWER</t>
  </si>
  <si>
    <t>KABATI-SEWER</t>
  </si>
  <si>
    <t>SITE- SEWER</t>
  </si>
  <si>
    <t>KIHOTO- SEWER</t>
  </si>
  <si>
    <t>HELLSGATE-SEWER</t>
  </si>
  <si>
    <t>KAMERE-  SEWER</t>
  </si>
  <si>
    <t>KAYOLE-SEWER</t>
  </si>
  <si>
    <t>LAKEVIEW- SEWER</t>
  </si>
  <si>
    <t>MAI-MAHIU-SEWER</t>
  </si>
  <si>
    <t>TOTAL WATER CONNECTIONS</t>
  </si>
  <si>
    <t xml:space="preserve">TOTAL SEWER CONNECTIONS </t>
  </si>
  <si>
    <t>TOTAL ACTIVE WATER CONNECTIONS</t>
  </si>
  <si>
    <t>TOTAL SEWER ACTIVE CONNECTIONS</t>
  </si>
  <si>
    <t>% ACTIVE CONNECTIONS</t>
  </si>
  <si>
    <t>SUMMARY CONNECTIONS</t>
  </si>
  <si>
    <t>SUMMARY SALES</t>
  </si>
  <si>
    <t>TOTAL VOLUME BILLED</t>
  </si>
  <si>
    <t>TOTAL SEWER SALES</t>
  </si>
  <si>
    <t>AVG TARIFF WATER (KSH/M3)</t>
  </si>
  <si>
    <t>AVG TARIFF SEWER (KSH/NO.)</t>
  </si>
  <si>
    <t>ksh/No</t>
  </si>
  <si>
    <t>SUMMARY EXHAUSTER SALES</t>
  </si>
  <si>
    <t>EXHAUSTER SALES</t>
  </si>
  <si>
    <t>TOTAL WATER SALES</t>
  </si>
  <si>
    <t>SALES &amp; CC DASHBOARD</t>
  </si>
  <si>
    <t>OTHER- EXHAUSTER SALES</t>
  </si>
  <si>
    <t>`</t>
  </si>
  <si>
    <t>NO. COMPLAINTS BOOKED</t>
  </si>
  <si>
    <t>NO. COMPLAINTS SOLVED</t>
  </si>
  <si>
    <t>% RESOLUTION</t>
  </si>
  <si>
    <t xml:space="preserve">COMPLAINTS </t>
  </si>
  <si>
    <t>METER READING EFFICIENCY</t>
  </si>
  <si>
    <t>AVG METERS READ PER METER READER</t>
  </si>
  <si>
    <t>NO DAYS TAKEN METER READING DTI</t>
  </si>
  <si>
    <t>NO DAYS TAKEN METER READING KARATI</t>
  </si>
  <si>
    <t>%</t>
  </si>
  <si>
    <t>L</t>
  </si>
  <si>
    <t>Budget 2022-23</t>
  </si>
  <si>
    <t>Actual 2022-23</t>
  </si>
  <si>
    <t>EASTERN REGION</t>
  </si>
  <si>
    <t>SOUTHERN REGION</t>
  </si>
  <si>
    <t>TOTALWATER CONNECTION CENTRAL REGION</t>
  </si>
  <si>
    <t>TOTAL WATER CONNECTION SOUTHERN REGION</t>
  </si>
  <si>
    <t>TOTAL SEWER CONNECTION CENTRAL REGION</t>
  </si>
  <si>
    <t>TOTAL SEWER CONNECTION SOUTHERNREGION</t>
  </si>
  <si>
    <t>TOTAL ACTIVE WATER CONNECTION CENTRAL REGION</t>
  </si>
  <si>
    <t>TOTAL ACTIVE WATER CONNECTION SOUTHERN REGION</t>
  </si>
  <si>
    <t>TOTAL ACTIVE SEWER CONNECTION CENTRAL REGION</t>
  </si>
  <si>
    <t>TOTAL ACTIVE SEWER CONNECTION SOUTHERN REGION</t>
  </si>
  <si>
    <t>TOTAL  - WATER(M3) CENTRAL REGION</t>
  </si>
  <si>
    <t>TOTAL  WATER(M3) SOUTHERN REGION</t>
  </si>
  <si>
    <t>TOTAL - WATER(KES)CENTRAL REGION</t>
  </si>
  <si>
    <t>TOTAL  - WATER(KES) SOUTHERN REGION</t>
  </si>
  <si>
    <t xml:space="preserve"> - KSH/M3 CENTRAL REGION</t>
  </si>
  <si>
    <t xml:space="preserve"> - KSH/M3 SOUTHERN REGION</t>
  </si>
  <si>
    <t>TOTAL SEWER SALES-CENTRAL</t>
  </si>
  <si>
    <t>TOTAL SEWER SALES-SOUTHERN</t>
  </si>
  <si>
    <t>TOTAL EXHAUSTER SALES-CENTRAL</t>
  </si>
  <si>
    <t>TOTAL EXHAUSTER SALES-SOUTHERN</t>
  </si>
  <si>
    <t>TOTAL NEW S CONNECTION SOUTHERN REGION</t>
  </si>
  <si>
    <t>TOTAL NEW CONNECTIONS WATER</t>
  </si>
  <si>
    <t>TOTAL NEW CONNECTIONS -SEWER</t>
  </si>
  <si>
    <t>Budget 2023-24</t>
  </si>
  <si>
    <t>Actual 2023-24</t>
  </si>
  <si>
    <t>x</t>
  </si>
  <si>
    <t>y</t>
  </si>
  <si>
    <t>TOTAL NEW CONNECTION WATER</t>
  </si>
  <si>
    <t>TOTAL NEW CONNECTIONS SEWER</t>
  </si>
  <si>
    <t>TOTAL WATER &amp; SEWER SALES</t>
  </si>
  <si>
    <t xml:space="preserve">Prepared by: </t>
  </si>
  <si>
    <t>NAIVAWASCO</t>
  </si>
  <si>
    <t>Naomi Wanjiru</t>
  </si>
  <si>
    <t>MARKETING PLAN (QUARTERLY)</t>
  </si>
  <si>
    <t>In order to fully implement both the marketing and the sales plan, the section needs more staff</t>
  </si>
  <si>
    <t>AREA</t>
  </si>
  <si>
    <t>TARGET</t>
  </si>
  <si>
    <t>STRATEGY</t>
  </si>
  <si>
    <t>BUDGET</t>
  </si>
  <si>
    <t>TIMELINE</t>
  </si>
  <si>
    <t>LEVEL OF IMPLEMENTATION</t>
  </si>
  <si>
    <t>REMARKS</t>
  </si>
  <si>
    <t>Ihindu Marketing and target</t>
  </si>
  <si>
    <t>·   Door to door marketing,</t>
  </si>
  <si>
    <t>July-September 2024</t>
  </si>
  <si>
    <t xml:space="preserve">·   Conduct water clinic. </t>
  </si>
  <si>
    <t>·   Follow up with customers via phone</t>
  </si>
  <si>
    <t>Airtime -1,000</t>
  </si>
  <si>
    <t>·  Social marketer</t>
  </si>
  <si>
    <t>200 per connection</t>
  </si>
  <si>
    <t>·  Use of communication materials</t>
  </si>
  <si>
    <t>·    Use of point man</t>
  </si>
  <si>
    <t>Kayole Sewer Marketing</t>
  </si>
  <si>
    <t>·   Door to door marketing</t>
  </si>
  <si>
    <t>·   Call customers on phone for follow up (customers with water connection</t>
  </si>
  <si>
    <t>·   PHO enforcement on customers reluctant to apply</t>
  </si>
  <si>
    <t>·   Hold water clinic in the target areas</t>
  </si>
  <si>
    <t>Ngondi</t>
  </si>
  <si>
    <t>·   Hold water clinic</t>
  </si>
  <si>
    <t>Water clinic-29,250</t>
  </si>
  <si>
    <t xml:space="preserve">·   Hold a community meeting </t>
  </si>
  <si>
    <t>Refreshments-50*100=5,000</t>
  </si>
  <si>
    <t>Hiring of hall- 5,000</t>
  </si>
  <si>
    <t>Karima, Rare and Kamucira</t>
  </si>
  <si>
    <t>July-August 2024</t>
  </si>
  <si>
    <t xml:space="preserve">·   Hold water clinic </t>
  </si>
  <si>
    <t>·   Follow up by calling customers</t>
  </si>
  <si>
    <t>·   Social marketers</t>
  </si>
  <si>
    <t>·   Use of point man</t>
  </si>
  <si>
    <t>Kedong (Wachira line)</t>
  </si>
  <si>
    <t>Rwanyaga</t>
  </si>
  <si>
    <t>August - September 2024</t>
  </si>
  <si>
    <t>·   Follow up with customers on pending payment and NAWC</t>
  </si>
  <si>
    <t>Kabati sewer connection</t>
  </si>
  <si>
    <t>·   Hold a community meeting</t>
  </si>
  <si>
    <t>Kinungi</t>
  </si>
  <si>
    <t>·   Use of Point man</t>
  </si>
  <si>
    <t>Canaan</t>
  </si>
  <si>
    <t>Refreshments-50*100=5000</t>
  </si>
  <si>
    <t>·   Social marketer</t>
  </si>
  <si>
    <t>Kambi</t>
  </si>
  <si>
    <t>·   Follow up with customers on calls</t>
  </si>
  <si>
    <t>Airtime-1,000</t>
  </si>
  <si>
    <t>Duration/Time required to complete a  task/step and activity  in days</t>
  </si>
  <si>
    <t>person Responsible</t>
  </si>
  <si>
    <t>External support needed</t>
  </si>
  <si>
    <t xml:space="preserve">SALES SECTION </t>
  </si>
  <si>
    <t>W1</t>
  </si>
  <si>
    <t>W2</t>
  </si>
  <si>
    <t>W3</t>
  </si>
  <si>
    <t>W4</t>
  </si>
  <si>
    <t>Annual Targets</t>
  </si>
  <si>
    <t>ACTIVITIES</t>
  </si>
  <si>
    <t>INCREASE SALES</t>
  </si>
  <si>
    <t>SALES S.</t>
  </si>
  <si>
    <t>INCREASE SALES IN EASTERN REGION</t>
  </si>
  <si>
    <t>Water Extensions: Laketown(Bridge), Jumbo Estate, Solomon extension, Signture lane 2 &amp; 7</t>
  </si>
  <si>
    <t>Assessment done</t>
  </si>
  <si>
    <t>Sales Supervisor</t>
  </si>
  <si>
    <t>Designing and  Development of BoQs</t>
  </si>
  <si>
    <t>Projects</t>
  </si>
  <si>
    <t xml:space="preserve">Approval for Extensions </t>
  </si>
  <si>
    <t>DSM</t>
  </si>
  <si>
    <t>Implementation</t>
  </si>
  <si>
    <t>Zonal Officer</t>
  </si>
  <si>
    <t>Customer registration &amp; connection</t>
  </si>
  <si>
    <t>Analysis of the inactive accounts</t>
  </si>
  <si>
    <t>(156)19.67%</t>
  </si>
  <si>
    <t>Increase in sewer connections</t>
  </si>
  <si>
    <t xml:space="preserve">Sales Supervisor </t>
  </si>
  <si>
    <t>INCREASE SALES IN SOUTHERN REGION</t>
  </si>
  <si>
    <t xml:space="preserve">Extensions: Dam1, Transit 1, 2 &amp; 3, Silvester, Kedon( Kwa-Ngombe), Sanctuary,Part Island, Shalom &amp; Musaka, Ngondi </t>
  </si>
  <si>
    <t xml:space="preserve">Assesment done </t>
  </si>
  <si>
    <t>Projects Engineer</t>
  </si>
  <si>
    <t>Sales Supervisor(Social Marketer)</t>
  </si>
  <si>
    <t>(793)22.76%</t>
  </si>
  <si>
    <t>Increase water connections in Maai-Mahiu WFL</t>
  </si>
  <si>
    <t>INCREASE SALES IN CENTRAL  REGION</t>
  </si>
  <si>
    <t xml:space="preserve">Extensions: Kihoto-Line 1 ,2, 7  &amp; 8  Ziwa Drive,Catholic,Maziwa,Mulika Mwizi, and =ndegwa lane; Manera 1,2&amp; 3, Banda line 1 and : ; Prison extension  </t>
  </si>
  <si>
    <t xml:space="preserve">Assessment Done </t>
  </si>
  <si>
    <t>(1,160)15.98%</t>
  </si>
  <si>
    <t>Sales  Supervisor</t>
  </si>
  <si>
    <t>NEW PROJECT AREAS</t>
  </si>
  <si>
    <t xml:space="preserve">KINUNGI </t>
  </si>
  <si>
    <t>Community meeting</t>
  </si>
  <si>
    <t>SSS</t>
  </si>
  <si>
    <t>prioritization of extension</t>
  </si>
  <si>
    <t xml:space="preserve">Implementation </t>
  </si>
  <si>
    <t>Registration</t>
  </si>
  <si>
    <t>Customer connection</t>
  </si>
  <si>
    <t>GOVERNOR</t>
  </si>
  <si>
    <t>Commnity meeting</t>
  </si>
  <si>
    <t>MAI MAHIU</t>
  </si>
  <si>
    <t>County funding</t>
  </si>
  <si>
    <t>Baseline Assessment</t>
  </si>
  <si>
    <t xml:space="preserve">implementation </t>
  </si>
  <si>
    <t>TM</t>
  </si>
  <si>
    <t>project funded</t>
  </si>
  <si>
    <t xml:space="preserve">KABATI SEWER </t>
  </si>
  <si>
    <t>done</t>
  </si>
  <si>
    <t>Project funded</t>
  </si>
  <si>
    <t>wsup</t>
  </si>
  <si>
    <t>WSUP/TM</t>
  </si>
  <si>
    <t>SUBERICO SEWER</t>
  </si>
  <si>
    <t>Sales supervisor</t>
  </si>
  <si>
    <t>CUSTOMER ENGAGEMENT</t>
  </si>
  <si>
    <t>CUSTOMER CARE S.</t>
  </si>
  <si>
    <t>COMPLAINTS MANAGEMENT</t>
  </si>
  <si>
    <t>Complaint booking</t>
  </si>
  <si>
    <t>Customer Care Assistants</t>
  </si>
  <si>
    <t>Complaint Follow Up for Resolution</t>
  </si>
  <si>
    <t>New Connection processing &amp; approval</t>
  </si>
  <si>
    <t>Adjustment Preparation</t>
  </si>
  <si>
    <t>Customer Care supervisor</t>
  </si>
  <si>
    <t>Adjustment</t>
  </si>
  <si>
    <t>Finance</t>
  </si>
  <si>
    <t>CUSTOMER SERVICE WEEK</t>
  </si>
  <si>
    <t>Communication to Customers</t>
  </si>
  <si>
    <t>Office decoration</t>
  </si>
  <si>
    <t>Rewarding loyal customers - NAIVAWASco notebook</t>
  </si>
  <si>
    <t>Cake Cutting</t>
  </si>
  <si>
    <t>WATER CLINIC</t>
  </si>
  <si>
    <t>Development of communication materials</t>
  </si>
  <si>
    <t>Water Clinics - CBD/CCCR</t>
  </si>
  <si>
    <t>Water Clinics - Lakeview/Guestinn</t>
  </si>
  <si>
    <t>Water Clinics - Kabati/Site</t>
  </si>
  <si>
    <t>Water Clinics - Longonot</t>
  </si>
  <si>
    <t>Water Clinics-Hellsgate</t>
  </si>
  <si>
    <t>Open Clinics-KAYOLE</t>
  </si>
  <si>
    <t>Water Clinics-MAI-MAHIU</t>
  </si>
  <si>
    <t>Water Clinics-Ngondi</t>
  </si>
  <si>
    <t>Water Clinics-Hopewell</t>
  </si>
  <si>
    <t>Water Clinics-Kihoto</t>
  </si>
  <si>
    <t>Water Clinics-Ihindu</t>
  </si>
  <si>
    <t>Open Clinic-KINUNGI</t>
  </si>
  <si>
    <t>METER READING</t>
  </si>
  <si>
    <t>METER READING S.</t>
  </si>
  <si>
    <t>EASTERN  REGION MR</t>
  </si>
  <si>
    <t>Meter readers</t>
  </si>
  <si>
    <t>SOUTHERN REGION MR</t>
  </si>
  <si>
    <t>CENTRAL REGION MR</t>
  </si>
  <si>
    <t>Meter Reading Approval</t>
  </si>
  <si>
    <t>SCCS &amp; BA</t>
  </si>
  <si>
    <t>Addition of a Meter Reader</t>
  </si>
  <si>
    <t>CAPACITY BUILDING</t>
  </si>
  <si>
    <t>Customer Care Section</t>
  </si>
  <si>
    <t xml:space="preserve">Customer service </t>
  </si>
  <si>
    <t>HRO/WSUP</t>
  </si>
  <si>
    <t>Refresher on Procedures</t>
  </si>
  <si>
    <t>SCCS</t>
  </si>
  <si>
    <t>Effective communication.</t>
  </si>
  <si>
    <t>Customer engagement and campaign management.</t>
  </si>
  <si>
    <t>How to handle difficult customers.</t>
  </si>
  <si>
    <t>The cost of poor customer service.</t>
  </si>
  <si>
    <t>Telephone Etiquette &amp; Call Centre Training</t>
  </si>
  <si>
    <t>Sales &amp; Marketing Section</t>
  </si>
  <si>
    <t>Meter Reading Section</t>
  </si>
  <si>
    <t>HRO</t>
  </si>
  <si>
    <t>Customer SERVICE  Skills</t>
  </si>
  <si>
    <t>Refresher on meter types and contemporaly technology</t>
  </si>
  <si>
    <t>CUSTOMER CONNECTION</t>
  </si>
  <si>
    <t>Purchase of Water Meters</t>
  </si>
  <si>
    <t>P.O</t>
  </si>
  <si>
    <t>Purchase of connection Materials-Revolving fund</t>
  </si>
  <si>
    <t>BRANDING</t>
  </si>
  <si>
    <t>HeadOffice SignBoard</t>
  </si>
  <si>
    <t>Mainteinance</t>
  </si>
  <si>
    <t>Customer Care Face Animation</t>
  </si>
  <si>
    <t xml:space="preserve">Suggestion Box </t>
  </si>
  <si>
    <t>maintenance</t>
  </si>
  <si>
    <t>ITEMS</t>
  </si>
  <si>
    <t xml:space="preserve">Stationeries </t>
  </si>
  <si>
    <t>Printing papers</t>
  </si>
  <si>
    <t>PROC</t>
  </si>
  <si>
    <t>Pens</t>
  </si>
  <si>
    <t>Envelopes</t>
  </si>
  <si>
    <t>Customer care Printer</t>
  </si>
  <si>
    <t>ICT</t>
  </si>
  <si>
    <t>Upgrade of customer care phone</t>
  </si>
  <si>
    <t xml:space="preserve">Meter Reading </t>
  </si>
  <si>
    <t>Meter reading phone</t>
  </si>
  <si>
    <t xml:space="preserve">Total </t>
  </si>
  <si>
    <t>KSH.</t>
  </si>
  <si>
    <t>Meters Read</t>
  </si>
  <si>
    <t>BILLING EFFICIENCY</t>
  </si>
  <si>
    <t>Billing Efficiency (%)</t>
  </si>
  <si>
    <t>Meter Reading Efficiency (%)</t>
  </si>
  <si>
    <t>Actual 2024-25</t>
  </si>
  <si>
    <t>METER READING TAT</t>
  </si>
  <si>
    <t>Eastern</t>
  </si>
  <si>
    <t>Southern</t>
  </si>
  <si>
    <t>Lakeview</t>
  </si>
  <si>
    <t>Central</t>
  </si>
  <si>
    <t>Date</t>
  </si>
  <si>
    <t>1st-5th</t>
  </si>
  <si>
    <t xml:space="preserve">7th-13th </t>
  </si>
  <si>
    <t>15th-17th</t>
  </si>
  <si>
    <t>18th-28th</t>
  </si>
  <si>
    <t>1st - 6th</t>
  </si>
  <si>
    <t>8th - 13th</t>
  </si>
  <si>
    <t>15th - 18th</t>
  </si>
  <si>
    <t>18th - 26th</t>
  </si>
  <si>
    <t>No. of Active accounts W,W&amp;S &amp;S</t>
  </si>
  <si>
    <t xml:space="preserve">Pending project completion </t>
  </si>
  <si>
    <t>Pending phase 2 clinics</t>
  </si>
  <si>
    <t>300 per connection</t>
  </si>
  <si>
    <t>HOPEWELL- NEW WATER</t>
  </si>
  <si>
    <t>HOPEWELL- NEW SEWER</t>
  </si>
  <si>
    <t>HOPEWELL- WATER</t>
  </si>
  <si>
    <t>HOPEWELL- SEWER</t>
  </si>
  <si>
    <t>HOPEWELL- ACTIVE WATER</t>
  </si>
  <si>
    <t>HOPEWELL- ACTIVE SEWER</t>
  </si>
  <si>
    <t>HOPEWELL - WATER(M3)</t>
  </si>
  <si>
    <t>HOPEWELL - WATER(KES)</t>
  </si>
  <si>
    <t>HOPEWELL - KSH/M3</t>
  </si>
  <si>
    <t>HOPEWELL- SEWER(KES)</t>
  </si>
  <si>
    <t>LONGONOT- NEW WATER</t>
  </si>
  <si>
    <t>LONGONOT- WATER</t>
  </si>
  <si>
    <t>LONGONOT- ACTIVE WATER</t>
  </si>
  <si>
    <t>LONGONOT - WATER(M3)</t>
  </si>
  <si>
    <t>LONGONOT - WATER(KES)</t>
  </si>
  <si>
    <t>LONGONOT - KSH/M3</t>
  </si>
  <si>
    <t>1st - 8th</t>
  </si>
  <si>
    <t>8th - 16th</t>
  </si>
  <si>
    <t>15th - 21st</t>
  </si>
  <si>
    <t>21st - 29th</t>
  </si>
  <si>
    <t>2nd - 7th</t>
  </si>
  <si>
    <t>9th - 14th</t>
  </si>
  <si>
    <t>16th - 18th</t>
  </si>
  <si>
    <t>19th - 25th</t>
  </si>
  <si>
    <t>1st - 7th</t>
  </si>
  <si>
    <t>7th - 12th</t>
  </si>
  <si>
    <t>15th - 17th</t>
  </si>
  <si>
    <t>Accounts Billed</t>
  </si>
  <si>
    <t>4th - 8th</t>
  </si>
  <si>
    <t>11th - 18th</t>
  </si>
  <si>
    <t xml:space="preserve">15th - 19th </t>
  </si>
  <si>
    <t>20th - 27th</t>
  </si>
  <si>
    <t>1st - 5th</t>
  </si>
  <si>
    <t>5th - 10th</t>
  </si>
  <si>
    <t>10th - 13th</t>
  </si>
  <si>
    <t xml:space="preserve">13th - 18th </t>
  </si>
  <si>
    <t>8th - 15th</t>
  </si>
  <si>
    <t xml:space="preserve">20th - 28th </t>
  </si>
  <si>
    <t>3rd - 6th</t>
  </si>
  <si>
    <t>10th - 15th</t>
  </si>
  <si>
    <t>17th - 19th</t>
  </si>
  <si>
    <t>20th - 26th</t>
  </si>
  <si>
    <t>3rd - 10th</t>
  </si>
  <si>
    <t>11th - 21st</t>
  </si>
  <si>
    <t>21st - 25th</t>
  </si>
  <si>
    <t>25th - 29th</t>
  </si>
  <si>
    <t>22nd - 26th</t>
  </si>
  <si>
    <t>2nd - 8th</t>
  </si>
  <si>
    <t>12th - 19th</t>
  </si>
  <si>
    <t>20th - 21st</t>
  </si>
  <si>
    <t>22nd - 28th</t>
  </si>
  <si>
    <t xml:space="preserve">3rd - 11th </t>
  </si>
  <si>
    <t>19th - 23rd</t>
  </si>
  <si>
    <t>24th - 27th</t>
  </si>
  <si>
    <t>IHINDU- NEW WATER</t>
  </si>
  <si>
    <t>TOTAL NEW W CONNECTION EASTERN REGION</t>
  </si>
  <si>
    <t>IHINDU-WATER</t>
  </si>
  <si>
    <t>TOTAL WATER CONNECTION EASTERN REGION</t>
  </si>
  <si>
    <t>Budget 2025-26</t>
  </si>
  <si>
    <t>Actual 2025-26</t>
  </si>
  <si>
    <t>TOTAL NEW WATER CONNECTION SOUTHERN REGION</t>
  </si>
  <si>
    <t>TOTAL NEW WATER CONNECTIONS CENTRAL REGION</t>
  </si>
  <si>
    <t>TOTAL NEW SEWER CONNECTIONS CENTRAL REGION</t>
  </si>
  <si>
    <t>IHINDU- ACTIVE WATER</t>
  </si>
  <si>
    <t>TOTAL ACTIVE WATER CONNECTION EASTERN REGION</t>
  </si>
  <si>
    <t>IHINDU- WATER(M3)</t>
  </si>
  <si>
    <t>TOTAL  WATER(M3) EASTERN REGION</t>
  </si>
  <si>
    <t>IHINDU- WATER(KES)</t>
  </si>
  <si>
    <t>TOTAL  - WATER(KES) EASTERN REGION</t>
  </si>
  <si>
    <t xml:space="preserve"> - KSH/M3 EASTERN REGION</t>
  </si>
  <si>
    <t>IHINDU - KSH/M3</t>
  </si>
  <si>
    <t>9th - 15th</t>
  </si>
  <si>
    <t>8th - 18th</t>
  </si>
  <si>
    <t>18th - 20th</t>
  </si>
  <si>
    <t>20th - 28th</t>
  </si>
  <si>
    <t>8th - 17th</t>
  </si>
  <si>
    <t>22nd - 29th</t>
  </si>
  <si>
    <t>Sales &amp; Customer Care Superintendent</t>
  </si>
  <si>
    <t>3rd - 13th</t>
  </si>
  <si>
    <t>13th - 21st</t>
  </si>
  <si>
    <t>22nd - 23rd</t>
  </si>
  <si>
    <t>23rd - 30th</t>
  </si>
  <si>
    <t>3rd - 7th</t>
  </si>
  <si>
    <t>10th - 18th</t>
  </si>
  <si>
    <t>19th - 21st</t>
  </si>
  <si>
    <t>21st - 27th</t>
  </si>
  <si>
    <t>1st - 4th</t>
  </si>
  <si>
    <t>5th - 12th</t>
  </si>
  <si>
    <t>12th - 15th</t>
  </si>
  <si>
    <t>13th - 19th</t>
  </si>
  <si>
    <t>5th - 9th</t>
  </si>
  <si>
    <t>9th - 19th</t>
  </si>
  <si>
    <t>19th - 22nd</t>
  </si>
  <si>
    <t>21st - 28th</t>
  </si>
  <si>
    <t>2nd - 6th</t>
  </si>
  <si>
    <t>6th - 25th</t>
  </si>
  <si>
    <t>17th - 18th</t>
  </si>
  <si>
    <t>18th - 27th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</si>
</sst>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5">
    <numFmt numFmtId="43" formatCode="_(* #,##0.00_);_(* \(#,##0.00\);_(* &quot;-&quot;??_);_(@_)"/>
    <numFmt numFmtId="164" formatCode="_-* #,##0.00_-;\-* #,##0.00_-;_-* &quot;-&quot;??_-;_-@_-"/>
    <numFmt numFmtId="165" formatCode="0.0%"/>
    <numFmt numFmtId="166" formatCode="#,##0.0"/>
    <numFmt numFmtId="167" formatCode="_(* #,##0_);_(* \(#,##0\);_(* &quot;-&quot;??_);_(@_)"/>
  </numFmts>
  <fonts count="5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28"/>
      <name val="Wingdings"/>
      <charset val="2"/>
    </font>
    <font>
      <b/>
      <sz val="14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6"/>
      <color theme="1"/>
      <name val="Wingdings"/>
      <charset val="2"/>
    </font>
    <font>
      <u/>
      <sz val="11"/>
      <color theme="10"/>
      <name val="Calibri"/>
      <family val="2"/>
      <scheme val="minor"/>
    </font>
    <font>
      <sz val="11"/>
      <name val="Calibri"/>
      <family val="2"/>
      <scheme val="minor"/>
    </font>
    <font>
      <sz val="9"/>
      <color theme="1"/>
      <name val="Verdana"/>
      <family val="2"/>
    </font>
    <font>
      <sz val="10"/>
      <name val="Arial"/>
      <family val="2"/>
    </font>
    <font>
      <sz val="8"/>
      <name val="Calibri"/>
      <family val="2"/>
      <scheme val="minor"/>
    </font>
    <font>
      <b/>
      <sz val="11"/>
      <color indexed="8"/>
      <name val="Calibri"/>
      <family val="2"/>
      <scheme val="minor"/>
    </font>
    <font>
      <b/>
      <sz val="11"/>
      <name val="Calibri"/>
      <family val="2"/>
      <scheme val="minor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sz val="10"/>
      <color theme="1"/>
      <name val="Calibri"/>
      <family val="2"/>
      <scheme val="minor"/>
    </font>
    <font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name val="Gill Sans MT"/>
      <family val="2"/>
    </font>
    <font>
      <b/>
      <sz val="12"/>
      <color theme="1"/>
      <name val="Calibri"/>
      <family val="2"/>
      <scheme val="minor"/>
    </font>
    <font>
      <sz val="12"/>
      <color theme="1"/>
      <name val="Times New Roman"/>
      <family val="1"/>
    </font>
    <font>
      <b/>
      <sz val="10"/>
      <name val="Gill Sans MT"/>
      <family val="2"/>
    </font>
    <font>
      <b/>
      <sz val="14"/>
      <name val="Gill Sans MT"/>
      <family val="2"/>
    </font>
    <font>
      <b/>
      <sz val="14"/>
      <color indexed="8"/>
      <name val="Gill Sans MT"/>
      <family val="2"/>
    </font>
    <font>
      <b/>
      <i/>
      <sz val="14"/>
      <name val="Gill Sans MT"/>
      <family val="2"/>
    </font>
    <font>
      <b/>
      <sz val="12"/>
      <name val="Gill Sans MT"/>
      <family val="2"/>
    </font>
    <font>
      <b/>
      <sz val="12"/>
      <color indexed="8"/>
      <name val="Gill Sans MT"/>
      <family val="2"/>
    </font>
    <font>
      <b/>
      <i/>
      <sz val="10"/>
      <name val="Gill Sans MT"/>
      <family val="2"/>
    </font>
    <font>
      <b/>
      <i/>
      <sz val="10"/>
      <color indexed="12"/>
      <name val="Gill Sans MT"/>
      <family val="2"/>
    </font>
    <font>
      <sz val="10"/>
      <color indexed="12"/>
      <name val="Gill Sans MT"/>
      <family val="2"/>
    </font>
    <font>
      <sz val="10"/>
      <color rgb="FFFF0000"/>
      <name val="Gill Sans MT"/>
      <family val="2"/>
    </font>
    <font>
      <sz val="12"/>
      <name val="Gill Sans MT"/>
      <family val="2"/>
    </font>
    <font>
      <sz val="14"/>
      <name val="Gill Sans MT"/>
      <family val="2"/>
    </font>
    <font>
      <sz val="10"/>
      <color rgb="FF000000"/>
      <name val="Gill Sans MT"/>
      <family val="2"/>
    </font>
    <font>
      <b/>
      <sz val="10"/>
      <color indexed="12"/>
      <name val="Gill Sans MT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b/>
      <sz val="16"/>
      <color theme="1"/>
      <name val="Wingdings"/>
      <charset val="2"/>
    </font>
    <font>
      <b/>
      <u/>
      <sz val="11"/>
      <color theme="10"/>
      <name val="Calibri"/>
      <family val="2"/>
      <scheme val="minor"/>
    </font>
  </fonts>
  <fills count="45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FFFF0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3" tint="0.39997558519241921"/>
        <bgColor indexed="64"/>
      </patternFill>
    </fill>
  </fills>
  <borders count="57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theme="4" tint="0.39997558519241921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</borders>
  <cellStyleXfs count="49">
    <xf numFmtId="0" fontId="0" fillId="0" borderId="0"/>
    <xf numFmtId="9" fontId="1" fillId="0" borderId="0" applyFont="0" applyFill="0" applyBorder="0" applyAlignment="0" applyProtection="0"/>
    <xf numFmtId="0" fontId="7" fillId="0" borderId="0" applyNumberFormat="0" applyFill="0" applyBorder="0" applyAlignment="0" applyProtection="0"/>
    <xf numFmtId="0" fontId="10" fillId="0" borderId="0"/>
    <xf numFmtId="0" fontId="9" fillId="0" borderId="0"/>
    <xf numFmtId="43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7" fillId="0" borderId="0" applyNumberFormat="0" applyFill="0" applyBorder="0" applyAlignment="0" applyProtection="0"/>
    <xf numFmtId="0" fontId="18" fillId="0" borderId="24" applyNumberFormat="0" applyFill="0" applyAlignment="0" applyProtection="0"/>
    <xf numFmtId="0" fontId="19" fillId="0" borderId="25" applyNumberFormat="0" applyFill="0" applyAlignment="0" applyProtection="0"/>
    <xf numFmtId="0" fontId="20" fillId="0" borderId="26" applyNumberFormat="0" applyFill="0" applyAlignment="0" applyProtection="0"/>
    <xf numFmtId="0" fontId="20" fillId="0" borderId="0" applyNumberFormat="0" applyFill="0" applyBorder="0" applyAlignment="0" applyProtection="0"/>
    <xf numFmtId="0" fontId="21" fillId="7" borderId="0" applyNumberFormat="0" applyBorder="0" applyAlignment="0" applyProtection="0"/>
    <xf numFmtId="0" fontId="22" fillId="8" borderId="0" applyNumberFormat="0" applyBorder="0" applyAlignment="0" applyProtection="0"/>
    <xf numFmtId="0" fontId="23" fillId="9" borderId="0" applyNumberFormat="0" applyBorder="0" applyAlignment="0" applyProtection="0"/>
    <xf numFmtId="0" fontId="24" fillId="10" borderId="27" applyNumberFormat="0" applyAlignment="0" applyProtection="0"/>
    <xf numFmtId="0" fontId="25" fillId="11" borderId="28" applyNumberFormat="0" applyAlignment="0" applyProtection="0"/>
    <xf numFmtId="0" fontId="26" fillId="11" borderId="27" applyNumberFormat="0" applyAlignment="0" applyProtection="0"/>
    <xf numFmtId="0" fontId="27" fillId="0" borderId="29" applyNumberFormat="0" applyFill="0" applyAlignment="0" applyProtection="0"/>
    <xf numFmtId="0" fontId="28" fillId="12" borderId="30" applyNumberFormat="0" applyAlignment="0" applyProtection="0"/>
    <xf numFmtId="0" fontId="29" fillId="0" borderId="0" applyNumberFormat="0" applyFill="0" applyBorder="0" applyAlignment="0" applyProtection="0"/>
    <xf numFmtId="0" fontId="1" fillId="13" borderId="31" applyNumberFormat="0" applyFont="0" applyAlignment="0" applyProtection="0"/>
    <xf numFmtId="0" fontId="30" fillId="0" borderId="0" applyNumberFormat="0" applyFill="0" applyBorder="0" applyAlignment="0" applyProtection="0"/>
    <xf numFmtId="0" fontId="2" fillId="0" borderId="32" applyNumberFormat="0" applyFill="0" applyAlignment="0" applyProtection="0"/>
    <xf numFmtId="0" fontId="3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31" fillId="17" borderId="0" applyNumberFormat="0" applyBorder="0" applyAlignment="0" applyProtection="0"/>
    <xf numFmtId="0" fontId="3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31" fillId="21" borderId="0" applyNumberFormat="0" applyBorder="0" applyAlignment="0" applyProtection="0"/>
    <xf numFmtId="0" fontId="3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31" fillId="25" borderId="0" applyNumberFormat="0" applyBorder="0" applyAlignment="0" applyProtection="0"/>
    <xf numFmtId="0" fontId="3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31" fillId="29" borderId="0" applyNumberFormat="0" applyBorder="0" applyAlignment="0" applyProtection="0"/>
    <xf numFmtId="0" fontId="3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31" fillId="33" borderId="0" applyNumberFormat="0" applyBorder="0" applyAlignment="0" applyProtection="0"/>
    <xf numFmtId="0" fontId="31" fillId="34" borderId="0" applyNumberFormat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31" fillId="37" borderId="0" applyNumberFormat="0" applyBorder="0" applyAlignment="0" applyProtection="0"/>
  </cellStyleXfs>
  <cellXfs count="410">
    <xf numFmtId="0" fontId="0" fillId="0" borderId="0" xfId="0"/>
    <xf numFmtId="0" fontId="3" fillId="3" borderId="0" xfId="0" applyFont="1" applyFill="1" applyAlignment="1">
      <alignment horizontal="center" vertical="center"/>
    </xf>
    <xf numFmtId="9" fontId="0" fillId="0" borderId="0" xfId="0" applyNumberFormat="1"/>
    <xf numFmtId="0" fontId="0" fillId="4" borderId="0" xfId="0" applyFill="1"/>
    <xf numFmtId="0" fontId="4" fillId="4" borderId="0" xfId="0" applyFont="1" applyFill="1"/>
    <xf numFmtId="3" fontId="0" fillId="4" borderId="0" xfId="0" applyNumberFormat="1" applyFill="1"/>
    <xf numFmtId="9" fontId="0" fillId="4" borderId="0" xfId="0" applyNumberFormat="1" applyFill="1"/>
    <xf numFmtId="0" fontId="2" fillId="4" borderId="0" xfId="0" applyFont="1" applyFill="1"/>
    <xf numFmtId="0" fontId="0" fillId="4" borderId="0" xfId="0" applyFill="1" applyAlignment="1">
      <alignment horizontal="right"/>
    </xf>
    <xf numFmtId="9" fontId="0" fillId="4" borderId="0" xfId="1" applyFont="1" applyFill="1"/>
    <xf numFmtId="0" fontId="0" fillId="4" borderId="0" xfId="0" applyFill="1" applyAlignment="1">
      <alignment vertical="top" wrapText="1"/>
    </xf>
    <xf numFmtId="17" fontId="0" fillId="4" borderId="0" xfId="0" applyNumberFormat="1" applyFill="1" applyAlignment="1">
      <alignment horizontal="right"/>
    </xf>
    <xf numFmtId="17" fontId="5" fillId="4" borderId="0" xfId="0" applyNumberFormat="1" applyFont="1" applyFill="1" applyAlignment="1">
      <alignment horizontal="right"/>
    </xf>
    <xf numFmtId="17" fontId="0" fillId="4" borderId="0" xfId="0" applyNumberFormat="1" applyFill="1" applyAlignment="1">
      <alignment horizontal="center"/>
    </xf>
    <xf numFmtId="0" fontId="0" fillId="4" borderId="0" xfId="0" applyFill="1" applyAlignment="1">
      <alignment horizontal="center"/>
    </xf>
    <xf numFmtId="0" fontId="7" fillId="4" borderId="0" xfId="2" applyFill="1" applyAlignment="1">
      <alignment horizontal="center"/>
    </xf>
    <xf numFmtId="0" fontId="7" fillId="4" borderId="0" xfId="2" applyFill="1"/>
    <xf numFmtId="17" fontId="0" fillId="4" borderId="0" xfId="0" applyNumberFormat="1" applyFill="1" applyAlignment="1">
      <alignment horizontal="left"/>
    </xf>
    <xf numFmtId="0" fontId="5" fillId="5" borderId="15" xfId="0" applyFont="1" applyFill="1" applyBorder="1" applyAlignment="1">
      <alignment horizontal="centerContinuous"/>
    </xf>
    <xf numFmtId="0" fontId="5" fillId="5" borderId="16" xfId="0" applyFont="1" applyFill="1" applyBorder="1" applyAlignment="1">
      <alignment horizontal="centerContinuous"/>
    </xf>
    <xf numFmtId="0" fontId="6" fillId="3" borderId="3" xfId="0" applyFont="1" applyFill="1" applyBorder="1" applyAlignment="1">
      <alignment horizontal="center" vertical="center"/>
    </xf>
    <xf numFmtId="0" fontId="0" fillId="4" borderId="2" xfId="0" applyFill="1" applyBorder="1" applyAlignment="1">
      <alignment horizontal="center"/>
    </xf>
    <xf numFmtId="0" fontId="0" fillId="4" borderId="1" xfId="0" applyFill="1" applyBorder="1" applyAlignment="1">
      <alignment horizontal="center"/>
    </xf>
    <xf numFmtId="9" fontId="0" fillId="4" borderId="18" xfId="1" applyFont="1" applyFill="1" applyBorder="1"/>
    <xf numFmtId="0" fontId="0" fillId="0" borderId="3" xfId="0" applyBorder="1"/>
    <xf numFmtId="0" fontId="7" fillId="4" borderId="0" xfId="2" quotePrefix="1" applyFill="1" applyAlignment="1">
      <alignment horizontal="center"/>
    </xf>
    <xf numFmtId="3" fontId="0" fillId="4" borderId="0" xfId="0" applyNumberFormat="1" applyFill="1" applyAlignment="1">
      <alignment horizontal="center"/>
    </xf>
    <xf numFmtId="0" fontId="0" fillId="4" borderId="4" xfId="0" applyFill="1" applyBorder="1" applyAlignment="1">
      <alignment horizontal="center"/>
    </xf>
    <xf numFmtId="0" fontId="0" fillId="4" borderId="19" xfId="0" applyFill="1" applyBorder="1" applyAlignment="1">
      <alignment horizontal="right"/>
    </xf>
    <xf numFmtId="0" fontId="0" fillId="4" borderId="20" xfId="0" applyFill="1" applyBorder="1" applyAlignment="1">
      <alignment horizontal="right"/>
    </xf>
    <xf numFmtId="0" fontId="0" fillId="4" borderId="21" xfId="0" applyFill="1" applyBorder="1" applyAlignment="1">
      <alignment horizontal="right"/>
    </xf>
    <xf numFmtId="0" fontId="6" fillId="3" borderId="13" xfId="0" applyFont="1" applyFill="1" applyBorder="1" applyAlignment="1">
      <alignment horizontal="center" vertical="center"/>
    </xf>
    <xf numFmtId="0" fontId="0" fillId="2" borderId="15" xfId="0" applyFill="1" applyBorder="1" applyAlignment="1">
      <alignment horizontal="center"/>
    </xf>
    <xf numFmtId="0" fontId="0" fillId="2" borderId="15" xfId="0" applyFill="1" applyBorder="1" applyAlignment="1">
      <alignment horizontal="right"/>
    </xf>
    <xf numFmtId="0" fontId="0" fillId="2" borderId="16" xfId="0" applyFill="1" applyBorder="1" applyAlignment="1">
      <alignment horizontal="right"/>
    </xf>
    <xf numFmtId="0" fontId="0" fillId="4" borderId="17" xfId="0" applyFill="1" applyBorder="1"/>
    <xf numFmtId="0" fontId="8" fillId="4" borderId="3" xfId="0" applyFont="1" applyFill="1" applyBorder="1"/>
    <xf numFmtId="3" fontId="0" fillId="4" borderId="17" xfId="0" applyNumberFormat="1" applyFill="1" applyBorder="1" applyAlignment="1">
      <alignment horizontal="right"/>
    </xf>
    <xf numFmtId="3" fontId="0" fillId="4" borderId="3" xfId="0" applyNumberFormat="1" applyFill="1" applyBorder="1" applyAlignment="1">
      <alignment horizontal="right"/>
    </xf>
    <xf numFmtId="0" fontId="0" fillId="0" borderId="17" xfId="0" applyBorder="1"/>
    <xf numFmtId="0" fontId="2" fillId="2" borderId="0" xfId="0" applyFont="1" applyFill="1"/>
    <xf numFmtId="0" fontId="0" fillId="2" borderId="0" xfId="0" applyFill="1"/>
    <xf numFmtId="0" fontId="12" fillId="2" borderId="0" xfId="0" applyFont="1" applyFill="1"/>
    <xf numFmtId="0" fontId="2" fillId="4" borderId="17" xfId="0" applyFont="1" applyFill="1" applyBorder="1"/>
    <xf numFmtId="0" fontId="13" fillId="4" borderId="3" xfId="0" applyFont="1" applyFill="1" applyBorder="1"/>
    <xf numFmtId="0" fontId="2" fillId="0" borderId="17" xfId="0" applyFont="1" applyBorder="1"/>
    <xf numFmtId="0" fontId="0" fillId="2" borderId="22" xfId="0" applyFill="1" applyBorder="1"/>
    <xf numFmtId="0" fontId="2" fillId="2" borderId="0" xfId="0" applyFont="1" applyFill="1" applyAlignment="1">
      <alignment horizontal="center" vertical="center"/>
    </xf>
    <xf numFmtId="0" fontId="12" fillId="2" borderId="0" xfId="0" applyFont="1" applyFill="1" applyAlignment="1">
      <alignment horizontal="center" vertical="center"/>
    </xf>
    <xf numFmtId="1" fontId="0" fillId="4" borderId="0" xfId="1" applyNumberFormat="1" applyFont="1" applyFill="1"/>
    <xf numFmtId="3" fontId="0" fillId="0" borderId="0" xfId="0" applyNumberFormat="1"/>
    <xf numFmtId="3" fontId="0" fillId="2" borderId="22" xfId="0" applyNumberFormat="1" applyFill="1" applyBorder="1"/>
    <xf numFmtId="4" fontId="0" fillId="2" borderId="0" xfId="0" applyNumberFormat="1" applyFill="1"/>
    <xf numFmtId="3" fontId="0" fillId="2" borderId="0" xfId="0" applyNumberFormat="1" applyFill="1"/>
    <xf numFmtId="165" fontId="0" fillId="2" borderId="0" xfId="0" applyNumberFormat="1" applyFill="1"/>
    <xf numFmtId="9" fontId="0" fillId="4" borderId="17" xfId="1" applyFont="1" applyFill="1" applyBorder="1" applyAlignment="1">
      <alignment horizontal="right"/>
    </xf>
    <xf numFmtId="9" fontId="0" fillId="4" borderId="3" xfId="1" applyFont="1" applyFill="1" applyBorder="1" applyAlignment="1">
      <alignment horizontal="right"/>
    </xf>
    <xf numFmtId="3" fontId="2" fillId="6" borderId="23" xfId="0" applyNumberFormat="1" applyFont="1" applyFill="1" applyBorder="1"/>
    <xf numFmtId="9" fontId="0" fillId="2" borderId="22" xfId="1" applyFont="1" applyFill="1" applyBorder="1"/>
    <xf numFmtId="165" fontId="0" fillId="2" borderId="0" xfId="1" applyNumberFormat="1" applyFont="1" applyFill="1"/>
    <xf numFmtId="1" fontId="0" fillId="4" borderId="0" xfId="0" applyNumberFormat="1" applyFill="1"/>
    <xf numFmtId="3" fontId="12" fillId="2" borderId="0" xfId="0" applyNumberFormat="1" applyFont="1" applyFill="1"/>
    <xf numFmtId="3" fontId="2" fillId="0" borderId="0" xfId="0" applyNumberFormat="1" applyFont="1"/>
    <xf numFmtId="3" fontId="0" fillId="0" borderId="0" xfId="0" applyNumberFormat="1" applyFont="1"/>
    <xf numFmtId="3" fontId="2" fillId="2" borderId="22" xfId="0" applyNumberFormat="1" applyFont="1" applyFill="1" applyBorder="1"/>
    <xf numFmtId="3" fontId="2" fillId="2" borderId="0" xfId="0" applyNumberFormat="1" applyFont="1" applyFill="1"/>
    <xf numFmtId="166" fontId="2" fillId="2" borderId="22" xfId="0" applyNumberFormat="1" applyFont="1" applyFill="1" applyBorder="1"/>
    <xf numFmtId="3" fontId="14" fillId="4" borderId="0" xfId="0" applyNumberFormat="1" applyFont="1" applyFill="1"/>
    <xf numFmtId="0" fontId="15" fillId="2" borderId="0" xfId="0" applyFont="1" applyFill="1" applyAlignment="1">
      <alignment horizontal="center" vertical="center"/>
    </xf>
    <xf numFmtId="4" fontId="16" fillId="2" borderId="0" xfId="0" applyNumberFormat="1" applyFont="1" applyFill="1"/>
    <xf numFmtId="3" fontId="16" fillId="2" borderId="22" xfId="0" applyNumberFormat="1" applyFont="1" applyFill="1" applyBorder="1" applyAlignment="1">
      <alignment horizontal="right"/>
    </xf>
    <xf numFmtId="167" fontId="12" fillId="2" borderId="0" xfId="7" applyNumberFormat="1" applyFont="1" applyFill="1"/>
    <xf numFmtId="167" fontId="0" fillId="2" borderId="0" xfId="7" applyNumberFormat="1" applyFont="1" applyFill="1"/>
    <xf numFmtId="3" fontId="0" fillId="2" borderId="0" xfId="0" applyNumberFormat="1" applyFill="1" applyBorder="1"/>
    <xf numFmtId="3" fontId="16" fillId="0" borderId="0" xfId="0" applyNumberFormat="1" applyFont="1" applyFill="1" applyBorder="1"/>
    <xf numFmtId="0" fontId="0" fillId="0" borderId="0" xfId="0" applyNumberFormat="1" applyFill="1" applyBorder="1"/>
    <xf numFmtId="3" fontId="0" fillId="0" borderId="0" xfId="0" applyNumberFormat="1" applyFill="1"/>
    <xf numFmtId="167" fontId="0" fillId="0" borderId="0" xfId="0" applyNumberFormat="1"/>
    <xf numFmtId="0" fontId="7" fillId="5" borderId="14" xfId="2" applyFill="1" applyBorder="1" applyAlignment="1">
      <alignment horizontal="centerContinuous"/>
    </xf>
    <xf numFmtId="0" fontId="0" fillId="0" borderId="0" xfId="0" applyNumberFormat="1"/>
    <xf numFmtId="0" fontId="0" fillId="2" borderId="0" xfId="0" applyFont="1" applyFill="1"/>
    <xf numFmtId="3" fontId="0" fillId="2" borderId="0" xfId="0" applyNumberFormat="1" applyFont="1" applyFill="1"/>
    <xf numFmtId="0" fontId="0" fillId="0" borderId="0" xfId="0" applyNumberFormat="1" applyFont="1"/>
    <xf numFmtId="3" fontId="0" fillId="2" borderId="22" xfId="0" applyNumberFormat="1" applyFont="1" applyFill="1" applyBorder="1"/>
    <xf numFmtId="165" fontId="0" fillId="2" borderId="0" xfId="0" applyNumberFormat="1" applyFont="1" applyFill="1"/>
    <xf numFmtId="4" fontId="0" fillId="2" borderId="0" xfId="0" applyNumberFormat="1" applyFont="1" applyFill="1"/>
    <xf numFmtId="0" fontId="0" fillId="0" borderId="0" xfId="0" applyFont="1"/>
    <xf numFmtId="0" fontId="2" fillId="38" borderId="33" xfId="0" applyNumberFormat="1" applyFont="1" applyFill="1" applyBorder="1"/>
    <xf numFmtId="3" fontId="32" fillId="4" borderId="0" xfId="0" applyNumberFormat="1" applyFont="1" applyFill="1"/>
    <xf numFmtId="3" fontId="29" fillId="0" borderId="0" xfId="0" applyNumberFormat="1" applyFont="1" applyFill="1"/>
    <xf numFmtId="3" fontId="29" fillId="39" borderId="0" xfId="0" applyNumberFormat="1" applyFont="1" applyFill="1"/>
    <xf numFmtId="0" fontId="2" fillId="0" borderId="0" xfId="0" applyFont="1" applyAlignment="1">
      <alignment wrapText="1"/>
    </xf>
    <xf numFmtId="0" fontId="0" fillId="0" borderId="0" xfId="0" applyAlignment="1">
      <alignment wrapText="1"/>
    </xf>
    <xf numFmtId="10" fontId="0" fillId="0" borderId="0" xfId="0" applyNumberFormat="1" applyAlignment="1">
      <alignment wrapText="1"/>
    </xf>
    <xf numFmtId="0" fontId="33" fillId="0" borderId="0" xfId="0" applyFont="1" applyAlignment="1">
      <alignment wrapText="1"/>
    </xf>
    <xf numFmtId="10" fontId="33" fillId="0" borderId="0" xfId="0" applyNumberFormat="1" applyFont="1" applyAlignment="1">
      <alignment wrapText="1"/>
    </xf>
    <xf numFmtId="3" fontId="0" fillId="0" borderId="0" xfId="0" applyNumberFormat="1" applyAlignment="1">
      <alignment wrapText="1"/>
    </xf>
    <xf numFmtId="10" fontId="32" fillId="0" borderId="34" xfId="0" applyNumberFormat="1" applyFont="1" applyBorder="1"/>
    <xf numFmtId="10" fontId="32" fillId="40" borderId="35" xfId="0" applyNumberFormat="1" applyFont="1" applyFill="1" applyBorder="1"/>
    <xf numFmtId="3" fontId="35" fillId="41" borderId="7" xfId="0" applyNumberFormat="1" applyFont="1" applyFill="1" applyBorder="1" applyAlignment="1">
      <alignment horizontal="center" vertical="center" wrapText="1"/>
    </xf>
    <xf numFmtId="3" fontId="35" fillId="0" borderId="39" xfId="0" applyNumberFormat="1" applyFont="1" applyFill="1" applyBorder="1" applyAlignment="1">
      <alignment horizontal="center" wrapText="1"/>
    </xf>
    <xf numFmtId="10" fontId="35" fillId="40" borderId="38" xfId="0" applyNumberFormat="1" applyFont="1" applyFill="1" applyBorder="1" applyAlignment="1">
      <alignment wrapText="1"/>
    </xf>
    <xf numFmtId="3" fontId="35" fillId="41" borderId="39" xfId="0" applyNumberFormat="1" applyFont="1" applyFill="1" applyBorder="1" applyAlignment="1">
      <alignment wrapText="1"/>
    </xf>
    <xf numFmtId="10" fontId="32" fillId="0" borderId="0" xfId="0" applyNumberFormat="1" applyFont="1"/>
    <xf numFmtId="10" fontId="32" fillId="0" borderId="17" xfId="0" applyNumberFormat="1" applyFont="1" applyBorder="1"/>
    <xf numFmtId="10" fontId="35" fillId="40" borderId="3" xfId="0" applyNumberFormat="1" applyFont="1" applyFill="1" applyBorder="1"/>
    <xf numFmtId="3" fontId="35" fillId="40" borderId="0" xfId="0" applyNumberFormat="1" applyFont="1" applyFill="1" applyAlignment="1">
      <alignment horizontal="center" vertical="center"/>
    </xf>
    <xf numFmtId="10" fontId="32" fillId="40" borderId="17" xfId="0" applyNumberFormat="1" applyFont="1" applyFill="1" applyBorder="1"/>
    <xf numFmtId="10" fontId="32" fillId="40" borderId="3" xfId="0" applyNumberFormat="1" applyFont="1" applyFill="1" applyBorder="1"/>
    <xf numFmtId="10" fontId="32" fillId="40" borderId="18" xfId="0" applyNumberFormat="1" applyFont="1" applyFill="1" applyBorder="1"/>
    <xf numFmtId="3" fontId="35" fillId="0" borderId="40" xfId="0" applyNumberFormat="1" applyFont="1" applyFill="1" applyBorder="1" applyAlignment="1">
      <alignment horizontal="center" wrapText="1"/>
    </xf>
    <xf numFmtId="10" fontId="35" fillId="40" borderId="41" xfId="0" applyNumberFormat="1" applyFont="1" applyFill="1" applyBorder="1" applyAlignment="1">
      <alignment wrapText="1"/>
    </xf>
    <xf numFmtId="3" fontId="35" fillId="40" borderId="40" xfId="0" applyNumberFormat="1" applyFont="1" applyFill="1" applyBorder="1" applyAlignment="1">
      <alignment wrapText="1"/>
    </xf>
    <xf numFmtId="10" fontId="36" fillId="5" borderId="42" xfId="0" applyNumberFormat="1" applyFont="1" applyFill="1" applyBorder="1" applyAlignment="1">
      <alignment horizontal="center" vertical="center"/>
    </xf>
    <xf numFmtId="10" fontId="36" fillId="5" borderId="3" xfId="0" applyNumberFormat="1" applyFont="1" applyFill="1" applyBorder="1" applyAlignment="1">
      <alignment horizontal="center" vertical="center"/>
    </xf>
    <xf numFmtId="3" fontId="37" fillId="5" borderId="0" xfId="0" applyNumberFormat="1" applyFont="1" applyFill="1" applyAlignment="1">
      <alignment horizontal="center" vertical="center"/>
    </xf>
    <xf numFmtId="10" fontId="36" fillId="5" borderId="17" xfId="0" applyNumberFormat="1" applyFont="1" applyFill="1" applyBorder="1" applyAlignment="1">
      <alignment horizontal="center" vertical="center"/>
    </xf>
    <xf numFmtId="10" fontId="36" fillId="5" borderId="18" xfId="0" applyNumberFormat="1" applyFont="1" applyFill="1" applyBorder="1" applyAlignment="1">
      <alignment horizontal="center" vertical="center"/>
    </xf>
    <xf numFmtId="3" fontId="36" fillId="0" borderId="40" xfId="0" applyNumberFormat="1" applyFont="1" applyFill="1" applyBorder="1" applyAlignment="1">
      <alignment horizontal="center" vertical="center"/>
    </xf>
    <xf numFmtId="10" fontId="38" fillId="5" borderId="41" xfId="0" applyNumberFormat="1" applyFont="1" applyFill="1" applyBorder="1" applyAlignment="1">
      <alignment horizontal="center" vertical="center" wrapText="1"/>
    </xf>
    <xf numFmtId="3" fontId="36" fillId="5" borderId="40" xfId="0" applyNumberFormat="1" applyFont="1" applyFill="1" applyBorder="1" applyAlignment="1">
      <alignment horizontal="center" vertical="center" wrapText="1"/>
    </xf>
    <xf numFmtId="10" fontId="36" fillId="0" borderId="0" xfId="0" applyNumberFormat="1" applyFont="1" applyAlignment="1">
      <alignment horizontal="center" vertical="center"/>
    </xf>
    <xf numFmtId="10" fontId="39" fillId="5" borderId="34" xfId="0" applyNumberFormat="1" applyFont="1" applyFill="1" applyBorder="1" applyAlignment="1">
      <alignment horizontal="center" vertical="center"/>
    </xf>
    <xf numFmtId="0" fontId="39" fillId="5" borderId="3" xfId="0" applyFont="1" applyFill="1" applyBorder="1" applyAlignment="1">
      <alignment horizontal="center" vertical="center" wrapText="1"/>
    </xf>
    <xf numFmtId="3" fontId="40" fillId="5" borderId="7" xfId="0" applyNumberFormat="1" applyFont="1" applyFill="1" applyBorder="1" applyAlignment="1">
      <alignment horizontal="center" vertical="center" wrapText="1"/>
    </xf>
    <xf numFmtId="10" fontId="39" fillId="5" borderId="17" xfId="0" applyNumberFormat="1" applyFont="1" applyFill="1" applyBorder="1" applyAlignment="1">
      <alignment horizontal="center" vertical="center"/>
    </xf>
    <xf numFmtId="10" fontId="39" fillId="5" borderId="3" xfId="0" applyNumberFormat="1" applyFont="1" applyFill="1" applyBorder="1" applyAlignment="1">
      <alignment horizontal="center" vertical="center"/>
    </xf>
    <xf numFmtId="10" fontId="39" fillId="5" borderId="18" xfId="0" applyNumberFormat="1" applyFont="1" applyFill="1" applyBorder="1" applyAlignment="1">
      <alignment horizontal="center" vertical="center"/>
    </xf>
    <xf numFmtId="3" fontId="39" fillId="0" borderId="40" xfId="0" applyNumberFormat="1" applyFont="1" applyFill="1" applyBorder="1" applyAlignment="1">
      <alignment horizontal="center" vertical="center"/>
    </xf>
    <xf numFmtId="10" fontId="39" fillId="5" borderId="41" xfId="0" applyNumberFormat="1" applyFont="1" applyFill="1" applyBorder="1" applyAlignment="1">
      <alignment horizontal="center" vertical="center" wrapText="1"/>
    </xf>
    <xf numFmtId="3" fontId="39" fillId="5" borderId="40" xfId="0" applyNumberFormat="1" applyFont="1" applyFill="1" applyBorder="1" applyAlignment="1">
      <alignment horizontal="center" vertical="center" wrapText="1"/>
    </xf>
    <xf numFmtId="10" fontId="39" fillId="0" borderId="0" xfId="0" applyNumberFormat="1" applyFont="1" applyAlignment="1">
      <alignment horizontal="center" vertical="center"/>
    </xf>
    <xf numFmtId="10" fontId="41" fillId="42" borderId="17" xfId="0" applyNumberFormat="1" applyFont="1" applyFill="1" applyBorder="1"/>
    <xf numFmtId="10" fontId="41" fillId="42" borderId="3" xfId="0" applyNumberFormat="1" applyFont="1" applyFill="1" applyBorder="1"/>
    <xf numFmtId="3" fontId="41" fillId="42" borderId="1" xfId="0" applyNumberFormat="1" applyFont="1" applyFill="1" applyBorder="1" applyAlignment="1">
      <alignment horizontal="center" vertical="center"/>
    </xf>
    <xf numFmtId="10" fontId="41" fillId="42" borderId="18" xfId="0" applyNumberFormat="1" applyFont="1" applyFill="1" applyBorder="1"/>
    <xf numFmtId="10" fontId="41" fillId="42" borderId="17" xfId="0" applyNumberFormat="1" applyFont="1" applyFill="1" applyBorder="1" applyAlignment="1">
      <alignment horizontal="center"/>
    </xf>
    <xf numFmtId="10" fontId="41" fillId="42" borderId="3" xfId="0" applyNumberFormat="1" applyFont="1" applyFill="1" applyBorder="1" applyAlignment="1">
      <alignment horizontal="center"/>
    </xf>
    <xf numFmtId="10" fontId="41" fillId="42" borderId="18" xfId="0" applyNumberFormat="1" applyFont="1" applyFill="1" applyBorder="1" applyAlignment="1">
      <alignment horizontal="center"/>
    </xf>
    <xf numFmtId="3" fontId="41" fillId="0" borderId="40" xfId="0" applyNumberFormat="1" applyFont="1" applyFill="1" applyBorder="1"/>
    <xf numFmtId="10" fontId="42" fillId="42" borderId="41" xfId="0" applyNumberFormat="1" applyFont="1" applyFill="1" applyBorder="1" applyAlignment="1">
      <alignment horizontal="right" wrapText="1"/>
    </xf>
    <xf numFmtId="3" fontId="43" fillId="42" borderId="41" xfId="0" applyNumberFormat="1" applyFont="1" applyFill="1" applyBorder="1" applyAlignment="1">
      <alignment horizontal="right" wrapText="1"/>
    </xf>
    <xf numFmtId="10" fontId="41" fillId="0" borderId="0" xfId="0" applyNumberFormat="1" applyFont="1"/>
    <xf numFmtId="10" fontId="32" fillId="0" borderId="3" xfId="0" applyNumberFormat="1" applyFont="1" applyBorder="1" applyAlignment="1">
      <alignment horizontal="right" wrapText="1"/>
    </xf>
    <xf numFmtId="3" fontId="35" fillId="0" borderId="1" xfId="0" applyNumberFormat="1" applyFont="1" applyBorder="1" applyAlignment="1">
      <alignment horizontal="center" vertical="center"/>
    </xf>
    <xf numFmtId="10" fontId="32" fillId="43" borderId="17" xfId="0" applyNumberFormat="1" applyFont="1" applyFill="1" applyBorder="1"/>
    <xf numFmtId="10" fontId="32" fillId="43" borderId="3" xfId="0" applyNumberFormat="1" applyFont="1" applyFill="1" applyBorder="1"/>
    <xf numFmtId="10" fontId="32" fillId="43" borderId="18" xfId="0" applyNumberFormat="1" applyFont="1" applyFill="1" applyBorder="1"/>
    <xf numFmtId="10" fontId="32" fillId="40" borderId="17" xfId="0" applyNumberFormat="1" applyFont="1" applyFill="1" applyBorder="1" applyAlignment="1">
      <alignment horizontal="center"/>
    </xf>
    <xf numFmtId="10" fontId="32" fillId="0" borderId="3" xfId="0" applyNumberFormat="1" applyFont="1" applyBorder="1" applyAlignment="1">
      <alignment horizontal="center"/>
    </xf>
    <xf numFmtId="10" fontId="32" fillId="0" borderId="18" xfId="0" applyNumberFormat="1" applyFont="1" applyBorder="1" applyAlignment="1">
      <alignment horizontal="center"/>
    </xf>
    <xf numFmtId="10" fontId="35" fillId="0" borderId="17" xfId="0" applyNumberFormat="1" applyFont="1" applyBorder="1" applyAlignment="1">
      <alignment horizontal="center"/>
    </xf>
    <xf numFmtId="10" fontId="35" fillId="0" borderId="3" xfId="0" applyNumberFormat="1" applyFont="1" applyBorder="1" applyAlignment="1">
      <alignment horizontal="center"/>
    </xf>
    <xf numFmtId="10" fontId="32" fillId="0" borderId="17" xfId="0" applyNumberFormat="1" applyFont="1" applyBorder="1" applyAlignment="1">
      <alignment horizontal="center"/>
    </xf>
    <xf numFmtId="10" fontId="32" fillId="0" borderId="3" xfId="0" applyNumberFormat="1" applyFont="1" applyBorder="1"/>
    <xf numFmtId="10" fontId="32" fillId="0" borderId="18" xfId="0" applyNumberFormat="1" applyFont="1" applyBorder="1"/>
    <xf numFmtId="10" fontId="35" fillId="0" borderId="17" xfId="0" applyNumberFormat="1" applyFont="1" applyBorder="1"/>
    <xf numFmtId="10" fontId="35" fillId="0" borderId="3" xfId="0" applyNumberFormat="1" applyFont="1" applyBorder="1"/>
    <xf numFmtId="10" fontId="35" fillId="0" borderId="18" xfId="0" applyNumberFormat="1" applyFont="1" applyBorder="1"/>
    <xf numFmtId="3" fontId="32" fillId="0" borderId="40" xfId="0" applyNumberFormat="1" applyFont="1" applyFill="1" applyBorder="1"/>
    <xf numFmtId="10" fontId="43" fillId="0" borderId="41" xfId="0" applyNumberFormat="1" applyFont="1" applyBorder="1" applyAlignment="1">
      <alignment horizontal="right" wrapText="1"/>
    </xf>
    <xf numFmtId="3" fontId="43" fillId="0" borderId="41" xfId="0" applyNumberFormat="1" applyFont="1" applyBorder="1" applyAlignment="1">
      <alignment horizontal="right" wrapText="1"/>
    </xf>
    <xf numFmtId="10" fontId="32" fillId="0" borderId="3" xfId="0" applyNumberFormat="1" applyFont="1" applyBorder="1" applyAlignment="1">
      <alignment horizontal="right"/>
    </xf>
    <xf numFmtId="10" fontId="32" fillId="43" borderId="17" xfId="0" applyNumberFormat="1" applyFont="1" applyFill="1" applyBorder="1" applyAlignment="1">
      <alignment horizontal="center"/>
    </xf>
    <xf numFmtId="10" fontId="32" fillId="43" borderId="3" xfId="0" applyNumberFormat="1" applyFont="1" applyFill="1" applyBorder="1" applyAlignment="1">
      <alignment horizontal="center"/>
    </xf>
    <xf numFmtId="10" fontId="32" fillId="43" borderId="18" xfId="0" applyNumberFormat="1" applyFont="1" applyFill="1" applyBorder="1" applyAlignment="1">
      <alignment horizontal="center"/>
    </xf>
    <xf numFmtId="10" fontId="35" fillId="43" borderId="17" xfId="0" applyNumberFormat="1" applyFont="1" applyFill="1" applyBorder="1" applyAlignment="1">
      <alignment horizontal="center"/>
    </xf>
    <xf numFmtId="10" fontId="35" fillId="43" borderId="3" xfId="0" applyNumberFormat="1" applyFont="1" applyFill="1" applyBorder="1" applyAlignment="1">
      <alignment horizontal="center"/>
    </xf>
    <xf numFmtId="3" fontId="32" fillId="40" borderId="40" xfId="0" applyNumberFormat="1" applyFont="1" applyFill="1" applyBorder="1" applyAlignment="1">
      <alignment wrapText="1"/>
    </xf>
    <xf numFmtId="10" fontId="35" fillId="43" borderId="17" xfId="0" applyNumberFormat="1" applyFont="1" applyFill="1" applyBorder="1"/>
    <xf numFmtId="10" fontId="35" fillId="43" borderId="3" xfId="0" applyNumberFormat="1" applyFont="1" applyFill="1" applyBorder="1"/>
    <xf numFmtId="10" fontId="35" fillId="43" borderId="18" xfId="0" applyNumberFormat="1" applyFont="1" applyFill="1" applyBorder="1"/>
    <xf numFmtId="10" fontId="32" fillId="0" borderId="17" xfId="0" applyNumberFormat="1" applyFont="1" applyFill="1" applyBorder="1"/>
    <xf numFmtId="10" fontId="32" fillId="0" borderId="3" xfId="0" applyNumberFormat="1" applyFont="1" applyFill="1" applyBorder="1" applyAlignment="1">
      <alignment horizontal="right"/>
    </xf>
    <xf numFmtId="3" fontId="35" fillId="0" borderId="1" xfId="0" applyNumberFormat="1" applyFont="1" applyFill="1" applyBorder="1" applyAlignment="1">
      <alignment horizontal="center" vertical="center"/>
    </xf>
    <xf numFmtId="10" fontId="43" fillId="0" borderId="41" xfId="0" applyNumberFormat="1" applyFont="1" applyFill="1" applyBorder="1" applyAlignment="1">
      <alignment horizontal="right" wrapText="1"/>
    </xf>
    <xf numFmtId="3" fontId="43" fillId="0" borderId="41" xfId="0" applyNumberFormat="1" applyFont="1" applyFill="1" applyBorder="1" applyAlignment="1">
      <alignment horizontal="right" wrapText="1"/>
    </xf>
    <xf numFmtId="10" fontId="32" fillId="0" borderId="0" xfId="0" applyNumberFormat="1" applyFont="1" applyFill="1"/>
    <xf numFmtId="10" fontId="32" fillId="0" borderId="3" xfId="0" applyNumberFormat="1" applyFont="1" applyFill="1" applyBorder="1"/>
    <xf numFmtId="10" fontId="32" fillId="0" borderId="18" xfId="0" applyNumberFormat="1" applyFont="1" applyFill="1" applyBorder="1"/>
    <xf numFmtId="10" fontId="32" fillId="0" borderId="17" xfId="0" applyNumberFormat="1" applyFont="1" applyFill="1" applyBorder="1" applyAlignment="1">
      <alignment horizontal="center"/>
    </xf>
    <xf numFmtId="10" fontId="32" fillId="0" borderId="3" xfId="0" applyNumberFormat="1" applyFont="1" applyFill="1" applyBorder="1" applyAlignment="1">
      <alignment horizontal="center"/>
    </xf>
    <xf numFmtId="10" fontId="32" fillId="0" borderId="18" xfId="0" applyNumberFormat="1" applyFont="1" applyFill="1" applyBorder="1" applyAlignment="1">
      <alignment horizontal="center"/>
    </xf>
    <xf numFmtId="10" fontId="35" fillId="0" borderId="17" xfId="0" applyNumberFormat="1" applyFont="1" applyFill="1" applyBorder="1" applyAlignment="1">
      <alignment horizontal="center"/>
    </xf>
    <xf numFmtId="10" fontId="35" fillId="0" borderId="3" xfId="0" applyNumberFormat="1" applyFont="1" applyFill="1" applyBorder="1" applyAlignment="1">
      <alignment horizontal="center"/>
    </xf>
    <xf numFmtId="10" fontId="35" fillId="0" borderId="17" xfId="0" applyNumberFormat="1" applyFont="1" applyFill="1" applyBorder="1"/>
    <xf numFmtId="10" fontId="35" fillId="0" borderId="3" xfId="0" applyNumberFormat="1" applyFont="1" applyFill="1" applyBorder="1"/>
    <xf numFmtId="10" fontId="35" fillId="0" borderId="18" xfId="0" applyNumberFormat="1" applyFont="1" applyFill="1" applyBorder="1"/>
    <xf numFmtId="3" fontId="32" fillId="0" borderId="41" xfId="0" applyNumberFormat="1" applyFont="1" applyFill="1" applyBorder="1" applyAlignment="1">
      <alignment wrapText="1"/>
    </xf>
    <xf numFmtId="10" fontId="32" fillId="44" borderId="17" xfId="0" applyNumberFormat="1" applyFont="1" applyFill="1" applyBorder="1"/>
    <xf numFmtId="10" fontId="32" fillId="44" borderId="3" xfId="0" applyNumberFormat="1" applyFont="1" applyFill="1" applyBorder="1"/>
    <xf numFmtId="10" fontId="32" fillId="44" borderId="18" xfId="0" applyNumberFormat="1" applyFont="1" applyFill="1" applyBorder="1"/>
    <xf numFmtId="10" fontId="32" fillId="44" borderId="17" xfId="0" applyNumberFormat="1" applyFont="1" applyFill="1" applyBorder="1" applyAlignment="1">
      <alignment horizontal="center"/>
    </xf>
    <xf numFmtId="10" fontId="32" fillId="44" borderId="3" xfId="0" applyNumberFormat="1" applyFont="1" applyFill="1" applyBorder="1" applyAlignment="1">
      <alignment horizontal="center"/>
    </xf>
    <xf numFmtId="10" fontId="32" fillId="44" borderId="18" xfId="0" applyNumberFormat="1" applyFont="1" applyFill="1" applyBorder="1" applyAlignment="1">
      <alignment horizontal="center"/>
    </xf>
    <xf numFmtId="10" fontId="35" fillId="44" borderId="17" xfId="0" applyNumberFormat="1" applyFont="1" applyFill="1" applyBorder="1" applyAlignment="1">
      <alignment horizontal="center"/>
    </xf>
    <xf numFmtId="10" fontId="35" fillId="44" borderId="3" xfId="0" applyNumberFormat="1" applyFont="1" applyFill="1" applyBorder="1" applyAlignment="1">
      <alignment horizontal="center"/>
    </xf>
    <xf numFmtId="3" fontId="32" fillId="40" borderId="41" xfId="0" applyNumberFormat="1" applyFont="1" applyFill="1" applyBorder="1" applyAlignment="1">
      <alignment wrapText="1"/>
    </xf>
    <xf numFmtId="10" fontId="44" fillId="0" borderId="18" xfId="0" applyNumberFormat="1" applyFont="1" applyFill="1" applyBorder="1"/>
    <xf numFmtId="10" fontId="44" fillId="0" borderId="17" xfId="0" applyNumberFormat="1" applyFont="1" applyFill="1" applyBorder="1"/>
    <xf numFmtId="10" fontId="44" fillId="0" borderId="3" xfId="0" applyNumberFormat="1" applyFont="1" applyFill="1" applyBorder="1"/>
    <xf numFmtId="3" fontId="44" fillId="0" borderId="40" xfId="0" applyNumberFormat="1" applyFont="1" applyFill="1" applyBorder="1"/>
    <xf numFmtId="10" fontId="32" fillId="42" borderId="17" xfId="0" applyNumberFormat="1" applyFont="1" applyFill="1" applyBorder="1"/>
    <xf numFmtId="10" fontId="35" fillId="42" borderId="3" xfId="0" applyNumberFormat="1" applyFont="1" applyFill="1" applyBorder="1"/>
    <xf numFmtId="3" fontId="35" fillId="42" borderId="1" xfId="0" applyNumberFormat="1" applyFont="1" applyFill="1" applyBorder="1" applyAlignment="1">
      <alignment horizontal="center" vertical="center"/>
    </xf>
    <xf numFmtId="10" fontId="32" fillId="42" borderId="3" xfId="0" applyNumberFormat="1" applyFont="1" applyFill="1" applyBorder="1"/>
    <xf numFmtId="10" fontId="32" fillId="42" borderId="18" xfId="0" applyNumberFormat="1" applyFont="1" applyFill="1" applyBorder="1"/>
    <xf numFmtId="10" fontId="32" fillId="42" borderId="17" xfId="0" applyNumberFormat="1" applyFont="1" applyFill="1" applyBorder="1" applyAlignment="1">
      <alignment horizontal="center"/>
    </xf>
    <xf numFmtId="10" fontId="32" fillId="42" borderId="3" xfId="0" applyNumberFormat="1" applyFont="1" applyFill="1" applyBorder="1" applyAlignment="1">
      <alignment horizontal="center"/>
    </xf>
    <xf numFmtId="10" fontId="32" fillId="42" borderId="18" xfId="0" applyNumberFormat="1" applyFont="1" applyFill="1" applyBorder="1" applyAlignment="1">
      <alignment horizontal="center"/>
    </xf>
    <xf numFmtId="10" fontId="35" fillId="42" borderId="17" xfId="0" applyNumberFormat="1" applyFont="1" applyFill="1" applyBorder="1" applyAlignment="1">
      <alignment horizontal="center"/>
    </xf>
    <xf numFmtId="10" fontId="35" fillId="42" borderId="3" xfId="0" applyNumberFormat="1" applyFont="1" applyFill="1" applyBorder="1" applyAlignment="1">
      <alignment horizontal="center"/>
    </xf>
    <xf numFmtId="10" fontId="35" fillId="42" borderId="17" xfId="0" applyNumberFormat="1" applyFont="1" applyFill="1" applyBorder="1"/>
    <xf numFmtId="10" fontId="35" fillId="42" borderId="18" xfId="0" applyNumberFormat="1" applyFont="1" applyFill="1" applyBorder="1"/>
    <xf numFmtId="10" fontId="43" fillId="42" borderId="41" xfId="0" applyNumberFormat="1" applyFont="1" applyFill="1" applyBorder="1" applyAlignment="1">
      <alignment horizontal="right" wrapText="1"/>
    </xf>
    <xf numFmtId="10" fontId="35" fillId="0" borderId="3" xfId="0" applyNumberFormat="1" applyFont="1" applyBorder="1" applyAlignment="1">
      <alignment horizontal="right"/>
    </xf>
    <xf numFmtId="3" fontId="35" fillId="0" borderId="3" xfId="0" applyNumberFormat="1" applyFont="1" applyBorder="1" applyAlignment="1">
      <alignment horizontal="center" vertical="center"/>
    </xf>
    <xf numFmtId="10" fontId="32" fillId="40" borderId="41" xfId="0" applyNumberFormat="1" applyFont="1" applyFill="1" applyBorder="1" applyAlignment="1">
      <alignment wrapText="1"/>
    </xf>
    <xf numFmtId="10" fontId="35" fillId="43" borderId="1" xfId="0" applyNumberFormat="1" applyFont="1" applyFill="1" applyBorder="1" applyAlignment="1">
      <alignment horizontal="center"/>
    </xf>
    <xf numFmtId="10" fontId="35" fillId="0" borderId="1" xfId="0" applyNumberFormat="1" applyFont="1" applyFill="1" applyBorder="1" applyAlignment="1">
      <alignment horizontal="center"/>
    </xf>
    <xf numFmtId="0" fontId="39" fillId="5" borderId="1" xfId="0" applyFont="1" applyFill="1" applyBorder="1" applyAlignment="1">
      <alignment horizontal="center" vertical="center" wrapText="1"/>
    </xf>
    <xf numFmtId="3" fontId="40" fillId="5" borderId="3" xfId="0" applyNumberFormat="1" applyFont="1" applyFill="1" applyBorder="1" applyAlignment="1">
      <alignment horizontal="center" vertical="center" wrapText="1"/>
    </xf>
    <xf numFmtId="10" fontId="39" fillId="5" borderId="43" xfId="0" applyNumberFormat="1" applyFont="1" applyFill="1" applyBorder="1" applyAlignment="1">
      <alignment horizontal="center" vertical="center"/>
    </xf>
    <xf numFmtId="10" fontId="32" fillId="0" borderId="44" xfId="0" applyNumberFormat="1" applyFont="1" applyBorder="1"/>
    <xf numFmtId="3" fontId="35" fillId="0" borderId="2" xfId="0" applyNumberFormat="1" applyFont="1" applyBorder="1" applyAlignment="1">
      <alignment horizontal="center" vertical="center"/>
    </xf>
    <xf numFmtId="9" fontId="32" fillId="0" borderId="40" xfId="1" applyFont="1" applyFill="1" applyBorder="1"/>
    <xf numFmtId="10" fontId="32" fillId="4" borderId="17" xfId="0" applyNumberFormat="1" applyFont="1" applyFill="1" applyBorder="1" applyAlignment="1">
      <alignment horizontal="center"/>
    </xf>
    <xf numFmtId="10" fontId="32" fillId="43" borderId="0" xfId="0" applyNumberFormat="1" applyFont="1" applyFill="1"/>
    <xf numFmtId="10" fontId="32" fillId="4" borderId="3" xfId="0" applyNumberFormat="1" applyFont="1" applyFill="1" applyBorder="1" applyAlignment="1">
      <alignment horizontal="center"/>
    </xf>
    <xf numFmtId="10" fontId="32" fillId="0" borderId="19" xfId="0" applyNumberFormat="1" applyFont="1" applyBorder="1"/>
    <xf numFmtId="3" fontId="35" fillId="0" borderId="22" xfId="0" applyNumberFormat="1" applyFont="1" applyBorder="1" applyAlignment="1">
      <alignment horizontal="center" vertical="center"/>
    </xf>
    <xf numFmtId="10" fontId="45" fillId="5" borderId="17" xfId="0" applyNumberFormat="1" applyFont="1" applyFill="1" applyBorder="1" applyAlignment="1">
      <alignment horizontal="center" vertical="center"/>
    </xf>
    <xf numFmtId="10" fontId="45" fillId="5" borderId="43" xfId="0" applyNumberFormat="1" applyFont="1" applyFill="1" applyBorder="1" applyAlignment="1">
      <alignment horizontal="center" vertical="center"/>
    </xf>
    <xf numFmtId="10" fontId="45" fillId="5" borderId="3" xfId="0" applyNumberFormat="1" applyFont="1" applyFill="1" applyBorder="1" applyAlignment="1">
      <alignment horizontal="center" vertical="center"/>
    </xf>
    <xf numFmtId="10" fontId="45" fillId="5" borderId="18" xfId="0" applyNumberFormat="1" applyFont="1" applyFill="1" applyBorder="1" applyAlignment="1">
      <alignment horizontal="center" vertical="center"/>
    </xf>
    <xf numFmtId="3" fontId="45" fillId="0" borderId="40" xfId="0" applyNumberFormat="1" applyFont="1" applyFill="1" applyBorder="1" applyAlignment="1">
      <alignment horizontal="center" vertical="center"/>
    </xf>
    <xf numFmtId="10" fontId="45" fillId="0" borderId="0" xfId="0" applyNumberFormat="1" applyFont="1" applyAlignment="1">
      <alignment horizontal="center" vertical="center"/>
    </xf>
    <xf numFmtId="10" fontId="32" fillId="0" borderId="1" xfId="0" applyNumberFormat="1" applyFont="1" applyBorder="1" applyAlignment="1">
      <alignment horizontal="right"/>
    </xf>
    <xf numFmtId="10" fontId="32" fillId="0" borderId="43" xfId="0" applyNumberFormat="1" applyFont="1" applyBorder="1"/>
    <xf numFmtId="10" fontId="46" fillId="5" borderId="17" xfId="0" applyNumberFormat="1" applyFont="1" applyFill="1" applyBorder="1" applyAlignment="1">
      <alignment horizontal="center" vertical="center"/>
    </xf>
    <xf numFmtId="0" fontId="36" fillId="5" borderId="1" xfId="0" applyFont="1" applyFill="1" applyBorder="1" applyAlignment="1">
      <alignment horizontal="center" vertical="center" wrapText="1"/>
    </xf>
    <xf numFmtId="3" fontId="37" fillId="5" borderId="3" xfId="0" applyNumberFormat="1" applyFont="1" applyFill="1" applyBorder="1" applyAlignment="1">
      <alignment horizontal="center" vertical="center" wrapText="1"/>
    </xf>
    <xf numFmtId="10" fontId="46" fillId="5" borderId="43" xfId="0" applyNumberFormat="1" applyFont="1" applyFill="1" applyBorder="1" applyAlignment="1">
      <alignment horizontal="center" vertical="center"/>
    </xf>
    <xf numFmtId="10" fontId="46" fillId="5" borderId="3" xfId="0" applyNumberFormat="1" applyFont="1" applyFill="1" applyBorder="1" applyAlignment="1">
      <alignment horizontal="center" vertical="center"/>
    </xf>
    <xf numFmtId="10" fontId="46" fillId="5" borderId="18" xfId="0" applyNumberFormat="1" applyFont="1" applyFill="1" applyBorder="1" applyAlignment="1">
      <alignment horizontal="center" vertical="center"/>
    </xf>
    <xf numFmtId="3" fontId="46" fillId="0" borderId="40" xfId="0" applyNumberFormat="1" applyFont="1" applyFill="1" applyBorder="1" applyAlignment="1">
      <alignment horizontal="center" vertical="center"/>
    </xf>
    <xf numFmtId="10" fontId="36" fillId="5" borderId="41" xfId="0" applyNumberFormat="1" applyFont="1" applyFill="1" applyBorder="1" applyAlignment="1">
      <alignment horizontal="center" vertical="center" wrapText="1"/>
    </xf>
    <xf numFmtId="10" fontId="46" fillId="0" borderId="0" xfId="0" applyNumberFormat="1" applyFont="1" applyAlignment="1">
      <alignment horizontal="center" vertical="center"/>
    </xf>
    <xf numFmtId="10" fontId="32" fillId="0" borderId="17" xfId="0" applyNumberFormat="1" applyFont="1" applyBorder="1" applyAlignment="1">
      <alignment horizontal="center" vertical="center"/>
    </xf>
    <xf numFmtId="10" fontId="32" fillId="0" borderId="3" xfId="0" applyNumberFormat="1" applyFont="1" applyBorder="1" applyAlignment="1">
      <alignment horizontal="center" vertical="center"/>
    </xf>
    <xf numFmtId="10" fontId="32" fillId="0" borderId="18" xfId="0" applyNumberFormat="1" applyFont="1" applyBorder="1" applyAlignment="1">
      <alignment horizontal="center" vertical="center"/>
    </xf>
    <xf numFmtId="10" fontId="35" fillId="0" borderId="17" xfId="0" applyNumberFormat="1" applyFont="1" applyBorder="1" applyAlignment="1">
      <alignment horizontal="center" vertical="center"/>
    </xf>
    <xf numFmtId="10" fontId="35" fillId="0" borderId="3" xfId="0" applyNumberFormat="1" applyFont="1" applyBorder="1" applyAlignment="1">
      <alignment horizontal="center" vertical="center"/>
    </xf>
    <xf numFmtId="10" fontId="35" fillId="0" borderId="18" xfId="0" applyNumberFormat="1" applyFont="1" applyBorder="1" applyAlignment="1">
      <alignment horizontal="center" vertical="center"/>
    </xf>
    <xf numFmtId="10" fontId="32" fillId="0" borderId="43" xfId="0" applyNumberFormat="1" applyFont="1" applyBorder="1" applyAlignment="1">
      <alignment horizontal="center" vertical="center"/>
    </xf>
    <xf numFmtId="3" fontId="32" fillId="0" borderId="40" xfId="0" applyNumberFormat="1" applyFont="1" applyFill="1" applyBorder="1" applyAlignment="1">
      <alignment horizontal="center" vertical="center"/>
    </xf>
    <xf numFmtId="10" fontId="35" fillId="0" borderId="41" xfId="0" applyNumberFormat="1" applyFont="1" applyBorder="1" applyAlignment="1">
      <alignment horizontal="right" vertical="center" wrapText="1"/>
    </xf>
    <xf numFmtId="10" fontId="35" fillId="0" borderId="45" xfId="0" applyNumberFormat="1" applyFont="1" applyBorder="1" applyAlignment="1">
      <alignment horizontal="center" vertical="center" wrapText="1"/>
    </xf>
    <xf numFmtId="10" fontId="32" fillId="0" borderId="0" xfId="0" applyNumberFormat="1" applyFont="1" applyAlignment="1">
      <alignment horizontal="center" vertical="center"/>
    </xf>
    <xf numFmtId="10" fontId="32" fillId="0" borderId="41" xfId="0" applyNumberFormat="1" applyFont="1" applyBorder="1" applyAlignment="1">
      <alignment horizontal="right" vertical="center" wrapText="1"/>
    </xf>
    <xf numFmtId="167" fontId="32" fillId="0" borderId="45" xfId="7" applyNumberFormat="1" applyFont="1" applyBorder="1" applyAlignment="1">
      <alignment horizontal="right" vertical="center" wrapText="1"/>
    </xf>
    <xf numFmtId="10" fontId="32" fillId="43" borderId="3" xfId="0" applyNumberFormat="1" applyFont="1" applyFill="1" applyBorder="1" applyAlignment="1">
      <alignment horizontal="center" vertical="center"/>
    </xf>
    <xf numFmtId="10" fontId="35" fillId="43" borderId="3" xfId="0" applyNumberFormat="1" applyFont="1" applyFill="1" applyBorder="1" applyAlignment="1">
      <alignment horizontal="center" vertical="center"/>
    </xf>
    <xf numFmtId="10" fontId="35" fillId="0" borderId="3" xfId="0" applyNumberFormat="1" applyFont="1" applyBorder="1" applyAlignment="1">
      <alignment horizontal="left"/>
    </xf>
    <xf numFmtId="10" fontId="32" fillId="0" borderId="46" xfId="0" applyNumberFormat="1" applyFont="1" applyBorder="1"/>
    <xf numFmtId="0" fontId="47" fillId="0" borderId="3" xfId="0" applyFont="1" applyBorder="1"/>
    <xf numFmtId="10" fontId="32" fillId="0" borderId="3" xfId="0" applyNumberFormat="1" applyFont="1" applyFill="1" applyBorder="1" applyAlignment="1">
      <alignment horizontal="center" vertical="center"/>
    </xf>
    <xf numFmtId="10" fontId="35" fillId="0" borderId="3" xfId="0" applyNumberFormat="1" applyFont="1" applyFill="1" applyBorder="1" applyAlignment="1">
      <alignment horizontal="center" vertical="center"/>
    </xf>
    <xf numFmtId="3" fontId="32" fillId="0" borderId="3" xfId="0" applyNumberFormat="1" applyFont="1" applyFill="1" applyBorder="1"/>
    <xf numFmtId="10" fontId="43" fillId="0" borderId="3" xfId="0" applyNumberFormat="1" applyFont="1" applyBorder="1" applyAlignment="1">
      <alignment horizontal="right" wrapText="1"/>
    </xf>
    <xf numFmtId="3" fontId="43" fillId="0" borderId="3" xfId="0" applyNumberFormat="1" applyFont="1" applyBorder="1" applyAlignment="1">
      <alignment horizontal="right" wrapText="1"/>
    </xf>
    <xf numFmtId="10" fontId="32" fillId="5" borderId="17" xfId="0" applyNumberFormat="1" applyFont="1" applyFill="1" applyBorder="1"/>
    <xf numFmtId="10" fontId="35" fillId="5" borderId="3" xfId="0" applyNumberFormat="1" applyFont="1" applyFill="1" applyBorder="1" applyAlignment="1">
      <alignment horizontal="center"/>
    </xf>
    <xf numFmtId="3" fontId="35" fillId="5" borderId="1" xfId="0" applyNumberFormat="1" applyFont="1" applyFill="1" applyBorder="1" applyAlignment="1">
      <alignment horizontal="center" vertical="center"/>
    </xf>
    <xf numFmtId="10" fontId="32" fillId="5" borderId="3" xfId="0" applyNumberFormat="1" applyFont="1" applyFill="1" applyBorder="1"/>
    <xf numFmtId="10" fontId="32" fillId="5" borderId="18" xfId="0" applyNumberFormat="1" applyFont="1" applyFill="1" applyBorder="1"/>
    <xf numFmtId="10" fontId="32" fillId="5" borderId="17" xfId="0" applyNumberFormat="1" applyFont="1" applyFill="1" applyBorder="1" applyAlignment="1">
      <alignment horizontal="center"/>
    </xf>
    <xf numFmtId="10" fontId="32" fillId="5" borderId="3" xfId="0" applyNumberFormat="1" applyFont="1" applyFill="1" applyBorder="1" applyAlignment="1">
      <alignment horizontal="center"/>
    </xf>
    <xf numFmtId="10" fontId="32" fillId="5" borderId="18" xfId="0" applyNumberFormat="1" applyFont="1" applyFill="1" applyBorder="1" applyAlignment="1">
      <alignment horizontal="center"/>
    </xf>
    <xf numFmtId="10" fontId="35" fillId="5" borderId="17" xfId="0" applyNumberFormat="1" applyFont="1" applyFill="1" applyBorder="1" applyAlignment="1">
      <alignment horizontal="center"/>
    </xf>
    <xf numFmtId="10" fontId="35" fillId="5" borderId="17" xfId="0" applyNumberFormat="1" applyFont="1" applyFill="1" applyBorder="1"/>
    <xf numFmtId="10" fontId="35" fillId="5" borderId="3" xfId="0" applyNumberFormat="1" applyFont="1" applyFill="1" applyBorder="1"/>
    <xf numFmtId="10" fontId="35" fillId="5" borderId="18" xfId="0" applyNumberFormat="1" applyFont="1" applyFill="1" applyBorder="1"/>
    <xf numFmtId="10" fontId="43" fillId="5" borderId="41" xfId="0" applyNumberFormat="1" applyFont="1" applyFill="1" applyBorder="1" applyAlignment="1">
      <alignment horizontal="right" wrapText="1"/>
    </xf>
    <xf numFmtId="3" fontId="43" fillId="5" borderId="41" xfId="0" applyNumberFormat="1" applyFont="1" applyFill="1" applyBorder="1" applyAlignment="1">
      <alignment horizontal="right" wrapText="1"/>
    </xf>
    <xf numFmtId="10" fontId="32" fillId="0" borderId="3" xfId="0" applyNumberFormat="1" applyFont="1" applyBorder="1" applyAlignment="1">
      <alignment horizontal="left"/>
    </xf>
    <xf numFmtId="10" fontId="32" fillId="0" borderId="0" xfId="0" applyNumberFormat="1" applyFont="1" applyAlignment="1">
      <alignment horizontal="right"/>
    </xf>
    <xf numFmtId="10" fontId="32" fillId="0" borderId="42" xfId="0" applyNumberFormat="1" applyFont="1" applyBorder="1"/>
    <xf numFmtId="10" fontId="35" fillId="0" borderId="47" xfId="0" applyNumberFormat="1" applyFont="1" applyBorder="1"/>
    <xf numFmtId="10" fontId="32" fillId="40" borderId="42" xfId="0" applyNumberFormat="1" applyFont="1" applyFill="1" applyBorder="1"/>
    <xf numFmtId="10" fontId="32" fillId="40" borderId="47" xfId="0" applyNumberFormat="1" applyFont="1" applyFill="1" applyBorder="1"/>
    <xf numFmtId="10" fontId="32" fillId="40" borderId="48" xfId="0" applyNumberFormat="1" applyFont="1" applyFill="1" applyBorder="1"/>
    <xf numFmtId="10" fontId="32" fillId="40" borderId="42" xfId="0" applyNumberFormat="1" applyFont="1" applyFill="1" applyBorder="1" applyAlignment="1">
      <alignment horizontal="center"/>
    </xf>
    <xf numFmtId="10" fontId="32" fillId="0" borderId="47" xfId="0" applyNumberFormat="1" applyFont="1" applyBorder="1" applyAlignment="1">
      <alignment horizontal="center"/>
    </xf>
    <xf numFmtId="10" fontId="32" fillId="0" borderId="48" xfId="0" applyNumberFormat="1" applyFont="1" applyBorder="1" applyAlignment="1">
      <alignment horizontal="center"/>
    </xf>
    <xf numFmtId="10" fontId="35" fillId="0" borderId="42" xfId="0" applyNumberFormat="1" applyFont="1" applyBorder="1" applyAlignment="1">
      <alignment horizontal="center"/>
    </xf>
    <xf numFmtId="10" fontId="35" fillId="0" borderId="47" xfId="0" applyNumberFormat="1" applyFont="1" applyBorder="1" applyAlignment="1">
      <alignment horizontal="center"/>
    </xf>
    <xf numFmtId="10" fontId="32" fillId="0" borderId="42" xfId="0" applyNumberFormat="1" applyFont="1" applyBorder="1" applyAlignment="1">
      <alignment horizontal="center"/>
    </xf>
    <xf numFmtId="10" fontId="32" fillId="0" borderId="47" xfId="0" applyNumberFormat="1" applyFont="1" applyBorder="1"/>
    <xf numFmtId="10" fontId="32" fillId="0" borderId="48" xfId="0" applyNumberFormat="1" applyFont="1" applyBorder="1"/>
    <xf numFmtId="10" fontId="35" fillId="0" borderId="42" xfId="0" applyNumberFormat="1" applyFont="1" applyBorder="1"/>
    <xf numFmtId="10" fontId="35" fillId="0" borderId="48" xfId="0" applyNumberFormat="1" applyFont="1" applyBorder="1"/>
    <xf numFmtId="3" fontId="32" fillId="0" borderId="49" xfId="0" applyNumberFormat="1" applyFont="1" applyFill="1" applyBorder="1"/>
    <xf numFmtId="10" fontId="48" fillId="0" borderId="45" xfId="0" applyNumberFormat="1" applyFont="1" applyBorder="1" applyAlignment="1">
      <alignment horizontal="left" wrapText="1"/>
    </xf>
    <xf numFmtId="3" fontId="48" fillId="0" borderId="45" xfId="0" applyNumberFormat="1" applyFont="1" applyBorder="1" applyAlignment="1">
      <alignment horizontal="right" wrapText="1"/>
    </xf>
    <xf numFmtId="10" fontId="32" fillId="0" borderId="50" xfId="0" applyNumberFormat="1" applyFont="1" applyBorder="1"/>
    <xf numFmtId="10" fontId="32" fillId="0" borderId="51" xfId="0" applyNumberFormat="1" applyFont="1" applyBorder="1"/>
    <xf numFmtId="3" fontId="35" fillId="0" borderId="15" xfId="0" applyNumberFormat="1" applyFont="1" applyBorder="1" applyAlignment="1">
      <alignment horizontal="center" vertical="center"/>
    </xf>
    <xf numFmtId="10" fontId="32" fillId="40" borderId="50" xfId="0" applyNumberFormat="1" applyFont="1" applyFill="1" applyBorder="1"/>
    <xf numFmtId="10" fontId="32" fillId="40" borderId="51" xfId="0" applyNumberFormat="1" applyFont="1" applyFill="1" applyBorder="1"/>
    <xf numFmtId="10" fontId="32" fillId="40" borderId="52" xfId="0" applyNumberFormat="1" applyFont="1" applyFill="1" applyBorder="1"/>
    <xf numFmtId="10" fontId="32" fillId="40" borderId="50" xfId="0" applyNumberFormat="1" applyFont="1" applyFill="1" applyBorder="1" applyAlignment="1">
      <alignment horizontal="center"/>
    </xf>
    <xf numFmtId="10" fontId="32" fillId="0" borderId="51" xfId="0" applyNumberFormat="1" applyFont="1" applyBorder="1" applyAlignment="1">
      <alignment horizontal="center"/>
    </xf>
    <xf numFmtId="10" fontId="32" fillId="0" borderId="52" xfId="0" applyNumberFormat="1" applyFont="1" applyBorder="1" applyAlignment="1">
      <alignment horizontal="center"/>
    </xf>
    <xf numFmtId="10" fontId="35" fillId="0" borderId="50" xfId="0" applyNumberFormat="1" applyFont="1" applyBorder="1" applyAlignment="1">
      <alignment horizontal="center"/>
    </xf>
    <xf numFmtId="10" fontId="35" fillId="0" borderId="51" xfId="0" applyNumberFormat="1" applyFont="1" applyBorder="1" applyAlignment="1">
      <alignment horizontal="center"/>
    </xf>
    <xf numFmtId="10" fontId="32" fillId="0" borderId="50" xfId="0" applyNumberFormat="1" applyFont="1" applyBorder="1" applyAlignment="1">
      <alignment horizontal="center"/>
    </xf>
    <xf numFmtId="10" fontId="32" fillId="0" borderId="52" xfId="0" applyNumberFormat="1" applyFont="1" applyBorder="1"/>
    <xf numFmtId="10" fontId="35" fillId="0" borderId="50" xfId="0" applyNumberFormat="1" applyFont="1" applyBorder="1"/>
    <xf numFmtId="10" fontId="35" fillId="0" borderId="51" xfId="0" applyNumberFormat="1" applyFont="1" applyBorder="1"/>
    <xf numFmtId="10" fontId="35" fillId="0" borderId="52" xfId="0" applyNumberFormat="1" applyFont="1" applyBorder="1"/>
    <xf numFmtId="3" fontId="32" fillId="0" borderId="53" xfId="0" applyNumberFormat="1" applyFont="1" applyFill="1" applyBorder="1"/>
    <xf numFmtId="10" fontId="43" fillId="0" borderId="16" xfId="0" applyNumberFormat="1" applyFont="1" applyBorder="1" applyAlignment="1">
      <alignment horizontal="left" wrapText="1"/>
    </xf>
    <xf numFmtId="10" fontId="43" fillId="0" borderId="16" xfId="0" applyNumberFormat="1" applyFont="1" applyBorder="1" applyAlignment="1">
      <alignment horizontal="right" wrapText="1"/>
    </xf>
    <xf numFmtId="10" fontId="32" fillId="0" borderId="0" xfId="0" applyNumberFormat="1" applyFont="1" applyBorder="1"/>
    <xf numFmtId="3" fontId="35" fillId="0" borderId="0" xfId="0" applyNumberFormat="1" applyFont="1" applyBorder="1" applyAlignment="1">
      <alignment horizontal="center" vertical="center"/>
    </xf>
    <xf numFmtId="10" fontId="32" fillId="40" borderId="0" xfId="0" applyNumberFormat="1" applyFont="1" applyFill="1" applyBorder="1"/>
    <xf numFmtId="10" fontId="32" fillId="40" borderId="0" xfId="0" applyNumberFormat="1" applyFont="1" applyFill="1" applyBorder="1" applyAlignment="1">
      <alignment horizontal="center"/>
    </xf>
    <xf numFmtId="10" fontId="32" fillId="0" borderId="0" xfId="0" applyNumberFormat="1" applyFont="1" applyBorder="1" applyAlignment="1">
      <alignment horizontal="center"/>
    </xf>
    <xf numFmtId="10" fontId="35" fillId="0" borderId="0" xfId="0" applyNumberFormat="1" applyFont="1" applyBorder="1" applyAlignment="1">
      <alignment horizontal="center"/>
    </xf>
    <xf numFmtId="10" fontId="35" fillId="0" borderId="0" xfId="0" applyNumberFormat="1" applyFont="1" applyBorder="1"/>
    <xf numFmtId="3" fontId="32" fillId="0" borderId="0" xfId="0" applyNumberFormat="1" applyFont="1" applyFill="1" applyBorder="1"/>
    <xf numFmtId="10" fontId="43" fillId="0" borderId="0" xfId="0" applyNumberFormat="1" applyFont="1" applyBorder="1" applyAlignment="1">
      <alignment horizontal="left" wrapText="1"/>
    </xf>
    <xf numFmtId="10" fontId="43" fillId="0" borderId="0" xfId="0" applyNumberFormat="1" applyFont="1" applyBorder="1" applyAlignment="1">
      <alignment horizontal="right" wrapText="1"/>
    </xf>
    <xf numFmtId="3" fontId="32" fillId="0" borderId="0" xfId="0" applyNumberFormat="1" applyFont="1" applyBorder="1" applyAlignment="1">
      <alignment wrapText="1"/>
    </xf>
    <xf numFmtId="10" fontId="32" fillId="0" borderId="13" xfId="0" applyNumberFormat="1" applyFont="1" applyBorder="1"/>
    <xf numFmtId="10" fontId="32" fillId="40" borderId="44" xfId="0" applyNumberFormat="1" applyFont="1" applyFill="1" applyBorder="1"/>
    <xf numFmtId="10" fontId="32" fillId="40" borderId="13" xfId="0" applyNumberFormat="1" applyFont="1" applyFill="1" applyBorder="1"/>
    <xf numFmtId="10" fontId="32" fillId="40" borderId="54" xfId="0" applyNumberFormat="1" applyFont="1" applyFill="1" applyBorder="1"/>
    <xf numFmtId="10" fontId="32" fillId="40" borderId="44" xfId="0" applyNumberFormat="1" applyFont="1" applyFill="1" applyBorder="1" applyAlignment="1">
      <alignment horizontal="center"/>
    </xf>
    <xf numFmtId="10" fontId="32" fillId="0" borderId="13" xfId="0" applyNumberFormat="1" applyFont="1" applyBorder="1" applyAlignment="1">
      <alignment horizontal="center"/>
    </xf>
    <xf numFmtId="10" fontId="32" fillId="0" borderId="54" xfId="0" applyNumberFormat="1" applyFont="1" applyBorder="1" applyAlignment="1">
      <alignment horizontal="center"/>
    </xf>
    <xf numFmtId="10" fontId="35" fillId="0" borderId="44" xfId="0" applyNumberFormat="1" applyFont="1" applyBorder="1" applyAlignment="1">
      <alignment horizontal="center"/>
    </xf>
    <xf numFmtId="10" fontId="35" fillId="0" borderId="13" xfId="0" applyNumberFormat="1" applyFont="1" applyBorder="1" applyAlignment="1">
      <alignment horizontal="center"/>
    </xf>
    <xf numFmtId="10" fontId="32" fillId="0" borderId="44" xfId="0" applyNumberFormat="1" applyFont="1" applyBorder="1" applyAlignment="1">
      <alignment horizontal="center"/>
    </xf>
    <xf numFmtId="10" fontId="32" fillId="0" borderId="54" xfId="0" applyNumberFormat="1" applyFont="1" applyBorder="1"/>
    <xf numFmtId="10" fontId="35" fillId="0" borderId="44" xfId="0" applyNumberFormat="1" applyFont="1" applyBorder="1"/>
    <xf numFmtId="10" fontId="35" fillId="0" borderId="13" xfId="0" applyNumberFormat="1" applyFont="1" applyBorder="1"/>
    <xf numFmtId="10" fontId="35" fillId="0" borderId="54" xfId="0" applyNumberFormat="1" applyFont="1" applyBorder="1"/>
    <xf numFmtId="3" fontId="32" fillId="0" borderId="55" xfId="0" applyNumberFormat="1" applyFont="1" applyFill="1" applyBorder="1"/>
    <xf numFmtId="10" fontId="43" fillId="0" borderId="56" xfId="0" applyNumberFormat="1" applyFont="1" applyBorder="1" applyAlignment="1">
      <alignment horizontal="left" wrapText="1"/>
    </xf>
    <xf numFmtId="3" fontId="32" fillId="0" borderId="55" xfId="0" applyNumberFormat="1" applyFont="1" applyBorder="1" applyAlignment="1">
      <alignment wrapText="1"/>
    </xf>
    <xf numFmtId="10" fontId="43" fillId="0" borderId="41" xfId="0" applyNumberFormat="1" applyFont="1" applyBorder="1" applyAlignment="1">
      <alignment horizontal="left" wrapText="1"/>
    </xf>
    <xf numFmtId="3" fontId="32" fillId="0" borderId="40" xfId="0" applyNumberFormat="1" applyFont="1" applyBorder="1" applyAlignment="1">
      <alignment wrapText="1"/>
    </xf>
    <xf numFmtId="3" fontId="35" fillId="40" borderId="1" xfId="0" applyNumberFormat="1" applyFont="1" applyFill="1" applyBorder="1" applyAlignment="1">
      <alignment horizontal="center" vertical="center"/>
    </xf>
    <xf numFmtId="10" fontId="35" fillId="40" borderId="17" xfId="0" applyNumberFormat="1" applyFont="1" applyFill="1" applyBorder="1"/>
    <xf numFmtId="10" fontId="35" fillId="40" borderId="18" xfId="0" applyNumberFormat="1" applyFont="1" applyFill="1" applyBorder="1"/>
    <xf numFmtId="9" fontId="0" fillId="2" borderId="0" xfId="1" applyFont="1" applyFill="1"/>
    <xf numFmtId="4" fontId="0" fillId="0" borderId="0" xfId="0" applyNumberFormat="1" applyFill="1"/>
    <xf numFmtId="4" fontId="0" fillId="0" borderId="0" xfId="0" applyNumberFormat="1" applyFont="1" applyFill="1"/>
    <xf numFmtId="2" fontId="0" fillId="4" borderId="0" xfId="1" applyNumberFormat="1" applyFont="1" applyFill="1"/>
    <xf numFmtId="43" fontId="0" fillId="2" borderId="0" xfId="7" applyFont="1" applyFill="1"/>
    <xf numFmtId="0" fontId="0" fillId="0" borderId="0" xfId="0" applyNumberFormat="1" applyFill="1"/>
    <xf numFmtId="3" fontId="0" fillId="0" borderId="0" xfId="0" applyNumberFormat="1" applyBorder="1"/>
    <xf numFmtId="0" fontId="0" fillId="0" borderId="0" xfId="0" applyNumberFormat="1" applyBorder="1"/>
    <xf numFmtId="3" fontId="0" fillId="0" borderId="0" xfId="0" applyNumberFormat="1" applyFont="1" applyFill="1"/>
    <xf numFmtId="0" fontId="0" fillId="0" borderId="0" xfId="0" applyFill="1"/>
    <xf numFmtId="3" fontId="16" fillId="0" borderId="22" xfId="0" applyNumberFormat="1" applyFont="1" applyFill="1" applyBorder="1"/>
    <xf numFmtId="43" fontId="0" fillId="0" borderId="0" xfId="7" applyFont="1" applyFill="1"/>
    <xf numFmtId="3" fontId="14" fillId="2" borderId="0" xfId="0" applyNumberFormat="1" applyFont="1" applyFill="1"/>
    <xf numFmtId="0" fontId="2" fillId="4" borderId="1" xfId="0" applyFont="1" applyFill="1" applyBorder="1" applyAlignment="1">
      <alignment horizontal="center"/>
    </xf>
    <xf numFmtId="0" fontId="51" fillId="3" borderId="13" xfId="0" applyFont="1" applyFill="1" applyBorder="1" applyAlignment="1">
      <alignment horizontal="center" vertical="center"/>
    </xf>
    <xf numFmtId="3" fontId="2" fillId="4" borderId="17" xfId="0" applyNumberFormat="1" applyFont="1" applyFill="1" applyBorder="1" applyAlignment="1">
      <alignment horizontal="right"/>
    </xf>
    <xf numFmtId="3" fontId="2" fillId="4" borderId="3" xfId="0" applyNumberFormat="1" applyFont="1" applyFill="1" applyBorder="1" applyAlignment="1">
      <alignment horizontal="right"/>
    </xf>
    <xf numFmtId="9" fontId="2" fillId="4" borderId="18" xfId="1" applyFont="1" applyFill="1" applyBorder="1"/>
    <xf numFmtId="0" fontId="51" fillId="3" borderId="3" xfId="0" applyFont="1" applyFill="1" applyBorder="1" applyAlignment="1">
      <alignment horizontal="center" vertical="center"/>
    </xf>
    <xf numFmtId="0" fontId="52" fillId="4" borderId="0" xfId="2" quotePrefix="1" applyFont="1" applyFill="1" applyAlignment="1">
      <alignment horizontal="center"/>
    </xf>
    <xf numFmtId="3" fontId="2" fillId="4" borderId="0" xfId="0" applyNumberFormat="1" applyFont="1" applyFill="1"/>
    <xf numFmtId="3" fontId="2" fillId="4" borderId="0" xfId="0" applyNumberFormat="1" applyFont="1" applyFill="1" applyAlignment="1">
      <alignment horizontal="center"/>
    </xf>
    <xf numFmtId="0" fontId="2" fillId="4" borderId="0" xfId="0" applyFont="1" applyFill="1" applyAlignment="1">
      <alignment horizontal="center"/>
    </xf>
    <xf numFmtId="0" fontId="2" fillId="38" borderId="0" xfId="0" applyNumberFormat="1" applyFont="1" applyFill="1" applyBorder="1"/>
    <xf numFmtId="0" fontId="0" fillId="0" borderId="33" xfId="0" applyNumberFormat="1" applyFont="1" applyFill="1" applyBorder="1"/>
    <xf numFmtId="14" fontId="0" fillId="4" borderId="0" xfId="1" applyNumberFormat="1" applyFont="1" applyFill="1"/>
    <xf numFmtId="0" fontId="2" fillId="2" borderId="14" xfId="0" applyFont="1" applyFill="1" applyBorder="1" applyAlignment="1">
      <alignment horizontal="left"/>
    </xf>
    <xf numFmtId="0" fontId="2" fillId="2" borderId="15" xfId="0" applyFont="1" applyFill="1" applyBorder="1" applyAlignment="1">
      <alignment horizontal="left"/>
    </xf>
    <xf numFmtId="0" fontId="2" fillId="2" borderId="14" xfId="0" applyFont="1" applyFill="1" applyBorder="1" applyAlignment="1">
      <alignment horizontal="center"/>
    </xf>
    <xf numFmtId="0" fontId="2" fillId="2" borderId="15" xfId="0" applyFont="1" applyFill="1" applyBorder="1" applyAlignment="1">
      <alignment horizontal="center"/>
    </xf>
    <xf numFmtId="0" fontId="0" fillId="4" borderId="14" xfId="0" applyFill="1" applyBorder="1" applyAlignment="1">
      <alignment horizontal="center"/>
    </xf>
    <xf numFmtId="0" fontId="0" fillId="4" borderId="15" xfId="0" applyFill="1" applyBorder="1" applyAlignment="1">
      <alignment horizontal="center"/>
    </xf>
    <xf numFmtId="0" fontId="0" fillId="4" borderId="16" xfId="0" applyFill="1" applyBorder="1" applyAlignment="1">
      <alignment horizontal="center"/>
    </xf>
    <xf numFmtId="0" fontId="2" fillId="0" borderId="0" xfId="0" applyFont="1" applyAlignment="1">
      <alignment horizontal="left" vertic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vertical="center" wrapText="1"/>
    </xf>
    <xf numFmtId="17" fontId="34" fillId="0" borderId="0" xfId="0" applyNumberFormat="1" applyFont="1" applyAlignment="1">
      <alignment horizontal="center" vertical="center"/>
    </xf>
    <xf numFmtId="0" fontId="0" fillId="0" borderId="0" xfId="0" applyAlignment="1">
      <alignment horizontal="left" wrapText="1"/>
    </xf>
    <xf numFmtId="0" fontId="34" fillId="0" borderId="0" xfId="0" applyFont="1" applyAlignment="1">
      <alignment horizontal="center" vertical="center"/>
    </xf>
    <xf numFmtId="0" fontId="4" fillId="0" borderId="0" xfId="0" applyFont="1" applyAlignment="1">
      <alignment horizontal="center" wrapText="1"/>
    </xf>
    <xf numFmtId="0" fontId="0" fillId="0" borderId="0" xfId="0" applyFont="1" applyAlignment="1">
      <alignment wrapText="1"/>
    </xf>
    <xf numFmtId="17" fontId="35" fillId="40" borderId="36" xfId="0" applyNumberFormat="1" applyFont="1" applyFill="1" applyBorder="1" applyAlignment="1">
      <alignment horizontal="center"/>
    </xf>
    <xf numFmtId="10" fontId="35" fillId="40" borderId="37" xfId="0" applyNumberFormat="1" applyFont="1" applyFill="1" applyBorder="1" applyAlignment="1">
      <alignment horizontal="center"/>
    </xf>
    <xf numFmtId="10" fontId="35" fillId="40" borderId="38" xfId="0" applyNumberFormat="1" applyFont="1" applyFill="1" applyBorder="1" applyAlignment="1">
      <alignment horizontal="center"/>
    </xf>
    <xf numFmtId="0" fontId="0" fillId="4" borderId="6" xfId="0" applyFill="1" applyBorder="1" applyAlignment="1" applyProtection="1">
      <alignment horizontal="left" vertical="top" wrapText="1"/>
      <protection locked="0"/>
    </xf>
    <xf numFmtId="0" fontId="0" fillId="4" borderId="7" xfId="0" applyFill="1" applyBorder="1" applyAlignment="1" applyProtection="1">
      <alignment horizontal="left" vertical="top" wrapText="1"/>
      <protection locked="0"/>
    </xf>
    <xf numFmtId="0" fontId="0" fillId="4" borderId="8" xfId="0" applyFill="1" applyBorder="1" applyAlignment="1" applyProtection="1">
      <alignment horizontal="left" vertical="top" wrapText="1"/>
      <protection locked="0"/>
    </xf>
    <xf numFmtId="0" fontId="0" fillId="4" borderId="9" xfId="0" applyFill="1" applyBorder="1" applyAlignment="1" applyProtection="1">
      <alignment horizontal="left" vertical="top" wrapText="1"/>
      <protection locked="0"/>
    </xf>
    <xf numFmtId="0" fontId="0" fillId="4" borderId="0" xfId="0" applyFill="1" applyAlignment="1" applyProtection="1">
      <alignment horizontal="left" vertical="top" wrapText="1"/>
      <protection locked="0"/>
    </xf>
    <xf numFmtId="0" fontId="0" fillId="4" borderId="10" xfId="0" applyFill="1" applyBorder="1" applyAlignment="1" applyProtection="1">
      <alignment horizontal="left" vertical="top" wrapText="1"/>
      <protection locked="0"/>
    </xf>
    <xf numFmtId="0" fontId="0" fillId="4" borderId="11" xfId="0" applyFill="1" applyBorder="1" applyAlignment="1" applyProtection="1">
      <alignment horizontal="left" vertical="top" wrapText="1"/>
      <protection locked="0"/>
    </xf>
    <xf numFmtId="0" fontId="0" fillId="4" borderId="5" xfId="0" applyFill="1" applyBorder="1" applyAlignment="1" applyProtection="1">
      <alignment horizontal="left" vertical="top" wrapText="1"/>
      <protection locked="0"/>
    </xf>
    <xf numFmtId="0" fontId="0" fillId="4" borderId="12" xfId="0" applyFill="1" applyBorder="1" applyAlignment="1" applyProtection="1">
      <alignment horizontal="left" vertical="top" wrapText="1"/>
      <protection locked="0"/>
    </xf>
  </cellXfs>
  <cellStyles count="49">
    <cellStyle name="20% - Accent1" xfId="26" builtinId="30" customBuiltin="1"/>
    <cellStyle name="20% - Accent2" xfId="30" builtinId="34" customBuiltin="1"/>
    <cellStyle name="20% - Accent3" xfId="34" builtinId="38" customBuiltin="1"/>
    <cellStyle name="20% - Accent4" xfId="38" builtinId="42" customBuiltin="1"/>
    <cellStyle name="20% - Accent5" xfId="42" builtinId="46" customBuiltin="1"/>
    <cellStyle name="20% - Accent6" xfId="46" builtinId="50" customBuiltin="1"/>
    <cellStyle name="40% - Accent1" xfId="27" builtinId="31" customBuiltin="1"/>
    <cellStyle name="40% - Accent2" xfId="31" builtinId="35" customBuiltin="1"/>
    <cellStyle name="40% - Accent3" xfId="35" builtinId="39" customBuiltin="1"/>
    <cellStyle name="40% - Accent4" xfId="39" builtinId="43" customBuiltin="1"/>
    <cellStyle name="40% - Accent5" xfId="43" builtinId="47" customBuiltin="1"/>
    <cellStyle name="40% - Accent6" xfId="47" builtinId="51" customBuiltin="1"/>
    <cellStyle name="60% - Accent1" xfId="28" builtinId="32" customBuiltin="1"/>
    <cellStyle name="60% - Accent2" xfId="32" builtinId="36" customBuiltin="1"/>
    <cellStyle name="60% - Accent3" xfId="36" builtinId="40" customBuiltin="1"/>
    <cellStyle name="60% - Accent4" xfId="40" builtinId="44" customBuiltin="1"/>
    <cellStyle name="60% - Accent5" xfId="44" builtinId="48" customBuiltin="1"/>
    <cellStyle name="60% - Accent6" xfId="48" builtinId="52" customBuiltin="1"/>
    <cellStyle name="Accent1" xfId="25" builtinId="29" customBuiltin="1"/>
    <cellStyle name="Accent2" xfId="29" builtinId="33" customBuiltin="1"/>
    <cellStyle name="Accent3" xfId="33" builtinId="37" customBuiltin="1"/>
    <cellStyle name="Accent4" xfId="37" builtinId="41" customBuiltin="1"/>
    <cellStyle name="Accent5" xfId="41" builtinId="45" customBuiltin="1"/>
    <cellStyle name="Accent6" xfId="45" builtinId="49" customBuiltin="1"/>
    <cellStyle name="Bad" xfId="14" builtinId="27" customBuiltin="1"/>
    <cellStyle name="Calculation" xfId="18" builtinId="22" customBuiltin="1"/>
    <cellStyle name="Check Cell" xfId="20" builtinId="23" customBuiltin="1"/>
    <cellStyle name="Comma" xfId="7" builtinId="3"/>
    <cellStyle name="Comma 2" xfId="6"/>
    <cellStyle name="Comma 3" xfId="5"/>
    <cellStyle name="Explanatory Text" xfId="23" builtinId="53" customBuiltin="1"/>
    <cellStyle name="Good" xfId="13" builtinId="26" customBuiltin="1"/>
    <cellStyle name="Heading 1" xfId="9" builtinId="16" customBuiltin="1"/>
    <cellStyle name="Heading 2" xfId="10" builtinId="17" customBuiltin="1"/>
    <cellStyle name="Heading 3" xfId="11" builtinId="18" customBuiltin="1"/>
    <cellStyle name="Heading 4" xfId="12" builtinId="19" customBuiltin="1"/>
    <cellStyle name="Hyperlink" xfId="2" builtinId="8"/>
    <cellStyle name="Input" xfId="16" builtinId="20" customBuiltin="1"/>
    <cellStyle name="Linked Cell" xfId="19" builtinId="24" customBuiltin="1"/>
    <cellStyle name="Neutral" xfId="15" builtinId="28" customBuiltin="1"/>
    <cellStyle name="Normal" xfId="0" builtinId="0"/>
    <cellStyle name="Normal 2" xfId="4"/>
    <cellStyle name="Note" xfId="22" builtinId="10" customBuiltin="1"/>
    <cellStyle name="Output" xfId="17" builtinId="21" customBuiltin="1"/>
    <cellStyle name="Percent" xfId="1" builtinId="5"/>
    <cellStyle name="Standaard 2" xfId="3"/>
    <cellStyle name="Title" xfId="8" builtinId="15" customBuiltin="1"/>
    <cellStyle name="Total" xfId="24" builtinId="25" customBuiltin="1"/>
    <cellStyle name="Warning Text" xfId="21" builtinId="11" customBuiltin="1"/>
  </cellStyles>
  <dxfs count="1154">
    <dxf>
      <font>
        <color rgb="FFFFFF00"/>
      </font>
    </dxf>
    <dxf>
      <font>
        <color rgb="FF00FF00"/>
      </font>
    </dxf>
    <dxf>
      <font>
        <color rgb="FFFF0000"/>
      </font>
    </dxf>
    <dxf>
      <font>
        <color rgb="FFFFFF00"/>
      </font>
    </dxf>
    <dxf>
      <font>
        <color rgb="FF00FF00"/>
      </font>
    </dxf>
    <dxf>
      <font>
        <color rgb="FFFF0000"/>
      </font>
    </dxf>
    <dxf>
      <font>
        <color rgb="FFFFFF00"/>
      </font>
    </dxf>
    <dxf>
      <font>
        <color rgb="FF00FF00"/>
      </font>
    </dxf>
    <dxf>
      <font>
        <color rgb="FFFF0000"/>
      </font>
    </dxf>
    <dxf>
      <font>
        <color rgb="FFFFFF00"/>
      </font>
    </dxf>
    <dxf>
      <font>
        <color rgb="FF00FF00"/>
      </font>
    </dxf>
    <dxf>
      <font>
        <color rgb="FFFF0000"/>
      </font>
    </dxf>
    <dxf>
      <font>
        <color rgb="FFFFFF00"/>
      </font>
    </dxf>
    <dxf>
      <font>
        <color rgb="FF00FF00"/>
      </font>
    </dxf>
    <dxf>
      <font>
        <color rgb="FFFF0000"/>
      </font>
    </dxf>
    <dxf>
      <font>
        <color rgb="FFFFFF00"/>
      </font>
    </dxf>
    <dxf>
      <font>
        <color rgb="FF00FF00"/>
      </font>
    </dxf>
    <dxf>
      <font>
        <color rgb="FFFF0000"/>
      </font>
    </dxf>
    <dxf>
      <font>
        <color rgb="FFFFFF00"/>
      </font>
    </dxf>
    <dxf>
      <font>
        <color rgb="FF00FF00"/>
      </font>
    </dxf>
    <dxf>
      <font>
        <color rgb="FFFF0000"/>
      </font>
    </dxf>
    <dxf>
      <font>
        <color rgb="FFFFFF00"/>
      </font>
    </dxf>
    <dxf>
      <font>
        <color rgb="FF00FF00"/>
      </font>
    </dxf>
    <dxf>
      <font>
        <color rgb="FFFF0000"/>
      </font>
    </dxf>
    <dxf>
      <font>
        <color rgb="FFFFFF00"/>
      </font>
    </dxf>
    <dxf>
      <font>
        <color rgb="FF00FF00"/>
      </font>
    </dxf>
    <dxf>
      <font>
        <color rgb="FFFF0000"/>
      </font>
    </dxf>
    <dxf>
      <font>
        <color rgb="FFFFFF00"/>
      </font>
    </dxf>
    <dxf>
      <font>
        <color rgb="FF00FF00"/>
      </font>
    </dxf>
    <dxf>
      <font>
        <color rgb="FFFF0000"/>
      </font>
    </dxf>
    <dxf>
      <font>
        <color rgb="FFFFFF00"/>
      </font>
    </dxf>
    <dxf>
      <font>
        <color rgb="FF00FF00"/>
      </font>
    </dxf>
    <dxf>
      <font>
        <color rgb="FFFF0000"/>
      </font>
    </dxf>
    <dxf>
      <font>
        <color rgb="FFFFFF00"/>
      </font>
    </dxf>
    <dxf>
      <font>
        <color rgb="FF00FF00"/>
      </font>
    </dxf>
    <dxf>
      <font>
        <color rgb="FFFF0000"/>
      </font>
    </dxf>
    <dxf>
      <font>
        <color rgb="FFFFFF00"/>
      </font>
    </dxf>
    <dxf>
      <font>
        <color rgb="FF00FF00"/>
      </font>
    </dxf>
    <dxf>
      <font>
        <color rgb="FFFF0000"/>
      </font>
    </dxf>
    <dxf>
      <font>
        <color rgb="FFFFFF00"/>
      </font>
    </dxf>
    <dxf>
      <font>
        <color rgb="FF00FF00"/>
      </font>
    </dxf>
    <dxf>
      <font>
        <color rgb="FFFF0000"/>
      </font>
    </dxf>
    <dxf>
      <font>
        <color rgb="FFFFFF00"/>
      </font>
    </dxf>
    <dxf>
      <font>
        <color rgb="FF00FF00"/>
      </font>
    </dxf>
    <dxf>
      <font>
        <color rgb="FFFF0000"/>
      </font>
    </dxf>
    <dxf>
      <font>
        <color rgb="FFFFFF00"/>
      </font>
    </dxf>
    <dxf>
      <font>
        <color rgb="FF00FF00"/>
      </font>
    </dxf>
    <dxf>
      <font>
        <color rgb="FFFF0000"/>
      </font>
    </dxf>
    <dxf>
      <font>
        <color rgb="FFFFFF00"/>
      </font>
    </dxf>
    <dxf>
      <font>
        <color rgb="FF00FF00"/>
      </font>
    </dxf>
    <dxf>
      <font>
        <color rgb="FFFF0000"/>
      </font>
    </dxf>
    <dxf>
      <font>
        <color rgb="FFFFFF00"/>
      </font>
    </dxf>
    <dxf>
      <font>
        <color rgb="FF00FF00"/>
      </font>
    </dxf>
    <dxf>
      <font>
        <color rgb="FFFF0000"/>
      </font>
    </dxf>
    <dxf>
      <font>
        <color rgb="FFFFFF00"/>
      </font>
    </dxf>
    <dxf>
      <font>
        <color rgb="FF00FF00"/>
      </font>
    </dxf>
    <dxf>
      <font>
        <color rgb="FFFF0000"/>
      </font>
    </dxf>
    <dxf>
      <font>
        <color rgb="FFFFFF00"/>
      </font>
    </dxf>
    <dxf>
      <font>
        <color rgb="FF00FF00"/>
      </font>
    </dxf>
    <dxf>
      <font>
        <color rgb="FFFF0000"/>
      </font>
    </dxf>
    <dxf>
      <font>
        <color rgb="FFFFFF00"/>
      </font>
    </dxf>
    <dxf>
      <font>
        <color rgb="FF00FF00"/>
      </font>
    </dxf>
    <dxf>
      <font>
        <color rgb="FFFF0000"/>
      </font>
    </dxf>
    <dxf>
      <font>
        <color rgb="FFFFFF00"/>
      </font>
    </dxf>
    <dxf>
      <font>
        <color rgb="FF00FF00"/>
      </font>
    </dxf>
    <dxf>
      <font>
        <color rgb="FFFF0000"/>
      </font>
    </dxf>
    <dxf>
      <font>
        <color rgb="FFFFFF00"/>
      </font>
    </dxf>
    <dxf>
      <font>
        <color rgb="FF00FF00"/>
      </font>
    </dxf>
    <dxf>
      <font>
        <color rgb="FFFF0000"/>
      </font>
    </dxf>
    <dxf>
      <font>
        <color rgb="FFFFFF00"/>
      </font>
    </dxf>
    <dxf>
      <font>
        <color rgb="FF00FF00"/>
      </font>
    </dxf>
    <dxf>
      <font>
        <color rgb="FFFF0000"/>
      </font>
    </dxf>
    <dxf>
      <font>
        <color rgb="FFFFFF00"/>
      </font>
    </dxf>
    <dxf>
      <font>
        <color rgb="FF00FF00"/>
      </font>
    </dxf>
    <dxf>
      <font>
        <color rgb="FFFF0000"/>
      </font>
    </dxf>
    <dxf>
      <font>
        <color rgb="FFFFFF00"/>
      </font>
    </dxf>
    <dxf>
      <font>
        <color rgb="FF00FF00"/>
      </font>
    </dxf>
    <dxf>
      <font>
        <color rgb="FFFF0000"/>
      </font>
    </dxf>
    <dxf>
      <font>
        <color rgb="FFFFFF00"/>
      </font>
    </dxf>
    <dxf>
      <font>
        <color rgb="FF00FF00"/>
      </font>
    </dxf>
    <dxf>
      <font>
        <color rgb="FFFF0000"/>
      </font>
    </dxf>
    <dxf>
      <font>
        <color rgb="FFFFFF00"/>
      </font>
    </dxf>
    <dxf>
      <font>
        <color rgb="FF00FF00"/>
      </font>
    </dxf>
    <dxf>
      <font>
        <color rgb="FFFF0000"/>
      </font>
    </dxf>
    <dxf>
      <font>
        <color rgb="FFFFFF00"/>
      </font>
    </dxf>
    <dxf>
      <font>
        <color rgb="FF00FF00"/>
      </font>
    </dxf>
    <dxf>
      <font>
        <color rgb="FFFF0000"/>
      </font>
    </dxf>
    <dxf>
      <font>
        <color rgb="FFFFFF00"/>
      </font>
    </dxf>
    <dxf>
      <font>
        <color rgb="FF00FF00"/>
      </font>
    </dxf>
    <dxf>
      <font>
        <color rgb="FFFF0000"/>
      </font>
    </dxf>
    <dxf>
      <font>
        <color rgb="FFFFFF00"/>
      </font>
    </dxf>
    <dxf>
      <font>
        <color rgb="FF00FF00"/>
      </font>
    </dxf>
    <dxf>
      <font>
        <color rgb="FFFF0000"/>
      </font>
    </dxf>
    <dxf>
      <font>
        <color rgb="FFFFFF00"/>
      </font>
    </dxf>
    <dxf>
      <font>
        <color rgb="FF00FF00"/>
      </font>
    </dxf>
    <dxf>
      <font>
        <color rgb="FFFF0000"/>
      </font>
    </dxf>
    <dxf>
      <font>
        <color rgb="FFFFFF00"/>
      </font>
    </dxf>
    <dxf>
      <font>
        <color rgb="FF00FF00"/>
      </font>
    </dxf>
    <dxf>
      <font>
        <color rgb="FFFF0000"/>
      </font>
    </dxf>
    <dxf>
      <font>
        <color rgb="FFFFFF00"/>
      </font>
    </dxf>
    <dxf>
      <font>
        <color rgb="FF00FF00"/>
      </font>
    </dxf>
    <dxf>
      <font>
        <color rgb="FFFF0000"/>
      </font>
    </dxf>
    <dxf>
      <font>
        <color rgb="FFFFFF00"/>
      </font>
    </dxf>
    <dxf>
      <font>
        <color rgb="FF00FF00"/>
      </font>
    </dxf>
    <dxf>
      <font>
        <color rgb="FFFF0000"/>
      </font>
    </dxf>
    <dxf>
      <font>
        <color rgb="FFFFFF00"/>
      </font>
    </dxf>
    <dxf>
      <font>
        <color rgb="FF00FF00"/>
      </font>
    </dxf>
    <dxf>
      <font>
        <color rgb="FFFF0000"/>
      </font>
    </dxf>
    <dxf>
      <font>
        <color rgb="FFFFFF00"/>
      </font>
    </dxf>
    <dxf>
      <font>
        <color rgb="FF00FF00"/>
      </font>
    </dxf>
    <dxf>
      <font>
        <color rgb="FFFF0000"/>
      </font>
    </dxf>
    <dxf>
      <font>
        <color rgb="FFFFFF00"/>
      </font>
    </dxf>
    <dxf>
      <font>
        <color rgb="FF00FF00"/>
      </font>
    </dxf>
    <dxf>
      <font>
        <color rgb="FFFF0000"/>
      </font>
    </dxf>
    <dxf>
      <font>
        <color rgb="FFFFFF00"/>
      </font>
    </dxf>
    <dxf>
      <font>
        <color rgb="FF00FF00"/>
      </font>
    </dxf>
    <dxf>
      <font>
        <color rgb="FFFF0000"/>
      </font>
    </dxf>
    <dxf>
      <font>
        <color rgb="FFFFFF00"/>
      </font>
    </dxf>
    <dxf>
      <font>
        <color rgb="FF00FF00"/>
      </font>
    </dxf>
    <dxf>
      <font>
        <color rgb="FFFF0000"/>
      </font>
    </dxf>
    <dxf>
      <font>
        <color rgb="FFFFFF00"/>
      </font>
    </dxf>
    <dxf>
      <font>
        <color rgb="FF00FF00"/>
      </font>
    </dxf>
    <dxf>
      <font>
        <color rgb="FFFF0000"/>
      </font>
    </dxf>
    <dxf>
      <font>
        <color rgb="FFFFFF00"/>
      </font>
    </dxf>
    <dxf>
      <font>
        <color rgb="FF00FF00"/>
      </font>
    </dxf>
    <dxf>
      <font>
        <color rgb="FFFF0000"/>
      </font>
    </dxf>
    <dxf>
      <font>
        <color rgb="FFFFFF00"/>
      </font>
    </dxf>
    <dxf>
      <font>
        <color rgb="FF00FF00"/>
      </font>
    </dxf>
    <dxf>
      <font>
        <color rgb="FFFF0000"/>
      </font>
    </dxf>
    <dxf>
      <font>
        <color rgb="FFFFFF00"/>
      </font>
    </dxf>
    <dxf>
      <font>
        <color rgb="FF00FF00"/>
      </font>
    </dxf>
    <dxf>
      <font>
        <color rgb="FFFF0000"/>
      </font>
    </dxf>
    <dxf>
      <font>
        <color rgb="FFFFFF00"/>
      </font>
    </dxf>
    <dxf>
      <font>
        <color rgb="FF00FF00"/>
      </font>
    </dxf>
    <dxf>
      <font>
        <color rgb="FFFF0000"/>
      </font>
    </dxf>
    <dxf>
      <font>
        <color rgb="FFFFFF00"/>
      </font>
    </dxf>
    <dxf>
      <font>
        <color rgb="FF00FF00"/>
      </font>
    </dxf>
    <dxf>
      <font>
        <color rgb="FFFF0000"/>
      </font>
    </dxf>
    <dxf>
      <font>
        <color rgb="FFFFFF00"/>
      </font>
    </dxf>
    <dxf>
      <font>
        <color rgb="FF00FF00"/>
      </font>
    </dxf>
    <dxf>
      <font>
        <color rgb="FFFF0000"/>
      </font>
    </dxf>
    <dxf>
      <font>
        <color rgb="FFFFFF00"/>
      </font>
    </dxf>
    <dxf>
      <font>
        <color rgb="FF00FF00"/>
      </font>
    </dxf>
    <dxf>
      <font>
        <color rgb="FFFF0000"/>
      </font>
    </dxf>
    <dxf>
      <font>
        <color rgb="FFFFFF00"/>
      </font>
    </dxf>
    <dxf>
      <font>
        <color rgb="FF00FF00"/>
      </font>
    </dxf>
    <dxf>
      <font>
        <color rgb="FFFF0000"/>
      </font>
    </dxf>
    <dxf>
      <font>
        <color rgb="FFFFFF00"/>
      </font>
    </dxf>
    <dxf>
      <font>
        <color rgb="FF00FF00"/>
      </font>
    </dxf>
    <dxf>
      <font>
        <color rgb="FFFF0000"/>
      </font>
    </dxf>
    <dxf>
      <font>
        <color rgb="FFFFFF00"/>
      </font>
    </dxf>
    <dxf>
      <font>
        <color rgb="FF00FF00"/>
      </font>
    </dxf>
    <dxf>
      <font>
        <color rgb="FFFF0000"/>
      </font>
    </dxf>
    <dxf>
      <font>
        <color rgb="FFFFFF00"/>
      </font>
    </dxf>
    <dxf>
      <font>
        <color rgb="FF00FF00"/>
      </font>
    </dxf>
    <dxf>
      <font>
        <color rgb="FFFF0000"/>
      </font>
    </dxf>
    <dxf>
      <font>
        <color rgb="FFFFFF00"/>
      </font>
    </dxf>
    <dxf>
      <font>
        <color rgb="FF00FF00"/>
      </font>
    </dxf>
    <dxf>
      <font>
        <color rgb="FFFF0000"/>
      </font>
    </dxf>
    <dxf>
      <font>
        <color rgb="FFFFFF00"/>
      </font>
    </dxf>
    <dxf>
      <font>
        <color rgb="FF00FF00"/>
      </font>
    </dxf>
    <dxf>
      <font>
        <color rgb="FFFF0000"/>
      </font>
    </dxf>
    <dxf>
      <font>
        <color rgb="FFFFFF00"/>
      </font>
    </dxf>
    <dxf>
      <font>
        <color rgb="FF00FF00"/>
      </font>
    </dxf>
    <dxf>
      <font>
        <color rgb="FFFF0000"/>
      </font>
    </dxf>
    <dxf>
      <font>
        <color rgb="FFFFFF00"/>
      </font>
    </dxf>
    <dxf>
      <font>
        <color rgb="FF00FF00"/>
      </font>
    </dxf>
    <dxf>
      <font>
        <color rgb="FFFF0000"/>
      </font>
    </dxf>
    <dxf>
      <font>
        <color rgb="FFFFFF00"/>
      </font>
    </dxf>
    <dxf>
      <font>
        <color rgb="FF00FF00"/>
      </font>
    </dxf>
    <dxf>
      <font>
        <color rgb="FFFF0000"/>
      </font>
    </dxf>
    <dxf>
      <font>
        <color rgb="FFFFFF00"/>
      </font>
    </dxf>
    <dxf>
      <font>
        <color rgb="FF00FF00"/>
      </font>
    </dxf>
    <dxf>
      <font>
        <color rgb="FFFF0000"/>
      </font>
    </dxf>
    <dxf>
      <font>
        <color rgb="FFFFFF00"/>
      </font>
    </dxf>
    <dxf>
      <font>
        <color rgb="FF00FF00"/>
      </font>
    </dxf>
    <dxf>
      <font>
        <color rgb="FFFF0000"/>
      </font>
    </dxf>
    <dxf>
      <font>
        <color rgb="FFFFFF00"/>
      </font>
    </dxf>
    <dxf>
      <font>
        <color rgb="FF00FF00"/>
      </font>
    </dxf>
    <dxf>
      <font>
        <color rgb="FFFF0000"/>
      </font>
    </dxf>
    <dxf>
      <font>
        <color rgb="FFFFFF00"/>
      </font>
    </dxf>
    <dxf>
      <font>
        <color rgb="FF00FF00"/>
      </font>
    </dxf>
    <dxf>
      <font>
        <color rgb="FFFF0000"/>
      </font>
    </dxf>
    <dxf>
      <font>
        <color rgb="FFFFFF00"/>
      </font>
    </dxf>
    <dxf>
      <font>
        <color rgb="FF00FF00"/>
      </font>
    </dxf>
    <dxf>
      <font>
        <color rgb="FFFF0000"/>
      </font>
    </dxf>
    <dxf>
      <font>
        <color rgb="FFFFFF00"/>
      </font>
    </dxf>
    <dxf>
      <font>
        <color rgb="FF00FF00"/>
      </font>
    </dxf>
    <dxf>
      <font>
        <color rgb="FFFF0000"/>
      </font>
    </dxf>
    <dxf>
      <font>
        <color rgb="FFFFFF00"/>
      </font>
    </dxf>
    <dxf>
      <font>
        <color rgb="FF00FF00"/>
      </font>
    </dxf>
    <dxf>
      <font>
        <color rgb="FFFF0000"/>
      </font>
    </dxf>
    <dxf>
      <font>
        <color rgb="FFFFFF00"/>
      </font>
    </dxf>
    <dxf>
      <font>
        <color rgb="FF00FF00"/>
      </font>
    </dxf>
    <dxf>
      <font>
        <color rgb="FFFF0000"/>
      </font>
    </dxf>
    <dxf>
      <font>
        <color rgb="FFFFFF00"/>
      </font>
    </dxf>
    <dxf>
      <font>
        <color rgb="FF00FF00"/>
      </font>
    </dxf>
    <dxf>
      <font>
        <color rgb="FFFF0000"/>
      </font>
    </dxf>
    <dxf>
      <font>
        <color rgb="FFFFFF00"/>
      </font>
    </dxf>
    <dxf>
      <font>
        <color rgb="FF00FF00"/>
      </font>
    </dxf>
    <dxf>
      <font>
        <color rgb="FFFF0000"/>
      </font>
    </dxf>
    <dxf>
      <font>
        <color rgb="FFFFFF00"/>
      </font>
    </dxf>
    <dxf>
      <font>
        <color rgb="FF00FF00"/>
      </font>
    </dxf>
    <dxf>
      <font>
        <color rgb="FFFF0000"/>
      </font>
    </dxf>
    <dxf>
      <font>
        <color rgb="FFFFFF00"/>
      </font>
    </dxf>
    <dxf>
      <font>
        <color rgb="FF00FF00"/>
      </font>
    </dxf>
    <dxf>
      <font>
        <color rgb="FFFF0000"/>
      </font>
    </dxf>
    <dxf>
      <font>
        <color rgb="FFFFFF00"/>
      </font>
    </dxf>
    <dxf>
      <font>
        <color rgb="FF00FF00"/>
      </font>
    </dxf>
    <dxf>
      <font>
        <color rgb="FFFF0000"/>
      </font>
    </dxf>
    <dxf>
      <font>
        <color rgb="FFFFFF00"/>
      </font>
    </dxf>
    <dxf>
      <font>
        <color rgb="FF00FF00"/>
      </font>
    </dxf>
    <dxf>
      <font>
        <color rgb="FFFF0000"/>
      </font>
    </dxf>
    <dxf>
      <font>
        <color rgb="FFFFFF00"/>
      </font>
    </dxf>
    <dxf>
      <font>
        <color rgb="FF00FF00"/>
      </font>
    </dxf>
    <dxf>
      <font>
        <color rgb="FFFF0000"/>
      </font>
    </dxf>
    <dxf>
      <font>
        <color rgb="FFFFFF00"/>
      </font>
    </dxf>
    <dxf>
      <font>
        <color rgb="FF00FF00"/>
      </font>
    </dxf>
    <dxf>
      <font>
        <color rgb="FFFF0000"/>
      </font>
    </dxf>
    <dxf>
      <font>
        <color rgb="FFFFFF00"/>
      </font>
    </dxf>
    <dxf>
      <font>
        <color rgb="FF00FF00"/>
      </font>
    </dxf>
    <dxf>
      <font>
        <color rgb="FFFF0000"/>
      </font>
    </dxf>
    <dxf>
      <font>
        <color rgb="FFFFFF00"/>
      </font>
    </dxf>
    <dxf>
      <font>
        <color rgb="FF00FF00"/>
      </font>
    </dxf>
    <dxf>
      <font>
        <color rgb="FFFF0000"/>
      </font>
    </dxf>
    <dxf>
      <font>
        <color rgb="FFFFFF00"/>
      </font>
    </dxf>
    <dxf>
      <font>
        <color rgb="FF00FF00"/>
      </font>
    </dxf>
    <dxf>
      <font>
        <color rgb="FFFF0000"/>
      </font>
    </dxf>
    <dxf>
      <font>
        <color rgb="FFFFFF00"/>
      </font>
    </dxf>
    <dxf>
      <font>
        <color rgb="FF00FF00"/>
      </font>
    </dxf>
    <dxf>
      <font>
        <color rgb="FFFF0000"/>
      </font>
    </dxf>
    <dxf>
      <font>
        <color rgb="FFFFFF00"/>
      </font>
    </dxf>
    <dxf>
      <font>
        <color rgb="FF00FF00"/>
      </font>
    </dxf>
    <dxf>
      <font>
        <color rgb="FFFF0000"/>
      </font>
    </dxf>
    <dxf>
      <font>
        <color rgb="FFFFFF00"/>
      </font>
    </dxf>
    <dxf>
      <font>
        <color rgb="FF00FF00"/>
      </font>
    </dxf>
    <dxf>
      <font>
        <color rgb="FFFF0000"/>
      </font>
    </dxf>
    <dxf>
      <font>
        <color rgb="FFFFFF00"/>
      </font>
    </dxf>
    <dxf>
      <font>
        <color rgb="FF00FF00"/>
      </font>
    </dxf>
    <dxf>
      <font>
        <color rgb="FFFF0000"/>
      </font>
    </dxf>
    <dxf>
      <font>
        <color rgb="FFFFFF00"/>
      </font>
    </dxf>
    <dxf>
      <font>
        <color rgb="FF00FF00"/>
      </font>
    </dxf>
    <dxf>
      <font>
        <color rgb="FFFF0000"/>
      </font>
    </dxf>
    <dxf>
      <font>
        <color rgb="FFFFFF00"/>
      </font>
    </dxf>
    <dxf>
      <font>
        <color rgb="FF00FF00"/>
      </font>
    </dxf>
    <dxf>
      <font>
        <color rgb="FFFF0000"/>
      </font>
    </dxf>
    <dxf>
      <font>
        <color rgb="FFFFFF00"/>
      </font>
    </dxf>
    <dxf>
      <font>
        <color rgb="FF00FF00"/>
      </font>
    </dxf>
    <dxf>
      <font>
        <color rgb="FFFF0000"/>
      </font>
    </dxf>
    <dxf>
      <font>
        <color rgb="FFFFFF00"/>
      </font>
    </dxf>
    <dxf>
      <font>
        <color rgb="FF00FF00"/>
      </font>
    </dxf>
    <dxf>
      <font>
        <color rgb="FFFF0000"/>
      </font>
    </dxf>
    <dxf>
      <font>
        <color rgb="FFFFFF00"/>
      </font>
    </dxf>
    <dxf>
      <font>
        <color rgb="FF00FF00"/>
      </font>
    </dxf>
    <dxf>
      <font>
        <color rgb="FFFF0000"/>
      </font>
    </dxf>
    <dxf>
      <font>
        <color rgb="FFFFFF00"/>
      </font>
    </dxf>
    <dxf>
      <font>
        <color rgb="FF00FF00"/>
      </font>
    </dxf>
    <dxf>
      <font>
        <color rgb="FFFF0000"/>
      </font>
    </dxf>
    <dxf>
      <font>
        <color rgb="FFFFFF00"/>
      </font>
    </dxf>
    <dxf>
      <font>
        <color rgb="FF00FF00"/>
      </font>
    </dxf>
    <dxf>
      <font>
        <color rgb="FFFF0000"/>
      </font>
    </dxf>
    <dxf>
      <font>
        <color rgb="FFFFFF00"/>
      </font>
    </dxf>
    <dxf>
      <font>
        <color rgb="FF00FF00"/>
      </font>
    </dxf>
    <dxf>
      <font>
        <color rgb="FFFF0000"/>
      </font>
    </dxf>
    <dxf>
      <font>
        <color rgb="FFFFFF00"/>
      </font>
    </dxf>
    <dxf>
      <font>
        <color rgb="FF00FF00"/>
      </font>
    </dxf>
    <dxf>
      <font>
        <color rgb="FFFF0000"/>
      </font>
    </dxf>
    <dxf>
      <font>
        <color rgb="FFFFFF00"/>
      </font>
    </dxf>
    <dxf>
      <font>
        <color rgb="FF00FF00"/>
      </font>
    </dxf>
    <dxf>
      <font>
        <color rgb="FFFF0000"/>
      </font>
    </dxf>
    <dxf>
      <font>
        <color rgb="FFFFFF00"/>
      </font>
    </dxf>
    <dxf>
      <font>
        <color rgb="FF00FF00"/>
      </font>
    </dxf>
    <dxf>
      <font>
        <color rgb="FFFF0000"/>
      </font>
    </dxf>
    <dxf>
      <font>
        <color rgb="FFFFFF00"/>
      </font>
    </dxf>
    <dxf>
      <font>
        <color rgb="FF00FF00"/>
      </font>
    </dxf>
    <dxf>
      <font>
        <color rgb="FFFF0000"/>
      </font>
    </dxf>
    <dxf>
      <font>
        <color rgb="FFFFFF00"/>
      </font>
    </dxf>
    <dxf>
      <font>
        <color rgb="FF00FF00"/>
      </font>
    </dxf>
    <dxf>
      <font>
        <color rgb="FFFF0000"/>
      </font>
    </dxf>
    <dxf>
      <font>
        <color rgb="FFFFFF00"/>
      </font>
    </dxf>
    <dxf>
      <font>
        <color rgb="FF00FF00"/>
      </font>
    </dxf>
    <dxf>
      <font>
        <color rgb="FFFF0000"/>
      </font>
    </dxf>
    <dxf>
      <font>
        <color rgb="FFFFFF00"/>
      </font>
    </dxf>
    <dxf>
      <font>
        <color rgb="FF00FF00"/>
      </font>
    </dxf>
    <dxf>
      <font>
        <color rgb="FFFF0000"/>
      </font>
    </dxf>
    <dxf>
      <font>
        <color rgb="FFFFFF00"/>
      </font>
    </dxf>
    <dxf>
      <font>
        <color rgb="FF00FF00"/>
      </font>
    </dxf>
    <dxf>
      <font>
        <color rgb="FFFF0000"/>
      </font>
    </dxf>
    <dxf>
      <font>
        <color rgb="FFFFFF00"/>
      </font>
    </dxf>
    <dxf>
      <font>
        <color rgb="FF00FF00"/>
      </font>
    </dxf>
    <dxf>
      <font>
        <color rgb="FFFF0000"/>
      </font>
    </dxf>
    <dxf>
      <font>
        <color rgb="FFFFFF00"/>
      </font>
    </dxf>
    <dxf>
      <font>
        <color rgb="FF00FF00"/>
      </font>
    </dxf>
    <dxf>
      <font>
        <color rgb="FFFF0000"/>
      </font>
    </dxf>
    <dxf>
      <font>
        <color rgb="FFFFFF00"/>
      </font>
    </dxf>
    <dxf>
      <font>
        <color rgb="FF00FF00"/>
      </font>
    </dxf>
    <dxf>
      <font>
        <color rgb="FFFF0000"/>
      </font>
    </dxf>
    <dxf>
      <font>
        <color rgb="FFFFFF00"/>
      </font>
    </dxf>
    <dxf>
      <font>
        <color rgb="FF00FF00"/>
      </font>
    </dxf>
    <dxf>
      <font>
        <color rgb="FFFF0000"/>
      </font>
    </dxf>
    <dxf>
      <font>
        <color rgb="FFFFFF00"/>
      </font>
    </dxf>
    <dxf>
      <font>
        <color rgb="FF00FF00"/>
      </font>
    </dxf>
    <dxf>
      <font>
        <color rgb="FFFF0000"/>
      </font>
    </dxf>
    <dxf>
      <font>
        <color rgb="FFFFFF00"/>
      </font>
    </dxf>
    <dxf>
      <font>
        <color rgb="FF00FF00"/>
      </font>
    </dxf>
    <dxf>
      <font>
        <color rgb="FFFF0000"/>
      </font>
    </dxf>
    <dxf>
      <font>
        <color rgb="FFFFFF00"/>
      </font>
    </dxf>
    <dxf>
      <font>
        <color rgb="FF00FF00"/>
      </font>
    </dxf>
    <dxf>
      <font>
        <color rgb="FFFF0000"/>
      </font>
    </dxf>
    <dxf>
      <font>
        <color rgb="FFFFFF00"/>
      </font>
    </dxf>
    <dxf>
      <font>
        <color rgb="FF00FF00"/>
      </font>
    </dxf>
    <dxf>
      <font>
        <color rgb="FFFF0000"/>
      </font>
    </dxf>
    <dxf>
      <font>
        <color rgb="FFFFFF00"/>
      </font>
    </dxf>
    <dxf>
      <font>
        <color rgb="FF00FF00"/>
      </font>
    </dxf>
    <dxf>
      <font>
        <color rgb="FFFF0000"/>
      </font>
    </dxf>
    <dxf>
      <font>
        <color rgb="FFFFFF00"/>
      </font>
    </dxf>
    <dxf>
      <font>
        <color rgb="FF00FF00"/>
      </font>
    </dxf>
    <dxf>
      <font>
        <color rgb="FFFF0000"/>
      </font>
    </dxf>
    <dxf>
      <font>
        <color rgb="FFFFFF00"/>
      </font>
    </dxf>
    <dxf>
      <font>
        <color rgb="FF00FF00"/>
      </font>
    </dxf>
    <dxf>
      <font>
        <color rgb="FFFF0000"/>
      </font>
    </dxf>
    <dxf>
      <font>
        <color rgb="FFFFFF00"/>
      </font>
    </dxf>
    <dxf>
      <font>
        <color rgb="FF00FF00"/>
      </font>
    </dxf>
    <dxf>
      <font>
        <color rgb="FFFF0000"/>
      </font>
    </dxf>
    <dxf>
      <font>
        <color rgb="FFFFFF00"/>
      </font>
    </dxf>
    <dxf>
      <font>
        <color rgb="FF00FF00"/>
      </font>
    </dxf>
    <dxf>
      <font>
        <color rgb="FFFF0000"/>
      </font>
    </dxf>
    <dxf>
      <font>
        <color rgb="FFFFFF00"/>
      </font>
    </dxf>
    <dxf>
      <font>
        <color rgb="FF00FF00"/>
      </font>
    </dxf>
    <dxf>
      <font>
        <color rgb="FFFF0000"/>
      </font>
    </dxf>
    <dxf>
      <font>
        <color rgb="FFFFFF00"/>
      </font>
    </dxf>
    <dxf>
      <font>
        <color rgb="FF00FF00"/>
      </font>
    </dxf>
    <dxf>
      <font>
        <color rgb="FFFF0000"/>
      </font>
    </dxf>
    <dxf>
      <font>
        <color rgb="FFFFFF00"/>
      </font>
    </dxf>
    <dxf>
      <font>
        <color rgb="FF00FF00"/>
      </font>
    </dxf>
    <dxf>
      <font>
        <color rgb="FFFF0000"/>
      </font>
    </dxf>
    <dxf>
      <font>
        <color rgb="FFFFFF00"/>
      </font>
    </dxf>
    <dxf>
      <font>
        <color rgb="FF00FF00"/>
      </font>
    </dxf>
    <dxf>
      <font>
        <color rgb="FFFF0000"/>
      </font>
    </dxf>
    <dxf>
      <font>
        <color rgb="FFFFFF00"/>
      </font>
    </dxf>
    <dxf>
      <font>
        <color rgb="FF00FF00"/>
      </font>
    </dxf>
    <dxf>
      <font>
        <color rgb="FFFF0000"/>
      </font>
    </dxf>
    <dxf>
      <font>
        <color rgb="FFFFFF00"/>
      </font>
    </dxf>
    <dxf>
      <font>
        <color rgb="FF00FF00"/>
      </font>
    </dxf>
    <dxf>
      <font>
        <color rgb="FFFF0000"/>
      </font>
    </dxf>
    <dxf>
      <font>
        <color rgb="FFFFFF00"/>
      </font>
    </dxf>
    <dxf>
      <font>
        <color rgb="FF00FF00"/>
      </font>
    </dxf>
    <dxf>
      <font>
        <color rgb="FFFF0000"/>
      </font>
    </dxf>
    <dxf>
      <font>
        <color rgb="FFFFFF00"/>
      </font>
    </dxf>
    <dxf>
      <font>
        <color rgb="FF00FF00"/>
      </font>
    </dxf>
    <dxf>
      <font>
        <color rgb="FFFF0000"/>
      </font>
    </dxf>
    <dxf>
      <font>
        <color rgb="FFFFFF00"/>
      </font>
    </dxf>
    <dxf>
      <font>
        <color rgb="FF00FF00"/>
      </font>
    </dxf>
    <dxf>
      <font>
        <color rgb="FFFF0000"/>
      </font>
    </dxf>
    <dxf>
      <font>
        <color rgb="FFFFFF00"/>
      </font>
    </dxf>
    <dxf>
      <font>
        <color rgb="FF00FF00"/>
      </font>
    </dxf>
    <dxf>
      <font>
        <color rgb="FFFF0000"/>
      </font>
    </dxf>
    <dxf>
      <font>
        <color rgb="FFFFFF00"/>
      </font>
    </dxf>
    <dxf>
      <font>
        <color rgb="FF00FF00"/>
      </font>
    </dxf>
    <dxf>
      <font>
        <color rgb="FFFF0000"/>
      </font>
    </dxf>
    <dxf>
      <font>
        <color rgb="FFFFFF00"/>
      </font>
    </dxf>
    <dxf>
      <font>
        <color rgb="FF00FF00"/>
      </font>
    </dxf>
    <dxf>
      <font>
        <color rgb="FFFF0000"/>
      </font>
    </dxf>
    <dxf>
      <font>
        <color rgb="FFFFFF00"/>
      </font>
    </dxf>
    <dxf>
      <font>
        <color rgb="FF00FF00"/>
      </font>
    </dxf>
    <dxf>
      <font>
        <color rgb="FFFF0000"/>
      </font>
    </dxf>
    <dxf>
      <font>
        <color rgb="FFFFFF00"/>
      </font>
    </dxf>
    <dxf>
      <font>
        <color rgb="FF00FF00"/>
      </font>
    </dxf>
    <dxf>
      <font>
        <color rgb="FFFF0000"/>
      </font>
    </dxf>
    <dxf>
      <font>
        <color rgb="FFFFFF00"/>
      </font>
    </dxf>
    <dxf>
      <font>
        <color rgb="FF00FF00"/>
      </font>
    </dxf>
    <dxf>
      <font>
        <color rgb="FFFF0000"/>
      </font>
    </dxf>
    <dxf>
      <font>
        <color rgb="FFFFFF00"/>
      </font>
    </dxf>
    <dxf>
      <font>
        <color rgb="FF00FF00"/>
      </font>
    </dxf>
    <dxf>
      <font>
        <color rgb="FFFF0000"/>
      </font>
    </dxf>
    <dxf>
      <font>
        <color rgb="FFFFFF00"/>
      </font>
    </dxf>
    <dxf>
      <font>
        <color rgb="FF00FF00"/>
      </font>
    </dxf>
    <dxf>
      <font>
        <color rgb="FFFF0000"/>
      </font>
    </dxf>
    <dxf>
      <font>
        <color rgb="FFFFFF00"/>
      </font>
    </dxf>
    <dxf>
      <font>
        <color rgb="FF00FF00"/>
      </font>
    </dxf>
    <dxf>
      <font>
        <color rgb="FFFF0000"/>
      </font>
    </dxf>
    <dxf>
      <font>
        <color rgb="FFFFFF00"/>
      </font>
    </dxf>
    <dxf>
      <font>
        <color rgb="FF00FF00"/>
      </font>
    </dxf>
    <dxf>
      <font>
        <color rgb="FFFF0000"/>
      </font>
    </dxf>
    <dxf>
      <font>
        <color rgb="FFFFFF00"/>
      </font>
    </dxf>
    <dxf>
      <font>
        <color rgb="FF00FF00"/>
      </font>
    </dxf>
    <dxf>
      <font>
        <color rgb="FFFF0000"/>
      </font>
    </dxf>
    <dxf>
      <font>
        <color rgb="FFFFFF00"/>
      </font>
    </dxf>
    <dxf>
      <font>
        <color rgb="FF00FF00"/>
      </font>
    </dxf>
    <dxf>
      <font>
        <color rgb="FFFF0000"/>
      </font>
    </dxf>
    <dxf>
      <font>
        <color rgb="FFFFFF00"/>
      </font>
    </dxf>
    <dxf>
      <font>
        <color rgb="FF00FF00"/>
      </font>
    </dxf>
    <dxf>
      <font>
        <color rgb="FFFF0000"/>
      </font>
    </dxf>
    <dxf>
      <font>
        <color rgb="FFFFFF00"/>
      </font>
    </dxf>
    <dxf>
      <font>
        <color rgb="FF00FF00"/>
      </font>
    </dxf>
    <dxf>
      <font>
        <color rgb="FFFF0000"/>
      </font>
    </dxf>
    <dxf>
      <font>
        <color rgb="FFFFFF00"/>
      </font>
    </dxf>
    <dxf>
      <font>
        <color rgb="FF00FF00"/>
      </font>
    </dxf>
    <dxf>
      <font>
        <color rgb="FFFF0000"/>
      </font>
    </dxf>
    <dxf>
      <font>
        <color rgb="FFFFFF00"/>
      </font>
    </dxf>
    <dxf>
      <font>
        <color rgb="FF00FF00"/>
      </font>
    </dxf>
    <dxf>
      <font>
        <color rgb="FFFF0000"/>
      </font>
    </dxf>
    <dxf>
      <font>
        <color rgb="FFFFFF00"/>
      </font>
    </dxf>
    <dxf>
      <font>
        <color rgb="FF00FF00"/>
      </font>
    </dxf>
    <dxf>
      <font>
        <color rgb="FFFF0000"/>
      </font>
    </dxf>
    <dxf>
      <font>
        <color rgb="FFFFFF00"/>
      </font>
    </dxf>
    <dxf>
      <font>
        <color rgb="FF00FF00"/>
      </font>
    </dxf>
    <dxf>
      <font>
        <color rgb="FFFF0000"/>
      </font>
    </dxf>
    <dxf>
      <font>
        <color rgb="FFFFFF00"/>
      </font>
    </dxf>
    <dxf>
      <font>
        <color rgb="FF00FF00"/>
      </font>
    </dxf>
    <dxf>
      <font>
        <color rgb="FFFF0000"/>
      </font>
    </dxf>
    <dxf>
      <font>
        <color rgb="FFFFFF00"/>
      </font>
    </dxf>
    <dxf>
      <font>
        <color rgb="FF00FF00"/>
      </font>
    </dxf>
    <dxf>
      <font>
        <color rgb="FFFF0000"/>
      </font>
    </dxf>
    <dxf>
      <font>
        <color rgb="FFFFFF00"/>
      </font>
    </dxf>
    <dxf>
      <font>
        <color rgb="FF00FF00"/>
      </font>
    </dxf>
    <dxf>
      <font>
        <color rgb="FFFF0000"/>
      </font>
    </dxf>
    <dxf>
      <font>
        <color rgb="FFFFFF00"/>
      </font>
    </dxf>
    <dxf>
      <font>
        <color rgb="FF00FF00"/>
      </font>
    </dxf>
    <dxf>
      <font>
        <color rgb="FFFF0000"/>
      </font>
    </dxf>
    <dxf>
      <font>
        <color rgb="FFFFFF00"/>
      </font>
    </dxf>
    <dxf>
      <font>
        <color rgb="FF00FF00"/>
      </font>
    </dxf>
    <dxf>
      <font>
        <color rgb="FFFF0000"/>
      </font>
    </dxf>
    <dxf>
      <font>
        <color rgb="FFFFFF00"/>
      </font>
    </dxf>
    <dxf>
      <font>
        <color rgb="FF00FF00"/>
      </font>
    </dxf>
    <dxf>
      <font>
        <color rgb="FFFF0000"/>
      </font>
    </dxf>
    <dxf>
      <font>
        <color rgb="FFFFFF00"/>
      </font>
    </dxf>
    <dxf>
      <font>
        <color rgb="FF00FF00"/>
      </font>
    </dxf>
    <dxf>
      <font>
        <color rgb="FFFF0000"/>
      </font>
    </dxf>
    <dxf>
      <font>
        <color rgb="FFFFFF00"/>
      </font>
    </dxf>
    <dxf>
      <font>
        <color rgb="FF00FF00"/>
      </font>
    </dxf>
    <dxf>
      <font>
        <color rgb="FFFF0000"/>
      </font>
    </dxf>
    <dxf>
      <font>
        <color rgb="FFFFFF00"/>
      </font>
    </dxf>
    <dxf>
      <font>
        <color rgb="FF00FF00"/>
      </font>
    </dxf>
    <dxf>
      <font>
        <color rgb="FFFF0000"/>
      </font>
    </dxf>
    <dxf>
      <font>
        <color rgb="FFFFFF00"/>
      </font>
    </dxf>
    <dxf>
      <font>
        <color rgb="FF00FF00"/>
      </font>
    </dxf>
    <dxf>
      <font>
        <color rgb="FFFF0000"/>
      </font>
    </dxf>
    <dxf>
      <font>
        <color rgb="FFFFFF00"/>
      </font>
    </dxf>
    <dxf>
      <font>
        <color rgb="FF00FF00"/>
      </font>
    </dxf>
    <dxf>
      <font>
        <color rgb="FFFF0000"/>
      </font>
    </dxf>
    <dxf>
      <font>
        <color rgb="FFFFFF00"/>
      </font>
    </dxf>
    <dxf>
      <font>
        <color rgb="FF00FF00"/>
      </font>
    </dxf>
    <dxf>
      <font>
        <color rgb="FFFF0000"/>
      </font>
    </dxf>
    <dxf>
      <font>
        <color rgb="FFFFFF00"/>
      </font>
    </dxf>
    <dxf>
      <font>
        <color rgb="FF00FF00"/>
      </font>
    </dxf>
    <dxf>
      <font>
        <color rgb="FFFF0000"/>
      </font>
    </dxf>
    <dxf>
      <font>
        <color rgb="FFFFFF00"/>
      </font>
    </dxf>
    <dxf>
      <font>
        <color rgb="FF00FF00"/>
      </font>
    </dxf>
    <dxf>
      <font>
        <color rgb="FFFF0000"/>
      </font>
    </dxf>
    <dxf>
      <font>
        <color rgb="FFFFFF00"/>
      </font>
    </dxf>
    <dxf>
      <font>
        <color rgb="FF00FF00"/>
      </font>
    </dxf>
    <dxf>
      <font>
        <color rgb="FFFF0000"/>
      </font>
    </dxf>
    <dxf>
      <font>
        <color rgb="FFFFFF00"/>
      </font>
    </dxf>
    <dxf>
      <font>
        <color rgb="FF00FF00"/>
      </font>
    </dxf>
    <dxf>
      <font>
        <color rgb="FFFF0000"/>
      </font>
    </dxf>
    <dxf>
      <font>
        <color rgb="FFFFFF00"/>
      </font>
    </dxf>
    <dxf>
      <font>
        <color rgb="FF00FF00"/>
      </font>
    </dxf>
    <dxf>
      <font>
        <color rgb="FFFF0000"/>
      </font>
    </dxf>
    <dxf>
      <font>
        <color rgb="FFFFFF00"/>
      </font>
    </dxf>
    <dxf>
      <font>
        <color rgb="FF00FF00"/>
      </font>
    </dxf>
    <dxf>
      <font>
        <color rgb="FFFF0000"/>
      </font>
    </dxf>
    <dxf>
      <font>
        <color rgb="FFFFFF00"/>
      </font>
    </dxf>
    <dxf>
      <font>
        <color rgb="FF00FF00"/>
      </font>
    </dxf>
    <dxf>
      <font>
        <color rgb="FFFF0000"/>
      </font>
    </dxf>
    <dxf>
      <font>
        <color rgb="FFFFFF00"/>
      </font>
    </dxf>
    <dxf>
      <font>
        <color rgb="FF00FF00"/>
      </font>
    </dxf>
    <dxf>
      <font>
        <color rgb="FFFF0000"/>
      </font>
    </dxf>
    <dxf>
      <font>
        <color rgb="FFFFFF00"/>
      </font>
    </dxf>
    <dxf>
      <font>
        <color rgb="FF00FF00"/>
      </font>
    </dxf>
    <dxf>
      <font>
        <color rgb="FFFF0000"/>
      </font>
    </dxf>
    <dxf>
      <font>
        <color rgb="FFFFFF00"/>
      </font>
    </dxf>
    <dxf>
      <font>
        <color rgb="FF00FF00"/>
      </font>
    </dxf>
    <dxf>
      <font>
        <color rgb="FFFF0000"/>
      </font>
    </dxf>
    <dxf>
      <font>
        <color rgb="FFFFFF00"/>
      </font>
    </dxf>
    <dxf>
      <font>
        <color rgb="FF00FF00"/>
      </font>
    </dxf>
    <dxf>
      <font>
        <color rgb="FFFF0000"/>
      </font>
    </dxf>
    <dxf>
      <font>
        <color rgb="FFFFFF00"/>
      </font>
    </dxf>
    <dxf>
      <font>
        <color rgb="FF00FF00"/>
      </font>
    </dxf>
    <dxf>
      <font>
        <color rgb="FFFF0000"/>
      </font>
    </dxf>
    <dxf>
      <font>
        <color rgb="FFFFFF00"/>
      </font>
    </dxf>
    <dxf>
      <font>
        <color rgb="FF00FF00"/>
      </font>
    </dxf>
    <dxf>
      <font>
        <color rgb="FFFF0000"/>
      </font>
    </dxf>
    <dxf>
      <font>
        <color rgb="FFFFFF00"/>
      </font>
    </dxf>
    <dxf>
      <font>
        <color rgb="FF00FF00"/>
      </font>
    </dxf>
    <dxf>
      <font>
        <color rgb="FFFF0000"/>
      </font>
    </dxf>
    <dxf>
      <font>
        <color rgb="FFFFFF00"/>
      </font>
    </dxf>
    <dxf>
      <font>
        <color rgb="FF00FF00"/>
      </font>
    </dxf>
    <dxf>
      <font>
        <color rgb="FFFF0000"/>
      </font>
    </dxf>
    <dxf>
      <font>
        <color rgb="FFFFFF00"/>
      </font>
    </dxf>
    <dxf>
      <font>
        <color rgb="FF00FF00"/>
      </font>
    </dxf>
    <dxf>
      <font>
        <color rgb="FFFF0000"/>
      </font>
    </dxf>
    <dxf>
      <font>
        <color rgb="FFFFFF00"/>
      </font>
    </dxf>
    <dxf>
      <font>
        <color rgb="FF00FF00"/>
      </font>
    </dxf>
    <dxf>
      <font>
        <color rgb="FFFF0000"/>
      </font>
    </dxf>
    <dxf>
      <font>
        <color rgb="FFFFFF00"/>
      </font>
    </dxf>
    <dxf>
      <font>
        <color rgb="FF00FF00"/>
      </font>
    </dxf>
    <dxf>
      <font>
        <color rgb="FFFF0000"/>
      </font>
    </dxf>
    <dxf>
      <font>
        <color rgb="FFFFFF00"/>
      </font>
    </dxf>
    <dxf>
      <font>
        <color rgb="FF00FF00"/>
      </font>
    </dxf>
    <dxf>
      <font>
        <color rgb="FFFF0000"/>
      </font>
    </dxf>
    <dxf>
      <font>
        <color rgb="FFFFFF00"/>
      </font>
    </dxf>
    <dxf>
      <font>
        <color rgb="FF00FF00"/>
      </font>
    </dxf>
    <dxf>
      <font>
        <color rgb="FFFF0000"/>
      </font>
    </dxf>
    <dxf>
      <font>
        <color rgb="FFFFFF00"/>
      </font>
    </dxf>
    <dxf>
      <font>
        <color rgb="FF00FF00"/>
      </font>
    </dxf>
    <dxf>
      <font>
        <color rgb="FFFF0000"/>
      </font>
    </dxf>
    <dxf>
      <font>
        <color rgb="FFFFFF00"/>
      </font>
    </dxf>
    <dxf>
      <font>
        <color rgb="FF00FF00"/>
      </font>
    </dxf>
    <dxf>
      <font>
        <color rgb="FFFF0000"/>
      </font>
    </dxf>
    <dxf>
      <font>
        <color rgb="FFFFFF00"/>
      </font>
    </dxf>
    <dxf>
      <font>
        <color rgb="FF00FF00"/>
      </font>
    </dxf>
    <dxf>
      <font>
        <color rgb="FFFF0000"/>
      </font>
    </dxf>
    <dxf>
      <font>
        <color rgb="FFFFFF00"/>
      </font>
    </dxf>
    <dxf>
      <font>
        <color rgb="FF00FF00"/>
      </font>
    </dxf>
    <dxf>
      <font>
        <color rgb="FFFF0000"/>
      </font>
    </dxf>
    <dxf>
      <font>
        <color rgb="FFFFFF00"/>
      </font>
    </dxf>
    <dxf>
      <font>
        <color rgb="FF00FF00"/>
      </font>
    </dxf>
    <dxf>
      <font>
        <color rgb="FFFF0000"/>
      </font>
    </dxf>
    <dxf>
      <font>
        <color rgb="FFFFFF00"/>
      </font>
    </dxf>
    <dxf>
      <font>
        <color rgb="FF00FF00"/>
      </font>
    </dxf>
    <dxf>
      <font>
        <color rgb="FFFF0000"/>
      </font>
    </dxf>
    <dxf>
      <font>
        <color rgb="FFFFFF00"/>
      </font>
    </dxf>
    <dxf>
      <font>
        <color rgb="FF00FF00"/>
      </font>
    </dxf>
    <dxf>
      <font>
        <color rgb="FFFF0000"/>
      </font>
    </dxf>
    <dxf>
      <font>
        <color rgb="FFFFFF00"/>
      </font>
    </dxf>
    <dxf>
      <font>
        <color rgb="FF00FF00"/>
      </font>
    </dxf>
    <dxf>
      <font>
        <color rgb="FFFF0000"/>
      </font>
    </dxf>
    <dxf>
      <font>
        <color rgb="FFFFFF00"/>
      </font>
    </dxf>
    <dxf>
      <font>
        <color rgb="FF00FF00"/>
      </font>
    </dxf>
    <dxf>
      <font>
        <color rgb="FFFF0000"/>
      </font>
    </dxf>
    <dxf>
      <font>
        <color rgb="FFFFFF00"/>
      </font>
    </dxf>
    <dxf>
      <font>
        <color rgb="FF00FF00"/>
      </font>
    </dxf>
    <dxf>
      <font>
        <color rgb="FFFF0000"/>
      </font>
    </dxf>
    <dxf>
      <font>
        <color rgb="FFFFFF00"/>
      </font>
    </dxf>
    <dxf>
      <font>
        <color rgb="FF00FF00"/>
      </font>
    </dxf>
    <dxf>
      <font>
        <color rgb="FFFF0000"/>
      </font>
    </dxf>
    <dxf>
      <font>
        <color rgb="FFFFFF00"/>
      </font>
    </dxf>
    <dxf>
      <font>
        <color rgb="FF00FF00"/>
      </font>
    </dxf>
    <dxf>
      <font>
        <color rgb="FFFF0000"/>
      </font>
    </dxf>
    <dxf>
      <font>
        <color rgb="FFFFFF00"/>
      </font>
    </dxf>
    <dxf>
      <font>
        <color rgb="FF00FF00"/>
      </font>
    </dxf>
    <dxf>
      <font>
        <color rgb="FFFF0000"/>
      </font>
    </dxf>
    <dxf>
      <font>
        <color rgb="FFFFFF00"/>
      </font>
    </dxf>
    <dxf>
      <font>
        <color rgb="FF00FF00"/>
      </font>
    </dxf>
    <dxf>
      <font>
        <color rgb="FFFF0000"/>
      </font>
    </dxf>
    <dxf>
      <font>
        <color rgb="FFFFFF00"/>
      </font>
    </dxf>
    <dxf>
      <font>
        <color rgb="FF00FF00"/>
      </font>
    </dxf>
    <dxf>
      <font>
        <color rgb="FFFF0000"/>
      </font>
    </dxf>
    <dxf>
      <font>
        <color rgb="FFFFFF00"/>
      </font>
    </dxf>
    <dxf>
      <font>
        <color rgb="FF00FF00"/>
      </font>
    </dxf>
    <dxf>
      <font>
        <color rgb="FFFF0000"/>
      </font>
    </dxf>
    <dxf>
      <font>
        <color rgb="FFFFFF00"/>
      </font>
    </dxf>
    <dxf>
      <font>
        <color rgb="FF00FF00"/>
      </font>
    </dxf>
    <dxf>
      <font>
        <color rgb="FFFF0000"/>
      </font>
    </dxf>
    <dxf>
      <font>
        <color rgb="FFFFFF00"/>
      </font>
    </dxf>
    <dxf>
      <font>
        <color rgb="FF00FF00"/>
      </font>
    </dxf>
    <dxf>
      <font>
        <color rgb="FFFF0000"/>
      </font>
    </dxf>
    <dxf>
      <font>
        <color rgb="FFFFFF00"/>
      </font>
    </dxf>
    <dxf>
      <font>
        <color rgb="FF00FF00"/>
      </font>
    </dxf>
    <dxf>
      <font>
        <color rgb="FFFF0000"/>
      </font>
    </dxf>
    <dxf>
      <font>
        <color rgb="FFFFFF00"/>
      </font>
    </dxf>
    <dxf>
      <font>
        <color rgb="FF00FF00"/>
      </font>
    </dxf>
    <dxf>
      <font>
        <color rgb="FFFF0000"/>
      </font>
    </dxf>
    <dxf>
      <font>
        <color rgb="FFFFFF00"/>
      </font>
    </dxf>
    <dxf>
      <font>
        <color rgb="FF00FF00"/>
      </font>
    </dxf>
    <dxf>
      <font>
        <color rgb="FFFF0000"/>
      </font>
    </dxf>
    <dxf>
      <font>
        <color rgb="FFFFFF00"/>
      </font>
      <fill>
        <patternFill patternType="solid">
          <bgColor theme="1"/>
        </patternFill>
      </fill>
    </dxf>
    <dxf>
      <font>
        <color rgb="FFFF0000"/>
      </font>
    </dxf>
    <dxf>
      <font>
        <color rgb="FFFF0000"/>
      </font>
    </dxf>
    <dxf>
      <font>
        <color rgb="FF00FF00"/>
      </font>
    </dxf>
    <dxf>
      <font>
        <color rgb="FFFFFF00"/>
      </font>
      <fill>
        <patternFill patternType="solid">
          <bgColor theme="1"/>
        </patternFill>
      </fill>
    </dxf>
    <dxf>
      <font>
        <color rgb="FFFF0000"/>
      </font>
    </dxf>
    <dxf>
      <font>
        <color rgb="FFFFFF00"/>
      </font>
      <fill>
        <patternFill patternType="solid">
          <bgColor theme="1"/>
        </patternFill>
      </fill>
    </dxf>
    <dxf>
      <font>
        <color rgb="FFFF0000"/>
      </font>
    </dxf>
    <dxf>
      <font>
        <color rgb="FF00FF00"/>
      </font>
    </dxf>
    <dxf>
      <font>
        <color rgb="FFFFFF00"/>
      </font>
      <fill>
        <patternFill patternType="solid">
          <bgColor theme="1"/>
        </patternFill>
      </fill>
    </dxf>
    <dxf>
      <font>
        <color rgb="FFFFFF00"/>
      </font>
      <fill>
        <patternFill patternType="solid">
          <bgColor theme="1"/>
        </patternFill>
      </fill>
    </dxf>
    <dxf>
      <font>
        <color rgb="FFFF0000"/>
      </font>
    </dxf>
    <dxf>
      <font>
        <color rgb="FFFFFF00"/>
      </font>
      <fill>
        <patternFill patternType="solid">
          <bgColor theme="1"/>
        </patternFill>
      </fill>
    </dxf>
    <dxf>
      <font>
        <color rgb="FFFF0000"/>
      </font>
    </dxf>
    <dxf>
      <font>
        <color rgb="FF00FF00"/>
      </font>
    </dxf>
    <dxf>
      <font>
        <color rgb="FFFFFF00"/>
      </font>
      <fill>
        <patternFill patternType="solid">
          <bgColor theme="1"/>
        </patternFill>
      </fill>
    </dxf>
    <dxf>
      <font>
        <color rgb="FFFF0000"/>
      </font>
    </dxf>
    <dxf>
      <font>
        <color rgb="FFFFFF00"/>
      </font>
      <fill>
        <patternFill patternType="solid">
          <bgColor theme="1"/>
        </patternFill>
      </fill>
    </dxf>
    <dxf>
      <font>
        <color rgb="FFFF0000"/>
      </font>
    </dxf>
    <dxf>
      <font>
        <color rgb="FF00FF00"/>
      </font>
    </dxf>
    <dxf>
      <font>
        <color rgb="FFFFFF00"/>
      </font>
      <fill>
        <patternFill patternType="solid">
          <bgColor theme="1"/>
        </patternFill>
      </fill>
    </dxf>
    <dxf>
      <font>
        <color rgb="FFFF0000"/>
      </font>
    </dxf>
    <dxf>
      <font>
        <color rgb="FFFFFF00"/>
      </font>
      <fill>
        <patternFill patternType="solid">
          <bgColor theme="1"/>
        </patternFill>
      </fill>
    </dxf>
    <dxf>
      <font>
        <color rgb="FFFF0000"/>
      </font>
    </dxf>
    <dxf>
      <font>
        <color rgb="FF00FF00"/>
      </font>
    </dxf>
    <dxf>
      <font>
        <color rgb="FFFFFF00"/>
      </font>
      <fill>
        <patternFill patternType="solid">
          <bgColor theme="1"/>
        </patternFill>
      </fill>
    </dxf>
    <dxf>
      <font>
        <color rgb="FFFF0000"/>
      </font>
    </dxf>
    <dxf>
      <font>
        <color rgb="FFFFFF00"/>
      </font>
      <fill>
        <patternFill patternType="solid">
          <bgColor theme="1"/>
        </patternFill>
      </fill>
    </dxf>
    <dxf>
      <font>
        <color rgb="FFFF0000"/>
      </font>
    </dxf>
    <dxf>
      <font>
        <color rgb="FF00FF00"/>
      </font>
    </dxf>
    <dxf>
      <font>
        <color rgb="FFFFFF00"/>
      </font>
      <fill>
        <patternFill patternType="solid">
          <bgColor theme="1"/>
        </patternFill>
      </fill>
    </dxf>
    <dxf>
      <font>
        <color rgb="FFFF0000"/>
      </font>
    </dxf>
    <dxf>
      <font>
        <color rgb="FFFFFF00"/>
      </font>
      <fill>
        <patternFill patternType="solid">
          <bgColor theme="1"/>
        </patternFill>
      </fill>
    </dxf>
    <dxf>
      <font>
        <color rgb="FFFF0000"/>
      </font>
    </dxf>
    <dxf>
      <font>
        <color rgb="FF00FF00"/>
      </font>
    </dxf>
    <dxf>
      <font>
        <color rgb="FFFFFF00"/>
      </font>
      <fill>
        <patternFill patternType="solid">
          <bgColor theme="1"/>
        </patternFill>
      </fill>
    </dxf>
    <dxf>
      <font>
        <color rgb="FFFF0000"/>
      </font>
    </dxf>
    <dxf>
      <font>
        <color rgb="FFFFFF00"/>
      </font>
      <fill>
        <patternFill patternType="solid">
          <bgColor theme="1"/>
        </patternFill>
      </fill>
    </dxf>
    <dxf>
      <font>
        <color rgb="FFFF0000"/>
      </font>
    </dxf>
    <dxf>
      <font>
        <color rgb="FF00FF00"/>
      </font>
    </dxf>
    <dxf>
      <font>
        <color rgb="FFFFFF00"/>
      </font>
      <fill>
        <patternFill patternType="solid">
          <bgColor theme="1"/>
        </patternFill>
      </fill>
    </dxf>
    <dxf>
      <font>
        <color rgb="FFFF0000"/>
      </font>
    </dxf>
    <dxf>
      <font>
        <color rgb="FFFFFF00"/>
      </font>
      <fill>
        <patternFill patternType="solid">
          <bgColor theme="1"/>
        </patternFill>
      </fill>
    </dxf>
    <dxf>
      <font>
        <color rgb="FFFF0000"/>
      </font>
    </dxf>
    <dxf>
      <font>
        <color rgb="FF00FF00"/>
      </font>
    </dxf>
    <dxf>
      <font>
        <color rgb="FFFFFF00"/>
      </font>
      <fill>
        <patternFill patternType="solid">
          <bgColor theme="1"/>
        </patternFill>
      </fill>
    </dxf>
    <dxf>
      <font>
        <color rgb="FFFF0000"/>
      </font>
    </dxf>
    <dxf>
      <font>
        <color rgb="FFFFFF00"/>
      </font>
      <fill>
        <patternFill patternType="solid">
          <bgColor theme="1"/>
        </patternFill>
      </fill>
    </dxf>
    <dxf>
      <font>
        <color rgb="FFFF0000"/>
      </font>
    </dxf>
    <dxf>
      <font>
        <color rgb="FF00FF00"/>
      </font>
    </dxf>
    <dxf>
      <font>
        <color rgb="FFFFFF00"/>
      </font>
      <fill>
        <patternFill patternType="solid">
          <bgColor theme="1"/>
        </patternFill>
      </fill>
    </dxf>
    <dxf>
      <font>
        <color rgb="FFFF0000"/>
      </font>
    </dxf>
    <dxf>
      <font>
        <color rgb="FFFFFF00"/>
      </font>
      <fill>
        <patternFill patternType="solid">
          <bgColor theme="1"/>
        </patternFill>
      </fill>
    </dxf>
    <dxf>
      <font>
        <color rgb="FFFF0000"/>
      </font>
    </dxf>
    <dxf>
      <font>
        <color rgb="FF00FF00"/>
      </font>
    </dxf>
    <dxf>
      <font>
        <color rgb="FFFFFF00"/>
      </font>
      <fill>
        <patternFill patternType="solid">
          <bgColor theme="1"/>
        </patternFill>
      </fill>
    </dxf>
    <dxf>
      <font>
        <color rgb="FFFF0000"/>
      </font>
    </dxf>
    <dxf>
      <font>
        <color rgb="FFFFFF00"/>
      </font>
      <fill>
        <patternFill patternType="solid">
          <bgColor theme="1"/>
        </patternFill>
      </fill>
    </dxf>
    <dxf>
      <font>
        <color rgb="FFFF0000"/>
      </font>
    </dxf>
    <dxf>
      <font>
        <color rgb="FF00FF00"/>
      </font>
    </dxf>
    <dxf>
      <font>
        <color rgb="FFFFFF00"/>
      </font>
      <fill>
        <patternFill patternType="solid">
          <bgColor theme="1"/>
        </patternFill>
      </fill>
    </dxf>
    <dxf>
      <font>
        <color rgb="FFFF0000"/>
      </font>
    </dxf>
    <dxf>
      <font>
        <color rgb="FFFF0000"/>
      </font>
    </dxf>
    <dxf>
      <font>
        <color rgb="FF00FF00"/>
      </font>
    </dxf>
    <dxf>
      <font>
        <color rgb="FFFFFF00"/>
      </font>
      <fill>
        <patternFill patternType="solid">
          <bgColor theme="1"/>
        </patternFill>
      </fill>
    </dxf>
    <dxf>
      <font>
        <color rgb="FFFF0000"/>
      </font>
    </dxf>
    <dxf>
      <font>
        <color rgb="FFFFFF00"/>
      </font>
      <fill>
        <patternFill patternType="solid">
          <bgColor theme="1"/>
        </patternFill>
      </fill>
    </dxf>
    <dxf>
      <font>
        <color rgb="FFFF0000"/>
      </font>
    </dxf>
    <dxf>
      <font>
        <color rgb="FF00FF00"/>
      </font>
    </dxf>
    <dxf>
      <font>
        <color rgb="FFFFFF00"/>
      </font>
      <fill>
        <patternFill patternType="solid">
          <bgColor theme="1"/>
        </patternFill>
      </fill>
    </dxf>
    <dxf>
      <font>
        <color rgb="FFFF0000"/>
      </font>
    </dxf>
    <dxf>
      <font>
        <color rgb="FFFFFF00"/>
      </font>
      <fill>
        <patternFill patternType="solid">
          <bgColor theme="1"/>
        </patternFill>
      </fill>
    </dxf>
    <dxf>
      <font>
        <color rgb="FFFF0000"/>
      </font>
    </dxf>
    <dxf>
      <font>
        <color rgb="FF00FF00"/>
      </font>
    </dxf>
    <dxf>
      <font>
        <color rgb="FFFFFF00"/>
      </font>
      <fill>
        <patternFill patternType="solid">
          <bgColor theme="1"/>
        </patternFill>
      </fill>
    </dxf>
    <dxf>
      <font>
        <color rgb="FFFF0000"/>
      </font>
    </dxf>
    <dxf>
      <font>
        <color rgb="FFFFFF00"/>
      </font>
      <fill>
        <patternFill patternType="solid">
          <bgColor theme="1"/>
        </patternFill>
      </fill>
    </dxf>
    <dxf>
      <font>
        <color rgb="FFFF0000"/>
      </font>
    </dxf>
    <dxf>
      <font>
        <color rgb="FF00FF00"/>
      </font>
    </dxf>
    <dxf>
      <font>
        <color rgb="FFFFFF00"/>
      </font>
      <fill>
        <patternFill patternType="solid">
          <bgColor theme="1"/>
        </patternFill>
      </fill>
    </dxf>
    <dxf>
      <font>
        <color rgb="FFFF0000"/>
      </font>
    </dxf>
    <dxf>
      <font>
        <color rgb="FFFFFF00"/>
      </font>
      <fill>
        <patternFill patternType="solid">
          <bgColor theme="1"/>
        </patternFill>
      </fill>
    </dxf>
    <dxf>
      <font>
        <color rgb="FFFF0000"/>
      </font>
    </dxf>
    <dxf>
      <font>
        <color rgb="FF00FF00"/>
      </font>
    </dxf>
    <dxf>
      <font>
        <color rgb="FFFFFF00"/>
      </font>
      <fill>
        <patternFill patternType="solid">
          <bgColor theme="1"/>
        </patternFill>
      </fill>
    </dxf>
    <dxf>
      <font>
        <color rgb="FFFF0000"/>
      </font>
    </dxf>
    <dxf>
      <font>
        <color rgb="FFFFFF00"/>
      </font>
      <fill>
        <patternFill patternType="solid">
          <bgColor theme="1"/>
        </patternFill>
      </fill>
    </dxf>
    <dxf>
      <font>
        <color rgb="FFFF0000"/>
      </font>
    </dxf>
    <dxf>
      <font>
        <color rgb="FF00FF00"/>
      </font>
    </dxf>
    <dxf>
      <font>
        <color rgb="FFFFFF00"/>
      </font>
      <fill>
        <patternFill patternType="solid">
          <bgColor theme="1"/>
        </patternFill>
      </fill>
    </dxf>
    <dxf>
      <font>
        <color rgb="FFFFFF00"/>
      </font>
      <fill>
        <patternFill patternType="solid">
          <bgColor theme="1"/>
        </patternFill>
      </fill>
    </dxf>
    <dxf>
      <font>
        <color rgb="FFFF0000"/>
      </font>
    </dxf>
    <dxf>
      <font>
        <color rgb="FFFFFF00"/>
      </font>
      <fill>
        <patternFill patternType="solid">
          <bgColor theme="1"/>
        </patternFill>
      </fill>
    </dxf>
    <dxf>
      <font>
        <color rgb="FFFF0000"/>
      </font>
    </dxf>
    <dxf>
      <font>
        <color rgb="FF00FF00"/>
      </font>
    </dxf>
    <dxf>
      <font>
        <color rgb="FFFFFF00"/>
      </font>
      <fill>
        <patternFill patternType="solid">
          <bgColor theme="1"/>
        </patternFill>
      </fill>
    </dxf>
    <dxf>
      <font>
        <color rgb="FFFF0000"/>
      </font>
    </dxf>
    <dxf>
      <font>
        <color rgb="FFFFFF00"/>
      </font>
      <fill>
        <patternFill patternType="solid">
          <bgColor theme="1"/>
        </patternFill>
      </fill>
    </dxf>
    <dxf>
      <font>
        <color rgb="FFFF0000"/>
      </font>
    </dxf>
    <dxf>
      <font>
        <color rgb="FF00FF00"/>
      </font>
    </dxf>
    <dxf>
      <font>
        <color rgb="FFFFFF00"/>
      </font>
      <fill>
        <patternFill patternType="solid">
          <bgColor theme="1"/>
        </patternFill>
      </fill>
    </dxf>
    <dxf>
      <font>
        <color rgb="FFFF0000"/>
      </font>
    </dxf>
    <dxf>
      <font>
        <color rgb="FFFFFF00"/>
      </font>
      <fill>
        <patternFill patternType="solid">
          <bgColor theme="1"/>
        </patternFill>
      </fill>
    </dxf>
    <dxf>
      <font>
        <color rgb="FFFF0000"/>
      </font>
    </dxf>
    <dxf>
      <font>
        <color rgb="FF00FF00"/>
      </font>
    </dxf>
    <dxf>
      <font>
        <color rgb="FFFFFF00"/>
      </font>
      <fill>
        <patternFill patternType="solid">
          <bgColor theme="1"/>
        </patternFill>
      </fill>
    </dxf>
    <dxf>
      <font>
        <color rgb="FFFF0000"/>
      </font>
    </dxf>
    <dxf>
      <font>
        <color rgb="FFFFFF00"/>
      </font>
      <fill>
        <patternFill patternType="solid">
          <bgColor theme="1"/>
        </patternFill>
      </fill>
    </dxf>
    <dxf>
      <font>
        <color rgb="FFFF0000"/>
      </font>
    </dxf>
    <dxf>
      <font>
        <color rgb="FF00FF00"/>
      </font>
    </dxf>
    <dxf>
      <font>
        <color rgb="FFFFFF00"/>
      </font>
      <fill>
        <patternFill patternType="solid">
          <bgColor theme="1"/>
        </patternFill>
      </fill>
    </dxf>
    <dxf>
      <font>
        <color rgb="FFFF0000"/>
      </font>
    </dxf>
    <dxf>
      <font>
        <color rgb="FFFFFF00"/>
      </font>
      <fill>
        <patternFill patternType="solid">
          <bgColor theme="1"/>
        </patternFill>
      </fill>
    </dxf>
    <dxf>
      <font>
        <color rgb="FFFF0000"/>
      </font>
    </dxf>
    <dxf>
      <font>
        <color rgb="FF00FF00"/>
      </font>
    </dxf>
    <dxf>
      <font>
        <color rgb="FFFFFF00"/>
      </font>
      <fill>
        <patternFill patternType="solid">
          <bgColor theme="1"/>
        </patternFill>
      </fill>
    </dxf>
    <dxf>
      <font>
        <color rgb="FFFF0000"/>
      </font>
    </dxf>
    <dxf>
      <font>
        <color rgb="FFFFFF00"/>
      </font>
      <fill>
        <patternFill patternType="solid">
          <bgColor theme="1"/>
        </patternFill>
      </fill>
    </dxf>
    <dxf>
      <font>
        <color rgb="FFFF0000"/>
      </font>
    </dxf>
    <dxf>
      <font>
        <color rgb="FF00FF00"/>
      </font>
    </dxf>
    <dxf>
      <font>
        <color rgb="FFFFFF00"/>
      </font>
      <fill>
        <patternFill patternType="solid">
          <bgColor theme="1"/>
        </patternFill>
      </fill>
    </dxf>
    <dxf>
      <font>
        <color rgb="FFFF0000"/>
      </font>
    </dxf>
    <dxf>
      <font>
        <color rgb="FFFFFF00"/>
      </font>
      <fill>
        <patternFill patternType="solid">
          <bgColor theme="1"/>
        </patternFill>
      </fill>
    </dxf>
    <dxf>
      <font>
        <color rgb="FFFF0000"/>
      </font>
    </dxf>
    <dxf>
      <font>
        <color rgb="FF00FF00"/>
      </font>
    </dxf>
    <dxf>
      <font>
        <color rgb="FFFFFF00"/>
      </font>
      <fill>
        <patternFill patternType="solid">
          <bgColor theme="1"/>
        </patternFill>
      </fill>
    </dxf>
    <dxf>
      <font>
        <color rgb="FFFF0000"/>
      </font>
    </dxf>
    <dxf>
      <font>
        <color rgb="FFFFFF00"/>
      </font>
      <fill>
        <patternFill patternType="solid">
          <bgColor theme="1"/>
        </patternFill>
      </fill>
    </dxf>
    <dxf>
      <font>
        <color rgb="FFFF0000"/>
      </font>
    </dxf>
    <dxf>
      <font>
        <color rgb="FF00FF00"/>
      </font>
    </dxf>
    <dxf>
      <font>
        <color rgb="FFFFFF00"/>
      </font>
      <fill>
        <patternFill patternType="solid">
          <bgColor theme="1"/>
        </patternFill>
      </fill>
    </dxf>
    <dxf>
      <font>
        <color rgb="FFFF0000"/>
      </font>
    </dxf>
    <dxf>
      <font>
        <color rgb="FFFFFF00"/>
      </font>
      <fill>
        <patternFill patternType="solid">
          <bgColor theme="1"/>
        </patternFill>
      </fill>
    </dxf>
    <dxf>
      <font>
        <color rgb="FFFF0000"/>
      </font>
    </dxf>
    <dxf>
      <font>
        <color rgb="FF00FF00"/>
      </font>
    </dxf>
    <dxf>
      <font>
        <color rgb="FFFFFF00"/>
      </font>
      <fill>
        <patternFill patternType="solid">
          <bgColor theme="1"/>
        </patternFill>
      </fill>
    </dxf>
    <dxf>
      <font>
        <color rgb="FFFF0000"/>
      </font>
    </dxf>
    <dxf>
      <font>
        <color rgb="FFFFFF00"/>
      </font>
      <fill>
        <patternFill patternType="solid">
          <bgColor theme="1"/>
        </patternFill>
      </fill>
    </dxf>
    <dxf>
      <font>
        <color rgb="FFFF0000"/>
      </font>
    </dxf>
    <dxf>
      <font>
        <color rgb="FF00FF00"/>
      </font>
    </dxf>
    <dxf>
      <font>
        <color rgb="FFFFFF00"/>
      </font>
      <fill>
        <patternFill patternType="solid">
          <bgColor theme="1"/>
        </patternFill>
      </fill>
    </dxf>
    <dxf>
      <font>
        <color rgb="FFFF0000"/>
      </font>
    </dxf>
    <dxf>
      <font>
        <color rgb="FF00FF00"/>
      </font>
    </dxf>
    <dxf>
      <font>
        <color rgb="FFFFFF00"/>
      </font>
      <fill>
        <patternFill patternType="solid">
          <bgColor theme="1"/>
        </patternFill>
      </fill>
    </dxf>
    <dxf>
      <font>
        <color rgb="FFFF0000"/>
      </font>
    </dxf>
    <dxf>
      <font>
        <color rgb="FF00FF00"/>
      </font>
    </dxf>
    <dxf>
      <font>
        <color rgb="FFFFFF00"/>
      </font>
      <fill>
        <patternFill patternType="solid">
          <bgColor theme="1"/>
        </patternFill>
      </fill>
    </dxf>
    <dxf>
      <font>
        <color rgb="FFFF0000"/>
      </font>
    </dxf>
    <dxf>
      <font>
        <color rgb="FF00FF00"/>
      </font>
    </dxf>
    <dxf>
      <font>
        <color rgb="FFFFFF00"/>
      </font>
      <fill>
        <patternFill patternType="solid">
          <bgColor theme="1"/>
        </patternFill>
      </fill>
    </dxf>
    <dxf>
      <font>
        <color rgb="FFFF0000"/>
      </font>
    </dxf>
    <dxf>
      <font>
        <color rgb="FF00FF00"/>
      </font>
    </dxf>
    <dxf>
      <font>
        <color rgb="FFFFFF00"/>
      </font>
      <fill>
        <patternFill patternType="solid">
          <bgColor theme="1"/>
        </patternFill>
      </fill>
    </dxf>
    <dxf>
      <font>
        <color rgb="FFFF0000"/>
      </font>
    </dxf>
    <dxf>
      <font>
        <color rgb="FF00FF00"/>
      </font>
    </dxf>
    <dxf>
      <font>
        <color rgb="FFFFFF00"/>
      </font>
      <fill>
        <patternFill patternType="solid">
          <bgColor theme="1"/>
        </patternFill>
      </fill>
    </dxf>
    <dxf>
      <font>
        <color rgb="FFFF0000"/>
      </font>
    </dxf>
    <dxf>
      <font>
        <color rgb="FF00FF00"/>
      </font>
    </dxf>
    <dxf>
      <font>
        <color rgb="FFFFFF00"/>
      </font>
      <fill>
        <patternFill patternType="solid">
          <bgColor theme="1"/>
        </patternFill>
      </fill>
    </dxf>
    <dxf>
      <font>
        <color rgb="FFFF0000"/>
      </font>
    </dxf>
    <dxf>
      <font>
        <color rgb="FF00FF00"/>
      </font>
    </dxf>
    <dxf>
      <font>
        <color rgb="FFFFFF00"/>
      </font>
      <fill>
        <patternFill patternType="solid">
          <bgColor theme="1"/>
        </patternFill>
      </fill>
    </dxf>
    <dxf>
      <font>
        <color rgb="FFFF0000"/>
      </font>
    </dxf>
    <dxf>
      <font>
        <color rgb="FF00FF00"/>
      </font>
    </dxf>
    <dxf>
      <font>
        <color rgb="FFFFFF00"/>
      </font>
      <fill>
        <patternFill patternType="solid">
          <bgColor theme="1"/>
        </patternFill>
      </fill>
    </dxf>
    <dxf>
      <font>
        <color rgb="FFFF0000"/>
      </font>
    </dxf>
    <dxf>
      <font>
        <color rgb="FF00FF00"/>
      </font>
    </dxf>
    <dxf>
      <font>
        <color rgb="FFFFFF00"/>
      </font>
      <fill>
        <patternFill patternType="solid">
          <bgColor theme="1"/>
        </patternFill>
      </fill>
    </dxf>
    <dxf>
      <font>
        <color rgb="FFFF0000"/>
      </font>
    </dxf>
    <dxf>
      <font>
        <color rgb="FF00FF00"/>
      </font>
    </dxf>
    <dxf>
      <font>
        <color rgb="FFFF0000"/>
      </font>
    </dxf>
    <dxf>
      <font>
        <color rgb="FF00FF00"/>
      </font>
    </dxf>
    <dxf>
      <font>
        <color rgb="FFFFFF00"/>
      </font>
      <fill>
        <patternFill patternType="solid">
          <bgColor theme="1"/>
        </patternFill>
      </fill>
    </dxf>
    <dxf>
      <font>
        <color rgb="FFFF0000"/>
      </font>
    </dxf>
    <dxf>
      <font>
        <color rgb="FF00FF00"/>
      </font>
    </dxf>
    <dxf>
      <font>
        <color rgb="FFFFFF00"/>
      </font>
      <fill>
        <patternFill patternType="solid">
          <bgColor theme="1"/>
        </patternFill>
      </fill>
    </dxf>
    <dxf>
      <font>
        <color rgb="FFFF0000"/>
      </font>
    </dxf>
    <dxf>
      <font>
        <color rgb="FF00FF00"/>
      </font>
    </dxf>
    <dxf>
      <font>
        <color rgb="FFFFFF00"/>
      </font>
      <fill>
        <patternFill patternType="solid">
          <bgColor theme="1"/>
        </patternFill>
      </fill>
    </dxf>
    <dxf>
      <font>
        <color rgb="FFFF0000"/>
      </font>
    </dxf>
    <dxf>
      <font>
        <color rgb="FF00FF00"/>
      </font>
    </dxf>
    <dxf>
      <font>
        <color rgb="FFFFFF00"/>
      </font>
      <fill>
        <patternFill patternType="solid">
          <bgColor theme="1"/>
        </patternFill>
      </fill>
    </dxf>
    <dxf>
      <font>
        <color rgb="FFFFFF00"/>
      </font>
      <fill>
        <patternFill patternType="solid">
          <bgColor theme="1"/>
        </patternFill>
      </fill>
    </dxf>
    <dxf>
      <font>
        <color rgb="FFFF0000"/>
      </font>
    </dxf>
    <dxf>
      <font>
        <color rgb="FF00FF00"/>
      </font>
    </dxf>
    <dxf>
      <font>
        <color rgb="FFFFFF00"/>
      </font>
      <fill>
        <patternFill patternType="solid">
          <bgColor theme="1"/>
        </patternFill>
      </fill>
    </dxf>
    <dxf>
      <font>
        <color rgb="FFFF0000"/>
      </font>
    </dxf>
    <dxf>
      <font>
        <color rgb="FF00FF00"/>
      </font>
    </dxf>
    <dxf>
      <font>
        <color rgb="FFFFFF00"/>
      </font>
      <fill>
        <patternFill patternType="solid">
          <bgColor theme="1"/>
        </patternFill>
      </fill>
    </dxf>
    <dxf>
      <font>
        <color rgb="FFFF0000"/>
      </font>
    </dxf>
    <dxf>
      <font>
        <color rgb="FF00FF00"/>
      </font>
    </dxf>
    <dxf>
      <font>
        <color rgb="FFFFFF00"/>
      </font>
      <fill>
        <patternFill patternType="solid">
          <bgColor theme="1"/>
        </patternFill>
      </fill>
    </dxf>
    <dxf>
      <font>
        <color rgb="FFFF0000"/>
      </font>
    </dxf>
    <dxf>
      <font>
        <color rgb="FF00FF00"/>
      </font>
    </dxf>
    <dxf>
      <font>
        <color rgb="FFFFFF00"/>
      </font>
      <fill>
        <patternFill patternType="solid">
          <bgColor theme="1"/>
        </patternFill>
      </fill>
    </dxf>
    <dxf>
      <font>
        <color rgb="FFFF0000"/>
      </font>
    </dxf>
    <dxf>
      <font>
        <color rgb="FF00FF00"/>
      </font>
    </dxf>
    <dxf>
      <font>
        <color rgb="FFFFFF00"/>
      </font>
      <fill>
        <patternFill patternType="solid">
          <bgColor theme="1"/>
        </patternFill>
      </fill>
    </dxf>
    <dxf>
      <font>
        <color rgb="FFFF0000"/>
      </font>
    </dxf>
    <dxf>
      <font>
        <color rgb="FF00FF00"/>
      </font>
    </dxf>
    <dxf>
      <font>
        <color rgb="FFFFFF00"/>
      </font>
      <fill>
        <patternFill patternType="solid">
          <bgColor theme="1"/>
        </patternFill>
      </fill>
    </dxf>
    <dxf>
      <font>
        <color rgb="FFFF0000"/>
      </font>
    </dxf>
    <dxf>
      <font>
        <color rgb="FF00FF00"/>
      </font>
    </dxf>
    <dxf>
      <font>
        <color rgb="FFFFFF00"/>
      </font>
      <fill>
        <patternFill patternType="solid">
          <bgColor theme="1"/>
        </patternFill>
      </fill>
    </dxf>
    <dxf>
      <font>
        <color rgb="FFFF0000"/>
      </font>
    </dxf>
    <dxf>
      <font>
        <color rgb="FF00FF00"/>
      </font>
    </dxf>
    <dxf>
      <font>
        <color rgb="FFFFFF00"/>
      </font>
      <fill>
        <patternFill patternType="solid">
          <bgColor theme="1"/>
        </patternFill>
      </fill>
    </dxf>
    <dxf>
      <font>
        <color rgb="FFFF0000"/>
      </font>
    </dxf>
    <dxf>
      <font>
        <color rgb="FF00FF00"/>
      </font>
    </dxf>
    <dxf>
      <font>
        <color rgb="FFFFFF00"/>
      </font>
      <fill>
        <patternFill patternType="solid">
          <bgColor theme="1"/>
        </patternFill>
      </fill>
    </dxf>
    <dxf>
      <font>
        <color rgb="FFFF0000"/>
      </font>
    </dxf>
    <dxf>
      <font>
        <color rgb="FF00FF00"/>
      </font>
    </dxf>
    <dxf>
      <font>
        <color rgb="FFFFFF00"/>
      </font>
      <fill>
        <patternFill patternType="solid">
          <bgColor theme="1"/>
        </patternFill>
      </fill>
    </dxf>
    <dxf>
      <font>
        <color rgb="FFFF0000"/>
      </font>
    </dxf>
    <dxf>
      <font>
        <color rgb="FF00FF00"/>
      </font>
    </dxf>
    <dxf>
      <font>
        <color rgb="FFFFFF00"/>
      </font>
      <fill>
        <patternFill patternType="solid">
          <bgColor theme="1"/>
        </patternFill>
      </fill>
    </dxf>
    <dxf>
      <font>
        <color rgb="FFFF0000"/>
      </font>
    </dxf>
    <dxf>
      <font>
        <color rgb="FF00FF00"/>
      </font>
    </dxf>
    <dxf>
      <font>
        <color rgb="FFFFFF00"/>
      </font>
      <fill>
        <patternFill patternType="solid">
          <bgColor theme="1"/>
        </patternFill>
      </fill>
    </dxf>
    <dxf>
      <font>
        <color rgb="FFFF0000"/>
      </font>
    </dxf>
    <dxf>
      <font>
        <color rgb="FF00FF00"/>
      </font>
    </dxf>
    <dxf>
      <font>
        <color rgb="FFFF0000"/>
      </font>
    </dxf>
    <dxf>
      <font>
        <color rgb="FF00FF00"/>
      </font>
    </dxf>
    <dxf>
      <font>
        <color rgb="FFFFFF00"/>
      </font>
      <fill>
        <patternFill patternType="solid">
          <bgColor theme="1"/>
        </patternFill>
      </fill>
    </dxf>
    <dxf>
      <font>
        <color rgb="FFFF0000"/>
      </font>
    </dxf>
    <dxf>
      <font>
        <color rgb="FF00FF00"/>
      </font>
    </dxf>
    <dxf>
      <font>
        <color rgb="FFFF0000"/>
      </font>
    </dxf>
    <dxf>
      <font>
        <color rgb="FF00FF00"/>
      </font>
    </dxf>
    <dxf>
      <font>
        <color rgb="FFFFFF00"/>
      </font>
      <fill>
        <patternFill patternType="solid">
          <bgColor theme="1"/>
        </patternFill>
      </fill>
    </dxf>
    <dxf>
      <font>
        <color rgb="FFFF0000"/>
      </font>
    </dxf>
    <dxf>
      <font>
        <color rgb="FF00FF00"/>
      </font>
    </dxf>
    <dxf>
      <font>
        <color rgb="FFFFFF00"/>
      </font>
      <fill>
        <patternFill patternType="solid">
          <bgColor theme="1"/>
        </patternFill>
      </fill>
    </dxf>
    <dxf>
      <font>
        <color rgb="FFFF0000"/>
      </font>
    </dxf>
    <dxf>
      <font>
        <color rgb="FF00FF00"/>
      </font>
    </dxf>
    <dxf>
      <font>
        <color rgb="FFFFFF00"/>
      </font>
      <fill>
        <patternFill patternType="solid">
          <bgColor theme="1"/>
        </patternFill>
      </fill>
    </dxf>
    <dxf>
      <font>
        <color rgb="FFFF0000"/>
      </font>
    </dxf>
    <dxf>
      <font>
        <color rgb="FF00FF00"/>
      </font>
    </dxf>
    <dxf>
      <font>
        <color rgb="FFFFFF00"/>
      </font>
      <fill>
        <patternFill patternType="solid">
          <bgColor theme="1"/>
        </patternFill>
      </fill>
    </dxf>
    <dxf>
      <font>
        <color rgb="FFFFFF00"/>
      </font>
      <fill>
        <patternFill patternType="solid">
          <bgColor theme="1"/>
        </patternFill>
      </fill>
    </dxf>
    <dxf>
      <font>
        <color rgb="FFFF0000"/>
      </font>
    </dxf>
    <dxf>
      <font>
        <color rgb="FF00FF00"/>
      </font>
    </dxf>
    <dxf>
      <font>
        <color rgb="FFFFFF00"/>
      </font>
      <fill>
        <patternFill patternType="solid">
          <bgColor theme="1"/>
        </patternFill>
      </fill>
    </dxf>
    <dxf>
      <font>
        <color rgb="FFFF0000"/>
      </font>
    </dxf>
    <dxf>
      <font>
        <color rgb="FF00FF00"/>
      </font>
    </dxf>
    <dxf>
      <font>
        <color rgb="FFFF0000"/>
      </font>
    </dxf>
    <dxf>
      <font>
        <color rgb="FF00FF00"/>
      </font>
    </dxf>
    <dxf>
      <font>
        <color rgb="FFFFFF00"/>
      </font>
      <fill>
        <patternFill patternType="solid">
          <bgColor theme="1"/>
        </patternFill>
      </fill>
    </dxf>
    <dxf>
      <font>
        <color rgb="FFFF0000"/>
      </font>
    </dxf>
    <dxf>
      <font>
        <color rgb="FF00FF00"/>
      </font>
    </dxf>
    <dxf>
      <font>
        <color rgb="FFFFFF00"/>
      </font>
      <fill>
        <patternFill patternType="solid">
          <bgColor theme="1"/>
        </patternFill>
      </fill>
    </dxf>
    <dxf>
      <font>
        <color rgb="FFFF0000"/>
      </font>
    </dxf>
    <dxf>
      <font>
        <color rgb="FF00FF00"/>
      </font>
    </dxf>
    <dxf>
      <font>
        <color rgb="FFFFFF00"/>
      </font>
      <fill>
        <patternFill patternType="solid">
          <bgColor theme="1"/>
        </patternFill>
      </fill>
    </dxf>
    <dxf>
      <font>
        <color rgb="FFFF0000"/>
      </font>
    </dxf>
    <dxf>
      <font>
        <color rgb="FF00FF00"/>
      </font>
    </dxf>
    <dxf>
      <font>
        <color rgb="FFFFFF00"/>
      </font>
      <fill>
        <patternFill patternType="solid">
          <bgColor theme="1"/>
        </patternFill>
      </fill>
    </dxf>
    <dxf>
      <font>
        <color rgb="FFFF0000"/>
      </font>
    </dxf>
    <dxf>
      <font>
        <color rgb="FF00FF00"/>
      </font>
    </dxf>
    <dxf>
      <font>
        <color rgb="FFFFFF00"/>
      </font>
      <fill>
        <patternFill patternType="solid">
          <bgColor theme="1"/>
        </patternFill>
      </fill>
    </dxf>
    <dxf>
      <font>
        <color rgb="FFFF0000"/>
      </font>
    </dxf>
    <dxf>
      <font>
        <color rgb="FF00FF00"/>
      </font>
    </dxf>
    <dxf>
      <font>
        <color rgb="FFFFFF00"/>
      </font>
      <fill>
        <patternFill patternType="solid">
          <bgColor theme="1"/>
        </patternFill>
      </fill>
    </dxf>
    <dxf>
      <font>
        <color rgb="FFFF0000"/>
      </font>
    </dxf>
    <dxf>
      <font>
        <color rgb="FF00FF00"/>
      </font>
    </dxf>
    <dxf>
      <font>
        <color rgb="FFFFFF00"/>
      </font>
      <fill>
        <patternFill patternType="solid">
          <bgColor theme="1"/>
        </patternFill>
      </fill>
    </dxf>
    <dxf>
      <font>
        <color rgb="FFFF0000"/>
      </font>
    </dxf>
    <dxf>
      <font>
        <color rgb="FFFFFF00"/>
      </font>
      <fill>
        <patternFill patternType="solid">
          <bgColor theme="1"/>
        </patternFill>
      </fill>
    </dxf>
    <dxf>
      <font>
        <color rgb="FFFF0000"/>
      </font>
    </dxf>
    <dxf>
      <font>
        <color rgb="FF00FF00"/>
      </font>
    </dxf>
    <dxf>
      <font>
        <color rgb="FFFFFF00"/>
      </font>
      <fill>
        <patternFill patternType="solid">
          <bgColor theme="1"/>
        </patternFill>
      </fill>
    </dxf>
    <dxf>
      <font>
        <color rgb="FFFF0000"/>
      </font>
    </dxf>
    <dxf>
      <font>
        <color rgb="FF00FF00"/>
      </font>
    </dxf>
    <dxf>
      <font>
        <color rgb="FF00FF00"/>
      </font>
    </dxf>
    <dxf>
      <font>
        <color rgb="FFFFFF00"/>
      </font>
      <fill>
        <patternFill patternType="solid">
          <bgColor theme="1"/>
        </patternFill>
      </fill>
    </dxf>
    <dxf>
      <font>
        <color rgb="FFFF0000"/>
      </font>
    </dxf>
    <dxf>
      <font>
        <color rgb="FFFFFF00"/>
      </font>
      <fill>
        <patternFill patternType="solid">
          <bgColor theme="1"/>
        </patternFill>
      </fill>
    </dxf>
    <dxf>
      <font>
        <color rgb="FFFF0000"/>
      </font>
    </dxf>
    <dxf>
      <font>
        <color rgb="FFFFFF00"/>
      </font>
      <fill>
        <patternFill patternType="solid">
          <bgColor theme="1"/>
        </patternFill>
      </fill>
    </dxf>
    <dxf>
      <font>
        <color rgb="FFFF0000"/>
      </font>
    </dxf>
    <dxf>
      <font>
        <color rgb="FF00FF00"/>
      </font>
    </dxf>
    <dxf>
      <font>
        <color rgb="FF00FF00"/>
      </font>
    </dxf>
    <dxf>
      <font>
        <color rgb="FF00FF00"/>
      </font>
    </dxf>
    <dxf>
      <font>
        <color rgb="FFFFFF00"/>
      </font>
      <fill>
        <patternFill patternType="solid">
          <bgColor theme="1"/>
        </patternFill>
      </fill>
    </dxf>
    <dxf>
      <font>
        <color rgb="FFFF0000"/>
      </font>
    </dxf>
    <dxf>
      <font>
        <color rgb="FF00FF00"/>
      </font>
    </dxf>
    <dxf>
      <font>
        <color rgb="FFFFFF00"/>
      </font>
      <fill>
        <patternFill patternType="solid">
          <bgColor theme="1"/>
        </patternFill>
      </fill>
    </dxf>
    <dxf>
      <font>
        <color rgb="FFFF0000"/>
      </font>
    </dxf>
    <dxf>
      <font>
        <color rgb="FF00FF00"/>
      </font>
    </dxf>
    <dxf>
      <font>
        <color rgb="FFFFFF00"/>
      </font>
      <fill>
        <patternFill patternType="solid">
          <bgColor theme="1"/>
        </patternFill>
      </fill>
    </dxf>
    <dxf>
      <font>
        <color rgb="FFFF0000"/>
      </font>
    </dxf>
    <dxf>
      <font>
        <color rgb="FF00FF00"/>
      </font>
    </dxf>
    <dxf>
      <font>
        <color rgb="FFFFFF00"/>
      </font>
      <fill>
        <patternFill patternType="solid">
          <bgColor theme="1"/>
        </patternFill>
      </fill>
    </dxf>
    <dxf>
      <font>
        <color rgb="FFFF0000"/>
      </font>
    </dxf>
    <dxf>
      <font>
        <color rgb="FF00FF00"/>
      </font>
    </dxf>
    <dxf>
      <font>
        <color rgb="FFFFFF00"/>
      </font>
      <fill>
        <patternFill patternType="solid">
          <bgColor theme="1"/>
        </patternFill>
      </fill>
    </dxf>
    <dxf>
      <font>
        <color rgb="FFFF0000"/>
      </font>
    </dxf>
    <dxf>
      <font>
        <color rgb="FFFFFF00"/>
      </font>
      <fill>
        <patternFill patternType="solid">
          <bgColor theme="1"/>
        </patternFill>
      </fill>
    </dxf>
    <dxf>
      <font>
        <color rgb="FFFF0000"/>
      </font>
    </dxf>
    <dxf>
      <font>
        <color rgb="FF00FF00"/>
      </font>
    </dxf>
    <dxf>
      <font>
        <color rgb="FFFFFF00"/>
      </font>
      <fill>
        <patternFill patternType="solid">
          <bgColor theme="1"/>
        </patternFill>
      </fill>
    </dxf>
    <dxf>
      <font>
        <color rgb="FFFF0000"/>
      </font>
    </dxf>
    <dxf>
      <font>
        <color rgb="FF00FF00"/>
      </font>
    </dxf>
    <dxf>
      <font>
        <color rgb="FF00FF00"/>
      </font>
    </dxf>
    <dxf>
      <font>
        <color rgb="FFFFFF00"/>
      </font>
      <fill>
        <patternFill patternType="solid">
          <bgColor theme="1"/>
        </patternFill>
      </fill>
    </dxf>
    <dxf>
      <font>
        <color rgb="FFFF0000"/>
      </font>
    </dxf>
    <dxf>
      <font>
        <color rgb="FFFFFF00"/>
      </font>
      <fill>
        <patternFill patternType="solid">
          <bgColor theme="1"/>
        </patternFill>
      </fill>
    </dxf>
    <dxf>
      <font>
        <color rgb="FFFF0000"/>
      </font>
    </dxf>
    <dxf>
      <font>
        <color rgb="FFFFFF00"/>
      </font>
      <fill>
        <patternFill patternType="solid">
          <bgColor theme="1"/>
        </patternFill>
      </fill>
    </dxf>
    <dxf>
      <font>
        <color rgb="FFFF0000"/>
      </font>
    </dxf>
    <dxf>
      <font>
        <color rgb="FF00FF00"/>
      </font>
    </dxf>
    <dxf>
      <font>
        <color rgb="FF00FF00"/>
      </font>
    </dxf>
    <dxf>
      <font>
        <color rgb="FF00FF00"/>
      </font>
    </dxf>
    <dxf>
      <font>
        <color rgb="FFFFFF00"/>
      </font>
      <fill>
        <patternFill patternType="solid">
          <bgColor theme="1"/>
        </patternFill>
      </fill>
    </dxf>
    <dxf>
      <font>
        <color rgb="FFFF0000"/>
      </font>
    </dxf>
    <dxf>
      <font>
        <color rgb="FF00FF00"/>
      </font>
    </dxf>
    <dxf>
      <font>
        <color rgb="FFFFFF00"/>
      </font>
      <fill>
        <patternFill patternType="solid">
          <bgColor theme="1"/>
        </patternFill>
      </fill>
    </dxf>
    <dxf>
      <font>
        <color rgb="FFFF0000"/>
      </font>
    </dxf>
    <dxf>
      <font>
        <color rgb="FF00FF00"/>
      </font>
    </dxf>
    <dxf>
      <font>
        <color rgb="FFFFFF00"/>
      </font>
      <fill>
        <patternFill patternType="solid">
          <bgColor theme="1"/>
        </patternFill>
      </fill>
    </dxf>
    <dxf>
      <font>
        <color rgb="FFFF0000"/>
      </font>
    </dxf>
    <dxf>
      <font>
        <color rgb="FF00FF00"/>
      </font>
    </dxf>
    <dxf>
      <font>
        <color rgb="FFFFFF00"/>
      </font>
      <fill>
        <patternFill patternType="solid">
          <bgColor theme="1"/>
        </patternFill>
      </fill>
    </dxf>
    <dxf>
      <font>
        <color rgb="FFFF0000"/>
      </font>
    </dxf>
    <dxf>
      <font>
        <color rgb="FF00FF00"/>
      </font>
    </dxf>
    <dxf>
      <font>
        <color rgb="FFFFFF00"/>
      </font>
      <fill>
        <patternFill patternType="solid">
          <bgColor theme="1"/>
        </patternFill>
      </fill>
    </dxf>
    <dxf>
      <font>
        <color rgb="FFFF0000"/>
      </font>
    </dxf>
    <dxf>
      <font>
        <color rgb="FFFFFF00"/>
      </font>
      <fill>
        <patternFill patternType="solid">
          <bgColor theme="1"/>
        </patternFill>
      </fill>
    </dxf>
    <dxf>
      <font>
        <color rgb="FFFF0000"/>
      </font>
    </dxf>
    <dxf>
      <font>
        <color rgb="FF00FF00"/>
      </font>
    </dxf>
    <dxf>
      <font>
        <color rgb="FFFFFF00"/>
      </font>
      <fill>
        <patternFill patternType="solid">
          <bgColor theme="1"/>
        </patternFill>
      </fill>
    </dxf>
    <dxf>
      <font>
        <color rgb="FFFF0000"/>
      </font>
    </dxf>
    <dxf>
      <font>
        <color rgb="FF00FF00"/>
      </font>
    </dxf>
    <dxf>
      <font>
        <color rgb="FF00FF00"/>
      </font>
    </dxf>
    <dxf>
      <font>
        <color rgb="FFFFFF00"/>
      </font>
      <fill>
        <patternFill patternType="solid">
          <bgColor theme="1"/>
        </patternFill>
      </fill>
    </dxf>
    <dxf>
      <font>
        <color rgb="FFFF0000"/>
      </font>
    </dxf>
    <dxf>
      <font>
        <color rgb="FFFFFF00"/>
      </font>
      <fill>
        <patternFill patternType="solid">
          <bgColor theme="1"/>
        </patternFill>
      </fill>
    </dxf>
    <dxf>
      <font>
        <color rgb="FFFF0000"/>
      </font>
    </dxf>
    <dxf>
      <font>
        <color rgb="FFFFFF00"/>
      </font>
      <fill>
        <patternFill patternType="solid">
          <bgColor theme="1"/>
        </patternFill>
      </fill>
    </dxf>
    <dxf>
      <font>
        <color rgb="FFFF0000"/>
      </font>
    </dxf>
    <dxf>
      <font>
        <color rgb="FF00FF00"/>
      </font>
    </dxf>
    <dxf>
      <font>
        <color rgb="FF00FF00"/>
      </font>
    </dxf>
    <dxf>
      <font>
        <color rgb="FF00FF00"/>
      </font>
    </dxf>
    <dxf>
      <font>
        <color rgb="FFFFFF00"/>
      </font>
      <fill>
        <patternFill patternType="solid">
          <bgColor theme="1"/>
        </patternFill>
      </fill>
    </dxf>
    <dxf>
      <font>
        <color rgb="FFFF0000"/>
      </font>
    </dxf>
    <dxf>
      <font>
        <color rgb="FF00FF00"/>
      </font>
    </dxf>
    <dxf>
      <font>
        <color rgb="FFFFFF00"/>
      </font>
      <fill>
        <patternFill patternType="solid">
          <bgColor theme="1"/>
        </patternFill>
      </fill>
    </dxf>
    <dxf>
      <font>
        <color rgb="FFFF0000"/>
      </font>
    </dxf>
    <dxf>
      <font>
        <color rgb="FF00FF00"/>
      </font>
    </dxf>
    <dxf>
      <font>
        <color rgb="FFFFFF00"/>
      </font>
      <fill>
        <patternFill patternType="solid">
          <bgColor theme="1"/>
        </patternFill>
      </fill>
    </dxf>
    <dxf>
      <font>
        <color rgb="FFFF0000"/>
      </font>
    </dxf>
    <dxf>
      <font>
        <color rgb="FF00FF00"/>
      </font>
    </dxf>
    <dxf>
      <font>
        <color rgb="FFFFFF00"/>
      </font>
      <fill>
        <patternFill patternType="solid">
          <bgColor theme="1"/>
        </patternFill>
      </fill>
    </dxf>
    <dxf>
      <font>
        <color rgb="FFFF0000"/>
      </font>
    </dxf>
    <dxf>
      <font>
        <color rgb="FF00FF00"/>
      </font>
    </dxf>
    <dxf>
      <font>
        <color rgb="FFFFFF00"/>
      </font>
      <fill>
        <patternFill patternType="solid">
          <bgColor theme="1"/>
        </patternFill>
      </fill>
    </dxf>
    <dxf>
      <font>
        <color rgb="FFFF0000"/>
      </font>
    </dxf>
    <dxf>
      <font>
        <color rgb="FFFFFF00"/>
      </font>
      <fill>
        <patternFill patternType="solid">
          <bgColor theme="1"/>
        </patternFill>
      </fill>
    </dxf>
    <dxf>
      <font>
        <color rgb="FFFF0000"/>
      </font>
    </dxf>
    <dxf>
      <font>
        <color rgb="FF00FF00"/>
      </font>
    </dxf>
    <dxf>
      <font>
        <color rgb="FFFFFF00"/>
      </font>
      <fill>
        <patternFill patternType="solid">
          <bgColor theme="1"/>
        </patternFill>
      </fill>
    </dxf>
    <dxf>
      <font>
        <color rgb="FFFF0000"/>
      </font>
    </dxf>
    <dxf>
      <font>
        <color rgb="FF00FF00"/>
      </font>
    </dxf>
    <dxf>
      <font>
        <color rgb="FF00FF00"/>
      </font>
    </dxf>
    <dxf>
      <font>
        <color rgb="FFFFFF00"/>
      </font>
      <fill>
        <patternFill patternType="solid">
          <bgColor theme="1"/>
        </patternFill>
      </fill>
    </dxf>
    <dxf>
      <font>
        <color rgb="FFFF0000"/>
      </font>
    </dxf>
    <dxf>
      <font>
        <color rgb="FFFFFF00"/>
      </font>
      <fill>
        <patternFill patternType="solid">
          <bgColor theme="1"/>
        </patternFill>
      </fill>
    </dxf>
    <dxf>
      <font>
        <color rgb="FFFF0000"/>
      </font>
    </dxf>
    <dxf>
      <font>
        <color rgb="FFFFFF00"/>
      </font>
      <fill>
        <patternFill patternType="solid">
          <bgColor theme="1"/>
        </patternFill>
      </fill>
    </dxf>
    <dxf>
      <font>
        <color rgb="FFFF0000"/>
      </font>
    </dxf>
    <dxf>
      <font>
        <color rgb="FF00FF00"/>
      </font>
    </dxf>
    <dxf>
      <font>
        <color rgb="FF00FF00"/>
      </font>
    </dxf>
    <dxf>
      <font>
        <color rgb="FF00FF00"/>
      </font>
    </dxf>
    <dxf>
      <font>
        <color rgb="FFFFFF00"/>
      </font>
      <fill>
        <patternFill patternType="solid">
          <bgColor theme="1"/>
        </patternFill>
      </fill>
    </dxf>
    <dxf>
      <font>
        <color rgb="FFFF0000"/>
      </font>
    </dxf>
    <dxf>
      <font>
        <color rgb="FF00FF00"/>
      </font>
    </dxf>
    <dxf>
      <font>
        <color rgb="FFFFFF00"/>
      </font>
      <fill>
        <patternFill patternType="solid">
          <bgColor theme="1"/>
        </patternFill>
      </fill>
    </dxf>
    <dxf>
      <font>
        <color rgb="FFFF0000"/>
      </font>
    </dxf>
    <dxf>
      <font>
        <color rgb="FF00FF00"/>
      </font>
    </dxf>
    <dxf>
      <font>
        <color rgb="FFFFFF00"/>
      </font>
      <fill>
        <patternFill patternType="solid">
          <bgColor theme="1"/>
        </patternFill>
      </fill>
    </dxf>
    <dxf>
      <font>
        <color rgb="FFFF0000"/>
      </font>
    </dxf>
    <dxf>
      <font>
        <color rgb="FF00FF00"/>
      </font>
    </dxf>
    <dxf>
      <font>
        <color rgb="FFFFFF00"/>
      </font>
      <fill>
        <patternFill patternType="solid">
          <bgColor theme="1"/>
        </patternFill>
      </fill>
    </dxf>
    <dxf>
      <font>
        <color rgb="FFFF0000"/>
      </font>
    </dxf>
    <dxf>
      <font>
        <color rgb="FF00FF00"/>
      </font>
    </dxf>
    <dxf>
      <font>
        <color rgb="FFFFFF00"/>
      </font>
      <fill>
        <patternFill patternType="solid">
          <bgColor theme="1"/>
        </patternFill>
      </fill>
    </dxf>
    <dxf>
      <font>
        <color rgb="FFFF0000"/>
      </font>
    </dxf>
    <dxf>
      <font>
        <color rgb="FFFFFF00"/>
      </font>
      <fill>
        <patternFill patternType="solid">
          <bgColor theme="1"/>
        </patternFill>
      </fill>
    </dxf>
    <dxf>
      <font>
        <color rgb="FFFF0000"/>
      </font>
    </dxf>
    <dxf>
      <font>
        <color rgb="FF00FF00"/>
      </font>
    </dxf>
    <dxf>
      <font>
        <color rgb="FFFFFF00"/>
      </font>
      <fill>
        <patternFill patternType="solid">
          <bgColor theme="1"/>
        </patternFill>
      </fill>
    </dxf>
    <dxf>
      <font>
        <color rgb="FFFF0000"/>
      </font>
    </dxf>
    <dxf>
      <font>
        <color rgb="FF00FF00"/>
      </font>
    </dxf>
    <dxf>
      <font>
        <color rgb="FF00FF00"/>
      </font>
    </dxf>
    <dxf>
      <font>
        <color rgb="FFFFFF00"/>
      </font>
      <fill>
        <patternFill patternType="solid">
          <bgColor theme="1"/>
        </patternFill>
      </fill>
    </dxf>
    <dxf>
      <font>
        <color rgb="FFFF0000"/>
      </font>
    </dxf>
    <dxf>
      <font>
        <color rgb="FFFFFF00"/>
      </font>
      <fill>
        <patternFill patternType="solid">
          <bgColor theme="1"/>
        </patternFill>
      </fill>
    </dxf>
    <dxf>
      <font>
        <color rgb="FFFF0000"/>
      </font>
    </dxf>
    <dxf>
      <font>
        <color rgb="FFFFFF00"/>
      </font>
      <fill>
        <patternFill patternType="solid">
          <bgColor theme="1"/>
        </patternFill>
      </fill>
    </dxf>
    <dxf>
      <font>
        <color rgb="FFFF0000"/>
      </font>
    </dxf>
    <dxf>
      <font>
        <color rgb="FF00FF00"/>
      </font>
    </dxf>
    <dxf>
      <font>
        <color rgb="FF00FF00"/>
      </font>
    </dxf>
    <dxf>
      <font>
        <color rgb="FF00FF00"/>
      </font>
    </dxf>
    <dxf>
      <font>
        <color rgb="FFFFFF00"/>
      </font>
      <fill>
        <patternFill patternType="solid">
          <bgColor theme="1"/>
        </patternFill>
      </fill>
    </dxf>
    <dxf>
      <font>
        <color rgb="FFFF0000"/>
      </font>
    </dxf>
    <dxf>
      <font>
        <color rgb="FF00FF00"/>
      </font>
    </dxf>
    <dxf>
      <font>
        <color rgb="FFFFFF00"/>
      </font>
      <fill>
        <patternFill patternType="solid">
          <bgColor theme="1"/>
        </patternFill>
      </fill>
    </dxf>
    <dxf>
      <font>
        <color rgb="FFFFFF00"/>
      </font>
      <fill>
        <patternFill patternType="solid">
          <bgColor theme="1"/>
        </patternFill>
      </fill>
    </dxf>
    <dxf>
      <font>
        <color rgb="FFFFFF00"/>
      </font>
      <fill>
        <patternFill patternType="solid">
          <bgColor theme="1"/>
        </patternFill>
      </fill>
    </dxf>
    <dxf>
      <font>
        <color rgb="FFFF0000"/>
      </font>
    </dxf>
    <dxf>
      <font>
        <color rgb="FF00FF00"/>
      </font>
    </dxf>
    <dxf>
      <font>
        <color rgb="FFFFFF00"/>
      </font>
      <fill>
        <patternFill patternType="solid">
          <bgColor theme="1"/>
        </patternFill>
      </fill>
    </dxf>
    <dxf>
      <font>
        <color rgb="FFFF0000"/>
      </font>
    </dxf>
    <dxf>
      <font>
        <color rgb="FF00FF00"/>
      </font>
    </dxf>
    <dxf>
      <font>
        <color rgb="FFFFFF00"/>
      </font>
      <fill>
        <patternFill patternType="solid">
          <bgColor theme="1"/>
        </patternFill>
      </fill>
    </dxf>
    <dxf>
      <font>
        <color rgb="FFFF0000"/>
      </font>
    </dxf>
    <dxf>
      <font>
        <color rgb="FF00FF00"/>
      </font>
    </dxf>
    <dxf>
      <font>
        <color rgb="FFFFFF00"/>
      </font>
      <fill>
        <patternFill patternType="solid">
          <bgColor theme="1"/>
        </patternFill>
      </fill>
    </dxf>
    <dxf>
      <font>
        <color rgb="FFFF0000"/>
      </font>
    </dxf>
    <dxf>
      <font>
        <color rgb="FFFFFF00"/>
      </font>
      <fill>
        <patternFill patternType="solid">
          <bgColor theme="1"/>
        </patternFill>
      </fill>
    </dxf>
    <dxf>
      <font>
        <color rgb="FFFF0000"/>
      </font>
    </dxf>
    <dxf>
      <font>
        <color rgb="FF00FF00"/>
      </font>
    </dxf>
    <dxf>
      <font>
        <color rgb="FFFFFF00"/>
      </font>
      <fill>
        <patternFill patternType="solid">
          <bgColor theme="1"/>
        </patternFill>
      </fill>
    </dxf>
    <dxf>
      <font>
        <color rgb="FFFF0000"/>
      </font>
    </dxf>
    <dxf>
      <font>
        <color rgb="FF00FF00"/>
      </font>
    </dxf>
    <dxf>
      <font>
        <color rgb="FF00FF00"/>
      </font>
    </dxf>
    <dxf>
      <font>
        <color rgb="FFFFFF00"/>
      </font>
      <fill>
        <patternFill patternType="solid">
          <bgColor theme="1"/>
        </patternFill>
      </fill>
    </dxf>
    <dxf>
      <font>
        <color rgb="FFFF0000"/>
      </font>
    </dxf>
    <dxf>
      <font>
        <color rgb="FFFFFF00"/>
      </font>
      <fill>
        <patternFill patternType="solid">
          <bgColor theme="1"/>
        </patternFill>
      </fill>
    </dxf>
    <dxf>
      <font>
        <color rgb="FFFF0000"/>
      </font>
    </dxf>
    <dxf>
      <font>
        <color rgb="FFFFFF00"/>
      </font>
      <fill>
        <patternFill patternType="solid">
          <bgColor theme="1"/>
        </patternFill>
      </fill>
    </dxf>
    <dxf>
      <font>
        <color rgb="FFFF0000"/>
      </font>
    </dxf>
    <dxf>
      <font>
        <color rgb="FF00FF00"/>
      </font>
    </dxf>
    <dxf>
      <font>
        <color rgb="FF00FF00"/>
      </font>
    </dxf>
    <dxf>
      <font>
        <color rgb="FF00FF00"/>
      </font>
    </dxf>
    <dxf>
      <font>
        <color rgb="FFFFFF00"/>
      </font>
      <fill>
        <patternFill patternType="solid">
          <bgColor theme="1"/>
        </patternFill>
      </fill>
    </dxf>
    <dxf>
      <font>
        <color rgb="FFFF0000"/>
      </font>
    </dxf>
    <dxf>
      <font>
        <color rgb="FF00FF00"/>
      </font>
    </dxf>
    <dxf>
      <font>
        <color rgb="FFFFFF00"/>
      </font>
      <fill>
        <patternFill patternType="solid">
          <bgColor theme="1"/>
        </patternFill>
      </fill>
    </dxf>
    <dxf>
      <font>
        <color rgb="FFFF0000"/>
      </font>
    </dxf>
    <dxf>
      <font>
        <color rgb="FF00FF00"/>
      </font>
    </dxf>
    <dxf>
      <font>
        <color rgb="FFFFFF00"/>
      </font>
      <fill>
        <patternFill patternType="solid">
          <bgColor theme="1"/>
        </patternFill>
      </fill>
    </dxf>
    <dxf>
      <font>
        <color rgb="FFFF0000"/>
      </font>
    </dxf>
    <dxf>
      <font>
        <color rgb="FF00FF00"/>
      </font>
    </dxf>
    <dxf>
      <font>
        <color rgb="FFFFFF00"/>
      </font>
      <fill>
        <patternFill patternType="solid">
          <bgColor theme="1"/>
        </patternFill>
      </fill>
    </dxf>
    <dxf>
      <font>
        <color rgb="FFFF0000"/>
      </font>
    </dxf>
    <dxf>
      <font>
        <color rgb="FF00FF00"/>
      </font>
    </dxf>
    <dxf>
      <font>
        <color rgb="FFFFFF00"/>
      </font>
      <fill>
        <patternFill patternType="solid">
          <bgColor theme="1"/>
        </patternFill>
      </fill>
    </dxf>
    <dxf>
      <font>
        <color rgb="FFFF0000"/>
      </font>
    </dxf>
    <dxf>
      <font>
        <color rgb="FFFFFF00"/>
      </font>
      <fill>
        <patternFill patternType="solid">
          <bgColor theme="1"/>
        </patternFill>
      </fill>
    </dxf>
    <dxf>
      <font>
        <color rgb="FFFF0000"/>
      </font>
    </dxf>
    <dxf>
      <font>
        <color rgb="FF00FF00"/>
      </font>
    </dxf>
    <dxf>
      <font>
        <color rgb="FFFFFF00"/>
      </font>
      <fill>
        <patternFill patternType="solid">
          <bgColor theme="1"/>
        </patternFill>
      </fill>
    </dxf>
    <dxf>
      <font>
        <color rgb="FFFF0000"/>
      </font>
    </dxf>
    <dxf>
      <font>
        <color rgb="FF00FF00"/>
      </font>
    </dxf>
    <dxf>
      <font>
        <color rgb="FF00FF00"/>
      </font>
    </dxf>
    <dxf>
      <font>
        <color rgb="FFFFFF00"/>
      </font>
      <fill>
        <patternFill patternType="solid">
          <bgColor theme="1"/>
        </patternFill>
      </fill>
    </dxf>
    <dxf>
      <font>
        <color rgb="FFFF0000"/>
      </font>
    </dxf>
    <dxf>
      <font>
        <color rgb="FFFFFF00"/>
      </font>
      <fill>
        <patternFill patternType="solid">
          <bgColor theme="1"/>
        </patternFill>
      </fill>
    </dxf>
    <dxf>
      <font>
        <color rgb="FFFF0000"/>
      </font>
    </dxf>
    <dxf>
      <font>
        <color rgb="FFFFFF00"/>
      </font>
      <fill>
        <patternFill patternType="solid">
          <bgColor theme="1"/>
        </patternFill>
      </fill>
    </dxf>
    <dxf>
      <font>
        <color rgb="FFFF0000"/>
      </font>
    </dxf>
    <dxf>
      <font>
        <color rgb="FF00FF00"/>
      </font>
    </dxf>
    <dxf>
      <font>
        <color rgb="FF00FF00"/>
      </font>
    </dxf>
    <dxf>
      <font>
        <color rgb="FF00FF00"/>
      </font>
    </dxf>
    <dxf>
      <font>
        <color rgb="FFFFFF00"/>
      </font>
      <fill>
        <patternFill patternType="solid">
          <bgColor theme="1"/>
        </patternFill>
      </fill>
    </dxf>
    <dxf>
      <font>
        <color rgb="FFFF0000"/>
      </font>
    </dxf>
    <dxf>
      <font>
        <color rgb="FF00FF00"/>
      </font>
    </dxf>
    <dxf>
      <font>
        <color rgb="FFFFFF00"/>
      </font>
      <fill>
        <patternFill patternType="solid">
          <bgColor theme="1"/>
        </patternFill>
      </fill>
    </dxf>
    <dxf>
      <font>
        <color rgb="FFFF0000"/>
      </font>
    </dxf>
    <dxf>
      <font>
        <color rgb="FF00FF00"/>
      </font>
    </dxf>
    <dxf>
      <font>
        <color rgb="FFFFFF00"/>
      </font>
      <fill>
        <patternFill patternType="solid">
          <bgColor theme="1"/>
        </patternFill>
      </fill>
    </dxf>
    <dxf>
      <font>
        <color rgb="FFFF0000"/>
      </font>
    </dxf>
    <dxf>
      <font>
        <color rgb="FF00FF00"/>
      </font>
    </dxf>
    <dxf>
      <font>
        <color rgb="FFFFFF00"/>
      </font>
      <fill>
        <patternFill patternType="solid">
          <bgColor theme="1"/>
        </patternFill>
      </fill>
    </dxf>
    <dxf>
      <font>
        <color rgb="FFFF0000"/>
      </font>
    </dxf>
    <dxf>
      <font>
        <color rgb="FF00FF00"/>
      </font>
    </dxf>
    <dxf>
      <font>
        <color rgb="FFFFFF00"/>
      </font>
      <fill>
        <patternFill patternType="solid">
          <bgColor theme="1"/>
        </patternFill>
      </fill>
    </dxf>
    <dxf>
      <font>
        <color rgb="FFFF0000"/>
      </font>
    </dxf>
    <dxf>
      <font>
        <color rgb="FFFFFF00"/>
      </font>
      <fill>
        <patternFill patternType="solid">
          <bgColor theme="1"/>
        </patternFill>
      </fill>
    </dxf>
    <dxf>
      <font>
        <color rgb="FFFF0000"/>
      </font>
    </dxf>
    <dxf>
      <font>
        <color rgb="FF00FF00"/>
      </font>
    </dxf>
    <dxf>
      <font>
        <color rgb="FFFFFF00"/>
      </font>
      <fill>
        <patternFill patternType="solid">
          <bgColor theme="1"/>
        </patternFill>
      </fill>
    </dxf>
    <dxf>
      <font>
        <color rgb="FFFF0000"/>
      </font>
    </dxf>
    <dxf>
      <font>
        <color rgb="FF00FF00"/>
      </font>
    </dxf>
    <dxf>
      <font>
        <color rgb="FF00FF00"/>
      </font>
    </dxf>
    <dxf>
      <font>
        <color rgb="FFFFFF00"/>
      </font>
      <fill>
        <patternFill patternType="solid">
          <bgColor theme="1"/>
        </patternFill>
      </fill>
    </dxf>
    <dxf>
      <font>
        <color rgb="FFFF0000"/>
      </font>
    </dxf>
    <dxf>
      <font>
        <color rgb="FFFFFF00"/>
      </font>
      <fill>
        <patternFill patternType="solid">
          <bgColor theme="1"/>
        </patternFill>
      </fill>
    </dxf>
    <dxf>
      <font>
        <color rgb="FFFF0000"/>
      </font>
    </dxf>
    <dxf>
      <font>
        <color rgb="FFFFFF00"/>
      </font>
      <fill>
        <patternFill patternType="solid">
          <bgColor theme="1"/>
        </patternFill>
      </fill>
    </dxf>
    <dxf>
      <font>
        <color rgb="FFFF0000"/>
      </font>
    </dxf>
    <dxf>
      <font>
        <color rgb="FF00FF00"/>
      </font>
    </dxf>
    <dxf>
      <font>
        <color rgb="FF00FF00"/>
      </font>
    </dxf>
    <dxf>
      <font>
        <color rgb="FF00FF00"/>
      </font>
    </dxf>
    <dxf>
      <font>
        <color rgb="FFFFFF00"/>
      </font>
      <fill>
        <patternFill patternType="solid">
          <bgColor theme="1"/>
        </patternFill>
      </fill>
    </dxf>
    <dxf>
      <font>
        <color rgb="FFFF0000"/>
      </font>
    </dxf>
    <dxf>
      <font>
        <color rgb="FF00FF00"/>
      </font>
    </dxf>
    <dxf>
      <font>
        <color rgb="FFFFFF00"/>
      </font>
      <fill>
        <patternFill patternType="solid">
          <bgColor theme="1"/>
        </patternFill>
      </fill>
    </dxf>
    <dxf>
      <font>
        <color rgb="FFFF0000"/>
      </font>
    </dxf>
    <dxf>
      <font>
        <color rgb="FF00FF00"/>
      </font>
    </dxf>
    <dxf>
      <font>
        <color rgb="FFFFFF00"/>
      </font>
      <fill>
        <patternFill patternType="solid">
          <bgColor theme="1"/>
        </patternFill>
      </fill>
    </dxf>
    <dxf>
      <font>
        <color rgb="FFFF0000"/>
      </font>
    </dxf>
    <dxf>
      <font>
        <color rgb="FF00FF00"/>
      </font>
    </dxf>
    <dxf>
      <font>
        <color rgb="FFFFFF00"/>
      </font>
      <fill>
        <patternFill patternType="solid">
          <bgColor theme="1"/>
        </patternFill>
      </fill>
    </dxf>
    <dxf>
      <font>
        <color rgb="FFFF0000"/>
      </font>
    </dxf>
    <dxf>
      <font>
        <color rgb="FF00FF00"/>
      </font>
    </dxf>
    <dxf>
      <font>
        <color rgb="FFFFFF00"/>
      </font>
      <fill>
        <patternFill patternType="solid">
          <bgColor theme="1"/>
        </patternFill>
      </fill>
    </dxf>
    <dxf>
      <font>
        <color rgb="FFFF0000"/>
      </font>
    </dxf>
    <dxf>
      <font>
        <color rgb="FFFFFF00"/>
      </font>
      <fill>
        <patternFill patternType="solid">
          <bgColor theme="1"/>
        </patternFill>
      </fill>
    </dxf>
    <dxf>
      <font>
        <color rgb="FFFF0000"/>
      </font>
    </dxf>
    <dxf>
      <font>
        <color rgb="FF00FF00"/>
      </font>
    </dxf>
    <dxf>
      <font>
        <color rgb="FFFFFF00"/>
      </font>
      <fill>
        <patternFill patternType="solid">
          <bgColor theme="1"/>
        </patternFill>
      </fill>
    </dxf>
    <dxf>
      <font>
        <color rgb="FFFF0000"/>
      </font>
    </dxf>
    <dxf>
      <font>
        <color rgb="FF00FF00"/>
      </font>
    </dxf>
    <dxf>
      <font>
        <color rgb="FF00FF00"/>
      </font>
    </dxf>
    <dxf>
      <font>
        <color rgb="FFFFFF00"/>
      </font>
      <fill>
        <patternFill patternType="solid">
          <bgColor theme="1"/>
        </patternFill>
      </fill>
    </dxf>
    <dxf>
      <font>
        <color rgb="FFFF0000"/>
      </font>
    </dxf>
    <dxf>
      <font>
        <color rgb="FFFFFF00"/>
      </font>
      <fill>
        <patternFill patternType="solid">
          <bgColor theme="1"/>
        </patternFill>
      </fill>
    </dxf>
    <dxf>
      <font>
        <color rgb="FFFF0000"/>
      </font>
    </dxf>
    <dxf>
      <font>
        <color rgb="FFFFFF00"/>
      </font>
      <fill>
        <patternFill patternType="solid">
          <bgColor theme="1"/>
        </patternFill>
      </fill>
    </dxf>
    <dxf>
      <font>
        <color rgb="FFFF0000"/>
      </font>
    </dxf>
    <dxf>
      <font>
        <color rgb="FF00FF00"/>
      </font>
    </dxf>
    <dxf>
      <font>
        <color rgb="FF00FF00"/>
      </font>
    </dxf>
    <dxf>
      <font>
        <color rgb="FF00FF00"/>
      </font>
    </dxf>
    <dxf>
      <font>
        <color rgb="FFFFFF00"/>
      </font>
      <fill>
        <patternFill patternType="solid">
          <bgColor theme="1"/>
        </patternFill>
      </fill>
    </dxf>
    <dxf>
      <font>
        <color rgb="FFFF0000"/>
      </font>
    </dxf>
    <dxf>
      <font>
        <color rgb="FF00FF00"/>
      </font>
    </dxf>
    <dxf>
      <font>
        <color rgb="FFFFFF00"/>
      </font>
      <fill>
        <patternFill patternType="solid">
          <bgColor theme="1"/>
        </patternFill>
      </fill>
    </dxf>
    <dxf>
      <font>
        <color rgb="FFFF0000"/>
      </font>
    </dxf>
    <dxf>
      <font>
        <color rgb="FF00FF00"/>
      </font>
    </dxf>
    <dxf>
      <font>
        <color rgb="FFFFFF00"/>
      </font>
      <fill>
        <patternFill patternType="solid">
          <bgColor theme="1"/>
        </patternFill>
      </fill>
    </dxf>
    <dxf>
      <font>
        <color rgb="FFFF0000"/>
      </font>
    </dxf>
    <dxf>
      <font>
        <color rgb="FF00FF00"/>
      </font>
    </dxf>
    <dxf>
      <font>
        <color rgb="FFFFFF00"/>
      </font>
      <fill>
        <patternFill patternType="solid">
          <bgColor theme="1"/>
        </patternFill>
      </fill>
    </dxf>
    <dxf>
      <font>
        <color rgb="FFFF0000"/>
      </font>
    </dxf>
    <dxf>
      <font>
        <color rgb="FF00FF00"/>
      </font>
    </dxf>
    <dxf>
      <font>
        <color rgb="FFFFFF00"/>
      </font>
      <fill>
        <patternFill patternType="solid">
          <bgColor theme="1"/>
        </patternFill>
      </fill>
    </dxf>
    <dxf>
      <font>
        <color rgb="FFFF0000"/>
      </font>
    </dxf>
    <dxf>
      <font>
        <color rgb="FFFFFF00"/>
      </font>
      <fill>
        <patternFill patternType="solid">
          <bgColor theme="1"/>
        </patternFill>
      </fill>
    </dxf>
    <dxf>
      <font>
        <color rgb="FFFF0000"/>
      </font>
    </dxf>
    <dxf>
      <font>
        <color rgb="FF00FF00"/>
      </font>
    </dxf>
    <dxf>
      <font>
        <color rgb="FFFFFF00"/>
      </font>
      <fill>
        <patternFill patternType="solid">
          <bgColor theme="1"/>
        </patternFill>
      </fill>
    </dxf>
    <dxf>
      <font>
        <color rgb="FFFF0000"/>
      </font>
    </dxf>
    <dxf>
      <font>
        <color rgb="FF00FF00"/>
      </font>
    </dxf>
    <dxf>
      <font>
        <color rgb="FF00FF00"/>
      </font>
    </dxf>
    <dxf>
      <font>
        <color rgb="FFFFFF00"/>
      </font>
      <fill>
        <patternFill patternType="solid">
          <bgColor theme="1"/>
        </patternFill>
      </fill>
    </dxf>
    <dxf>
      <font>
        <color rgb="FFFF0000"/>
      </font>
    </dxf>
    <dxf>
      <font>
        <color rgb="FFFFFF00"/>
      </font>
      <fill>
        <patternFill patternType="solid">
          <bgColor theme="1"/>
        </patternFill>
      </fill>
    </dxf>
    <dxf>
      <font>
        <color rgb="FFFF0000"/>
      </font>
    </dxf>
    <dxf>
      <font>
        <color rgb="FFFFFF00"/>
      </font>
      <fill>
        <patternFill patternType="solid">
          <bgColor theme="1"/>
        </patternFill>
      </fill>
    </dxf>
    <dxf>
      <font>
        <color rgb="FFFF0000"/>
      </font>
    </dxf>
    <dxf>
      <font>
        <color rgb="FF00FF00"/>
      </font>
    </dxf>
    <dxf>
      <font>
        <color rgb="FF00FF00"/>
      </font>
    </dxf>
    <dxf>
      <font>
        <color rgb="FF00FF00"/>
      </font>
    </dxf>
    <dxf>
      <font>
        <color rgb="FFFFFF00"/>
      </font>
      <fill>
        <patternFill patternType="solid">
          <bgColor theme="1"/>
        </patternFill>
      </fill>
    </dxf>
    <dxf>
      <font>
        <color rgb="FFFF0000"/>
      </font>
    </dxf>
    <dxf>
      <font>
        <color rgb="FF00FF00"/>
      </font>
    </dxf>
    <dxf>
      <font>
        <color rgb="FFFFFF00"/>
      </font>
      <fill>
        <patternFill patternType="solid">
          <bgColor theme="1"/>
        </patternFill>
      </fill>
    </dxf>
    <dxf>
      <font>
        <color rgb="FFFF0000"/>
      </font>
    </dxf>
    <dxf>
      <font>
        <color rgb="FF00FF00"/>
      </font>
    </dxf>
    <dxf>
      <font>
        <color rgb="FFFFFF00"/>
      </font>
      <fill>
        <patternFill patternType="solid">
          <bgColor theme="1"/>
        </patternFill>
      </fill>
    </dxf>
    <dxf>
      <font>
        <color rgb="FFFF0000"/>
      </font>
    </dxf>
    <dxf>
      <font>
        <color rgb="FF00FF00"/>
      </font>
    </dxf>
    <dxf>
      <font>
        <color rgb="FFFFFF00"/>
      </font>
      <fill>
        <patternFill patternType="solid">
          <bgColor theme="1"/>
        </patternFill>
      </fill>
    </dxf>
    <dxf>
      <font>
        <color rgb="FFFF0000"/>
      </font>
    </dxf>
    <dxf>
      <font>
        <color rgb="FF00FF00"/>
      </font>
    </dxf>
    <dxf>
      <font>
        <color rgb="FFFFFF00"/>
      </font>
      <fill>
        <patternFill patternType="solid">
          <bgColor theme="1"/>
        </patternFill>
      </fill>
    </dxf>
    <dxf>
      <font>
        <color rgb="FFFF0000"/>
      </font>
    </dxf>
    <dxf>
      <font>
        <color rgb="FFFFFF00"/>
      </font>
      <fill>
        <patternFill patternType="solid">
          <bgColor theme="1"/>
        </patternFill>
      </fill>
    </dxf>
    <dxf>
      <font>
        <color rgb="FFFF0000"/>
      </font>
    </dxf>
    <dxf>
      <font>
        <color rgb="FF00FF00"/>
      </font>
    </dxf>
    <dxf>
      <font>
        <color rgb="FFFFFF00"/>
      </font>
      <fill>
        <patternFill patternType="solid">
          <bgColor theme="1"/>
        </patternFill>
      </fill>
    </dxf>
    <dxf>
      <font>
        <color rgb="FFFF0000"/>
      </font>
    </dxf>
    <dxf>
      <font>
        <color rgb="FF00FF00"/>
      </font>
    </dxf>
    <dxf>
      <font>
        <color rgb="FF00FF00"/>
      </font>
    </dxf>
    <dxf>
      <font>
        <color rgb="FFFFFF00"/>
      </font>
      <fill>
        <patternFill patternType="solid">
          <bgColor theme="1"/>
        </patternFill>
      </fill>
    </dxf>
    <dxf>
      <font>
        <color rgb="FFFF0000"/>
      </font>
    </dxf>
    <dxf>
      <font>
        <color rgb="FFFFFF00"/>
      </font>
      <fill>
        <patternFill patternType="solid">
          <bgColor theme="1"/>
        </patternFill>
      </fill>
    </dxf>
    <dxf>
      <font>
        <color rgb="FFFF0000"/>
      </font>
    </dxf>
    <dxf>
      <font>
        <color rgb="FFFFFF00"/>
      </font>
      <fill>
        <patternFill patternType="solid">
          <bgColor theme="1"/>
        </patternFill>
      </fill>
    </dxf>
    <dxf>
      <font>
        <color rgb="FFFF0000"/>
      </font>
    </dxf>
    <dxf>
      <font>
        <color rgb="FF00FF00"/>
      </font>
    </dxf>
    <dxf>
      <font>
        <color rgb="FF00FF00"/>
      </font>
    </dxf>
    <dxf>
      <font>
        <color rgb="FF00FF00"/>
      </font>
    </dxf>
    <dxf>
      <font>
        <color rgb="FFFFFF00"/>
      </font>
      <fill>
        <patternFill patternType="solid">
          <bgColor theme="1"/>
        </patternFill>
      </fill>
    </dxf>
    <dxf>
      <font>
        <color rgb="FFFF0000"/>
      </font>
    </dxf>
    <dxf>
      <font>
        <color rgb="FF00FF00"/>
      </font>
    </dxf>
  </dxfs>
  <tableStyles count="0" defaultTableStyle="TableStyleMedium9" defaultPivotStyle="PivotStyleLight16"/>
  <colors>
    <mruColors>
      <color rgb="FF00FF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17" Type="http://schemas.openxmlformats.org/officeDocument/2006/relationships/worksheet" Target="worksheets/sheet117.xml"/><Relationship Id="rId21" Type="http://schemas.openxmlformats.org/officeDocument/2006/relationships/worksheet" Target="worksheets/sheet21.xml"/><Relationship Id="rId42" Type="http://schemas.openxmlformats.org/officeDocument/2006/relationships/worksheet" Target="worksheets/sheet42.xml"/><Relationship Id="rId63" Type="http://schemas.openxmlformats.org/officeDocument/2006/relationships/worksheet" Target="worksheets/sheet63.xml"/><Relationship Id="rId84" Type="http://schemas.openxmlformats.org/officeDocument/2006/relationships/worksheet" Target="worksheets/sheet84.xml"/><Relationship Id="rId138" Type="http://schemas.openxmlformats.org/officeDocument/2006/relationships/worksheet" Target="worksheets/sheet138.xml"/><Relationship Id="rId159" Type="http://schemas.openxmlformats.org/officeDocument/2006/relationships/worksheet" Target="worksheets/sheet159.xml"/><Relationship Id="rId170" Type="http://schemas.openxmlformats.org/officeDocument/2006/relationships/worksheet" Target="worksheets/sheet170.xml"/><Relationship Id="rId191" Type="http://schemas.openxmlformats.org/officeDocument/2006/relationships/worksheet" Target="worksheets/sheet191.xml"/><Relationship Id="rId107" Type="http://schemas.openxmlformats.org/officeDocument/2006/relationships/worksheet" Target="worksheets/sheet107.xml"/><Relationship Id="rId11" Type="http://schemas.openxmlformats.org/officeDocument/2006/relationships/worksheet" Target="worksheets/sheet11.xml"/><Relationship Id="rId32" Type="http://schemas.openxmlformats.org/officeDocument/2006/relationships/worksheet" Target="worksheets/sheet32.xml"/><Relationship Id="rId53" Type="http://schemas.openxmlformats.org/officeDocument/2006/relationships/worksheet" Target="worksheets/sheet53.xml"/><Relationship Id="rId74" Type="http://schemas.openxmlformats.org/officeDocument/2006/relationships/worksheet" Target="worksheets/sheet74.xml"/><Relationship Id="rId128" Type="http://schemas.openxmlformats.org/officeDocument/2006/relationships/worksheet" Target="worksheets/sheet128.xml"/><Relationship Id="rId149" Type="http://schemas.openxmlformats.org/officeDocument/2006/relationships/worksheet" Target="worksheets/sheet149.xml"/><Relationship Id="rId5" Type="http://schemas.openxmlformats.org/officeDocument/2006/relationships/worksheet" Target="worksheets/sheet5.xml"/><Relationship Id="rId95" Type="http://schemas.openxmlformats.org/officeDocument/2006/relationships/worksheet" Target="worksheets/sheet95.xml"/><Relationship Id="rId160" Type="http://schemas.openxmlformats.org/officeDocument/2006/relationships/worksheet" Target="worksheets/sheet160.xml"/><Relationship Id="rId181" Type="http://schemas.openxmlformats.org/officeDocument/2006/relationships/worksheet" Target="worksheets/sheet181.xml"/><Relationship Id="rId22" Type="http://schemas.openxmlformats.org/officeDocument/2006/relationships/worksheet" Target="worksheets/sheet22.xml"/><Relationship Id="rId43" Type="http://schemas.openxmlformats.org/officeDocument/2006/relationships/worksheet" Target="worksheets/sheet43.xml"/><Relationship Id="rId64" Type="http://schemas.openxmlformats.org/officeDocument/2006/relationships/worksheet" Target="worksheets/sheet64.xml"/><Relationship Id="rId118" Type="http://schemas.openxmlformats.org/officeDocument/2006/relationships/worksheet" Target="worksheets/sheet118.xml"/><Relationship Id="rId139" Type="http://schemas.openxmlformats.org/officeDocument/2006/relationships/worksheet" Target="worksheets/sheet139.xml"/><Relationship Id="rId85" Type="http://schemas.openxmlformats.org/officeDocument/2006/relationships/worksheet" Target="worksheets/sheet85.xml"/><Relationship Id="rId150" Type="http://schemas.openxmlformats.org/officeDocument/2006/relationships/worksheet" Target="worksheets/sheet150.xml"/><Relationship Id="rId171" Type="http://schemas.openxmlformats.org/officeDocument/2006/relationships/worksheet" Target="worksheets/sheet171.xml"/><Relationship Id="rId192" Type="http://schemas.openxmlformats.org/officeDocument/2006/relationships/worksheet" Target="worksheets/sheet192.xml"/><Relationship Id="rId12" Type="http://schemas.openxmlformats.org/officeDocument/2006/relationships/worksheet" Target="worksheets/sheet12.xml"/><Relationship Id="rId33" Type="http://schemas.openxmlformats.org/officeDocument/2006/relationships/worksheet" Target="worksheets/sheet33.xml"/><Relationship Id="rId108" Type="http://schemas.openxmlformats.org/officeDocument/2006/relationships/worksheet" Target="worksheets/sheet108.xml"/><Relationship Id="rId129" Type="http://schemas.openxmlformats.org/officeDocument/2006/relationships/worksheet" Target="worksheets/sheet129.xml"/><Relationship Id="rId54" Type="http://schemas.openxmlformats.org/officeDocument/2006/relationships/worksheet" Target="worksheets/sheet54.xml"/><Relationship Id="rId75" Type="http://schemas.openxmlformats.org/officeDocument/2006/relationships/worksheet" Target="worksheets/sheet75.xml"/><Relationship Id="rId96" Type="http://schemas.openxmlformats.org/officeDocument/2006/relationships/worksheet" Target="worksheets/sheet96.xml"/><Relationship Id="rId140" Type="http://schemas.openxmlformats.org/officeDocument/2006/relationships/worksheet" Target="worksheets/sheet140.xml"/><Relationship Id="rId161" Type="http://schemas.openxmlformats.org/officeDocument/2006/relationships/worksheet" Target="worksheets/sheet161.xml"/><Relationship Id="rId182" Type="http://schemas.openxmlformats.org/officeDocument/2006/relationships/worksheet" Target="worksheets/sheet182.xml"/><Relationship Id="rId6" Type="http://schemas.openxmlformats.org/officeDocument/2006/relationships/worksheet" Target="worksheets/sheet6.xml"/><Relationship Id="rId23" Type="http://schemas.openxmlformats.org/officeDocument/2006/relationships/worksheet" Target="worksheets/sheet23.xml"/><Relationship Id="rId119" Type="http://schemas.openxmlformats.org/officeDocument/2006/relationships/worksheet" Target="worksheets/sheet119.xml"/><Relationship Id="rId44" Type="http://schemas.openxmlformats.org/officeDocument/2006/relationships/worksheet" Target="worksheets/sheet44.xml"/><Relationship Id="rId65" Type="http://schemas.openxmlformats.org/officeDocument/2006/relationships/worksheet" Target="worksheets/sheet65.xml"/><Relationship Id="rId86" Type="http://schemas.openxmlformats.org/officeDocument/2006/relationships/worksheet" Target="worksheets/sheet86.xml"/><Relationship Id="rId130" Type="http://schemas.openxmlformats.org/officeDocument/2006/relationships/worksheet" Target="worksheets/sheet130.xml"/><Relationship Id="rId151" Type="http://schemas.openxmlformats.org/officeDocument/2006/relationships/worksheet" Target="worksheets/sheet151.xml"/><Relationship Id="rId172" Type="http://schemas.openxmlformats.org/officeDocument/2006/relationships/worksheet" Target="worksheets/sheet172.xml"/><Relationship Id="rId193" Type="http://schemas.openxmlformats.org/officeDocument/2006/relationships/worksheet" Target="worksheets/sheet193.xml"/><Relationship Id="rId13" Type="http://schemas.openxmlformats.org/officeDocument/2006/relationships/worksheet" Target="worksheets/sheet13.xml"/><Relationship Id="rId109" Type="http://schemas.openxmlformats.org/officeDocument/2006/relationships/worksheet" Target="worksheets/sheet109.xml"/><Relationship Id="rId34" Type="http://schemas.openxmlformats.org/officeDocument/2006/relationships/worksheet" Target="worksheets/sheet34.xml"/><Relationship Id="rId55" Type="http://schemas.openxmlformats.org/officeDocument/2006/relationships/worksheet" Target="worksheets/sheet55.xml"/><Relationship Id="rId76" Type="http://schemas.openxmlformats.org/officeDocument/2006/relationships/worksheet" Target="worksheets/sheet76.xml"/><Relationship Id="rId97" Type="http://schemas.openxmlformats.org/officeDocument/2006/relationships/worksheet" Target="worksheets/sheet97.xml"/><Relationship Id="rId120" Type="http://schemas.openxmlformats.org/officeDocument/2006/relationships/worksheet" Target="worksheets/sheet120.xml"/><Relationship Id="rId141" Type="http://schemas.openxmlformats.org/officeDocument/2006/relationships/worksheet" Target="worksheets/sheet141.xml"/><Relationship Id="rId7" Type="http://schemas.openxmlformats.org/officeDocument/2006/relationships/worksheet" Target="worksheets/sheet7.xml"/><Relationship Id="rId162" Type="http://schemas.openxmlformats.org/officeDocument/2006/relationships/worksheet" Target="worksheets/sheet162.xml"/><Relationship Id="rId183" Type="http://schemas.openxmlformats.org/officeDocument/2006/relationships/worksheet" Target="worksheets/sheet183.xml"/><Relationship Id="rId2" Type="http://schemas.openxmlformats.org/officeDocument/2006/relationships/worksheet" Target="worksheets/sheet2.xml"/><Relationship Id="rId29" Type="http://schemas.openxmlformats.org/officeDocument/2006/relationships/worksheet" Target="worksheets/sheet29.xml"/><Relationship Id="rId24" Type="http://schemas.openxmlformats.org/officeDocument/2006/relationships/worksheet" Target="worksheets/sheet24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66" Type="http://schemas.openxmlformats.org/officeDocument/2006/relationships/worksheet" Target="worksheets/sheet66.xml"/><Relationship Id="rId87" Type="http://schemas.openxmlformats.org/officeDocument/2006/relationships/worksheet" Target="worksheets/sheet87.xml"/><Relationship Id="rId110" Type="http://schemas.openxmlformats.org/officeDocument/2006/relationships/worksheet" Target="worksheets/sheet110.xml"/><Relationship Id="rId115" Type="http://schemas.openxmlformats.org/officeDocument/2006/relationships/worksheet" Target="worksheets/sheet115.xml"/><Relationship Id="rId131" Type="http://schemas.openxmlformats.org/officeDocument/2006/relationships/worksheet" Target="worksheets/sheet131.xml"/><Relationship Id="rId136" Type="http://schemas.openxmlformats.org/officeDocument/2006/relationships/worksheet" Target="worksheets/sheet136.xml"/><Relationship Id="rId157" Type="http://schemas.openxmlformats.org/officeDocument/2006/relationships/worksheet" Target="worksheets/sheet157.xml"/><Relationship Id="rId178" Type="http://schemas.openxmlformats.org/officeDocument/2006/relationships/worksheet" Target="worksheets/sheet178.xml"/><Relationship Id="rId61" Type="http://schemas.openxmlformats.org/officeDocument/2006/relationships/worksheet" Target="worksheets/sheet61.xml"/><Relationship Id="rId82" Type="http://schemas.openxmlformats.org/officeDocument/2006/relationships/worksheet" Target="worksheets/sheet82.xml"/><Relationship Id="rId152" Type="http://schemas.openxmlformats.org/officeDocument/2006/relationships/worksheet" Target="worksheets/sheet152.xml"/><Relationship Id="rId173" Type="http://schemas.openxmlformats.org/officeDocument/2006/relationships/worksheet" Target="worksheets/sheet173.xml"/><Relationship Id="rId194" Type="http://schemas.openxmlformats.org/officeDocument/2006/relationships/worksheet" Target="worksheets/sheet194.xml"/><Relationship Id="rId199" Type="http://schemas.openxmlformats.org/officeDocument/2006/relationships/worksheet" Target="worksheets/sheet199.xml"/><Relationship Id="rId203" Type="http://schemas.openxmlformats.org/officeDocument/2006/relationships/calcChain" Target="calcChain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56" Type="http://schemas.openxmlformats.org/officeDocument/2006/relationships/worksheet" Target="worksheets/sheet56.xml"/><Relationship Id="rId77" Type="http://schemas.openxmlformats.org/officeDocument/2006/relationships/worksheet" Target="worksheets/sheet77.xml"/><Relationship Id="rId100" Type="http://schemas.openxmlformats.org/officeDocument/2006/relationships/worksheet" Target="worksheets/sheet100.xml"/><Relationship Id="rId105" Type="http://schemas.openxmlformats.org/officeDocument/2006/relationships/worksheet" Target="worksheets/sheet105.xml"/><Relationship Id="rId126" Type="http://schemas.openxmlformats.org/officeDocument/2006/relationships/worksheet" Target="worksheets/sheet126.xml"/><Relationship Id="rId147" Type="http://schemas.openxmlformats.org/officeDocument/2006/relationships/worksheet" Target="worksheets/sheet147.xml"/><Relationship Id="rId168" Type="http://schemas.openxmlformats.org/officeDocument/2006/relationships/worksheet" Target="worksheets/sheet168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openxmlformats.org/officeDocument/2006/relationships/worksheet" Target="worksheets/sheet72.xml"/><Relationship Id="rId93" Type="http://schemas.openxmlformats.org/officeDocument/2006/relationships/worksheet" Target="worksheets/sheet93.xml"/><Relationship Id="rId98" Type="http://schemas.openxmlformats.org/officeDocument/2006/relationships/worksheet" Target="worksheets/sheet98.xml"/><Relationship Id="rId121" Type="http://schemas.openxmlformats.org/officeDocument/2006/relationships/worksheet" Target="worksheets/sheet121.xml"/><Relationship Id="rId142" Type="http://schemas.openxmlformats.org/officeDocument/2006/relationships/worksheet" Target="worksheets/sheet142.xml"/><Relationship Id="rId163" Type="http://schemas.openxmlformats.org/officeDocument/2006/relationships/worksheet" Target="worksheets/sheet163.xml"/><Relationship Id="rId184" Type="http://schemas.openxmlformats.org/officeDocument/2006/relationships/worksheet" Target="worksheets/sheet184.xml"/><Relationship Id="rId189" Type="http://schemas.openxmlformats.org/officeDocument/2006/relationships/worksheet" Target="worksheets/sheet189.xml"/><Relationship Id="rId3" Type="http://schemas.openxmlformats.org/officeDocument/2006/relationships/worksheet" Target="worksheets/sheet3.xml"/><Relationship Id="rId25" Type="http://schemas.openxmlformats.org/officeDocument/2006/relationships/worksheet" Target="worksheets/sheet25.xml"/><Relationship Id="rId46" Type="http://schemas.openxmlformats.org/officeDocument/2006/relationships/worksheet" Target="worksheets/sheet46.xml"/><Relationship Id="rId67" Type="http://schemas.openxmlformats.org/officeDocument/2006/relationships/worksheet" Target="worksheets/sheet67.xml"/><Relationship Id="rId116" Type="http://schemas.openxmlformats.org/officeDocument/2006/relationships/worksheet" Target="worksheets/sheet116.xml"/><Relationship Id="rId137" Type="http://schemas.openxmlformats.org/officeDocument/2006/relationships/worksheet" Target="worksheets/sheet137.xml"/><Relationship Id="rId158" Type="http://schemas.openxmlformats.org/officeDocument/2006/relationships/worksheet" Target="worksheets/sheet158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62" Type="http://schemas.openxmlformats.org/officeDocument/2006/relationships/worksheet" Target="worksheets/sheet62.xml"/><Relationship Id="rId83" Type="http://schemas.openxmlformats.org/officeDocument/2006/relationships/worksheet" Target="worksheets/sheet83.xml"/><Relationship Id="rId88" Type="http://schemas.openxmlformats.org/officeDocument/2006/relationships/worksheet" Target="worksheets/sheet88.xml"/><Relationship Id="rId111" Type="http://schemas.openxmlformats.org/officeDocument/2006/relationships/worksheet" Target="worksheets/sheet111.xml"/><Relationship Id="rId132" Type="http://schemas.openxmlformats.org/officeDocument/2006/relationships/worksheet" Target="worksheets/sheet132.xml"/><Relationship Id="rId153" Type="http://schemas.openxmlformats.org/officeDocument/2006/relationships/worksheet" Target="worksheets/sheet153.xml"/><Relationship Id="rId174" Type="http://schemas.openxmlformats.org/officeDocument/2006/relationships/worksheet" Target="worksheets/sheet174.xml"/><Relationship Id="rId179" Type="http://schemas.openxmlformats.org/officeDocument/2006/relationships/worksheet" Target="worksheets/sheet179.xml"/><Relationship Id="rId195" Type="http://schemas.openxmlformats.org/officeDocument/2006/relationships/worksheet" Target="worksheets/sheet195.xml"/><Relationship Id="rId190" Type="http://schemas.openxmlformats.org/officeDocument/2006/relationships/worksheet" Target="worksheets/sheet190.xml"/><Relationship Id="rId15" Type="http://schemas.openxmlformats.org/officeDocument/2006/relationships/worksheet" Target="worksheets/sheet15.xml"/><Relationship Id="rId36" Type="http://schemas.openxmlformats.org/officeDocument/2006/relationships/worksheet" Target="worksheets/sheet36.xml"/><Relationship Id="rId57" Type="http://schemas.openxmlformats.org/officeDocument/2006/relationships/worksheet" Target="worksheets/sheet57.xml"/><Relationship Id="rId106" Type="http://schemas.openxmlformats.org/officeDocument/2006/relationships/worksheet" Target="worksheets/sheet106.xml"/><Relationship Id="rId127" Type="http://schemas.openxmlformats.org/officeDocument/2006/relationships/worksheet" Target="worksheets/sheet12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52" Type="http://schemas.openxmlformats.org/officeDocument/2006/relationships/worksheet" Target="worksheets/sheet52.xml"/><Relationship Id="rId73" Type="http://schemas.openxmlformats.org/officeDocument/2006/relationships/worksheet" Target="worksheets/sheet73.xml"/><Relationship Id="rId78" Type="http://schemas.openxmlformats.org/officeDocument/2006/relationships/worksheet" Target="worksheets/sheet78.xml"/><Relationship Id="rId94" Type="http://schemas.openxmlformats.org/officeDocument/2006/relationships/worksheet" Target="worksheets/sheet94.xml"/><Relationship Id="rId99" Type="http://schemas.openxmlformats.org/officeDocument/2006/relationships/worksheet" Target="worksheets/sheet99.xml"/><Relationship Id="rId101" Type="http://schemas.openxmlformats.org/officeDocument/2006/relationships/worksheet" Target="worksheets/sheet101.xml"/><Relationship Id="rId122" Type="http://schemas.openxmlformats.org/officeDocument/2006/relationships/worksheet" Target="worksheets/sheet122.xml"/><Relationship Id="rId143" Type="http://schemas.openxmlformats.org/officeDocument/2006/relationships/worksheet" Target="worksheets/sheet143.xml"/><Relationship Id="rId148" Type="http://schemas.openxmlformats.org/officeDocument/2006/relationships/worksheet" Target="worksheets/sheet148.xml"/><Relationship Id="rId164" Type="http://schemas.openxmlformats.org/officeDocument/2006/relationships/worksheet" Target="worksheets/sheet164.xml"/><Relationship Id="rId169" Type="http://schemas.openxmlformats.org/officeDocument/2006/relationships/worksheet" Target="worksheets/sheet169.xml"/><Relationship Id="rId185" Type="http://schemas.openxmlformats.org/officeDocument/2006/relationships/worksheet" Target="worksheets/sheet185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80" Type="http://schemas.openxmlformats.org/officeDocument/2006/relationships/worksheet" Target="worksheets/sheet180.xml"/><Relationship Id="rId26" Type="http://schemas.openxmlformats.org/officeDocument/2006/relationships/worksheet" Target="worksheets/sheet26.xml"/><Relationship Id="rId47" Type="http://schemas.openxmlformats.org/officeDocument/2006/relationships/worksheet" Target="worksheets/sheet47.xml"/><Relationship Id="rId68" Type="http://schemas.openxmlformats.org/officeDocument/2006/relationships/worksheet" Target="worksheets/sheet68.xml"/><Relationship Id="rId89" Type="http://schemas.openxmlformats.org/officeDocument/2006/relationships/worksheet" Target="worksheets/sheet89.xml"/><Relationship Id="rId112" Type="http://schemas.openxmlformats.org/officeDocument/2006/relationships/worksheet" Target="worksheets/sheet112.xml"/><Relationship Id="rId133" Type="http://schemas.openxmlformats.org/officeDocument/2006/relationships/worksheet" Target="worksheets/sheet133.xml"/><Relationship Id="rId154" Type="http://schemas.openxmlformats.org/officeDocument/2006/relationships/worksheet" Target="worksheets/sheet154.xml"/><Relationship Id="rId175" Type="http://schemas.openxmlformats.org/officeDocument/2006/relationships/worksheet" Target="worksheets/sheet175.xml"/><Relationship Id="rId196" Type="http://schemas.openxmlformats.org/officeDocument/2006/relationships/worksheet" Target="worksheets/sheet196.xml"/><Relationship Id="rId200" Type="http://schemas.openxmlformats.org/officeDocument/2006/relationships/theme" Target="theme/theme1.xml"/><Relationship Id="rId16" Type="http://schemas.openxmlformats.org/officeDocument/2006/relationships/worksheet" Target="worksheets/sheet16.xml"/><Relationship Id="rId37" Type="http://schemas.openxmlformats.org/officeDocument/2006/relationships/worksheet" Target="worksheets/sheet37.xml"/><Relationship Id="rId58" Type="http://schemas.openxmlformats.org/officeDocument/2006/relationships/worksheet" Target="worksheets/sheet58.xml"/><Relationship Id="rId79" Type="http://schemas.openxmlformats.org/officeDocument/2006/relationships/worksheet" Target="worksheets/sheet79.xml"/><Relationship Id="rId102" Type="http://schemas.openxmlformats.org/officeDocument/2006/relationships/worksheet" Target="worksheets/sheet102.xml"/><Relationship Id="rId123" Type="http://schemas.openxmlformats.org/officeDocument/2006/relationships/worksheet" Target="worksheets/sheet123.xml"/><Relationship Id="rId144" Type="http://schemas.openxmlformats.org/officeDocument/2006/relationships/worksheet" Target="worksheets/sheet144.xml"/><Relationship Id="rId90" Type="http://schemas.openxmlformats.org/officeDocument/2006/relationships/worksheet" Target="worksheets/sheet90.xml"/><Relationship Id="rId165" Type="http://schemas.openxmlformats.org/officeDocument/2006/relationships/worksheet" Target="worksheets/sheet165.xml"/><Relationship Id="rId186" Type="http://schemas.openxmlformats.org/officeDocument/2006/relationships/worksheet" Target="worksheets/sheet186.xml"/><Relationship Id="rId27" Type="http://schemas.openxmlformats.org/officeDocument/2006/relationships/worksheet" Target="worksheets/sheet27.xml"/><Relationship Id="rId48" Type="http://schemas.openxmlformats.org/officeDocument/2006/relationships/worksheet" Target="worksheets/sheet48.xml"/><Relationship Id="rId69" Type="http://schemas.openxmlformats.org/officeDocument/2006/relationships/worksheet" Target="worksheets/sheet69.xml"/><Relationship Id="rId113" Type="http://schemas.openxmlformats.org/officeDocument/2006/relationships/worksheet" Target="worksheets/sheet113.xml"/><Relationship Id="rId134" Type="http://schemas.openxmlformats.org/officeDocument/2006/relationships/worksheet" Target="worksheets/sheet134.xml"/><Relationship Id="rId80" Type="http://schemas.openxmlformats.org/officeDocument/2006/relationships/worksheet" Target="worksheets/sheet80.xml"/><Relationship Id="rId155" Type="http://schemas.openxmlformats.org/officeDocument/2006/relationships/worksheet" Target="worksheets/sheet155.xml"/><Relationship Id="rId176" Type="http://schemas.openxmlformats.org/officeDocument/2006/relationships/worksheet" Target="worksheets/sheet176.xml"/><Relationship Id="rId197" Type="http://schemas.openxmlformats.org/officeDocument/2006/relationships/worksheet" Target="worksheets/sheet197.xml"/><Relationship Id="rId201" Type="http://schemas.openxmlformats.org/officeDocument/2006/relationships/styles" Target="styles.xml"/><Relationship Id="rId17" Type="http://schemas.openxmlformats.org/officeDocument/2006/relationships/worksheet" Target="worksheets/sheet17.xml"/><Relationship Id="rId38" Type="http://schemas.openxmlformats.org/officeDocument/2006/relationships/worksheet" Target="worksheets/sheet38.xml"/><Relationship Id="rId59" Type="http://schemas.openxmlformats.org/officeDocument/2006/relationships/worksheet" Target="worksheets/sheet59.xml"/><Relationship Id="rId103" Type="http://schemas.openxmlformats.org/officeDocument/2006/relationships/worksheet" Target="worksheets/sheet103.xml"/><Relationship Id="rId124" Type="http://schemas.openxmlformats.org/officeDocument/2006/relationships/worksheet" Target="worksheets/sheet124.xml"/><Relationship Id="rId70" Type="http://schemas.openxmlformats.org/officeDocument/2006/relationships/worksheet" Target="worksheets/sheet70.xml"/><Relationship Id="rId91" Type="http://schemas.openxmlformats.org/officeDocument/2006/relationships/worksheet" Target="worksheets/sheet91.xml"/><Relationship Id="rId145" Type="http://schemas.openxmlformats.org/officeDocument/2006/relationships/worksheet" Target="worksheets/sheet145.xml"/><Relationship Id="rId166" Type="http://schemas.openxmlformats.org/officeDocument/2006/relationships/worksheet" Target="worksheets/sheet166.xml"/><Relationship Id="rId187" Type="http://schemas.openxmlformats.org/officeDocument/2006/relationships/worksheet" Target="worksheets/sheet187.xml"/><Relationship Id="rId1" Type="http://schemas.openxmlformats.org/officeDocument/2006/relationships/worksheet" Target="worksheets/sheet1.xml"/><Relationship Id="rId28" Type="http://schemas.openxmlformats.org/officeDocument/2006/relationships/worksheet" Target="worksheets/sheet28.xml"/><Relationship Id="rId49" Type="http://schemas.openxmlformats.org/officeDocument/2006/relationships/worksheet" Target="worksheets/sheet49.xml"/><Relationship Id="rId114" Type="http://schemas.openxmlformats.org/officeDocument/2006/relationships/worksheet" Target="worksheets/sheet114.xml"/><Relationship Id="rId60" Type="http://schemas.openxmlformats.org/officeDocument/2006/relationships/worksheet" Target="worksheets/sheet60.xml"/><Relationship Id="rId81" Type="http://schemas.openxmlformats.org/officeDocument/2006/relationships/worksheet" Target="worksheets/sheet81.xml"/><Relationship Id="rId135" Type="http://schemas.openxmlformats.org/officeDocument/2006/relationships/worksheet" Target="worksheets/sheet135.xml"/><Relationship Id="rId156" Type="http://schemas.openxmlformats.org/officeDocument/2006/relationships/worksheet" Target="worksheets/sheet156.xml"/><Relationship Id="rId177" Type="http://schemas.openxmlformats.org/officeDocument/2006/relationships/worksheet" Target="worksheets/sheet177.xml"/><Relationship Id="rId198" Type="http://schemas.openxmlformats.org/officeDocument/2006/relationships/worksheet" Target="worksheets/sheet198.xml"/><Relationship Id="rId202" Type="http://schemas.openxmlformats.org/officeDocument/2006/relationships/sharedStrings" Target="sharedStrings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50" Type="http://schemas.openxmlformats.org/officeDocument/2006/relationships/worksheet" Target="worksheets/sheet50.xml"/><Relationship Id="rId104" Type="http://schemas.openxmlformats.org/officeDocument/2006/relationships/worksheet" Target="worksheets/sheet104.xml"/><Relationship Id="rId125" Type="http://schemas.openxmlformats.org/officeDocument/2006/relationships/worksheet" Target="worksheets/sheet125.xml"/><Relationship Id="rId146" Type="http://schemas.openxmlformats.org/officeDocument/2006/relationships/worksheet" Target="worksheets/sheet146.xml"/><Relationship Id="rId167" Type="http://schemas.openxmlformats.org/officeDocument/2006/relationships/worksheet" Target="worksheets/sheet167.xml"/><Relationship Id="rId188" Type="http://schemas.openxmlformats.org/officeDocument/2006/relationships/worksheet" Target="worksheets/sheet188.xml"/><Relationship Id="rId71" Type="http://schemas.openxmlformats.org/officeDocument/2006/relationships/worksheet" Target="worksheets/sheet71.xml"/><Relationship Id="rId92" Type="http://schemas.openxmlformats.org/officeDocument/2006/relationships/worksheet" Target="worksheets/sheet9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1"/>
          <c:order val="1"/>
          <c:tx>
            <c:strRef>
              <c:f>'KPI 1'!$D$20</c:f>
              <c:strCache>
                <c:ptCount val="1"/>
                <c:pt idx="0">
                  <c:v>Actual 2025-26</c:v>
                </c:pt>
              </c:strCache>
            </c:strRef>
          </c:tx>
          <c:spPr>
            <a:solidFill>
              <a:schemeClr val="accent1"/>
            </a:solidFill>
          </c:spPr>
          <c:invertIfNegative val="0"/>
          <c:cat>
            <c:numRef>
              <c:f>'KPI 1'!$E$18:$P$18</c:f>
              <c:numCache>
                <c:formatCode>mmm\-yy</c:formatCode>
                <c:ptCount val="12"/>
                <c:pt idx="0">
                  <c:v>45839</c:v>
                </c:pt>
                <c:pt idx="1">
                  <c:v>45870</c:v>
                </c:pt>
                <c:pt idx="2">
                  <c:v>45901</c:v>
                </c:pt>
                <c:pt idx="3">
                  <c:v>45931</c:v>
                </c:pt>
                <c:pt idx="4">
                  <c:v>45962</c:v>
                </c:pt>
                <c:pt idx="5">
                  <c:v>45992</c:v>
                </c:pt>
                <c:pt idx="6">
                  <c:v>46023</c:v>
                </c:pt>
                <c:pt idx="7">
                  <c:v>46054</c:v>
                </c:pt>
                <c:pt idx="8">
                  <c:v>46082</c:v>
                </c:pt>
                <c:pt idx="9">
                  <c:v>46113</c:v>
                </c:pt>
                <c:pt idx="10">
                  <c:v>46143</c:v>
                </c:pt>
                <c:pt idx="11">
                  <c:v>46174</c:v>
                </c:pt>
              </c:numCache>
            </c:numRef>
          </c:cat>
          <c:val>
            <c:numRef>
              <c:f>'KPI 1'!$E$20:$P$20</c:f>
              <c:numCache>
                <c:formatCode>#,##0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1</c:v>
                </c:pt>
                <c:pt idx="4">
                  <c:v>0</c:v>
                </c:pt>
                <c:pt idx="5">
                  <c:v>0</c:v>
                </c:pt>
                <c:pt idx="6">
                  <c:v>1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2A4-438F-B0C7-60D16C949D94}"/>
            </c:ext>
          </c:extLst>
        </c:ser>
        <c:ser>
          <c:idx val="4"/>
          <c:order val="2"/>
          <c:tx>
            <c:strRef>
              <c:f>'KPI 1'!$D$21</c:f>
              <c:strCache>
                <c:ptCount val="1"/>
                <c:pt idx="0">
                  <c:v>Actual 2024-25</c:v>
                </c:pt>
              </c:strCache>
            </c:strRef>
          </c:tx>
          <c:spPr>
            <a:solidFill>
              <a:schemeClr val="accent3"/>
            </a:solidFill>
          </c:spPr>
          <c:invertIfNegative val="0"/>
          <c:cat>
            <c:numRef>
              <c:f>'KPI 1'!$E$18:$P$18</c:f>
              <c:numCache>
                <c:formatCode>mmm\-yy</c:formatCode>
                <c:ptCount val="12"/>
                <c:pt idx="0">
                  <c:v>45839</c:v>
                </c:pt>
                <c:pt idx="1">
                  <c:v>45870</c:v>
                </c:pt>
                <c:pt idx="2">
                  <c:v>45901</c:v>
                </c:pt>
                <c:pt idx="3">
                  <c:v>45931</c:v>
                </c:pt>
                <c:pt idx="4">
                  <c:v>45962</c:v>
                </c:pt>
                <c:pt idx="5">
                  <c:v>45992</c:v>
                </c:pt>
                <c:pt idx="6">
                  <c:v>46023</c:v>
                </c:pt>
                <c:pt idx="7">
                  <c:v>46054</c:v>
                </c:pt>
                <c:pt idx="8">
                  <c:v>46082</c:v>
                </c:pt>
                <c:pt idx="9">
                  <c:v>46113</c:v>
                </c:pt>
                <c:pt idx="10">
                  <c:v>46143</c:v>
                </c:pt>
                <c:pt idx="11">
                  <c:v>46174</c:v>
                </c:pt>
              </c:numCache>
            </c:numRef>
          </c:cat>
          <c:val>
            <c:numRef>
              <c:f>'KPI 1'!$E$21:$P$21</c:f>
              <c:numCache>
                <c:formatCode>#,##0</c:formatCode>
                <c:ptCount val="12"/>
                <c:pt idx="0">
                  <c:v>1</c:v>
                </c:pt>
                <c:pt idx="1">
                  <c:v>1</c:v>
                </c:pt>
                <c:pt idx="2">
                  <c:v>2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1</c:v>
                </c:pt>
                <c:pt idx="10">
                  <c:v>2</c:v>
                </c:pt>
                <c:pt idx="11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2A4-438F-B0C7-60D16C949D9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97430144"/>
        <c:axId val="98574720"/>
      </c:barChart>
      <c:lineChart>
        <c:grouping val="standard"/>
        <c:varyColors val="0"/>
        <c:ser>
          <c:idx val="0"/>
          <c:order val="0"/>
          <c:tx>
            <c:strRef>
              <c:f>'KPI 1'!$D$19</c:f>
              <c:strCache>
                <c:ptCount val="1"/>
                <c:pt idx="0">
                  <c:v>Budget 2025-26</c:v>
                </c:pt>
              </c:strCache>
            </c:strRef>
          </c:tx>
          <c:spPr>
            <a:ln>
              <a:solidFill>
                <a:srgbClr val="FF0000"/>
              </a:solidFill>
            </a:ln>
          </c:spPr>
          <c:marker>
            <c:symbol val="none"/>
          </c:marker>
          <c:cat>
            <c:numRef>
              <c:f>'KPI 1'!$E$18:$P$18</c:f>
              <c:numCache>
                <c:formatCode>mmm\-yy</c:formatCode>
                <c:ptCount val="12"/>
                <c:pt idx="0">
                  <c:v>45839</c:v>
                </c:pt>
                <c:pt idx="1">
                  <c:v>45870</c:v>
                </c:pt>
                <c:pt idx="2">
                  <c:v>45901</c:v>
                </c:pt>
                <c:pt idx="3">
                  <c:v>45931</c:v>
                </c:pt>
                <c:pt idx="4">
                  <c:v>45962</c:v>
                </c:pt>
                <c:pt idx="5">
                  <c:v>45992</c:v>
                </c:pt>
                <c:pt idx="6">
                  <c:v>46023</c:v>
                </c:pt>
                <c:pt idx="7">
                  <c:v>46054</c:v>
                </c:pt>
                <c:pt idx="8">
                  <c:v>46082</c:v>
                </c:pt>
                <c:pt idx="9">
                  <c:v>46113</c:v>
                </c:pt>
                <c:pt idx="10">
                  <c:v>46143</c:v>
                </c:pt>
                <c:pt idx="11">
                  <c:v>46174</c:v>
                </c:pt>
              </c:numCache>
            </c:numRef>
          </c:cat>
          <c:val>
            <c:numRef>
              <c:f>'KPI 1'!$E$19:$P$19</c:f>
              <c:numCache>
                <c:formatCode>#,##0</c:formatCode>
                <c:ptCount val="12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D2A4-438F-B0C7-60D16C949D9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97430144"/>
        <c:axId val="98574720"/>
      </c:lineChart>
      <c:dateAx>
        <c:axId val="97430144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crossAx val="98574720"/>
        <c:crosses val="autoZero"/>
        <c:auto val="1"/>
        <c:lblOffset val="100"/>
        <c:baseTimeUnit val="months"/>
      </c:dateAx>
      <c:valAx>
        <c:axId val="98574720"/>
        <c:scaling>
          <c:orientation val="minMax"/>
        </c:scaling>
        <c:delete val="0"/>
        <c:axPos val="l"/>
        <c:majorGridlines/>
        <c:numFmt formatCode="#,##0" sourceLinked="1"/>
        <c:majorTickMark val="out"/>
        <c:minorTickMark val="none"/>
        <c:tickLblPos val="nextTo"/>
        <c:crossAx val="97430144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000000000000822" l="0.70000000000000062" r="0.70000000000000062" t="0.75000000000000822" header="0.30000000000000032" footer="0.3000000000000003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1"/>
          <c:order val="1"/>
          <c:tx>
            <c:strRef>
              <c:f>'KPI 2'!$D$20</c:f>
              <c:strCache>
                <c:ptCount val="1"/>
                <c:pt idx="0">
                  <c:v>Actual 2025-26</c:v>
                </c:pt>
              </c:strCache>
            </c:strRef>
          </c:tx>
          <c:spPr>
            <a:solidFill>
              <a:schemeClr val="accent1"/>
            </a:solidFill>
          </c:spPr>
          <c:invertIfNegative val="0"/>
          <c:cat>
            <c:numRef>
              <c:f>'KPI 2'!$E$18:$P$18</c:f>
              <c:numCache>
                <c:formatCode>mmm\-yy</c:formatCode>
                <c:ptCount val="12"/>
                <c:pt idx="0">
                  <c:v>45839</c:v>
                </c:pt>
                <c:pt idx="1">
                  <c:v>45870</c:v>
                </c:pt>
                <c:pt idx="2">
                  <c:v>45901</c:v>
                </c:pt>
                <c:pt idx="3">
                  <c:v>45931</c:v>
                </c:pt>
                <c:pt idx="4">
                  <c:v>45962</c:v>
                </c:pt>
                <c:pt idx="5">
                  <c:v>45992</c:v>
                </c:pt>
                <c:pt idx="6">
                  <c:v>46023</c:v>
                </c:pt>
                <c:pt idx="7">
                  <c:v>46054</c:v>
                </c:pt>
                <c:pt idx="8">
                  <c:v>46082</c:v>
                </c:pt>
                <c:pt idx="9">
                  <c:v>46113</c:v>
                </c:pt>
                <c:pt idx="10">
                  <c:v>46143</c:v>
                </c:pt>
                <c:pt idx="11">
                  <c:v>46174</c:v>
                </c:pt>
              </c:numCache>
            </c:numRef>
          </c:cat>
          <c:val>
            <c:numRef>
              <c:f>'KPI 2'!$E$20:$P$20</c:f>
              <c:numCache>
                <c:formatCode>#,##0</c:formatCode>
                <c:ptCount val="12"/>
                <c:pt idx="0">
                  <c:v>0</c:v>
                </c:pt>
                <c:pt idx="1">
                  <c:v>3</c:v>
                </c:pt>
                <c:pt idx="2">
                  <c:v>2</c:v>
                </c:pt>
                <c:pt idx="3">
                  <c:v>2</c:v>
                </c:pt>
                <c:pt idx="4">
                  <c:v>3</c:v>
                </c:pt>
                <c:pt idx="5">
                  <c:v>2</c:v>
                </c:pt>
                <c:pt idx="6">
                  <c:v>5</c:v>
                </c:pt>
                <c:pt idx="7">
                  <c:v>3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4D3-45E0-8FE7-680FF9EF1F2B}"/>
            </c:ext>
          </c:extLst>
        </c:ser>
        <c:ser>
          <c:idx val="4"/>
          <c:order val="2"/>
          <c:tx>
            <c:strRef>
              <c:f>'KPI 2'!$D$21</c:f>
              <c:strCache>
                <c:ptCount val="1"/>
                <c:pt idx="0">
                  <c:v>Actual 2024-25</c:v>
                </c:pt>
              </c:strCache>
            </c:strRef>
          </c:tx>
          <c:spPr>
            <a:solidFill>
              <a:schemeClr val="accent3"/>
            </a:solidFill>
          </c:spPr>
          <c:invertIfNegative val="0"/>
          <c:cat>
            <c:numRef>
              <c:f>'KPI 2'!$E$18:$P$18</c:f>
              <c:numCache>
                <c:formatCode>mmm\-yy</c:formatCode>
                <c:ptCount val="12"/>
                <c:pt idx="0">
                  <c:v>45839</c:v>
                </c:pt>
                <c:pt idx="1">
                  <c:v>45870</c:v>
                </c:pt>
                <c:pt idx="2">
                  <c:v>45901</c:v>
                </c:pt>
                <c:pt idx="3">
                  <c:v>45931</c:v>
                </c:pt>
                <c:pt idx="4">
                  <c:v>45962</c:v>
                </c:pt>
                <c:pt idx="5">
                  <c:v>45992</c:v>
                </c:pt>
                <c:pt idx="6">
                  <c:v>46023</c:v>
                </c:pt>
                <c:pt idx="7">
                  <c:v>46054</c:v>
                </c:pt>
                <c:pt idx="8">
                  <c:v>46082</c:v>
                </c:pt>
                <c:pt idx="9">
                  <c:v>46113</c:v>
                </c:pt>
                <c:pt idx="10">
                  <c:v>46143</c:v>
                </c:pt>
                <c:pt idx="11">
                  <c:v>46174</c:v>
                </c:pt>
              </c:numCache>
            </c:numRef>
          </c:cat>
          <c:val>
            <c:numRef>
              <c:f>'KPI 2'!$E$21:$P$21</c:f>
              <c:numCache>
                <c:formatCode>#,##0</c:formatCode>
                <c:ptCount val="12"/>
                <c:pt idx="0">
                  <c:v>6</c:v>
                </c:pt>
                <c:pt idx="1">
                  <c:v>1</c:v>
                </c:pt>
                <c:pt idx="2">
                  <c:v>3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7</c:v>
                </c:pt>
                <c:pt idx="7">
                  <c:v>2</c:v>
                </c:pt>
                <c:pt idx="8">
                  <c:v>1</c:v>
                </c:pt>
                <c:pt idx="9">
                  <c:v>3</c:v>
                </c:pt>
                <c:pt idx="10">
                  <c:v>2</c:v>
                </c:pt>
                <c:pt idx="11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4D3-45E0-8FE7-680FF9EF1F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98828288"/>
        <c:axId val="98829824"/>
      </c:barChart>
      <c:lineChart>
        <c:grouping val="standard"/>
        <c:varyColors val="0"/>
        <c:ser>
          <c:idx val="0"/>
          <c:order val="0"/>
          <c:tx>
            <c:strRef>
              <c:f>'KPI 2'!$D$19</c:f>
              <c:strCache>
                <c:ptCount val="1"/>
                <c:pt idx="0">
                  <c:v>Budget 2025-26</c:v>
                </c:pt>
              </c:strCache>
            </c:strRef>
          </c:tx>
          <c:spPr>
            <a:ln>
              <a:solidFill>
                <a:srgbClr val="FF0000"/>
              </a:solidFill>
            </a:ln>
          </c:spPr>
          <c:marker>
            <c:symbol val="none"/>
          </c:marker>
          <c:cat>
            <c:numRef>
              <c:f>'KPI 2'!$E$18:$P$18</c:f>
              <c:numCache>
                <c:formatCode>mmm\-yy</c:formatCode>
                <c:ptCount val="12"/>
                <c:pt idx="0">
                  <c:v>45839</c:v>
                </c:pt>
                <c:pt idx="1">
                  <c:v>45870</c:v>
                </c:pt>
                <c:pt idx="2">
                  <c:v>45901</c:v>
                </c:pt>
                <c:pt idx="3">
                  <c:v>45931</c:v>
                </c:pt>
                <c:pt idx="4">
                  <c:v>45962</c:v>
                </c:pt>
                <c:pt idx="5">
                  <c:v>45992</c:v>
                </c:pt>
                <c:pt idx="6">
                  <c:v>46023</c:v>
                </c:pt>
                <c:pt idx="7">
                  <c:v>46054</c:v>
                </c:pt>
                <c:pt idx="8">
                  <c:v>46082</c:v>
                </c:pt>
                <c:pt idx="9">
                  <c:v>46113</c:v>
                </c:pt>
                <c:pt idx="10">
                  <c:v>46143</c:v>
                </c:pt>
                <c:pt idx="11">
                  <c:v>46174</c:v>
                </c:pt>
              </c:numCache>
            </c:numRef>
          </c:cat>
          <c:val>
            <c:numRef>
              <c:f>'KPI 2'!$E$19:$P$19</c:f>
              <c:numCache>
                <c:formatCode>#,##0</c:formatCode>
                <c:ptCount val="12"/>
                <c:pt idx="0">
                  <c:v>9</c:v>
                </c:pt>
                <c:pt idx="1">
                  <c:v>10</c:v>
                </c:pt>
                <c:pt idx="2">
                  <c:v>10</c:v>
                </c:pt>
                <c:pt idx="3">
                  <c:v>10</c:v>
                </c:pt>
                <c:pt idx="4">
                  <c:v>10</c:v>
                </c:pt>
                <c:pt idx="5">
                  <c:v>10</c:v>
                </c:pt>
                <c:pt idx="6">
                  <c:v>10</c:v>
                </c:pt>
                <c:pt idx="7">
                  <c:v>10</c:v>
                </c:pt>
                <c:pt idx="8">
                  <c:v>10</c:v>
                </c:pt>
                <c:pt idx="9">
                  <c:v>10</c:v>
                </c:pt>
                <c:pt idx="10">
                  <c:v>10</c:v>
                </c:pt>
                <c:pt idx="11">
                  <c:v>10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4D3-45E0-8FE7-680FF9EF1F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98828288"/>
        <c:axId val="98829824"/>
      </c:lineChart>
      <c:dateAx>
        <c:axId val="98828288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crossAx val="98829824"/>
        <c:crosses val="autoZero"/>
        <c:auto val="1"/>
        <c:lblOffset val="100"/>
        <c:baseTimeUnit val="months"/>
      </c:dateAx>
      <c:valAx>
        <c:axId val="98829824"/>
        <c:scaling>
          <c:orientation val="minMax"/>
        </c:scaling>
        <c:delete val="0"/>
        <c:axPos val="l"/>
        <c:majorGridlines/>
        <c:numFmt formatCode="#,##0" sourceLinked="1"/>
        <c:majorTickMark val="out"/>
        <c:minorTickMark val="none"/>
        <c:tickLblPos val="nextTo"/>
        <c:crossAx val="98828288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000000000000822" l="0.70000000000000062" r="0.70000000000000062" t="0.75000000000000822" header="0.30000000000000032" footer="0.3000000000000003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1"/>
          <c:order val="1"/>
          <c:tx>
            <c:strRef>
              <c:f>'KPI 3'!$D$20</c:f>
              <c:strCache>
                <c:ptCount val="1"/>
                <c:pt idx="0">
                  <c:v>Actual 2025-26</c:v>
                </c:pt>
              </c:strCache>
            </c:strRef>
          </c:tx>
          <c:spPr>
            <a:solidFill>
              <a:schemeClr val="accent1"/>
            </a:solidFill>
          </c:spPr>
          <c:invertIfNegative val="0"/>
          <c:cat>
            <c:numRef>
              <c:f>'KPI 3'!$E$18:$P$18</c:f>
              <c:numCache>
                <c:formatCode>mmm\-yy</c:formatCode>
                <c:ptCount val="12"/>
                <c:pt idx="0">
                  <c:v>45839</c:v>
                </c:pt>
                <c:pt idx="1">
                  <c:v>45870</c:v>
                </c:pt>
                <c:pt idx="2">
                  <c:v>45901</c:v>
                </c:pt>
                <c:pt idx="3">
                  <c:v>45931</c:v>
                </c:pt>
                <c:pt idx="4">
                  <c:v>45962</c:v>
                </c:pt>
                <c:pt idx="5">
                  <c:v>45992</c:v>
                </c:pt>
                <c:pt idx="6">
                  <c:v>46023</c:v>
                </c:pt>
                <c:pt idx="7">
                  <c:v>46054</c:v>
                </c:pt>
                <c:pt idx="8">
                  <c:v>46082</c:v>
                </c:pt>
                <c:pt idx="9">
                  <c:v>46113</c:v>
                </c:pt>
                <c:pt idx="10">
                  <c:v>46143</c:v>
                </c:pt>
                <c:pt idx="11">
                  <c:v>46174</c:v>
                </c:pt>
              </c:numCache>
            </c:numRef>
          </c:cat>
          <c:val>
            <c:numRef>
              <c:f>'KPI 3'!$E$20:$P$20</c:f>
              <c:numCache>
                <c:formatCode>#,##0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5</c:v>
                </c:pt>
                <c:pt idx="3">
                  <c:v>1</c:v>
                </c:pt>
                <c:pt idx="4">
                  <c:v>2</c:v>
                </c:pt>
                <c:pt idx="5">
                  <c:v>0</c:v>
                </c:pt>
                <c:pt idx="6">
                  <c:v>2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6A5-4255-AA88-56844E3B977D}"/>
            </c:ext>
          </c:extLst>
        </c:ser>
        <c:ser>
          <c:idx val="4"/>
          <c:order val="2"/>
          <c:tx>
            <c:strRef>
              <c:f>'KPI 3'!$D$21</c:f>
              <c:strCache>
                <c:ptCount val="1"/>
                <c:pt idx="0">
                  <c:v>Actual 2024-25</c:v>
                </c:pt>
              </c:strCache>
            </c:strRef>
          </c:tx>
          <c:spPr>
            <a:solidFill>
              <a:schemeClr val="accent3"/>
            </a:solidFill>
          </c:spPr>
          <c:invertIfNegative val="0"/>
          <c:cat>
            <c:numRef>
              <c:f>'KPI 3'!$E$18:$P$18</c:f>
              <c:numCache>
                <c:formatCode>mmm\-yy</c:formatCode>
                <c:ptCount val="12"/>
                <c:pt idx="0">
                  <c:v>45839</c:v>
                </c:pt>
                <c:pt idx="1">
                  <c:v>45870</c:v>
                </c:pt>
                <c:pt idx="2">
                  <c:v>45901</c:v>
                </c:pt>
                <c:pt idx="3">
                  <c:v>45931</c:v>
                </c:pt>
                <c:pt idx="4">
                  <c:v>45962</c:v>
                </c:pt>
                <c:pt idx="5">
                  <c:v>45992</c:v>
                </c:pt>
                <c:pt idx="6">
                  <c:v>46023</c:v>
                </c:pt>
                <c:pt idx="7">
                  <c:v>46054</c:v>
                </c:pt>
                <c:pt idx="8">
                  <c:v>46082</c:v>
                </c:pt>
                <c:pt idx="9">
                  <c:v>46113</c:v>
                </c:pt>
                <c:pt idx="10">
                  <c:v>46143</c:v>
                </c:pt>
                <c:pt idx="11">
                  <c:v>46174</c:v>
                </c:pt>
              </c:numCache>
            </c:numRef>
          </c:cat>
          <c:val>
            <c:numRef>
              <c:f>'KPI 3'!$E$21:$P$21</c:f>
              <c:numCache>
                <c:formatCode>#,##0</c:formatCode>
                <c:ptCount val="12"/>
                <c:pt idx="0">
                  <c:v>1</c:v>
                </c:pt>
                <c:pt idx="1">
                  <c:v>4</c:v>
                </c:pt>
                <c:pt idx="2">
                  <c:v>5</c:v>
                </c:pt>
                <c:pt idx="3">
                  <c:v>0</c:v>
                </c:pt>
                <c:pt idx="4">
                  <c:v>3</c:v>
                </c:pt>
                <c:pt idx="5">
                  <c:v>0</c:v>
                </c:pt>
                <c:pt idx="6">
                  <c:v>1</c:v>
                </c:pt>
                <c:pt idx="7">
                  <c:v>4</c:v>
                </c:pt>
                <c:pt idx="8">
                  <c:v>0</c:v>
                </c:pt>
                <c:pt idx="9">
                  <c:v>2</c:v>
                </c:pt>
                <c:pt idx="10">
                  <c:v>2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6A5-4255-AA88-56844E3B977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3924480"/>
        <c:axId val="103926016"/>
      </c:barChart>
      <c:lineChart>
        <c:grouping val="standard"/>
        <c:varyColors val="0"/>
        <c:ser>
          <c:idx val="0"/>
          <c:order val="0"/>
          <c:tx>
            <c:strRef>
              <c:f>'KPI 3'!$D$19</c:f>
              <c:strCache>
                <c:ptCount val="1"/>
                <c:pt idx="0">
                  <c:v>Budget 2025-26</c:v>
                </c:pt>
              </c:strCache>
            </c:strRef>
          </c:tx>
          <c:spPr>
            <a:ln>
              <a:solidFill>
                <a:srgbClr val="FF0000"/>
              </a:solidFill>
            </a:ln>
          </c:spPr>
          <c:marker>
            <c:symbol val="none"/>
          </c:marker>
          <c:cat>
            <c:numRef>
              <c:f>'KPI 3'!$E$18:$P$18</c:f>
              <c:numCache>
                <c:formatCode>mmm\-yy</c:formatCode>
                <c:ptCount val="12"/>
                <c:pt idx="0">
                  <c:v>45839</c:v>
                </c:pt>
                <c:pt idx="1">
                  <c:v>45870</c:v>
                </c:pt>
                <c:pt idx="2">
                  <c:v>45901</c:v>
                </c:pt>
                <c:pt idx="3">
                  <c:v>45931</c:v>
                </c:pt>
                <c:pt idx="4">
                  <c:v>45962</c:v>
                </c:pt>
                <c:pt idx="5">
                  <c:v>45992</c:v>
                </c:pt>
                <c:pt idx="6">
                  <c:v>46023</c:v>
                </c:pt>
                <c:pt idx="7">
                  <c:v>46054</c:v>
                </c:pt>
                <c:pt idx="8">
                  <c:v>46082</c:v>
                </c:pt>
                <c:pt idx="9">
                  <c:v>46113</c:v>
                </c:pt>
                <c:pt idx="10">
                  <c:v>46143</c:v>
                </c:pt>
                <c:pt idx="11">
                  <c:v>46174</c:v>
                </c:pt>
              </c:numCache>
            </c:numRef>
          </c:cat>
          <c:val>
            <c:numRef>
              <c:f>'KPI 3'!$E$19:$P$19</c:f>
              <c:numCache>
                <c:formatCode>#,##0</c:formatCode>
                <c:ptCount val="12"/>
                <c:pt idx="0">
                  <c:v>4</c:v>
                </c:pt>
                <c:pt idx="1">
                  <c:v>4</c:v>
                </c:pt>
                <c:pt idx="2">
                  <c:v>4</c:v>
                </c:pt>
                <c:pt idx="3">
                  <c:v>4</c:v>
                </c:pt>
                <c:pt idx="4">
                  <c:v>4</c:v>
                </c:pt>
                <c:pt idx="5">
                  <c:v>4</c:v>
                </c:pt>
                <c:pt idx="6">
                  <c:v>4</c:v>
                </c:pt>
                <c:pt idx="7">
                  <c:v>4</c:v>
                </c:pt>
                <c:pt idx="8">
                  <c:v>4</c:v>
                </c:pt>
                <c:pt idx="9">
                  <c:v>4</c:v>
                </c:pt>
                <c:pt idx="10">
                  <c:v>4</c:v>
                </c:pt>
                <c:pt idx="11">
                  <c:v>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E6A5-4255-AA88-56844E3B977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3924480"/>
        <c:axId val="103926016"/>
      </c:lineChart>
      <c:dateAx>
        <c:axId val="103924480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crossAx val="103926016"/>
        <c:crosses val="autoZero"/>
        <c:auto val="1"/>
        <c:lblOffset val="100"/>
        <c:baseTimeUnit val="months"/>
      </c:dateAx>
      <c:valAx>
        <c:axId val="103926016"/>
        <c:scaling>
          <c:orientation val="minMax"/>
        </c:scaling>
        <c:delete val="0"/>
        <c:axPos val="l"/>
        <c:majorGridlines/>
        <c:numFmt formatCode="#,##0" sourceLinked="1"/>
        <c:majorTickMark val="out"/>
        <c:minorTickMark val="none"/>
        <c:tickLblPos val="nextTo"/>
        <c:crossAx val="10392448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000000000000822" l="0.70000000000000062" r="0.70000000000000062" t="0.75000000000000822" header="0.30000000000000032" footer="0.30000000000000032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1"/>
          <c:order val="1"/>
          <c:tx>
            <c:strRef>
              <c:f>'KPI 3'!$D$20</c:f>
              <c:strCache>
                <c:ptCount val="1"/>
                <c:pt idx="0">
                  <c:v>Actual 2025-26</c:v>
                </c:pt>
              </c:strCache>
            </c:strRef>
          </c:tx>
          <c:spPr>
            <a:solidFill>
              <a:schemeClr val="accent1"/>
            </a:solidFill>
          </c:spPr>
          <c:invertIfNegative val="0"/>
          <c:cat>
            <c:numRef>
              <c:f>'KPI 3'!$E$18:$P$18</c:f>
              <c:numCache>
                <c:formatCode>mmm\-yy</c:formatCode>
                <c:ptCount val="12"/>
                <c:pt idx="0">
                  <c:v>45839</c:v>
                </c:pt>
                <c:pt idx="1">
                  <c:v>45870</c:v>
                </c:pt>
                <c:pt idx="2">
                  <c:v>45901</c:v>
                </c:pt>
                <c:pt idx="3">
                  <c:v>45931</c:v>
                </c:pt>
                <c:pt idx="4">
                  <c:v>45962</c:v>
                </c:pt>
                <c:pt idx="5">
                  <c:v>45992</c:v>
                </c:pt>
                <c:pt idx="6">
                  <c:v>46023</c:v>
                </c:pt>
                <c:pt idx="7">
                  <c:v>46054</c:v>
                </c:pt>
                <c:pt idx="8">
                  <c:v>46082</c:v>
                </c:pt>
                <c:pt idx="9">
                  <c:v>46113</c:v>
                </c:pt>
                <c:pt idx="10">
                  <c:v>46143</c:v>
                </c:pt>
                <c:pt idx="11">
                  <c:v>46174</c:v>
                </c:pt>
              </c:numCache>
            </c:numRef>
          </c:cat>
          <c:val>
            <c:numRef>
              <c:f>'KPI 3'!$E$20:$P$20</c:f>
              <c:numCache>
                <c:formatCode>#,##0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5</c:v>
                </c:pt>
                <c:pt idx="3">
                  <c:v>1</c:v>
                </c:pt>
                <c:pt idx="4">
                  <c:v>2</c:v>
                </c:pt>
                <c:pt idx="5">
                  <c:v>0</c:v>
                </c:pt>
                <c:pt idx="6">
                  <c:v>2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78C-47B9-8CB2-FECC081A7DE7}"/>
            </c:ext>
          </c:extLst>
        </c:ser>
        <c:ser>
          <c:idx val="4"/>
          <c:order val="2"/>
          <c:tx>
            <c:strRef>
              <c:f>'KPI 3'!$D$21</c:f>
              <c:strCache>
                <c:ptCount val="1"/>
                <c:pt idx="0">
                  <c:v>Actual 2024-25</c:v>
                </c:pt>
              </c:strCache>
            </c:strRef>
          </c:tx>
          <c:spPr>
            <a:solidFill>
              <a:schemeClr val="accent3"/>
            </a:solidFill>
          </c:spPr>
          <c:invertIfNegative val="0"/>
          <c:cat>
            <c:numRef>
              <c:f>'KPI 3'!$E$18:$P$18</c:f>
              <c:numCache>
                <c:formatCode>mmm\-yy</c:formatCode>
                <c:ptCount val="12"/>
                <c:pt idx="0">
                  <c:v>45839</c:v>
                </c:pt>
                <c:pt idx="1">
                  <c:v>45870</c:v>
                </c:pt>
                <c:pt idx="2">
                  <c:v>45901</c:v>
                </c:pt>
                <c:pt idx="3">
                  <c:v>45931</c:v>
                </c:pt>
                <c:pt idx="4">
                  <c:v>45962</c:v>
                </c:pt>
                <c:pt idx="5">
                  <c:v>45992</c:v>
                </c:pt>
                <c:pt idx="6">
                  <c:v>46023</c:v>
                </c:pt>
                <c:pt idx="7">
                  <c:v>46054</c:v>
                </c:pt>
                <c:pt idx="8">
                  <c:v>46082</c:v>
                </c:pt>
                <c:pt idx="9">
                  <c:v>46113</c:v>
                </c:pt>
                <c:pt idx="10">
                  <c:v>46143</c:v>
                </c:pt>
                <c:pt idx="11">
                  <c:v>46174</c:v>
                </c:pt>
              </c:numCache>
            </c:numRef>
          </c:cat>
          <c:val>
            <c:numRef>
              <c:f>'KPI 3'!$E$21:$P$21</c:f>
              <c:numCache>
                <c:formatCode>#,##0</c:formatCode>
                <c:ptCount val="12"/>
                <c:pt idx="0">
                  <c:v>1</c:v>
                </c:pt>
                <c:pt idx="1">
                  <c:v>4</c:v>
                </c:pt>
                <c:pt idx="2">
                  <c:v>5</c:v>
                </c:pt>
                <c:pt idx="3">
                  <c:v>0</c:v>
                </c:pt>
                <c:pt idx="4">
                  <c:v>3</c:v>
                </c:pt>
                <c:pt idx="5">
                  <c:v>0</c:v>
                </c:pt>
                <c:pt idx="6">
                  <c:v>1</c:v>
                </c:pt>
                <c:pt idx="7">
                  <c:v>4</c:v>
                </c:pt>
                <c:pt idx="8">
                  <c:v>0</c:v>
                </c:pt>
                <c:pt idx="9">
                  <c:v>2</c:v>
                </c:pt>
                <c:pt idx="10">
                  <c:v>2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78C-47B9-8CB2-FECC081A7DE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4000896"/>
        <c:axId val="97059968"/>
      </c:barChart>
      <c:lineChart>
        <c:grouping val="standard"/>
        <c:varyColors val="0"/>
        <c:ser>
          <c:idx val="0"/>
          <c:order val="0"/>
          <c:tx>
            <c:strRef>
              <c:f>'KPI 3'!$D$19</c:f>
              <c:strCache>
                <c:ptCount val="1"/>
                <c:pt idx="0">
                  <c:v>Budget 2025-26</c:v>
                </c:pt>
              </c:strCache>
            </c:strRef>
          </c:tx>
          <c:spPr>
            <a:ln>
              <a:solidFill>
                <a:srgbClr val="FF0000"/>
              </a:solidFill>
            </a:ln>
          </c:spPr>
          <c:marker>
            <c:symbol val="none"/>
          </c:marker>
          <c:cat>
            <c:numRef>
              <c:f>'KPI 3'!$E$18:$P$18</c:f>
              <c:numCache>
                <c:formatCode>mmm\-yy</c:formatCode>
                <c:ptCount val="12"/>
                <c:pt idx="0">
                  <c:v>45839</c:v>
                </c:pt>
                <c:pt idx="1">
                  <c:v>45870</c:v>
                </c:pt>
                <c:pt idx="2">
                  <c:v>45901</c:v>
                </c:pt>
                <c:pt idx="3">
                  <c:v>45931</c:v>
                </c:pt>
                <c:pt idx="4">
                  <c:v>45962</c:v>
                </c:pt>
                <c:pt idx="5">
                  <c:v>45992</c:v>
                </c:pt>
                <c:pt idx="6">
                  <c:v>46023</c:v>
                </c:pt>
                <c:pt idx="7">
                  <c:v>46054</c:v>
                </c:pt>
                <c:pt idx="8">
                  <c:v>46082</c:v>
                </c:pt>
                <c:pt idx="9">
                  <c:v>46113</c:v>
                </c:pt>
                <c:pt idx="10">
                  <c:v>46143</c:v>
                </c:pt>
                <c:pt idx="11">
                  <c:v>46174</c:v>
                </c:pt>
              </c:numCache>
            </c:numRef>
          </c:cat>
          <c:val>
            <c:numRef>
              <c:f>'KPI 3'!$E$19:$P$19</c:f>
              <c:numCache>
                <c:formatCode>#,##0</c:formatCode>
                <c:ptCount val="12"/>
                <c:pt idx="0">
                  <c:v>4</c:v>
                </c:pt>
                <c:pt idx="1">
                  <c:v>4</c:v>
                </c:pt>
                <c:pt idx="2">
                  <c:v>4</c:v>
                </c:pt>
                <c:pt idx="3">
                  <c:v>4</c:v>
                </c:pt>
                <c:pt idx="4">
                  <c:v>4</c:v>
                </c:pt>
                <c:pt idx="5">
                  <c:v>4</c:v>
                </c:pt>
                <c:pt idx="6">
                  <c:v>4</c:v>
                </c:pt>
                <c:pt idx="7">
                  <c:v>4</c:v>
                </c:pt>
                <c:pt idx="8">
                  <c:v>4</c:v>
                </c:pt>
                <c:pt idx="9">
                  <c:v>4</c:v>
                </c:pt>
                <c:pt idx="10">
                  <c:v>4</c:v>
                </c:pt>
                <c:pt idx="11">
                  <c:v>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178C-47B9-8CB2-FECC081A7DE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4000896"/>
        <c:axId val="97059968"/>
      </c:lineChart>
      <c:dateAx>
        <c:axId val="104000896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crossAx val="97059968"/>
        <c:crosses val="autoZero"/>
        <c:auto val="1"/>
        <c:lblOffset val="100"/>
        <c:baseTimeUnit val="months"/>
      </c:dateAx>
      <c:valAx>
        <c:axId val="97059968"/>
        <c:scaling>
          <c:orientation val="minMax"/>
        </c:scaling>
        <c:delete val="0"/>
        <c:axPos val="l"/>
        <c:majorGridlines/>
        <c:numFmt formatCode="#,##0" sourceLinked="1"/>
        <c:majorTickMark val="out"/>
        <c:minorTickMark val="none"/>
        <c:tickLblPos val="nextTo"/>
        <c:crossAx val="104000896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000000000000822" l="0.70000000000000062" r="0.70000000000000062" t="0.75000000000000822" header="0.30000000000000032" footer="0.30000000000000032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1"/>
          <c:order val="1"/>
          <c:tx>
            <c:strRef>
              <c:f>'KPI 4'!$D$20</c:f>
              <c:strCache>
                <c:ptCount val="1"/>
                <c:pt idx="0">
                  <c:v>Actual 2025-26</c:v>
                </c:pt>
              </c:strCache>
            </c:strRef>
          </c:tx>
          <c:spPr>
            <a:solidFill>
              <a:schemeClr val="accent1"/>
            </a:solidFill>
          </c:spPr>
          <c:invertIfNegative val="0"/>
          <c:cat>
            <c:numRef>
              <c:f>'KPI 4'!$E$18:$P$18</c:f>
              <c:numCache>
                <c:formatCode>mmm\-yy</c:formatCode>
                <c:ptCount val="12"/>
                <c:pt idx="0">
                  <c:v>45839</c:v>
                </c:pt>
                <c:pt idx="1">
                  <c:v>45870</c:v>
                </c:pt>
                <c:pt idx="2">
                  <c:v>45901</c:v>
                </c:pt>
                <c:pt idx="3">
                  <c:v>45931</c:v>
                </c:pt>
                <c:pt idx="4">
                  <c:v>45962</c:v>
                </c:pt>
                <c:pt idx="5">
                  <c:v>45992</c:v>
                </c:pt>
                <c:pt idx="6">
                  <c:v>46023</c:v>
                </c:pt>
                <c:pt idx="7">
                  <c:v>46054</c:v>
                </c:pt>
                <c:pt idx="8">
                  <c:v>46082</c:v>
                </c:pt>
                <c:pt idx="9">
                  <c:v>46113</c:v>
                </c:pt>
                <c:pt idx="10">
                  <c:v>46143</c:v>
                </c:pt>
                <c:pt idx="11">
                  <c:v>46174</c:v>
                </c:pt>
              </c:numCache>
            </c:numRef>
          </c:cat>
          <c:val>
            <c:numRef>
              <c:f>'KPI 4'!$E$20:$P$20</c:f>
              <c:numCache>
                <c:formatCode>#,##0</c:formatCode>
                <c:ptCount val="12"/>
                <c:pt idx="0">
                  <c:v>0</c:v>
                </c:pt>
                <c:pt idx="1">
                  <c:v>2</c:v>
                </c:pt>
                <c:pt idx="2">
                  <c:v>0</c:v>
                </c:pt>
                <c:pt idx="3">
                  <c:v>3</c:v>
                </c:pt>
                <c:pt idx="4">
                  <c:v>0</c:v>
                </c:pt>
                <c:pt idx="5">
                  <c:v>0</c:v>
                </c:pt>
                <c:pt idx="6">
                  <c:v>2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3BB-4390-8FC1-5B10D8CA69C3}"/>
            </c:ext>
          </c:extLst>
        </c:ser>
        <c:ser>
          <c:idx val="4"/>
          <c:order val="2"/>
          <c:tx>
            <c:strRef>
              <c:f>'KPI 4'!$D$21</c:f>
              <c:strCache>
                <c:ptCount val="1"/>
                <c:pt idx="0">
                  <c:v>Actual 2024-25</c:v>
                </c:pt>
              </c:strCache>
            </c:strRef>
          </c:tx>
          <c:spPr>
            <a:solidFill>
              <a:schemeClr val="accent3"/>
            </a:solidFill>
          </c:spPr>
          <c:invertIfNegative val="0"/>
          <c:cat>
            <c:numRef>
              <c:f>'KPI 4'!$E$18:$P$18</c:f>
              <c:numCache>
                <c:formatCode>mmm\-yy</c:formatCode>
                <c:ptCount val="12"/>
                <c:pt idx="0">
                  <c:v>45839</c:v>
                </c:pt>
                <c:pt idx="1">
                  <c:v>45870</c:v>
                </c:pt>
                <c:pt idx="2">
                  <c:v>45901</c:v>
                </c:pt>
                <c:pt idx="3">
                  <c:v>45931</c:v>
                </c:pt>
                <c:pt idx="4">
                  <c:v>45962</c:v>
                </c:pt>
                <c:pt idx="5">
                  <c:v>45992</c:v>
                </c:pt>
                <c:pt idx="6">
                  <c:v>46023</c:v>
                </c:pt>
                <c:pt idx="7">
                  <c:v>46054</c:v>
                </c:pt>
                <c:pt idx="8">
                  <c:v>46082</c:v>
                </c:pt>
                <c:pt idx="9">
                  <c:v>46113</c:v>
                </c:pt>
                <c:pt idx="10">
                  <c:v>46143</c:v>
                </c:pt>
                <c:pt idx="11">
                  <c:v>46174</c:v>
                </c:pt>
              </c:numCache>
            </c:numRef>
          </c:cat>
          <c:val>
            <c:numRef>
              <c:f>'KPI 4'!$E$21:$P$21</c:f>
              <c:numCache>
                <c:formatCode>#,##0</c:formatCode>
                <c:ptCount val="12"/>
                <c:pt idx="0">
                  <c:v>1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1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3BB-4390-8FC1-5B10D8CA69C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4137472"/>
        <c:axId val="104139008"/>
      </c:barChart>
      <c:lineChart>
        <c:grouping val="standard"/>
        <c:varyColors val="0"/>
        <c:ser>
          <c:idx val="0"/>
          <c:order val="0"/>
          <c:tx>
            <c:strRef>
              <c:f>'KPI 4'!$D$19</c:f>
              <c:strCache>
                <c:ptCount val="1"/>
                <c:pt idx="0">
                  <c:v>Budget 2025-26</c:v>
                </c:pt>
              </c:strCache>
            </c:strRef>
          </c:tx>
          <c:spPr>
            <a:ln>
              <a:solidFill>
                <a:srgbClr val="FF0000"/>
              </a:solidFill>
            </a:ln>
          </c:spPr>
          <c:marker>
            <c:symbol val="none"/>
          </c:marker>
          <c:cat>
            <c:numRef>
              <c:f>'KPI 4'!$E$18:$P$18</c:f>
              <c:numCache>
                <c:formatCode>mmm\-yy</c:formatCode>
                <c:ptCount val="12"/>
                <c:pt idx="0">
                  <c:v>45839</c:v>
                </c:pt>
                <c:pt idx="1">
                  <c:v>45870</c:v>
                </c:pt>
                <c:pt idx="2">
                  <c:v>45901</c:v>
                </c:pt>
                <c:pt idx="3">
                  <c:v>45931</c:v>
                </c:pt>
                <c:pt idx="4">
                  <c:v>45962</c:v>
                </c:pt>
                <c:pt idx="5">
                  <c:v>45992</c:v>
                </c:pt>
                <c:pt idx="6">
                  <c:v>46023</c:v>
                </c:pt>
                <c:pt idx="7">
                  <c:v>46054</c:v>
                </c:pt>
                <c:pt idx="8">
                  <c:v>46082</c:v>
                </c:pt>
                <c:pt idx="9">
                  <c:v>46113</c:v>
                </c:pt>
                <c:pt idx="10">
                  <c:v>46143</c:v>
                </c:pt>
                <c:pt idx="11">
                  <c:v>46174</c:v>
                </c:pt>
              </c:numCache>
            </c:numRef>
          </c:cat>
          <c:val>
            <c:numRef>
              <c:f>'KPI 4'!$E$19:$P$19</c:f>
              <c:numCache>
                <c:formatCode>#,##0</c:formatCode>
                <c:ptCount val="12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D3BB-4390-8FC1-5B10D8CA69C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4137472"/>
        <c:axId val="104139008"/>
      </c:lineChart>
      <c:dateAx>
        <c:axId val="104137472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crossAx val="104139008"/>
        <c:crosses val="autoZero"/>
        <c:auto val="1"/>
        <c:lblOffset val="100"/>
        <c:baseTimeUnit val="months"/>
      </c:dateAx>
      <c:valAx>
        <c:axId val="104139008"/>
        <c:scaling>
          <c:orientation val="minMax"/>
        </c:scaling>
        <c:delete val="0"/>
        <c:axPos val="l"/>
        <c:majorGridlines/>
        <c:numFmt formatCode="#,##0" sourceLinked="1"/>
        <c:majorTickMark val="out"/>
        <c:minorTickMark val="none"/>
        <c:tickLblPos val="nextTo"/>
        <c:crossAx val="104137472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000000000000822" l="0.70000000000000062" r="0.70000000000000062" t="0.75000000000000822" header="0.30000000000000032" footer="0.30000000000000032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1"/>
          <c:order val="1"/>
          <c:tx>
            <c:strRef>
              <c:f>'KPI 5'!$D$20</c:f>
              <c:strCache>
                <c:ptCount val="1"/>
                <c:pt idx="0">
                  <c:v>Actual 2025-26</c:v>
                </c:pt>
              </c:strCache>
            </c:strRef>
          </c:tx>
          <c:spPr>
            <a:solidFill>
              <a:schemeClr val="accent1"/>
            </a:solidFill>
          </c:spPr>
          <c:invertIfNegative val="0"/>
          <c:cat>
            <c:numRef>
              <c:f>'KPI 5'!$E$18:$P$18</c:f>
              <c:numCache>
                <c:formatCode>mmm\-yy</c:formatCode>
                <c:ptCount val="12"/>
                <c:pt idx="0">
                  <c:v>45839</c:v>
                </c:pt>
                <c:pt idx="1">
                  <c:v>45870</c:v>
                </c:pt>
                <c:pt idx="2">
                  <c:v>45901</c:v>
                </c:pt>
                <c:pt idx="3">
                  <c:v>45931</c:v>
                </c:pt>
                <c:pt idx="4">
                  <c:v>45962</c:v>
                </c:pt>
                <c:pt idx="5">
                  <c:v>45992</c:v>
                </c:pt>
                <c:pt idx="6">
                  <c:v>46023</c:v>
                </c:pt>
                <c:pt idx="7">
                  <c:v>46054</c:v>
                </c:pt>
                <c:pt idx="8">
                  <c:v>46082</c:v>
                </c:pt>
                <c:pt idx="9">
                  <c:v>46113</c:v>
                </c:pt>
                <c:pt idx="10">
                  <c:v>46143</c:v>
                </c:pt>
                <c:pt idx="11">
                  <c:v>46174</c:v>
                </c:pt>
              </c:numCache>
            </c:numRef>
          </c:cat>
          <c:val>
            <c:numRef>
              <c:f>'KPI 5'!$E$20:$P$20</c:f>
              <c:numCache>
                <c:formatCode>#,##0</c:formatCode>
                <c:ptCount val="12"/>
                <c:pt idx="0">
                  <c:v>2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1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5BF-4063-9546-E3B1A91D2946}"/>
            </c:ext>
          </c:extLst>
        </c:ser>
        <c:ser>
          <c:idx val="4"/>
          <c:order val="2"/>
          <c:tx>
            <c:strRef>
              <c:f>'KPI 5'!$D$21</c:f>
              <c:strCache>
                <c:ptCount val="1"/>
                <c:pt idx="0">
                  <c:v>Actual 2024-25</c:v>
                </c:pt>
              </c:strCache>
            </c:strRef>
          </c:tx>
          <c:spPr>
            <a:solidFill>
              <a:schemeClr val="accent3"/>
            </a:solidFill>
          </c:spPr>
          <c:invertIfNegative val="0"/>
          <c:cat>
            <c:numRef>
              <c:f>'KPI 5'!$E$18:$P$18</c:f>
              <c:numCache>
                <c:formatCode>mmm\-yy</c:formatCode>
                <c:ptCount val="12"/>
                <c:pt idx="0">
                  <c:v>45839</c:v>
                </c:pt>
                <c:pt idx="1">
                  <c:v>45870</c:v>
                </c:pt>
                <c:pt idx="2">
                  <c:v>45901</c:v>
                </c:pt>
                <c:pt idx="3">
                  <c:v>45931</c:v>
                </c:pt>
                <c:pt idx="4">
                  <c:v>45962</c:v>
                </c:pt>
                <c:pt idx="5">
                  <c:v>45992</c:v>
                </c:pt>
                <c:pt idx="6">
                  <c:v>46023</c:v>
                </c:pt>
                <c:pt idx="7">
                  <c:v>46054</c:v>
                </c:pt>
                <c:pt idx="8">
                  <c:v>46082</c:v>
                </c:pt>
                <c:pt idx="9">
                  <c:v>46113</c:v>
                </c:pt>
                <c:pt idx="10">
                  <c:v>46143</c:v>
                </c:pt>
                <c:pt idx="11">
                  <c:v>46174</c:v>
                </c:pt>
              </c:numCache>
            </c:numRef>
          </c:cat>
          <c:val>
            <c:numRef>
              <c:f>'KPI 5'!$E$21:$P$21</c:f>
              <c:numCache>
                <c:formatCode>#,##0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1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5BF-4063-9546-E3B1A91D294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4150912"/>
        <c:axId val="104152448"/>
      </c:barChart>
      <c:lineChart>
        <c:grouping val="standard"/>
        <c:varyColors val="0"/>
        <c:ser>
          <c:idx val="0"/>
          <c:order val="0"/>
          <c:tx>
            <c:strRef>
              <c:f>'KPI 5'!$D$19</c:f>
              <c:strCache>
                <c:ptCount val="1"/>
                <c:pt idx="0">
                  <c:v>Budget 2025-26</c:v>
                </c:pt>
              </c:strCache>
            </c:strRef>
          </c:tx>
          <c:spPr>
            <a:ln>
              <a:solidFill>
                <a:srgbClr val="FF0000"/>
              </a:solidFill>
            </a:ln>
          </c:spPr>
          <c:marker>
            <c:symbol val="none"/>
          </c:marker>
          <c:cat>
            <c:numRef>
              <c:f>'KPI 5'!$E$18:$P$18</c:f>
              <c:numCache>
                <c:formatCode>mmm\-yy</c:formatCode>
                <c:ptCount val="12"/>
                <c:pt idx="0">
                  <c:v>45839</c:v>
                </c:pt>
                <c:pt idx="1">
                  <c:v>45870</c:v>
                </c:pt>
                <c:pt idx="2">
                  <c:v>45901</c:v>
                </c:pt>
                <c:pt idx="3">
                  <c:v>45931</c:v>
                </c:pt>
                <c:pt idx="4">
                  <c:v>45962</c:v>
                </c:pt>
                <c:pt idx="5">
                  <c:v>45992</c:v>
                </c:pt>
                <c:pt idx="6">
                  <c:v>46023</c:v>
                </c:pt>
                <c:pt idx="7">
                  <c:v>46054</c:v>
                </c:pt>
                <c:pt idx="8">
                  <c:v>46082</c:v>
                </c:pt>
                <c:pt idx="9">
                  <c:v>46113</c:v>
                </c:pt>
                <c:pt idx="10">
                  <c:v>46143</c:v>
                </c:pt>
                <c:pt idx="11">
                  <c:v>46174</c:v>
                </c:pt>
              </c:numCache>
            </c:numRef>
          </c:cat>
          <c:val>
            <c:numRef>
              <c:f>'KPI 5'!$E$19:$P$19</c:f>
              <c:numCache>
                <c:formatCode>#,##0</c:formatCode>
                <c:ptCount val="12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F5BF-4063-9546-E3B1A91D294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4150912"/>
        <c:axId val="104152448"/>
      </c:lineChart>
      <c:dateAx>
        <c:axId val="104150912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crossAx val="104152448"/>
        <c:crosses val="autoZero"/>
        <c:auto val="1"/>
        <c:lblOffset val="100"/>
        <c:baseTimeUnit val="months"/>
      </c:dateAx>
      <c:valAx>
        <c:axId val="104152448"/>
        <c:scaling>
          <c:orientation val="minMax"/>
        </c:scaling>
        <c:delete val="0"/>
        <c:axPos val="l"/>
        <c:majorGridlines/>
        <c:numFmt formatCode="#,##0" sourceLinked="1"/>
        <c:majorTickMark val="out"/>
        <c:minorTickMark val="none"/>
        <c:tickLblPos val="nextTo"/>
        <c:crossAx val="104150912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000000000000822" l="0.70000000000000062" r="0.70000000000000062" t="0.75000000000000822" header="0.30000000000000032" footer="0.30000000000000032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1"/>
          <c:order val="1"/>
          <c:tx>
            <c:strRef>
              <c:f>'KPI 6'!$D$20</c:f>
              <c:strCache>
                <c:ptCount val="1"/>
                <c:pt idx="0">
                  <c:v>Actual 2025-26</c:v>
                </c:pt>
              </c:strCache>
            </c:strRef>
          </c:tx>
          <c:spPr>
            <a:solidFill>
              <a:schemeClr val="accent1"/>
            </a:solidFill>
          </c:spPr>
          <c:invertIfNegative val="0"/>
          <c:cat>
            <c:numRef>
              <c:f>'KPI 6'!$E$18:$P$18</c:f>
              <c:numCache>
                <c:formatCode>mmm\-yy</c:formatCode>
                <c:ptCount val="12"/>
                <c:pt idx="0">
                  <c:v>45839</c:v>
                </c:pt>
                <c:pt idx="1">
                  <c:v>45870</c:v>
                </c:pt>
                <c:pt idx="2">
                  <c:v>45901</c:v>
                </c:pt>
                <c:pt idx="3">
                  <c:v>45931</c:v>
                </c:pt>
                <c:pt idx="4">
                  <c:v>45962</c:v>
                </c:pt>
                <c:pt idx="5">
                  <c:v>45992</c:v>
                </c:pt>
                <c:pt idx="6">
                  <c:v>46023</c:v>
                </c:pt>
                <c:pt idx="7">
                  <c:v>46054</c:v>
                </c:pt>
                <c:pt idx="8">
                  <c:v>46082</c:v>
                </c:pt>
                <c:pt idx="9">
                  <c:v>46113</c:v>
                </c:pt>
                <c:pt idx="10">
                  <c:v>46143</c:v>
                </c:pt>
                <c:pt idx="11">
                  <c:v>46174</c:v>
                </c:pt>
              </c:numCache>
            </c:numRef>
          </c:cat>
          <c:val>
            <c:numRef>
              <c:f>'KPI 6'!$E$20:$P$20</c:f>
              <c:numCache>
                <c:formatCode>#,##0</c:formatCode>
                <c:ptCount val="12"/>
                <c:pt idx="0">
                  <c:v>5</c:v>
                </c:pt>
                <c:pt idx="1">
                  <c:v>13</c:v>
                </c:pt>
                <c:pt idx="2">
                  <c:v>7</c:v>
                </c:pt>
                <c:pt idx="3">
                  <c:v>23</c:v>
                </c:pt>
                <c:pt idx="4">
                  <c:v>6</c:v>
                </c:pt>
                <c:pt idx="5">
                  <c:v>14</c:v>
                </c:pt>
                <c:pt idx="6">
                  <c:v>34</c:v>
                </c:pt>
                <c:pt idx="7">
                  <c:v>7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445-4887-8743-F5AEA8BAB1EA}"/>
            </c:ext>
          </c:extLst>
        </c:ser>
        <c:ser>
          <c:idx val="4"/>
          <c:order val="2"/>
          <c:tx>
            <c:strRef>
              <c:f>'KPI 6'!$D$21</c:f>
              <c:strCache>
                <c:ptCount val="1"/>
                <c:pt idx="0">
                  <c:v>Actual 2024-25</c:v>
                </c:pt>
              </c:strCache>
            </c:strRef>
          </c:tx>
          <c:spPr>
            <a:solidFill>
              <a:schemeClr val="accent3"/>
            </a:solidFill>
          </c:spPr>
          <c:invertIfNegative val="0"/>
          <c:cat>
            <c:numRef>
              <c:f>'KPI 6'!$E$18:$P$18</c:f>
              <c:numCache>
                <c:formatCode>mmm\-yy</c:formatCode>
                <c:ptCount val="12"/>
                <c:pt idx="0">
                  <c:v>45839</c:v>
                </c:pt>
                <c:pt idx="1">
                  <c:v>45870</c:v>
                </c:pt>
                <c:pt idx="2">
                  <c:v>45901</c:v>
                </c:pt>
                <c:pt idx="3">
                  <c:v>45931</c:v>
                </c:pt>
                <c:pt idx="4">
                  <c:v>45962</c:v>
                </c:pt>
                <c:pt idx="5">
                  <c:v>45992</c:v>
                </c:pt>
                <c:pt idx="6">
                  <c:v>46023</c:v>
                </c:pt>
                <c:pt idx="7">
                  <c:v>46054</c:v>
                </c:pt>
                <c:pt idx="8">
                  <c:v>46082</c:v>
                </c:pt>
                <c:pt idx="9">
                  <c:v>46113</c:v>
                </c:pt>
                <c:pt idx="10">
                  <c:v>46143</c:v>
                </c:pt>
                <c:pt idx="11">
                  <c:v>46174</c:v>
                </c:pt>
              </c:numCache>
            </c:numRef>
          </c:cat>
          <c:val>
            <c:numRef>
              <c:f>'KPI 6'!$E$21:$P$21</c:f>
              <c:numCache>
                <c:formatCode>#,##0</c:formatCode>
                <c:ptCount val="12"/>
                <c:pt idx="0">
                  <c:v>16</c:v>
                </c:pt>
                <c:pt idx="1">
                  <c:v>11</c:v>
                </c:pt>
                <c:pt idx="2">
                  <c:v>10</c:v>
                </c:pt>
                <c:pt idx="3">
                  <c:v>2</c:v>
                </c:pt>
                <c:pt idx="4">
                  <c:v>3</c:v>
                </c:pt>
                <c:pt idx="5">
                  <c:v>0</c:v>
                </c:pt>
                <c:pt idx="6">
                  <c:v>16</c:v>
                </c:pt>
                <c:pt idx="7">
                  <c:v>10</c:v>
                </c:pt>
                <c:pt idx="8">
                  <c:v>5</c:v>
                </c:pt>
                <c:pt idx="9">
                  <c:v>7</c:v>
                </c:pt>
                <c:pt idx="10">
                  <c:v>9</c:v>
                </c:pt>
                <c:pt idx="11">
                  <c:v>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445-4887-8743-F5AEA8BAB1E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4487936"/>
        <c:axId val="104506112"/>
      </c:barChart>
      <c:lineChart>
        <c:grouping val="standard"/>
        <c:varyColors val="0"/>
        <c:ser>
          <c:idx val="0"/>
          <c:order val="0"/>
          <c:tx>
            <c:strRef>
              <c:f>'KPI 6'!$D$19</c:f>
              <c:strCache>
                <c:ptCount val="1"/>
                <c:pt idx="0">
                  <c:v>Budget 2025-26</c:v>
                </c:pt>
              </c:strCache>
            </c:strRef>
          </c:tx>
          <c:spPr>
            <a:ln>
              <a:solidFill>
                <a:srgbClr val="FF0000"/>
              </a:solidFill>
            </a:ln>
          </c:spPr>
          <c:marker>
            <c:symbol val="none"/>
          </c:marker>
          <c:cat>
            <c:numRef>
              <c:f>'KPI 6'!$E$18:$P$18</c:f>
              <c:numCache>
                <c:formatCode>mmm\-yy</c:formatCode>
                <c:ptCount val="12"/>
                <c:pt idx="0">
                  <c:v>45839</c:v>
                </c:pt>
                <c:pt idx="1">
                  <c:v>45870</c:v>
                </c:pt>
                <c:pt idx="2">
                  <c:v>45901</c:v>
                </c:pt>
                <c:pt idx="3">
                  <c:v>45931</c:v>
                </c:pt>
                <c:pt idx="4">
                  <c:v>45962</c:v>
                </c:pt>
                <c:pt idx="5">
                  <c:v>45992</c:v>
                </c:pt>
                <c:pt idx="6">
                  <c:v>46023</c:v>
                </c:pt>
                <c:pt idx="7">
                  <c:v>46054</c:v>
                </c:pt>
                <c:pt idx="8">
                  <c:v>46082</c:v>
                </c:pt>
                <c:pt idx="9">
                  <c:v>46113</c:v>
                </c:pt>
                <c:pt idx="10">
                  <c:v>46143</c:v>
                </c:pt>
                <c:pt idx="11">
                  <c:v>46174</c:v>
                </c:pt>
              </c:numCache>
            </c:numRef>
          </c:cat>
          <c:val>
            <c:numRef>
              <c:f>'KPI 6'!$E$19:$P$19</c:f>
              <c:numCache>
                <c:formatCode>#,##0</c:formatCode>
                <c:ptCount val="12"/>
                <c:pt idx="0">
                  <c:v>20</c:v>
                </c:pt>
                <c:pt idx="1">
                  <c:v>21</c:v>
                </c:pt>
                <c:pt idx="2">
                  <c:v>21</c:v>
                </c:pt>
                <c:pt idx="3">
                  <c:v>21</c:v>
                </c:pt>
                <c:pt idx="4">
                  <c:v>21</c:v>
                </c:pt>
                <c:pt idx="5">
                  <c:v>21</c:v>
                </c:pt>
                <c:pt idx="6">
                  <c:v>21</c:v>
                </c:pt>
                <c:pt idx="7">
                  <c:v>21</c:v>
                </c:pt>
                <c:pt idx="8">
                  <c:v>21</c:v>
                </c:pt>
                <c:pt idx="9">
                  <c:v>21</c:v>
                </c:pt>
                <c:pt idx="10">
                  <c:v>21</c:v>
                </c:pt>
                <c:pt idx="11">
                  <c:v>21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D445-4887-8743-F5AEA8BAB1E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4487936"/>
        <c:axId val="104506112"/>
      </c:lineChart>
      <c:dateAx>
        <c:axId val="104487936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crossAx val="104506112"/>
        <c:crosses val="autoZero"/>
        <c:auto val="1"/>
        <c:lblOffset val="100"/>
        <c:baseTimeUnit val="months"/>
      </c:dateAx>
      <c:valAx>
        <c:axId val="104506112"/>
        <c:scaling>
          <c:orientation val="minMax"/>
        </c:scaling>
        <c:delete val="0"/>
        <c:axPos val="l"/>
        <c:majorGridlines/>
        <c:numFmt formatCode="#,##0" sourceLinked="1"/>
        <c:majorTickMark val="out"/>
        <c:minorTickMark val="none"/>
        <c:tickLblPos val="nextTo"/>
        <c:crossAx val="104487936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000000000000822" l="0.70000000000000062" r="0.70000000000000062" t="0.75000000000000822" header="0.30000000000000032" footer="0.30000000000000032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1"/>
          <c:order val="1"/>
          <c:tx>
            <c:strRef>
              <c:f>'KPI 7'!$D$20</c:f>
              <c:strCache>
                <c:ptCount val="1"/>
                <c:pt idx="0">
                  <c:v>Actual 2025-26</c:v>
                </c:pt>
              </c:strCache>
            </c:strRef>
          </c:tx>
          <c:spPr>
            <a:solidFill>
              <a:schemeClr val="accent1"/>
            </a:solidFill>
          </c:spPr>
          <c:invertIfNegative val="0"/>
          <c:cat>
            <c:numRef>
              <c:f>'KPI 7'!$E$18:$P$18</c:f>
              <c:numCache>
                <c:formatCode>mmm\-yy</c:formatCode>
                <c:ptCount val="12"/>
                <c:pt idx="0">
                  <c:v>45839</c:v>
                </c:pt>
                <c:pt idx="1">
                  <c:v>45870</c:v>
                </c:pt>
                <c:pt idx="2">
                  <c:v>45901</c:v>
                </c:pt>
                <c:pt idx="3">
                  <c:v>45931</c:v>
                </c:pt>
                <c:pt idx="4">
                  <c:v>45962</c:v>
                </c:pt>
                <c:pt idx="5">
                  <c:v>45992</c:v>
                </c:pt>
                <c:pt idx="6">
                  <c:v>46023</c:v>
                </c:pt>
                <c:pt idx="7">
                  <c:v>46054</c:v>
                </c:pt>
                <c:pt idx="8">
                  <c:v>46082</c:v>
                </c:pt>
                <c:pt idx="9">
                  <c:v>46113</c:v>
                </c:pt>
                <c:pt idx="10">
                  <c:v>46143</c:v>
                </c:pt>
                <c:pt idx="11">
                  <c:v>46174</c:v>
                </c:pt>
              </c:numCache>
            </c:numRef>
          </c:cat>
          <c:val>
            <c:numRef>
              <c:f>'KPI 7'!$E$20:$P$20</c:f>
              <c:numCache>
                <c:formatCode>#,##0</c:formatCode>
                <c:ptCount val="12"/>
                <c:pt idx="0">
                  <c:v>37</c:v>
                </c:pt>
                <c:pt idx="1">
                  <c:v>18</c:v>
                </c:pt>
                <c:pt idx="2">
                  <c:v>13</c:v>
                </c:pt>
                <c:pt idx="3">
                  <c:v>11</c:v>
                </c:pt>
                <c:pt idx="4">
                  <c:v>10</c:v>
                </c:pt>
                <c:pt idx="5">
                  <c:v>10</c:v>
                </c:pt>
                <c:pt idx="6">
                  <c:v>34</c:v>
                </c:pt>
                <c:pt idx="7">
                  <c:v>14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152-498D-8FE9-513391E10905}"/>
            </c:ext>
          </c:extLst>
        </c:ser>
        <c:ser>
          <c:idx val="4"/>
          <c:order val="2"/>
          <c:tx>
            <c:strRef>
              <c:f>'KPI 7'!$D$21</c:f>
              <c:strCache>
                <c:ptCount val="1"/>
                <c:pt idx="0">
                  <c:v>Actual 2024-25</c:v>
                </c:pt>
              </c:strCache>
            </c:strRef>
          </c:tx>
          <c:spPr>
            <a:solidFill>
              <a:schemeClr val="accent3"/>
            </a:solidFill>
          </c:spPr>
          <c:invertIfNegative val="0"/>
          <c:cat>
            <c:numRef>
              <c:f>'KPI 7'!$E$18:$P$18</c:f>
              <c:numCache>
                <c:formatCode>mmm\-yy</c:formatCode>
                <c:ptCount val="12"/>
                <c:pt idx="0">
                  <c:v>45839</c:v>
                </c:pt>
                <c:pt idx="1">
                  <c:v>45870</c:v>
                </c:pt>
                <c:pt idx="2">
                  <c:v>45901</c:v>
                </c:pt>
                <c:pt idx="3">
                  <c:v>45931</c:v>
                </c:pt>
                <c:pt idx="4">
                  <c:v>45962</c:v>
                </c:pt>
                <c:pt idx="5">
                  <c:v>45992</c:v>
                </c:pt>
                <c:pt idx="6">
                  <c:v>46023</c:v>
                </c:pt>
                <c:pt idx="7">
                  <c:v>46054</c:v>
                </c:pt>
                <c:pt idx="8">
                  <c:v>46082</c:v>
                </c:pt>
                <c:pt idx="9">
                  <c:v>46113</c:v>
                </c:pt>
                <c:pt idx="10">
                  <c:v>46143</c:v>
                </c:pt>
                <c:pt idx="11">
                  <c:v>46174</c:v>
                </c:pt>
              </c:numCache>
            </c:numRef>
          </c:cat>
          <c:val>
            <c:numRef>
              <c:f>'KPI 7'!$E$21:$P$21</c:f>
              <c:numCache>
                <c:formatCode>#,##0</c:formatCode>
                <c:ptCount val="12"/>
                <c:pt idx="0">
                  <c:v>16</c:v>
                </c:pt>
                <c:pt idx="1">
                  <c:v>11</c:v>
                </c:pt>
                <c:pt idx="2">
                  <c:v>10</c:v>
                </c:pt>
                <c:pt idx="3">
                  <c:v>2</c:v>
                </c:pt>
                <c:pt idx="4">
                  <c:v>3</c:v>
                </c:pt>
                <c:pt idx="5">
                  <c:v>0</c:v>
                </c:pt>
                <c:pt idx="6">
                  <c:v>16</c:v>
                </c:pt>
                <c:pt idx="7">
                  <c:v>10</c:v>
                </c:pt>
                <c:pt idx="8">
                  <c:v>5</c:v>
                </c:pt>
                <c:pt idx="9">
                  <c:v>7</c:v>
                </c:pt>
                <c:pt idx="10">
                  <c:v>9</c:v>
                </c:pt>
                <c:pt idx="11">
                  <c:v>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152-498D-8FE9-513391E1090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4306944"/>
        <c:axId val="104312832"/>
      </c:barChart>
      <c:lineChart>
        <c:grouping val="standard"/>
        <c:varyColors val="0"/>
        <c:ser>
          <c:idx val="0"/>
          <c:order val="0"/>
          <c:tx>
            <c:strRef>
              <c:f>'KPI 7'!$D$19</c:f>
              <c:strCache>
                <c:ptCount val="1"/>
                <c:pt idx="0">
                  <c:v>Budget 2025-26</c:v>
                </c:pt>
              </c:strCache>
            </c:strRef>
          </c:tx>
          <c:spPr>
            <a:ln>
              <a:solidFill>
                <a:srgbClr val="FF0000"/>
              </a:solidFill>
            </a:ln>
          </c:spPr>
          <c:marker>
            <c:symbol val="none"/>
          </c:marker>
          <c:cat>
            <c:numRef>
              <c:f>'KPI 7'!$E$18:$P$18</c:f>
              <c:numCache>
                <c:formatCode>mmm\-yy</c:formatCode>
                <c:ptCount val="12"/>
                <c:pt idx="0">
                  <c:v>45839</c:v>
                </c:pt>
                <c:pt idx="1">
                  <c:v>45870</c:v>
                </c:pt>
                <c:pt idx="2">
                  <c:v>45901</c:v>
                </c:pt>
                <c:pt idx="3">
                  <c:v>45931</c:v>
                </c:pt>
                <c:pt idx="4">
                  <c:v>45962</c:v>
                </c:pt>
                <c:pt idx="5">
                  <c:v>45992</c:v>
                </c:pt>
                <c:pt idx="6">
                  <c:v>46023</c:v>
                </c:pt>
                <c:pt idx="7">
                  <c:v>46054</c:v>
                </c:pt>
                <c:pt idx="8">
                  <c:v>46082</c:v>
                </c:pt>
                <c:pt idx="9">
                  <c:v>46113</c:v>
                </c:pt>
                <c:pt idx="10">
                  <c:v>46143</c:v>
                </c:pt>
                <c:pt idx="11">
                  <c:v>46174</c:v>
                </c:pt>
              </c:numCache>
            </c:numRef>
          </c:cat>
          <c:val>
            <c:numRef>
              <c:f>'KPI 7'!$E$19:$P$19</c:f>
              <c:numCache>
                <c:formatCode>#,##0</c:formatCode>
                <c:ptCount val="12"/>
                <c:pt idx="0">
                  <c:v>8</c:v>
                </c:pt>
                <c:pt idx="1">
                  <c:v>8</c:v>
                </c:pt>
                <c:pt idx="2">
                  <c:v>20</c:v>
                </c:pt>
                <c:pt idx="3">
                  <c:v>50</c:v>
                </c:pt>
                <c:pt idx="4">
                  <c:v>50</c:v>
                </c:pt>
                <c:pt idx="5">
                  <c:v>50</c:v>
                </c:pt>
                <c:pt idx="6">
                  <c:v>45</c:v>
                </c:pt>
                <c:pt idx="7">
                  <c:v>45</c:v>
                </c:pt>
                <c:pt idx="8">
                  <c:v>35</c:v>
                </c:pt>
                <c:pt idx="9">
                  <c:v>30</c:v>
                </c:pt>
                <c:pt idx="10">
                  <c:v>30</c:v>
                </c:pt>
                <c:pt idx="11">
                  <c:v>28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8152-498D-8FE9-513391E1090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4306944"/>
        <c:axId val="104312832"/>
      </c:lineChart>
      <c:dateAx>
        <c:axId val="104306944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crossAx val="104312832"/>
        <c:crosses val="autoZero"/>
        <c:auto val="1"/>
        <c:lblOffset val="100"/>
        <c:baseTimeUnit val="months"/>
      </c:dateAx>
      <c:valAx>
        <c:axId val="104312832"/>
        <c:scaling>
          <c:orientation val="minMax"/>
        </c:scaling>
        <c:delete val="0"/>
        <c:axPos val="l"/>
        <c:majorGridlines/>
        <c:numFmt formatCode="#,##0" sourceLinked="1"/>
        <c:majorTickMark val="out"/>
        <c:minorTickMark val="none"/>
        <c:tickLblPos val="nextTo"/>
        <c:crossAx val="104306944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000000000000822" l="0.70000000000000062" r="0.70000000000000062" t="0.75000000000000822" header="0.30000000000000032" footer="0.30000000000000032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1"/>
          <c:order val="1"/>
          <c:tx>
            <c:strRef>
              <c:f>'KPI 8'!$D$20</c:f>
              <c:strCache>
                <c:ptCount val="1"/>
                <c:pt idx="0">
                  <c:v>Actual 2025-26</c:v>
                </c:pt>
              </c:strCache>
            </c:strRef>
          </c:tx>
          <c:spPr>
            <a:solidFill>
              <a:schemeClr val="accent1"/>
            </a:solidFill>
          </c:spPr>
          <c:invertIfNegative val="0"/>
          <c:cat>
            <c:numRef>
              <c:f>'KPI 8'!$E$18:$P$18</c:f>
              <c:numCache>
                <c:formatCode>mmm\-yy</c:formatCode>
                <c:ptCount val="12"/>
                <c:pt idx="0">
                  <c:v>45839</c:v>
                </c:pt>
                <c:pt idx="1">
                  <c:v>45870</c:v>
                </c:pt>
                <c:pt idx="2">
                  <c:v>45901</c:v>
                </c:pt>
                <c:pt idx="3">
                  <c:v>45931</c:v>
                </c:pt>
                <c:pt idx="4">
                  <c:v>45962</c:v>
                </c:pt>
                <c:pt idx="5">
                  <c:v>45992</c:v>
                </c:pt>
                <c:pt idx="6">
                  <c:v>46023</c:v>
                </c:pt>
                <c:pt idx="7">
                  <c:v>46054</c:v>
                </c:pt>
                <c:pt idx="8">
                  <c:v>46082</c:v>
                </c:pt>
                <c:pt idx="9">
                  <c:v>46113</c:v>
                </c:pt>
                <c:pt idx="10">
                  <c:v>46143</c:v>
                </c:pt>
                <c:pt idx="11">
                  <c:v>46174</c:v>
                </c:pt>
              </c:numCache>
            </c:numRef>
          </c:cat>
          <c:val>
            <c:numRef>
              <c:f>'KPI 8'!$E$20:$P$20</c:f>
              <c:numCache>
                <c:formatCode>#,##0</c:formatCode>
                <c:ptCount val="12"/>
                <c:pt idx="0">
                  <c:v>37</c:v>
                </c:pt>
                <c:pt idx="1">
                  <c:v>18</c:v>
                </c:pt>
                <c:pt idx="2">
                  <c:v>13</c:v>
                </c:pt>
                <c:pt idx="3">
                  <c:v>11</c:v>
                </c:pt>
                <c:pt idx="4">
                  <c:v>10</c:v>
                </c:pt>
                <c:pt idx="5">
                  <c:v>10</c:v>
                </c:pt>
                <c:pt idx="6">
                  <c:v>34</c:v>
                </c:pt>
                <c:pt idx="7">
                  <c:v>14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15F-4F4E-BBB3-59644348A85B}"/>
            </c:ext>
          </c:extLst>
        </c:ser>
        <c:ser>
          <c:idx val="4"/>
          <c:order val="2"/>
          <c:tx>
            <c:strRef>
              <c:f>'KPI 8'!$D$21</c:f>
              <c:strCache>
                <c:ptCount val="1"/>
                <c:pt idx="0">
                  <c:v>Actual 2024-25</c:v>
                </c:pt>
              </c:strCache>
            </c:strRef>
          </c:tx>
          <c:spPr>
            <a:solidFill>
              <a:schemeClr val="accent3"/>
            </a:solidFill>
          </c:spPr>
          <c:invertIfNegative val="0"/>
          <c:cat>
            <c:numRef>
              <c:f>'KPI 8'!$E$18:$P$18</c:f>
              <c:numCache>
                <c:formatCode>mmm\-yy</c:formatCode>
                <c:ptCount val="12"/>
                <c:pt idx="0">
                  <c:v>45839</c:v>
                </c:pt>
                <c:pt idx="1">
                  <c:v>45870</c:v>
                </c:pt>
                <c:pt idx="2">
                  <c:v>45901</c:v>
                </c:pt>
                <c:pt idx="3">
                  <c:v>45931</c:v>
                </c:pt>
                <c:pt idx="4">
                  <c:v>45962</c:v>
                </c:pt>
                <c:pt idx="5">
                  <c:v>45992</c:v>
                </c:pt>
                <c:pt idx="6">
                  <c:v>46023</c:v>
                </c:pt>
                <c:pt idx="7">
                  <c:v>46054</c:v>
                </c:pt>
                <c:pt idx="8">
                  <c:v>46082</c:v>
                </c:pt>
                <c:pt idx="9">
                  <c:v>46113</c:v>
                </c:pt>
                <c:pt idx="10">
                  <c:v>46143</c:v>
                </c:pt>
                <c:pt idx="11">
                  <c:v>46174</c:v>
                </c:pt>
              </c:numCache>
            </c:numRef>
          </c:cat>
          <c:val>
            <c:numRef>
              <c:f>'KPI 8'!$E$21:$P$21</c:f>
              <c:numCache>
                <c:formatCode>#,##0</c:formatCode>
                <c:ptCount val="12"/>
                <c:pt idx="0">
                  <c:v>13</c:v>
                </c:pt>
                <c:pt idx="1">
                  <c:v>8</c:v>
                </c:pt>
                <c:pt idx="2">
                  <c:v>-1</c:v>
                </c:pt>
                <c:pt idx="3">
                  <c:v>0</c:v>
                </c:pt>
                <c:pt idx="4">
                  <c:v>1</c:v>
                </c:pt>
                <c:pt idx="5">
                  <c:v>1</c:v>
                </c:pt>
                <c:pt idx="6">
                  <c:v>13</c:v>
                </c:pt>
                <c:pt idx="7">
                  <c:v>12</c:v>
                </c:pt>
                <c:pt idx="8">
                  <c:v>16</c:v>
                </c:pt>
                <c:pt idx="9">
                  <c:v>16</c:v>
                </c:pt>
                <c:pt idx="10">
                  <c:v>17</c:v>
                </c:pt>
                <c:pt idx="11">
                  <c:v>16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15F-4F4E-BBB3-59644348A85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7945344"/>
        <c:axId val="107959424"/>
      </c:barChart>
      <c:lineChart>
        <c:grouping val="standard"/>
        <c:varyColors val="0"/>
        <c:ser>
          <c:idx val="0"/>
          <c:order val="0"/>
          <c:tx>
            <c:strRef>
              <c:f>'KPI 8'!$D$19</c:f>
              <c:strCache>
                <c:ptCount val="1"/>
                <c:pt idx="0">
                  <c:v>Budget 2025-26</c:v>
                </c:pt>
              </c:strCache>
            </c:strRef>
          </c:tx>
          <c:spPr>
            <a:ln>
              <a:solidFill>
                <a:srgbClr val="FF0000"/>
              </a:solidFill>
            </a:ln>
          </c:spPr>
          <c:marker>
            <c:symbol val="none"/>
          </c:marker>
          <c:cat>
            <c:numRef>
              <c:f>'KPI 8'!$E$18:$P$18</c:f>
              <c:numCache>
                <c:formatCode>mmm\-yy</c:formatCode>
                <c:ptCount val="12"/>
                <c:pt idx="0">
                  <c:v>45839</c:v>
                </c:pt>
                <c:pt idx="1">
                  <c:v>45870</c:v>
                </c:pt>
                <c:pt idx="2">
                  <c:v>45901</c:v>
                </c:pt>
                <c:pt idx="3">
                  <c:v>45931</c:v>
                </c:pt>
                <c:pt idx="4">
                  <c:v>45962</c:v>
                </c:pt>
                <c:pt idx="5">
                  <c:v>45992</c:v>
                </c:pt>
                <c:pt idx="6">
                  <c:v>46023</c:v>
                </c:pt>
                <c:pt idx="7">
                  <c:v>46054</c:v>
                </c:pt>
                <c:pt idx="8">
                  <c:v>46082</c:v>
                </c:pt>
                <c:pt idx="9">
                  <c:v>46113</c:v>
                </c:pt>
                <c:pt idx="10">
                  <c:v>46143</c:v>
                </c:pt>
                <c:pt idx="11">
                  <c:v>46174</c:v>
                </c:pt>
              </c:numCache>
            </c:numRef>
          </c:cat>
          <c:val>
            <c:numRef>
              <c:f>'KPI 8'!$E$19:$P$19</c:f>
              <c:numCache>
                <c:formatCode>#,##0</c:formatCode>
                <c:ptCount val="12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21</c:v>
                </c:pt>
                <c:pt idx="4">
                  <c:v>11</c:v>
                </c:pt>
                <c:pt idx="5">
                  <c:v>11</c:v>
                </c:pt>
                <c:pt idx="6">
                  <c:v>11</c:v>
                </c:pt>
                <c:pt idx="7">
                  <c:v>11</c:v>
                </c:pt>
                <c:pt idx="8">
                  <c:v>11</c:v>
                </c:pt>
                <c:pt idx="9">
                  <c:v>11</c:v>
                </c:pt>
                <c:pt idx="10">
                  <c:v>11</c:v>
                </c:pt>
                <c:pt idx="11">
                  <c:v>11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15F-4F4E-BBB3-59644348A85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7945344"/>
        <c:axId val="107959424"/>
      </c:lineChart>
      <c:dateAx>
        <c:axId val="107945344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crossAx val="107959424"/>
        <c:crosses val="autoZero"/>
        <c:auto val="1"/>
        <c:lblOffset val="100"/>
        <c:baseTimeUnit val="months"/>
      </c:dateAx>
      <c:valAx>
        <c:axId val="107959424"/>
        <c:scaling>
          <c:orientation val="minMax"/>
        </c:scaling>
        <c:delete val="0"/>
        <c:axPos val="l"/>
        <c:majorGridlines/>
        <c:numFmt formatCode="#,##0" sourceLinked="1"/>
        <c:majorTickMark val="out"/>
        <c:minorTickMark val="none"/>
        <c:tickLblPos val="nextTo"/>
        <c:crossAx val="107945344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000000000000822" l="0.70000000000000062" r="0.70000000000000062" t="0.75000000000000822" header="0.30000000000000032" footer="0.30000000000000032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1"/>
          <c:order val="1"/>
          <c:tx>
            <c:strRef>
              <c:f>'KPI 11'!$D$20</c:f>
              <c:strCache>
                <c:ptCount val="1"/>
                <c:pt idx="0">
                  <c:v>Actual 2025-26</c:v>
                </c:pt>
              </c:strCache>
            </c:strRef>
          </c:tx>
          <c:spPr>
            <a:solidFill>
              <a:schemeClr val="accent1"/>
            </a:solidFill>
          </c:spPr>
          <c:invertIfNegative val="0"/>
          <c:cat>
            <c:numRef>
              <c:f>'KPI 11'!$E$18:$P$18</c:f>
              <c:numCache>
                <c:formatCode>mmm\-yy</c:formatCode>
                <c:ptCount val="12"/>
                <c:pt idx="0">
                  <c:v>45839</c:v>
                </c:pt>
                <c:pt idx="1">
                  <c:v>45870</c:v>
                </c:pt>
                <c:pt idx="2">
                  <c:v>45901</c:v>
                </c:pt>
                <c:pt idx="3">
                  <c:v>45931</c:v>
                </c:pt>
                <c:pt idx="4">
                  <c:v>45962</c:v>
                </c:pt>
                <c:pt idx="5">
                  <c:v>45992</c:v>
                </c:pt>
                <c:pt idx="6">
                  <c:v>46023</c:v>
                </c:pt>
                <c:pt idx="7">
                  <c:v>46054</c:v>
                </c:pt>
                <c:pt idx="8">
                  <c:v>46082</c:v>
                </c:pt>
                <c:pt idx="9">
                  <c:v>46113</c:v>
                </c:pt>
                <c:pt idx="10">
                  <c:v>46143</c:v>
                </c:pt>
                <c:pt idx="11">
                  <c:v>46174</c:v>
                </c:pt>
              </c:numCache>
            </c:numRef>
          </c:cat>
          <c:val>
            <c:numRef>
              <c:f>'KPI 11'!$E$20:$P$20</c:f>
              <c:numCache>
                <c:formatCode>#,##0</c:formatCode>
                <c:ptCount val="12"/>
                <c:pt idx="0">
                  <c:v>66</c:v>
                </c:pt>
                <c:pt idx="1">
                  <c:v>59</c:v>
                </c:pt>
                <c:pt idx="2">
                  <c:v>29</c:v>
                </c:pt>
                <c:pt idx="3">
                  <c:v>73</c:v>
                </c:pt>
                <c:pt idx="4">
                  <c:v>27</c:v>
                </c:pt>
                <c:pt idx="5">
                  <c:v>66</c:v>
                </c:pt>
                <c:pt idx="6">
                  <c:v>31</c:v>
                </c:pt>
                <c:pt idx="7">
                  <c:v>33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8C1-49CB-8F37-8560ACE1F5DB}"/>
            </c:ext>
          </c:extLst>
        </c:ser>
        <c:ser>
          <c:idx val="4"/>
          <c:order val="2"/>
          <c:tx>
            <c:strRef>
              <c:f>'KPI 11'!$D$21</c:f>
              <c:strCache>
                <c:ptCount val="1"/>
                <c:pt idx="0">
                  <c:v>Actual 2024-25</c:v>
                </c:pt>
              </c:strCache>
            </c:strRef>
          </c:tx>
          <c:spPr>
            <a:solidFill>
              <a:schemeClr val="accent3"/>
            </a:solidFill>
          </c:spPr>
          <c:invertIfNegative val="0"/>
          <c:cat>
            <c:numRef>
              <c:f>'KPI 11'!$E$18:$P$18</c:f>
              <c:numCache>
                <c:formatCode>mmm\-yy</c:formatCode>
                <c:ptCount val="12"/>
                <c:pt idx="0">
                  <c:v>45839</c:v>
                </c:pt>
                <c:pt idx="1">
                  <c:v>45870</c:v>
                </c:pt>
                <c:pt idx="2">
                  <c:v>45901</c:v>
                </c:pt>
                <c:pt idx="3">
                  <c:v>45931</c:v>
                </c:pt>
                <c:pt idx="4">
                  <c:v>45962</c:v>
                </c:pt>
                <c:pt idx="5">
                  <c:v>45992</c:v>
                </c:pt>
                <c:pt idx="6">
                  <c:v>46023</c:v>
                </c:pt>
                <c:pt idx="7">
                  <c:v>46054</c:v>
                </c:pt>
                <c:pt idx="8">
                  <c:v>46082</c:v>
                </c:pt>
                <c:pt idx="9">
                  <c:v>46113</c:v>
                </c:pt>
                <c:pt idx="10">
                  <c:v>46143</c:v>
                </c:pt>
                <c:pt idx="11">
                  <c:v>46174</c:v>
                </c:pt>
              </c:numCache>
            </c:numRef>
          </c:cat>
          <c:val>
            <c:numRef>
              <c:f>'KPI 11'!$E$21:$P$21</c:f>
              <c:numCache>
                <c:formatCode>#,##0</c:formatCode>
                <c:ptCount val="12"/>
                <c:pt idx="0">
                  <c:v>14</c:v>
                </c:pt>
                <c:pt idx="1">
                  <c:v>22</c:v>
                </c:pt>
                <c:pt idx="2">
                  <c:v>12</c:v>
                </c:pt>
                <c:pt idx="3">
                  <c:v>2</c:v>
                </c:pt>
                <c:pt idx="4">
                  <c:v>13</c:v>
                </c:pt>
                <c:pt idx="5">
                  <c:v>53</c:v>
                </c:pt>
                <c:pt idx="6">
                  <c:v>87</c:v>
                </c:pt>
                <c:pt idx="7">
                  <c:v>17</c:v>
                </c:pt>
                <c:pt idx="8">
                  <c:v>16</c:v>
                </c:pt>
                <c:pt idx="9">
                  <c:v>75</c:v>
                </c:pt>
                <c:pt idx="10">
                  <c:v>11</c:v>
                </c:pt>
                <c:pt idx="11">
                  <c:v>24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8C1-49CB-8F37-8560ACE1F5D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7995904"/>
        <c:axId val="107997440"/>
      </c:barChart>
      <c:lineChart>
        <c:grouping val="standard"/>
        <c:varyColors val="0"/>
        <c:ser>
          <c:idx val="0"/>
          <c:order val="0"/>
          <c:tx>
            <c:strRef>
              <c:f>'KPI 11'!$D$19</c:f>
              <c:strCache>
                <c:ptCount val="1"/>
                <c:pt idx="0">
                  <c:v>Budget 2025-26</c:v>
                </c:pt>
              </c:strCache>
            </c:strRef>
          </c:tx>
          <c:spPr>
            <a:ln>
              <a:solidFill>
                <a:srgbClr val="FF0000"/>
              </a:solidFill>
            </a:ln>
          </c:spPr>
          <c:marker>
            <c:symbol val="none"/>
          </c:marker>
          <c:cat>
            <c:numRef>
              <c:f>'KPI 11'!$E$18:$P$18</c:f>
              <c:numCache>
                <c:formatCode>mmm\-yy</c:formatCode>
                <c:ptCount val="12"/>
                <c:pt idx="0">
                  <c:v>45839</c:v>
                </c:pt>
                <c:pt idx="1">
                  <c:v>45870</c:v>
                </c:pt>
                <c:pt idx="2">
                  <c:v>45901</c:v>
                </c:pt>
                <c:pt idx="3">
                  <c:v>45931</c:v>
                </c:pt>
                <c:pt idx="4">
                  <c:v>45962</c:v>
                </c:pt>
                <c:pt idx="5">
                  <c:v>45992</c:v>
                </c:pt>
                <c:pt idx="6">
                  <c:v>46023</c:v>
                </c:pt>
                <c:pt idx="7">
                  <c:v>46054</c:v>
                </c:pt>
                <c:pt idx="8">
                  <c:v>46082</c:v>
                </c:pt>
                <c:pt idx="9">
                  <c:v>46113</c:v>
                </c:pt>
                <c:pt idx="10">
                  <c:v>46143</c:v>
                </c:pt>
                <c:pt idx="11">
                  <c:v>46174</c:v>
                </c:pt>
              </c:numCache>
            </c:numRef>
          </c:cat>
          <c:val>
            <c:numRef>
              <c:f>'KPI 11'!$E$19:$P$19</c:f>
              <c:numCache>
                <c:formatCode>#,##0</c:formatCode>
                <c:ptCount val="12"/>
                <c:pt idx="0">
                  <c:v>51</c:v>
                </c:pt>
                <c:pt idx="1">
                  <c:v>51</c:v>
                </c:pt>
                <c:pt idx="2">
                  <c:v>46</c:v>
                </c:pt>
                <c:pt idx="3">
                  <c:v>71</c:v>
                </c:pt>
                <c:pt idx="4">
                  <c:v>71</c:v>
                </c:pt>
                <c:pt idx="5">
                  <c:v>66</c:v>
                </c:pt>
                <c:pt idx="6">
                  <c:v>61</c:v>
                </c:pt>
                <c:pt idx="7">
                  <c:v>61</c:v>
                </c:pt>
                <c:pt idx="8">
                  <c:v>56</c:v>
                </c:pt>
                <c:pt idx="9">
                  <c:v>46</c:v>
                </c:pt>
                <c:pt idx="10">
                  <c:v>46</c:v>
                </c:pt>
                <c:pt idx="11">
                  <c:v>46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D8C1-49CB-8F37-8560ACE1F5D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7995904"/>
        <c:axId val="107997440"/>
      </c:lineChart>
      <c:dateAx>
        <c:axId val="107995904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crossAx val="107997440"/>
        <c:crosses val="autoZero"/>
        <c:auto val="1"/>
        <c:lblOffset val="100"/>
        <c:baseTimeUnit val="months"/>
      </c:dateAx>
      <c:valAx>
        <c:axId val="107997440"/>
        <c:scaling>
          <c:orientation val="minMax"/>
        </c:scaling>
        <c:delete val="0"/>
        <c:axPos val="l"/>
        <c:majorGridlines/>
        <c:numFmt formatCode="#,##0" sourceLinked="1"/>
        <c:majorTickMark val="out"/>
        <c:minorTickMark val="none"/>
        <c:tickLblPos val="nextTo"/>
        <c:crossAx val="107995904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000000000000822" l="0.70000000000000062" r="0.70000000000000062" t="0.75000000000000822" header="0.30000000000000032" footer="0.30000000000000032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1"/>
          <c:order val="1"/>
          <c:tx>
            <c:strRef>
              <c:f>'KPI 11'!$D$20</c:f>
              <c:strCache>
                <c:ptCount val="1"/>
                <c:pt idx="0">
                  <c:v>Actual 2025-26</c:v>
                </c:pt>
              </c:strCache>
            </c:strRef>
          </c:tx>
          <c:spPr>
            <a:solidFill>
              <a:schemeClr val="accent1"/>
            </a:solidFill>
          </c:spPr>
          <c:invertIfNegative val="0"/>
          <c:cat>
            <c:numRef>
              <c:f>'KPI 11'!$E$18:$P$18</c:f>
              <c:numCache>
                <c:formatCode>mmm\-yy</c:formatCode>
                <c:ptCount val="12"/>
                <c:pt idx="0">
                  <c:v>45839</c:v>
                </c:pt>
                <c:pt idx="1">
                  <c:v>45870</c:v>
                </c:pt>
                <c:pt idx="2">
                  <c:v>45901</c:v>
                </c:pt>
                <c:pt idx="3">
                  <c:v>45931</c:v>
                </c:pt>
                <c:pt idx="4">
                  <c:v>45962</c:v>
                </c:pt>
                <c:pt idx="5">
                  <c:v>45992</c:v>
                </c:pt>
                <c:pt idx="6">
                  <c:v>46023</c:v>
                </c:pt>
                <c:pt idx="7">
                  <c:v>46054</c:v>
                </c:pt>
                <c:pt idx="8">
                  <c:v>46082</c:v>
                </c:pt>
                <c:pt idx="9">
                  <c:v>46113</c:v>
                </c:pt>
                <c:pt idx="10">
                  <c:v>46143</c:v>
                </c:pt>
                <c:pt idx="11">
                  <c:v>46174</c:v>
                </c:pt>
              </c:numCache>
            </c:numRef>
          </c:cat>
          <c:val>
            <c:numRef>
              <c:f>'KPI 11'!$E$20:$P$20</c:f>
              <c:numCache>
                <c:formatCode>#,##0</c:formatCode>
                <c:ptCount val="12"/>
                <c:pt idx="0">
                  <c:v>66</c:v>
                </c:pt>
                <c:pt idx="1">
                  <c:v>59</c:v>
                </c:pt>
                <c:pt idx="2">
                  <c:v>29</c:v>
                </c:pt>
                <c:pt idx="3">
                  <c:v>73</c:v>
                </c:pt>
                <c:pt idx="4">
                  <c:v>27</c:v>
                </c:pt>
                <c:pt idx="5">
                  <c:v>66</c:v>
                </c:pt>
                <c:pt idx="6">
                  <c:v>31</c:v>
                </c:pt>
                <c:pt idx="7">
                  <c:v>33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A3D-4DDD-A475-99A07C1F3BA2}"/>
            </c:ext>
          </c:extLst>
        </c:ser>
        <c:ser>
          <c:idx val="4"/>
          <c:order val="2"/>
          <c:tx>
            <c:strRef>
              <c:f>'KPI 11'!$D$21</c:f>
              <c:strCache>
                <c:ptCount val="1"/>
                <c:pt idx="0">
                  <c:v>Actual 2024-25</c:v>
                </c:pt>
              </c:strCache>
            </c:strRef>
          </c:tx>
          <c:spPr>
            <a:solidFill>
              <a:schemeClr val="accent3"/>
            </a:solidFill>
          </c:spPr>
          <c:invertIfNegative val="0"/>
          <c:cat>
            <c:numRef>
              <c:f>'KPI 11'!$E$18:$P$18</c:f>
              <c:numCache>
                <c:formatCode>mmm\-yy</c:formatCode>
                <c:ptCount val="12"/>
                <c:pt idx="0">
                  <c:v>45839</c:v>
                </c:pt>
                <c:pt idx="1">
                  <c:v>45870</c:v>
                </c:pt>
                <c:pt idx="2">
                  <c:v>45901</c:v>
                </c:pt>
                <c:pt idx="3">
                  <c:v>45931</c:v>
                </c:pt>
                <c:pt idx="4">
                  <c:v>45962</c:v>
                </c:pt>
                <c:pt idx="5">
                  <c:v>45992</c:v>
                </c:pt>
                <c:pt idx="6">
                  <c:v>46023</c:v>
                </c:pt>
                <c:pt idx="7">
                  <c:v>46054</c:v>
                </c:pt>
                <c:pt idx="8">
                  <c:v>46082</c:v>
                </c:pt>
                <c:pt idx="9">
                  <c:v>46113</c:v>
                </c:pt>
                <c:pt idx="10">
                  <c:v>46143</c:v>
                </c:pt>
                <c:pt idx="11">
                  <c:v>46174</c:v>
                </c:pt>
              </c:numCache>
            </c:numRef>
          </c:cat>
          <c:val>
            <c:numRef>
              <c:f>'KPI 11'!$E$21:$P$21</c:f>
              <c:numCache>
                <c:formatCode>#,##0</c:formatCode>
                <c:ptCount val="12"/>
                <c:pt idx="0">
                  <c:v>14</c:v>
                </c:pt>
                <c:pt idx="1">
                  <c:v>22</c:v>
                </c:pt>
                <c:pt idx="2">
                  <c:v>12</c:v>
                </c:pt>
                <c:pt idx="3">
                  <c:v>2</c:v>
                </c:pt>
                <c:pt idx="4">
                  <c:v>13</c:v>
                </c:pt>
                <c:pt idx="5">
                  <c:v>53</c:v>
                </c:pt>
                <c:pt idx="6">
                  <c:v>87</c:v>
                </c:pt>
                <c:pt idx="7">
                  <c:v>17</c:v>
                </c:pt>
                <c:pt idx="8">
                  <c:v>16</c:v>
                </c:pt>
                <c:pt idx="9">
                  <c:v>75</c:v>
                </c:pt>
                <c:pt idx="10">
                  <c:v>11</c:v>
                </c:pt>
                <c:pt idx="11">
                  <c:v>24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A3D-4DDD-A475-99A07C1F3BA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7995904"/>
        <c:axId val="107997440"/>
      </c:barChart>
      <c:lineChart>
        <c:grouping val="standard"/>
        <c:varyColors val="0"/>
        <c:ser>
          <c:idx val="0"/>
          <c:order val="0"/>
          <c:tx>
            <c:strRef>
              <c:f>'KPI 11'!$D$19</c:f>
              <c:strCache>
                <c:ptCount val="1"/>
                <c:pt idx="0">
                  <c:v>Budget 2025-26</c:v>
                </c:pt>
              </c:strCache>
            </c:strRef>
          </c:tx>
          <c:spPr>
            <a:ln>
              <a:solidFill>
                <a:srgbClr val="FF0000"/>
              </a:solidFill>
            </a:ln>
          </c:spPr>
          <c:marker>
            <c:symbol val="none"/>
          </c:marker>
          <c:cat>
            <c:numRef>
              <c:f>'KPI 11'!$E$18:$P$18</c:f>
              <c:numCache>
                <c:formatCode>mmm\-yy</c:formatCode>
                <c:ptCount val="12"/>
                <c:pt idx="0">
                  <c:v>45839</c:v>
                </c:pt>
                <c:pt idx="1">
                  <c:v>45870</c:v>
                </c:pt>
                <c:pt idx="2">
                  <c:v>45901</c:v>
                </c:pt>
                <c:pt idx="3">
                  <c:v>45931</c:v>
                </c:pt>
                <c:pt idx="4">
                  <c:v>45962</c:v>
                </c:pt>
                <c:pt idx="5">
                  <c:v>45992</c:v>
                </c:pt>
                <c:pt idx="6">
                  <c:v>46023</c:v>
                </c:pt>
                <c:pt idx="7">
                  <c:v>46054</c:v>
                </c:pt>
                <c:pt idx="8">
                  <c:v>46082</c:v>
                </c:pt>
                <c:pt idx="9">
                  <c:v>46113</c:v>
                </c:pt>
                <c:pt idx="10">
                  <c:v>46143</c:v>
                </c:pt>
                <c:pt idx="11">
                  <c:v>46174</c:v>
                </c:pt>
              </c:numCache>
            </c:numRef>
          </c:cat>
          <c:val>
            <c:numRef>
              <c:f>'KPI 11'!$E$19:$P$19</c:f>
              <c:numCache>
                <c:formatCode>#,##0</c:formatCode>
                <c:ptCount val="12"/>
                <c:pt idx="0">
                  <c:v>51</c:v>
                </c:pt>
                <c:pt idx="1">
                  <c:v>51</c:v>
                </c:pt>
                <c:pt idx="2">
                  <c:v>46</c:v>
                </c:pt>
                <c:pt idx="3">
                  <c:v>71</c:v>
                </c:pt>
                <c:pt idx="4">
                  <c:v>71</c:v>
                </c:pt>
                <c:pt idx="5">
                  <c:v>66</c:v>
                </c:pt>
                <c:pt idx="6">
                  <c:v>61</c:v>
                </c:pt>
                <c:pt idx="7">
                  <c:v>61</c:v>
                </c:pt>
                <c:pt idx="8">
                  <c:v>56</c:v>
                </c:pt>
                <c:pt idx="9">
                  <c:v>46</c:v>
                </c:pt>
                <c:pt idx="10">
                  <c:v>46</c:v>
                </c:pt>
                <c:pt idx="11">
                  <c:v>46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4A3D-4DDD-A475-99A07C1F3BA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7995904"/>
        <c:axId val="107997440"/>
      </c:lineChart>
      <c:dateAx>
        <c:axId val="107995904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crossAx val="107997440"/>
        <c:crosses val="autoZero"/>
        <c:auto val="1"/>
        <c:lblOffset val="100"/>
        <c:baseTimeUnit val="months"/>
      </c:dateAx>
      <c:valAx>
        <c:axId val="107997440"/>
        <c:scaling>
          <c:orientation val="minMax"/>
        </c:scaling>
        <c:delete val="0"/>
        <c:axPos val="l"/>
        <c:majorGridlines/>
        <c:numFmt formatCode="#,##0" sourceLinked="1"/>
        <c:majorTickMark val="out"/>
        <c:minorTickMark val="none"/>
        <c:tickLblPos val="nextTo"/>
        <c:crossAx val="107995904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000000000000822" l="0.70000000000000062" r="0.70000000000000062" t="0.75000000000000822" header="0.30000000000000032" footer="0.30000000000000032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1"/>
          <c:order val="1"/>
          <c:tx>
            <c:strRef>
              <c:f>'KPI 12'!$D$20</c:f>
              <c:strCache>
                <c:ptCount val="1"/>
                <c:pt idx="0">
                  <c:v>Actual 2025-26</c:v>
                </c:pt>
              </c:strCache>
            </c:strRef>
          </c:tx>
          <c:spPr>
            <a:solidFill>
              <a:schemeClr val="accent1"/>
            </a:solidFill>
          </c:spPr>
          <c:invertIfNegative val="0"/>
          <c:cat>
            <c:numRef>
              <c:f>'KPI 12'!$E$18:$P$18</c:f>
              <c:numCache>
                <c:formatCode>mmm\-yy</c:formatCode>
                <c:ptCount val="12"/>
                <c:pt idx="0">
                  <c:v>45839</c:v>
                </c:pt>
                <c:pt idx="1">
                  <c:v>45870</c:v>
                </c:pt>
                <c:pt idx="2">
                  <c:v>45901</c:v>
                </c:pt>
                <c:pt idx="3">
                  <c:v>45931</c:v>
                </c:pt>
                <c:pt idx="4">
                  <c:v>45962</c:v>
                </c:pt>
                <c:pt idx="5">
                  <c:v>45992</c:v>
                </c:pt>
                <c:pt idx="6">
                  <c:v>46023</c:v>
                </c:pt>
                <c:pt idx="7">
                  <c:v>46054</c:v>
                </c:pt>
                <c:pt idx="8">
                  <c:v>46082</c:v>
                </c:pt>
                <c:pt idx="9">
                  <c:v>46113</c:v>
                </c:pt>
                <c:pt idx="10">
                  <c:v>46143</c:v>
                </c:pt>
                <c:pt idx="11">
                  <c:v>46174</c:v>
                </c:pt>
              </c:numCache>
            </c:numRef>
          </c:cat>
          <c:val>
            <c:numRef>
              <c:f>'KPI 12'!$E$20:$P$20</c:f>
              <c:numCache>
                <c:formatCode>#,##0</c:formatCode>
                <c:ptCount val="12"/>
                <c:pt idx="0">
                  <c:v>114</c:v>
                </c:pt>
                <c:pt idx="1">
                  <c:v>101</c:v>
                </c:pt>
                <c:pt idx="2">
                  <c:v>67</c:v>
                </c:pt>
                <c:pt idx="3">
                  <c:v>96</c:v>
                </c:pt>
                <c:pt idx="4">
                  <c:v>60</c:v>
                </c:pt>
                <c:pt idx="5">
                  <c:v>82</c:v>
                </c:pt>
                <c:pt idx="6">
                  <c:v>75</c:v>
                </c:pt>
                <c:pt idx="7">
                  <c:v>51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636-4027-A8A6-C39BA0F7B876}"/>
            </c:ext>
          </c:extLst>
        </c:ser>
        <c:ser>
          <c:idx val="4"/>
          <c:order val="2"/>
          <c:tx>
            <c:strRef>
              <c:f>'KPI 12'!$D$21</c:f>
              <c:strCache>
                <c:ptCount val="1"/>
                <c:pt idx="0">
                  <c:v>Actual 2024-25</c:v>
                </c:pt>
              </c:strCache>
            </c:strRef>
          </c:tx>
          <c:spPr>
            <a:solidFill>
              <a:schemeClr val="accent3"/>
            </a:solidFill>
          </c:spPr>
          <c:invertIfNegative val="0"/>
          <c:cat>
            <c:numRef>
              <c:f>'KPI 12'!$E$18:$P$18</c:f>
              <c:numCache>
                <c:formatCode>mmm\-yy</c:formatCode>
                <c:ptCount val="12"/>
                <c:pt idx="0">
                  <c:v>45839</c:v>
                </c:pt>
                <c:pt idx="1">
                  <c:v>45870</c:v>
                </c:pt>
                <c:pt idx="2">
                  <c:v>45901</c:v>
                </c:pt>
                <c:pt idx="3">
                  <c:v>45931</c:v>
                </c:pt>
                <c:pt idx="4">
                  <c:v>45962</c:v>
                </c:pt>
                <c:pt idx="5">
                  <c:v>45992</c:v>
                </c:pt>
                <c:pt idx="6">
                  <c:v>46023</c:v>
                </c:pt>
                <c:pt idx="7">
                  <c:v>46054</c:v>
                </c:pt>
                <c:pt idx="8">
                  <c:v>46082</c:v>
                </c:pt>
                <c:pt idx="9">
                  <c:v>46113</c:v>
                </c:pt>
                <c:pt idx="10">
                  <c:v>46143</c:v>
                </c:pt>
                <c:pt idx="11">
                  <c:v>46174</c:v>
                </c:pt>
              </c:numCache>
            </c:numRef>
          </c:cat>
          <c:val>
            <c:numRef>
              <c:f>'KPI 12'!$E$21:$P$21</c:f>
              <c:numCache>
                <c:formatCode>#,##0</c:formatCode>
                <c:ptCount val="12"/>
                <c:pt idx="0">
                  <c:v>31</c:v>
                </c:pt>
                <c:pt idx="1">
                  <c:v>31</c:v>
                </c:pt>
                <c:pt idx="2">
                  <c:v>14</c:v>
                </c:pt>
                <c:pt idx="3">
                  <c:v>2</c:v>
                </c:pt>
                <c:pt idx="4">
                  <c:v>14</c:v>
                </c:pt>
                <c:pt idx="5">
                  <c:v>56</c:v>
                </c:pt>
                <c:pt idx="6">
                  <c:v>106</c:v>
                </c:pt>
                <c:pt idx="7">
                  <c:v>39</c:v>
                </c:pt>
                <c:pt idx="8">
                  <c:v>38</c:v>
                </c:pt>
                <c:pt idx="9">
                  <c:v>97</c:v>
                </c:pt>
                <c:pt idx="10">
                  <c:v>38</c:v>
                </c:pt>
                <c:pt idx="11">
                  <c:v>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636-4027-A8A6-C39BA0F7B87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4470784"/>
        <c:axId val="107868160"/>
      </c:barChart>
      <c:lineChart>
        <c:grouping val="standard"/>
        <c:varyColors val="0"/>
        <c:ser>
          <c:idx val="0"/>
          <c:order val="0"/>
          <c:tx>
            <c:strRef>
              <c:f>'KPI 12'!$D$19</c:f>
              <c:strCache>
                <c:ptCount val="1"/>
                <c:pt idx="0">
                  <c:v>Budget 2025-26</c:v>
                </c:pt>
              </c:strCache>
            </c:strRef>
          </c:tx>
          <c:spPr>
            <a:ln>
              <a:solidFill>
                <a:srgbClr val="FF0000"/>
              </a:solidFill>
            </a:ln>
          </c:spPr>
          <c:marker>
            <c:symbol val="none"/>
          </c:marker>
          <c:cat>
            <c:numRef>
              <c:f>'KPI 12'!$E$18:$P$18</c:f>
              <c:numCache>
                <c:formatCode>mmm\-yy</c:formatCode>
                <c:ptCount val="12"/>
                <c:pt idx="0">
                  <c:v>45839</c:v>
                </c:pt>
                <c:pt idx="1">
                  <c:v>45870</c:v>
                </c:pt>
                <c:pt idx="2">
                  <c:v>45901</c:v>
                </c:pt>
                <c:pt idx="3">
                  <c:v>45931</c:v>
                </c:pt>
                <c:pt idx="4">
                  <c:v>45962</c:v>
                </c:pt>
                <c:pt idx="5">
                  <c:v>45992</c:v>
                </c:pt>
                <c:pt idx="6">
                  <c:v>46023</c:v>
                </c:pt>
                <c:pt idx="7">
                  <c:v>46054</c:v>
                </c:pt>
                <c:pt idx="8">
                  <c:v>46082</c:v>
                </c:pt>
                <c:pt idx="9">
                  <c:v>46113</c:v>
                </c:pt>
                <c:pt idx="10">
                  <c:v>46143</c:v>
                </c:pt>
                <c:pt idx="11">
                  <c:v>46174</c:v>
                </c:pt>
              </c:numCache>
            </c:numRef>
          </c:cat>
          <c:val>
            <c:numRef>
              <c:f>'KPI 12'!$E$19:$P$19</c:f>
              <c:numCache>
                <c:formatCode>#,##0</c:formatCode>
                <c:ptCount val="12"/>
                <c:pt idx="0">
                  <c:v>70</c:v>
                </c:pt>
                <c:pt idx="1">
                  <c:v>70</c:v>
                </c:pt>
                <c:pt idx="2">
                  <c:v>77</c:v>
                </c:pt>
                <c:pt idx="3">
                  <c:v>152</c:v>
                </c:pt>
                <c:pt idx="4">
                  <c:v>142</c:v>
                </c:pt>
                <c:pt idx="5">
                  <c:v>137</c:v>
                </c:pt>
                <c:pt idx="6">
                  <c:v>127</c:v>
                </c:pt>
                <c:pt idx="7">
                  <c:v>127</c:v>
                </c:pt>
                <c:pt idx="8">
                  <c:v>112</c:v>
                </c:pt>
                <c:pt idx="9">
                  <c:v>97</c:v>
                </c:pt>
                <c:pt idx="10">
                  <c:v>97</c:v>
                </c:pt>
                <c:pt idx="11">
                  <c:v>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636-4027-A8A6-C39BA0F7B87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4470784"/>
        <c:axId val="107868160"/>
      </c:lineChart>
      <c:dateAx>
        <c:axId val="104470784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crossAx val="107868160"/>
        <c:crosses val="autoZero"/>
        <c:auto val="1"/>
        <c:lblOffset val="100"/>
        <c:baseTimeUnit val="months"/>
      </c:dateAx>
      <c:valAx>
        <c:axId val="107868160"/>
        <c:scaling>
          <c:orientation val="minMax"/>
        </c:scaling>
        <c:delete val="0"/>
        <c:axPos val="l"/>
        <c:majorGridlines/>
        <c:numFmt formatCode="#,##0" sourceLinked="1"/>
        <c:majorTickMark val="out"/>
        <c:minorTickMark val="none"/>
        <c:tickLblPos val="nextTo"/>
        <c:crossAx val="104470784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000000000000822" l="0.70000000000000062" r="0.70000000000000062" t="0.75000000000000822" header="0.30000000000000032" footer="0.30000000000000032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1"/>
          <c:order val="1"/>
          <c:tx>
            <c:strRef>
              <c:f>'KPI 12'!$D$20</c:f>
              <c:strCache>
                <c:ptCount val="1"/>
                <c:pt idx="0">
                  <c:v>Actual 2025-26</c:v>
                </c:pt>
              </c:strCache>
            </c:strRef>
          </c:tx>
          <c:spPr>
            <a:solidFill>
              <a:schemeClr val="accent1"/>
            </a:solidFill>
          </c:spPr>
          <c:invertIfNegative val="0"/>
          <c:cat>
            <c:numRef>
              <c:f>'KPI 12'!$E$18:$P$18</c:f>
              <c:numCache>
                <c:formatCode>mmm\-yy</c:formatCode>
                <c:ptCount val="12"/>
                <c:pt idx="0">
                  <c:v>45839</c:v>
                </c:pt>
                <c:pt idx="1">
                  <c:v>45870</c:v>
                </c:pt>
                <c:pt idx="2">
                  <c:v>45901</c:v>
                </c:pt>
                <c:pt idx="3">
                  <c:v>45931</c:v>
                </c:pt>
                <c:pt idx="4">
                  <c:v>45962</c:v>
                </c:pt>
                <c:pt idx="5">
                  <c:v>45992</c:v>
                </c:pt>
                <c:pt idx="6">
                  <c:v>46023</c:v>
                </c:pt>
                <c:pt idx="7">
                  <c:v>46054</c:v>
                </c:pt>
                <c:pt idx="8">
                  <c:v>46082</c:v>
                </c:pt>
                <c:pt idx="9">
                  <c:v>46113</c:v>
                </c:pt>
                <c:pt idx="10">
                  <c:v>46143</c:v>
                </c:pt>
                <c:pt idx="11">
                  <c:v>46174</c:v>
                </c:pt>
              </c:numCache>
            </c:numRef>
          </c:cat>
          <c:val>
            <c:numRef>
              <c:f>'KPI 12'!$E$20:$P$20</c:f>
              <c:numCache>
                <c:formatCode>#,##0</c:formatCode>
                <c:ptCount val="12"/>
                <c:pt idx="0">
                  <c:v>114</c:v>
                </c:pt>
                <c:pt idx="1">
                  <c:v>101</c:v>
                </c:pt>
                <c:pt idx="2">
                  <c:v>67</c:v>
                </c:pt>
                <c:pt idx="3">
                  <c:v>96</c:v>
                </c:pt>
                <c:pt idx="4">
                  <c:v>60</c:v>
                </c:pt>
                <c:pt idx="5">
                  <c:v>82</c:v>
                </c:pt>
                <c:pt idx="6">
                  <c:v>75</c:v>
                </c:pt>
                <c:pt idx="7">
                  <c:v>51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ECC-4ECE-BCEC-DBD3B9145829}"/>
            </c:ext>
          </c:extLst>
        </c:ser>
        <c:ser>
          <c:idx val="4"/>
          <c:order val="2"/>
          <c:tx>
            <c:strRef>
              <c:f>'KPI 12'!$D$21</c:f>
              <c:strCache>
                <c:ptCount val="1"/>
                <c:pt idx="0">
                  <c:v>Actual 2024-25</c:v>
                </c:pt>
              </c:strCache>
            </c:strRef>
          </c:tx>
          <c:spPr>
            <a:solidFill>
              <a:schemeClr val="accent3"/>
            </a:solidFill>
          </c:spPr>
          <c:invertIfNegative val="0"/>
          <c:cat>
            <c:numRef>
              <c:f>'KPI 12'!$E$18:$P$18</c:f>
              <c:numCache>
                <c:formatCode>mmm\-yy</c:formatCode>
                <c:ptCount val="12"/>
                <c:pt idx="0">
                  <c:v>45839</c:v>
                </c:pt>
                <c:pt idx="1">
                  <c:v>45870</c:v>
                </c:pt>
                <c:pt idx="2">
                  <c:v>45901</c:v>
                </c:pt>
                <c:pt idx="3">
                  <c:v>45931</c:v>
                </c:pt>
                <c:pt idx="4">
                  <c:v>45962</c:v>
                </c:pt>
                <c:pt idx="5">
                  <c:v>45992</c:v>
                </c:pt>
                <c:pt idx="6">
                  <c:v>46023</c:v>
                </c:pt>
                <c:pt idx="7">
                  <c:v>46054</c:v>
                </c:pt>
                <c:pt idx="8">
                  <c:v>46082</c:v>
                </c:pt>
                <c:pt idx="9">
                  <c:v>46113</c:v>
                </c:pt>
                <c:pt idx="10">
                  <c:v>46143</c:v>
                </c:pt>
                <c:pt idx="11">
                  <c:v>46174</c:v>
                </c:pt>
              </c:numCache>
            </c:numRef>
          </c:cat>
          <c:val>
            <c:numRef>
              <c:f>'KPI 12'!$E$21:$P$21</c:f>
              <c:numCache>
                <c:formatCode>#,##0</c:formatCode>
                <c:ptCount val="12"/>
                <c:pt idx="0">
                  <c:v>31</c:v>
                </c:pt>
                <c:pt idx="1">
                  <c:v>31</c:v>
                </c:pt>
                <c:pt idx="2">
                  <c:v>14</c:v>
                </c:pt>
                <c:pt idx="3">
                  <c:v>2</c:v>
                </c:pt>
                <c:pt idx="4">
                  <c:v>14</c:v>
                </c:pt>
                <c:pt idx="5">
                  <c:v>56</c:v>
                </c:pt>
                <c:pt idx="6">
                  <c:v>106</c:v>
                </c:pt>
                <c:pt idx="7">
                  <c:v>39</c:v>
                </c:pt>
                <c:pt idx="8">
                  <c:v>38</c:v>
                </c:pt>
                <c:pt idx="9">
                  <c:v>97</c:v>
                </c:pt>
                <c:pt idx="10">
                  <c:v>38</c:v>
                </c:pt>
                <c:pt idx="11">
                  <c:v>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ECC-4ECE-BCEC-DBD3B914582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4470784"/>
        <c:axId val="107868160"/>
      </c:barChart>
      <c:lineChart>
        <c:grouping val="standard"/>
        <c:varyColors val="0"/>
        <c:ser>
          <c:idx val="0"/>
          <c:order val="0"/>
          <c:tx>
            <c:strRef>
              <c:f>'KPI 12'!$D$19</c:f>
              <c:strCache>
                <c:ptCount val="1"/>
                <c:pt idx="0">
                  <c:v>Budget 2025-26</c:v>
                </c:pt>
              </c:strCache>
            </c:strRef>
          </c:tx>
          <c:spPr>
            <a:ln>
              <a:solidFill>
                <a:srgbClr val="FF0000"/>
              </a:solidFill>
            </a:ln>
          </c:spPr>
          <c:marker>
            <c:symbol val="none"/>
          </c:marker>
          <c:cat>
            <c:numRef>
              <c:f>'KPI 12'!$E$18:$P$18</c:f>
              <c:numCache>
                <c:formatCode>mmm\-yy</c:formatCode>
                <c:ptCount val="12"/>
                <c:pt idx="0">
                  <c:v>45839</c:v>
                </c:pt>
                <c:pt idx="1">
                  <c:v>45870</c:v>
                </c:pt>
                <c:pt idx="2">
                  <c:v>45901</c:v>
                </c:pt>
                <c:pt idx="3">
                  <c:v>45931</c:v>
                </c:pt>
                <c:pt idx="4">
                  <c:v>45962</c:v>
                </c:pt>
                <c:pt idx="5">
                  <c:v>45992</c:v>
                </c:pt>
                <c:pt idx="6">
                  <c:v>46023</c:v>
                </c:pt>
                <c:pt idx="7">
                  <c:v>46054</c:v>
                </c:pt>
                <c:pt idx="8">
                  <c:v>46082</c:v>
                </c:pt>
                <c:pt idx="9">
                  <c:v>46113</c:v>
                </c:pt>
                <c:pt idx="10">
                  <c:v>46143</c:v>
                </c:pt>
                <c:pt idx="11">
                  <c:v>46174</c:v>
                </c:pt>
              </c:numCache>
            </c:numRef>
          </c:cat>
          <c:val>
            <c:numRef>
              <c:f>'KPI 12'!$E$19:$P$19</c:f>
              <c:numCache>
                <c:formatCode>#,##0</c:formatCode>
                <c:ptCount val="12"/>
                <c:pt idx="0">
                  <c:v>70</c:v>
                </c:pt>
                <c:pt idx="1">
                  <c:v>70</c:v>
                </c:pt>
                <c:pt idx="2">
                  <c:v>77</c:v>
                </c:pt>
                <c:pt idx="3">
                  <c:v>152</c:v>
                </c:pt>
                <c:pt idx="4">
                  <c:v>142</c:v>
                </c:pt>
                <c:pt idx="5">
                  <c:v>137</c:v>
                </c:pt>
                <c:pt idx="6">
                  <c:v>127</c:v>
                </c:pt>
                <c:pt idx="7">
                  <c:v>127</c:v>
                </c:pt>
                <c:pt idx="8">
                  <c:v>112</c:v>
                </c:pt>
                <c:pt idx="9">
                  <c:v>97</c:v>
                </c:pt>
                <c:pt idx="10">
                  <c:v>97</c:v>
                </c:pt>
                <c:pt idx="11">
                  <c:v>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2ECC-4ECE-BCEC-DBD3B914582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4470784"/>
        <c:axId val="107868160"/>
      </c:lineChart>
      <c:dateAx>
        <c:axId val="104470784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crossAx val="107868160"/>
        <c:crosses val="autoZero"/>
        <c:auto val="1"/>
        <c:lblOffset val="100"/>
        <c:baseTimeUnit val="months"/>
      </c:dateAx>
      <c:valAx>
        <c:axId val="107868160"/>
        <c:scaling>
          <c:orientation val="minMax"/>
        </c:scaling>
        <c:delete val="0"/>
        <c:axPos val="l"/>
        <c:majorGridlines/>
        <c:numFmt formatCode="#,##0" sourceLinked="1"/>
        <c:majorTickMark val="out"/>
        <c:minorTickMark val="none"/>
        <c:tickLblPos val="nextTo"/>
        <c:crossAx val="104470784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000000000000822" l="0.70000000000000062" r="0.70000000000000062" t="0.75000000000000822" header="0.30000000000000032" footer="0.30000000000000032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1"/>
          <c:order val="1"/>
          <c:tx>
            <c:strRef>
              <c:f>'KPI 9'!$D$20</c:f>
              <c:strCache>
                <c:ptCount val="1"/>
                <c:pt idx="0">
                  <c:v>Actual 2025-26</c:v>
                </c:pt>
              </c:strCache>
            </c:strRef>
          </c:tx>
          <c:spPr>
            <a:solidFill>
              <a:schemeClr val="accent1"/>
            </a:solidFill>
          </c:spPr>
          <c:invertIfNegative val="0"/>
          <c:cat>
            <c:numRef>
              <c:f>'KPI 9'!$E$18:$P$18</c:f>
              <c:numCache>
                <c:formatCode>mmm\-yy</c:formatCode>
                <c:ptCount val="12"/>
                <c:pt idx="0">
                  <c:v>45839</c:v>
                </c:pt>
                <c:pt idx="1">
                  <c:v>45870</c:v>
                </c:pt>
                <c:pt idx="2">
                  <c:v>45901</c:v>
                </c:pt>
                <c:pt idx="3">
                  <c:v>45931</c:v>
                </c:pt>
                <c:pt idx="4">
                  <c:v>45962</c:v>
                </c:pt>
                <c:pt idx="5">
                  <c:v>45992</c:v>
                </c:pt>
                <c:pt idx="6">
                  <c:v>46023</c:v>
                </c:pt>
                <c:pt idx="7">
                  <c:v>46054</c:v>
                </c:pt>
                <c:pt idx="8">
                  <c:v>46082</c:v>
                </c:pt>
                <c:pt idx="9">
                  <c:v>46113</c:v>
                </c:pt>
                <c:pt idx="10">
                  <c:v>46143</c:v>
                </c:pt>
                <c:pt idx="11">
                  <c:v>46174</c:v>
                </c:pt>
              </c:numCache>
            </c:numRef>
          </c:cat>
          <c:val>
            <c:numRef>
              <c:f>'KPI 9'!$E$20:$P$20</c:f>
              <c:numCache>
                <c:formatCode>#,##0</c:formatCode>
                <c:ptCount val="12"/>
                <c:pt idx="0">
                  <c:v>17</c:v>
                </c:pt>
                <c:pt idx="1">
                  <c:v>40</c:v>
                </c:pt>
                <c:pt idx="2">
                  <c:v>55</c:v>
                </c:pt>
                <c:pt idx="3">
                  <c:v>30</c:v>
                </c:pt>
                <c:pt idx="4">
                  <c:v>30</c:v>
                </c:pt>
                <c:pt idx="5">
                  <c:v>38</c:v>
                </c:pt>
                <c:pt idx="6">
                  <c:v>43</c:v>
                </c:pt>
                <c:pt idx="7">
                  <c:v>17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B9A-4116-A24B-C0B11C446A49}"/>
            </c:ext>
          </c:extLst>
        </c:ser>
        <c:ser>
          <c:idx val="4"/>
          <c:order val="2"/>
          <c:tx>
            <c:strRef>
              <c:f>'KPI 9'!$D$21</c:f>
              <c:strCache>
                <c:ptCount val="1"/>
                <c:pt idx="0">
                  <c:v>Actual 2024-25</c:v>
                </c:pt>
              </c:strCache>
            </c:strRef>
          </c:tx>
          <c:spPr>
            <a:solidFill>
              <a:schemeClr val="accent3"/>
            </a:solidFill>
          </c:spPr>
          <c:invertIfNegative val="0"/>
          <c:cat>
            <c:numRef>
              <c:f>'KPI 9'!$E$18:$P$18</c:f>
              <c:numCache>
                <c:formatCode>mmm\-yy</c:formatCode>
                <c:ptCount val="12"/>
                <c:pt idx="0">
                  <c:v>45839</c:v>
                </c:pt>
                <c:pt idx="1">
                  <c:v>45870</c:v>
                </c:pt>
                <c:pt idx="2">
                  <c:v>45901</c:v>
                </c:pt>
                <c:pt idx="3">
                  <c:v>45931</c:v>
                </c:pt>
                <c:pt idx="4">
                  <c:v>45962</c:v>
                </c:pt>
                <c:pt idx="5">
                  <c:v>45992</c:v>
                </c:pt>
                <c:pt idx="6">
                  <c:v>46023</c:v>
                </c:pt>
                <c:pt idx="7">
                  <c:v>46054</c:v>
                </c:pt>
                <c:pt idx="8">
                  <c:v>46082</c:v>
                </c:pt>
                <c:pt idx="9">
                  <c:v>46113</c:v>
                </c:pt>
                <c:pt idx="10">
                  <c:v>46143</c:v>
                </c:pt>
                <c:pt idx="11">
                  <c:v>46174</c:v>
                </c:pt>
              </c:numCache>
            </c:numRef>
          </c:cat>
          <c:val>
            <c:numRef>
              <c:f>'KPI 9'!$E$21:$P$21</c:f>
              <c:numCache>
                <c:formatCode>#,##0</c:formatCode>
                <c:ptCount val="12"/>
                <c:pt idx="0">
                  <c:v>31</c:v>
                </c:pt>
                <c:pt idx="1">
                  <c:v>9</c:v>
                </c:pt>
                <c:pt idx="2">
                  <c:v>2</c:v>
                </c:pt>
                <c:pt idx="3">
                  <c:v>6</c:v>
                </c:pt>
                <c:pt idx="4">
                  <c:v>22</c:v>
                </c:pt>
                <c:pt idx="5">
                  <c:v>0</c:v>
                </c:pt>
                <c:pt idx="6">
                  <c:v>7</c:v>
                </c:pt>
                <c:pt idx="7">
                  <c:v>37</c:v>
                </c:pt>
                <c:pt idx="8">
                  <c:v>47</c:v>
                </c:pt>
                <c:pt idx="9">
                  <c:v>55</c:v>
                </c:pt>
                <c:pt idx="10">
                  <c:v>12</c:v>
                </c:pt>
                <c:pt idx="11">
                  <c:v>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B9A-4116-A24B-C0B11C446A4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3538048"/>
        <c:axId val="107836544"/>
      </c:barChart>
      <c:lineChart>
        <c:grouping val="standard"/>
        <c:varyColors val="0"/>
        <c:ser>
          <c:idx val="0"/>
          <c:order val="0"/>
          <c:tx>
            <c:strRef>
              <c:f>'KPI 9'!$D$19</c:f>
              <c:strCache>
                <c:ptCount val="1"/>
                <c:pt idx="0">
                  <c:v>Budget 2025-26</c:v>
                </c:pt>
              </c:strCache>
            </c:strRef>
          </c:tx>
          <c:spPr>
            <a:ln>
              <a:solidFill>
                <a:srgbClr val="FF0000"/>
              </a:solidFill>
            </a:ln>
          </c:spPr>
          <c:marker>
            <c:symbol val="none"/>
          </c:marker>
          <c:cat>
            <c:numRef>
              <c:f>'KPI 9'!$E$18:$P$18</c:f>
              <c:numCache>
                <c:formatCode>mmm\-yy</c:formatCode>
                <c:ptCount val="12"/>
                <c:pt idx="0">
                  <c:v>45839</c:v>
                </c:pt>
                <c:pt idx="1">
                  <c:v>45870</c:v>
                </c:pt>
                <c:pt idx="2">
                  <c:v>45901</c:v>
                </c:pt>
                <c:pt idx="3">
                  <c:v>45931</c:v>
                </c:pt>
                <c:pt idx="4">
                  <c:v>45962</c:v>
                </c:pt>
                <c:pt idx="5">
                  <c:v>45992</c:v>
                </c:pt>
                <c:pt idx="6">
                  <c:v>46023</c:v>
                </c:pt>
                <c:pt idx="7">
                  <c:v>46054</c:v>
                </c:pt>
                <c:pt idx="8">
                  <c:v>46082</c:v>
                </c:pt>
                <c:pt idx="9">
                  <c:v>46113</c:v>
                </c:pt>
                <c:pt idx="10">
                  <c:v>46143</c:v>
                </c:pt>
                <c:pt idx="11">
                  <c:v>46174</c:v>
                </c:pt>
              </c:numCache>
            </c:numRef>
          </c:cat>
          <c:val>
            <c:numRef>
              <c:f>'KPI 9'!$E$19:$P$19</c:f>
              <c:numCache>
                <c:formatCode>#,##0</c:formatCode>
                <c:ptCount val="12"/>
                <c:pt idx="0">
                  <c:v>38</c:v>
                </c:pt>
                <c:pt idx="1">
                  <c:v>18</c:v>
                </c:pt>
                <c:pt idx="2">
                  <c:v>18</c:v>
                </c:pt>
                <c:pt idx="3">
                  <c:v>18</c:v>
                </c:pt>
                <c:pt idx="4">
                  <c:v>18</c:v>
                </c:pt>
                <c:pt idx="5">
                  <c:v>18</c:v>
                </c:pt>
                <c:pt idx="6">
                  <c:v>33</c:v>
                </c:pt>
                <c:pt idx="7">
                  <c:v>23</c:v>
                </c:pt>
                <c:pt idx="8">
                  <c:v>23</c:v>
                </c:pt>
                <c:pt idx="9">
                  <c:v>18</c:v>
                </c:pt>
                <c:pt idx="10">
                  <c:v>18</c:v>
                </c:pt>
                <c:pt idx="11">
                  <c:v>18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EB9A-4116-A24B-C0B11C446A4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3538048"/>
        <c:axId val="107836544"/>
      </c:lineChart>
      <c:dateAx>
        <c:axId val="103538048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crossAx val="107836544"/>
        <c:crosses val="autoZero"/>
        <c:auto val="1"/>
        <c:lblOffset val="100"/>
        <c:baseTimeUnit val="months"/>
      </c:dateAx>
      <c:valAx>
        <c:axId val="107836544"/>
        <c:scaling>
          <c:orientation val="minMax"/>
        </c:scaling>
        <c:delete val="0"/>
        <c:axPos val="l"/>
        <c:majorGridlines/>
        <c:numFmt formatCode="#,##0" sourceLinked="1"/>
        <c:majorTickMark val="out"/>
        <c:minorTickMark val="none"/>
        <c:tickLblPos val="nextTo"/>
        <c:crossAx val="103538048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000000000000822" l="0.70000000000000062" r="0.70000000000000062" t="0.75000000000000822" header="0.30000000000000032" footer="0.30000000000000032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1"/>
          <c:order val="1"/>
          <c:tx>
            <c:strRef>
              <c:f>'KPI 9'!$D$20</c:f>
              <c:strCache>
                <c:ptCount val="1"/>
                <c:pt idx="0">
                  <c:v>Actual 2025-26</c:v>
                </c:pt>
              </c:strCache>
            </c:strRef>
          </c:tx>
          <c:spPr>
            <a:solidFill>
              <a:schemeClr val="accent1"/>
            </a:solidFill>
          </c:spPr>
          <c:invertIfNegative val="0"/>
          <c:cat>
            <c:numRef>
              <c:f>'KPI 9'!$E$18:$P$18</c:f>
              <c:numCache>
                <c:formatCode>mmm\-yy</c:formatCode>
                <c:ptCount val="12"/>
                <c:pt idx="0">
                  <c:v>45839</c:v>
                </c:pt>
                <c:pt idx="1">
                  <c:v>45870</c:v>
                </c:pt>
                <c:pt idx="2">
                  <c:v>45901</c:v>
                </c:pt>
                <c:pt idx="3">
                  <c:v>45931</c:v>
                </c:pt>
                <c:pt idx="4">
                  <c:v>45962</c:v>
                </c:pt>
                <c:pt idx="5">
                  <c:v>45992</c:v>
                </c:pt>
                <c:pt idx="6">
                  <c:v>46023</c:v>
                </c:pt>
                <c:pt idx="7">
                  <c:v>46054</c:v>
                </c:pt>
                <c:pt idx="8">
                  <c:v>46082</c:v>
                </c:pt>
                <c:pt idx="9">
                  <c:v>46113</c:v>
                </c:pt>
                <c:pt idx="10">
                  <c:v>46143</c:v>
                </c:pt>
                <c:pt idx="11">
                  <c:v>46174</c:v>
                </c:pt>
              </c:numCache>
            </c:numRef>
          </c:cat>
          <c:val>
            <c:numRef>
              <c:f>'KPI 9'!$E$20:$P$20</c:f>
              <c:numCache>
                <c:formatCode>#,##0</c:formatCode>
                <c:ptCount val="12"/>
                <c:pt idx="0">
                  <c:v>17</c:v>
                </c:pt>
                <c:pt idx="1">
                  <c:v>40</c:v>
                </c:pt>
                <c:pt idx="2">
                  <c:v>55</c:v>
                </c:pt>
                <c:pt idx="3">
                  <c:v>30</c:v>
                </c:pt>
                <c:pt idx="4">
                  <c:v>30</c:v>
                </c:pt>
                <c:pt idx="5">
                  <c:v>38</c:v>
                </c:pt>
                <c:pt idx="6">
                  <c:v>43</c:v>
                </c:pt>
                <c:pt idx="7">
                  <c:v>17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D63-4008-8B05-F606D699DF47}"/>
            </c:ext>
          </c:extLst>
        </c:ser>
        <c:ser>
          <c:idx val="4"/>
          <c:order val="2"/>
          <c:tx>
            <c:strRef>
              <c:f>'KPI 9'!$D$21</c:f>
              <c:strCache>
                <c:ptCount val="1"/>
                <c:pt idx="0">
                  <c:v>Actual 2024-25</c:v>
                </c:pt>
              </c:strCache>
            </c:strRef>
          </c:tx>
          <c:spPr>
            <a:solidFill>
              <a:schemeClr val="accent3"/>
            </a:solidFill>
          </c:spPr>
          <c:invertIfNegative val="0"/>
          <c:cat>
            <c:numRef>
              <c:f>'KPI 9'!$E$18:$P$18</c:f>
              <c:numCache>
                <c:formatCode>mmm\-yy</c:formatCode>
                <c:ptCount val="12"/>
                <c:pt idx="0">
                  <c:v>45839</c:v>
                </c:pt>
                <c:pt idx="1">
                  <c:v>45870</c:v>
                </c:pt>
                <c:pt idx="2">
                  <c:v>45901</c:v>
                </c:pt>
                <c:pt idx="3">
                  <c:v>45931</c:v>
                </c:pt>
                <c:pt idx="4">
                  <c:v>45962</c:v>
                </c:pt>
                <c:pt idx="5">
                  <c:v>45992</c:v>
                </c:pt>
                <c:pt idx="6">
                  <c:v>46023</c:v>
                </c:pt>
                <c:pt idx="7">
                  <c:v>46054</c:v>
                </c:pt>
                <c:pt idx="8">
                  <c:v>46082</c:v>
                </c:pt>
                <c:pt idx="9">
                  <c:v>46113</c:v>
                </c:pt>
                <c:pt idx="10">
                  <c:v>46143</c:v>
                </c:pt>
                <c:pt idx="11">
                  <c:v>46174</c:v>
                </c:pt>
              </c:numCache>
            </c:numRef>
          </c:cat>
          <c:val>
            <c:numRef>
              <c:f>'KPI 9'!$E$21:$P$21</c:f>
              <c:numCache>
                <c:formatCode>#,##0</c:formatCode>
                <c:ptCount val="12"/>
                <c:pt idx="0">
                  <c:v>31</c:v>
                </c:pt>
                <c:pt idx="1">
                  <c:v>9</c:v>
                </c:pt>
                <c:pt idx="2">
                  <c:v>2</c:v>
                </c:pt>
                <c:pt idx="3">
                  <c:v>6</c:v>
                </c:pt>
                <c:pt idx="4">
                  <c:v>22</c:v>
                </c:pt>
                <c:pt idx="5">
                  <c:v>0</c:v>
                </c:pt>
                <c:pt idx="6">
                  <c:v>7</c:v>
                </c:pt>
                <c:pt idx="7">
                  <c:v>37</c:v>
                </c:pt>
                <c:pt idx="8">
                  <c:v>47</c:v>
                </c:pt>
                <c:pt idx="9">
                  <c:v>55</c:v>
                </c:pt>
                <c:pt idx="10">
                  <c:v>12</c:v>
                </c:pt>
                <c:pt idx="11">
                  <c:v>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D63-4008-8B05-F606D699DF4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3538048"/>
        <c:axId val="107836544"/>
      </c:barChart>
      <c:lineChart>
        <c:grouping val="standard"/>
        <c:varyColors val="0"/>
        <c:ser>
          <c:idx val="0"/>
          <c:order val="0"/>
          <c:tx>
            <c:strRef>
              <c:f>'KPI 9'!$D$19</c:f>
              <c:strCache>
                <c:ptCount val="1"/>
                <c:pt idx="0">
                  <c:v>Budget 2025-26</c:v>
                </c:pt>
              </c:strCache>
            </c:strRef>
          </c:tx>
          <c:spPr>
            <a:ln>
              <a:solidFill>
                <a:srgbClr val="FF0000"/>
              </a:solidFill>
            </a:ln>
          </c:spPr>
          <c:marker>
            <c:symbol val="none"/>
          </c:marker>
          <c:cat>
            <c:numRef>
              <c:f>'KPI 9'!$E$18:$P$18</c:f>
              <c:numCache>
                <c:formatCode>mmm\-yy</c:formatCode>
                <c:ptCount val="12"/>
                <c:pt idx="0">
                  <c:v>45839</c:v>
                </c:pt>
                <c:pt idx="1">
                  <c:v>45870</c:v>
                </c:pt>
                <c:pt idx="2">
                  <c:v>45901</c:v>
                </c:pt>
                <c:pt idx="3">
                  <c:v>45931</c:v>
                </c:pt>
                <c:pt idx="4">
                  <c:v>45962</c:v>
                </c:pt>
                <c:pt idx="5">
                  <c:v>45992</c:v>
                </c:pt>
                <c:pt idx="6">
                  <c:v>46023</c:v>
                </c:pt>
                <c:pt idx="7">
                  <c:v>46054</c:v>
                </c:pt>
                <c:pt idx="8">
                  <c:v>46082</c:v>
                </c:pt>
                <c:pt idx="9">
                  <c:v>46113</c:v>
                </c:pt>
                <c:pt idx="10">
                  <c:v>46143</c:v>
                </c:pt>
                <c:pt idx="11">
                  <c:v>46174</c:v>
                </c:pt>
              </c:numCache>
            </c:numRef>
          </c:cat>
          <c:val>
            <c:numRef>
              <c:f>'KPI 9'!$E$19:$P$19</c:f>
              <c:numCache>
                <c:formatCode>#,##0</c:formatCode>
                <c:ptCount val="12"/>
                <c:pt idx="0">
                  <c:v>38</c:v>
                </c:pt>
                <c:pt idx="1">
                  <c:v>18</c:v>
                </c:pt>
                <c:pt idx="2">
                  <c:v>18</c:v>
                </c:pt>
                <c:pt idx="3">
                  <c:v>18</c:v>
                </c:pt>
                <c:pt idx="4">
                  <c:v>18</c:v>
                </c:pt>
                <c:pt idx="5">
                  <c:v>18</c:v>
                </c:pt>
                <c:pt idx="6">
                  <c:v>33</c:v>
                </c:pt>
                <c:pt idx="7">
                  <c:v>23</c:v>
                </c:pt>
                <c:pt idx="8">
                  <c:v>23</c:v>
                </c:pt>
                <c:pt idx="9">
                  <c:v>18</c:v>
                </c:pt>
                <c:pt idx="10">
                  <c:v>18</c:v>
                </c:pt>
                <c:pt idx="11">
                  <c:v>18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D63-4008-8B05-F606D699DF4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3538048"/>
        <c:axId val="107836544"/>
      </c:lineChart>
      <c:dateAx>
        <c:axId val="103538048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crossAx val="107836544"/>
        <c:crosses val="autoZero"/>
        <c:auto val="1"/>
        <c:lblOffset val="100"/>
        <c:baseTimeUnit val="months"/>
      </c:dateAx>
      <c:valAx>
        <c:axId val="107836544"/>
        <c:scaling>
          <c:orientation val="minMax"/>
        </c:scaling>
        <c:delete val="0"/>
        <c:axPos val="l"/>
        <c:majorGridlines/>
        <c:numFmt formatCode="#,##0" sourceLinked="1"/>
        <c:majorTickMark val="out"/>
        <c:minorTickMark val="none"/>
        <c:tickLblPos val="nextTo"/>
        <c:crossAx val="103538048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000000000000822" l="0.70000000000000062" r="0.70000000000000062" t="0.75000000000000822" header="0.30000000000000032" footer="0.30000000000000032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1"/>
          <c:order val="1"/>
          <c:tx>
            <c:strRef>
              <c:f>'KPI 10'!$D$20</c:f>
              <c:strCache>
                <c:ptCount val="1"/>
                <c:pt idx="0">
                  <c:v>Actual 2025-26</c:v>
                </c:pt>
              </c:strCache>
            </c:strRef>
          </c:tx>
          <c:spPr>
            <a:solidFill>
              <a:schemeClr val="accent1"/>
            </a:solidFill>
          </c:spPr>
          <c:invertIfNegative val="0"/>
          <c:cat>
            <c:numRef>
              <c:f>'KPI 10'!$E$18:$P$18</c:f>
              <c:numCache>
                <c:formatCode>mmm\-yy</c:formatCode>
                <c:ptCount val="12"/>
                <c:pt idx="0">
                  <c:v>45839</c:v>
                </c:pt>
                <c:pt idx="1">
                  <c:v>45870</c:v>
                </c:pt>
                <c:pt idx="2">
                  <c:v>45901</c:v>
                </c:pt>
                <c:pt idx="3">
                  <c:v>45931</c:v>
                </c:pt>
                <c:pt idx="4">
                  <c:v>45962</c:v>
                </c:pt>
                <c:pt idx="5">
                  <c:v>45992</c:v>
                </c:pt>
                <c:pt idx="6">
                  <c:v>46023</c:v>
                </c:pt>
                <c:pt idx="7">
                  <c:v>46054</c:v>
                </c:pt>
                <c:pt idx="8">
                  <c:v>46082</c:v>
                </c:pt>
                <c:pt idx="9">
                  <c:v>46113</c:v>
                </c:pt>
                <c:pt idx="10">
                  <c:v>46143</c:v>
                </c:pt>
                <c:pt idx="11">
                  <c:v>46174</c:v>
                </c:pt>
              </c:numCache>
            </c:numRef>
          </c:cat>
          <c:val>
            <c:numRef>
              <c:f>'KPI 10'!$E$20:$P$20</c:f>
              <c:numCache>
                <c:formatCode>#,##0</c:formatCode>
                <c:ptCount val="12"/>
                <c:pt idx="0">
                  <c:v>2</c:v>
                </c:pt>
                <c:pt idx="1">
                  <c:v>8</c:v>
                </c:pt>
                <c:pt idx="2">
                  <c:v>0</c:v>
                </c:pt>
                <c:pt idx="3">
                  <c:v>2</c:v>
                </c:pt>
                <c:pt idx="4">
                  <c:v>0</c:v>
                </c:pt>
                <c:pt idx="5">
                  <c:v>0</c:v>
                </c:pt>
                <c:pt idx="6">
                  <c:v>2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B8C-477E-9763-226C791111AE}"/>
            </c:ext>
          </c:extLst>
        </c:ser>
        <c:ser>
          <c:idx val="4"/>
          <c:order val="2"/>
          <c:tx>
            <c:strRef>
              <c:f>'KPI 10'!$D$21</c:f>
              <c:strCache>
                <c:ptCount val="1"/>
                <c:pt idx="0">
                  <c:v>Actual 2024-25</c:v>
                </c:pt>
              </c:strCache>
            </c:strRef>
          </c:tx>
          <c:spPr>
            <a:solidFill>
              <a:schemeClr val="accent3"/>
            </a:solidFill>
          </c:spPr>
          <c:invertIfNegative val="0"/>
          <c:cat>
            <c:numRef>
              <c:f>'KPI 10'!$E$18:$P$18</c:f>
              <c:numCache>
                <c:formatCode>mmm\-yy</c:formatCode>
                <c:ptCount val="12"/>
                <c:pt idx="0">
                  <c:v>45839</c:v>
                </c:pt>
                <c:pt idx="1">
                  <c:v>45870</c:v>
                </c:pt>
                <c:pt idx="2">
                  <c:v>45901</c:v>
                </c:pt>
                <c:pt idx="3">
                  <c:v>45931</c:v>
                </c:pt>
                <c:pt idx="4">
                  <c:v>45962</c:v>
                </c:pt>
                <c:pt idx="5">
                  <c:v>45992</c:v>
                </c:pt>
                <c:pt idx="6">
                  <c:v>46023</c:v>
                </c:pt>
                <c:pt idx="7">
                  <c:v>46054</c:v>
                </c:pt>
                <c:pt idx="8">
                  <c:v>46082</c:v>
                </c:pt>
                <c:pt idx="9">
                  <c:v>46113</c:v>
                </c:pt>
                <c:pt idx="10">
                  <c:v>46143</c:v>
                </c:pt>
                <c:pt idx="11">
                  <c:v>46174</c:v>
                </c:pt>
              </c:numCache>
            </c:numRef>
          </c:cat>
          <c:val>
            <c:numRef>
              <c:f>'KPI 10'!$E$21:$P$21</c:f>
              <c:numCache>
                <c:formatCode>#,##0</c:formatCode>
                <c:ptCount val="12"/>
                <c:pt idx="0">
                  <c:v>7</c:v>
                </c:pt>
                <c:pt idx="1">
                  <c:v>5</c:v>
                </c:pt>
                <c:pt idx="2">
                  <c:v>0</c:v>
                </c:pt>
                <c:pt idx="3">
                  <c:v>2</c:v>
                </c:pt>
                <c:pt idx="4">
                  <c:v>0</c:v>
                </c:pt>
                <c:pt idx="5">
                  <c:v>0</c:v>
                </c:pt>
                <c:pt idx="6">
                  <c:v>2</c:v>
                </c:pt>
                <c:pt idx="7">
                  <c:v>4</c:v>
                </c:pt>
                <c:pt idx="8">
                  <c:v>2</c:v>
                </c:pt>
                <c:pt idx="9">
                  <c:v>1</c:v>
                </c:pt>
                <c:pt idx="10">
                  <c:v>2</c:v>
                </c:pt>
                <c:pt idx="11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B8C-477E-9763-226C791111A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7873024"/>
        <c:axId val="107874560"/>
      </c:barChart>
      <c:lineChart>
        <c:grouping val="standard"/>
        <c:varyColors val="0"/>
        <c:ser>
          <c:idx val="0"/>
          <c:order val="0"/>
          <c:tx>
            <c:strRef>
              <c:f>'KPI 10'!$D$19</c:f>
              <c:strCache>
                <c:ptCount val="1"/>
                <c:pt idx="0">
                  <c:v>Budget 2025-26</c:v>
                </c:pt>
              </c:strCache>
            </c:strRef>
          </c:tx>
          <c:spPr>
            <a:ln>
              <a:solidFill>
                <a:srgbClr val="FF0000"/>
              </a:solidFill>
            </a:ln>
          </c:spPr>
          <c:marker>
            <c:symbol val="none"/>
          </c:marker>
          <c:cat>
            <c:numRef>
              <c:f>'KPI 10'!$E$18:$P$18</c:f>
              <c:numCache>
                <c:formatCode>mmm\-yy</c:formatCode>
                <c:ptCount val="12"/>
                <c:pt idx="0">
                  <c:v>45839</c:v>
                </c:pt>
                <c:pt idx="1">
                  <c:v>45870</c:v>
                </c:pt>
                <c:pt idx="2">
                  <c:v>45901</c:v>
                </c:pt>
                <c:pt idx="3">
                  <c:v>45931</c:v>
                </c:pt>
                <c:pt idx="4">
                  <c:v>45962</c:v>
                </c:pt>
                <c:pt idx="5">
                  <c:v>45992</c:v>
                </c:pt>
                <c:pt idx="6">
                  <c:v>46023</c:v>
                </c:pt>
                <c:pt idx="7">
                  <c:v>46054</c:v>
                </c:pt>
                <c:pt idx="8">
                  <c:v>46082</c:v>
                </c:pt>
                <c:pt idx="9">
                  <c:v>46113</c:v>
                </c:pt>
                <c:pt idx="10">
                  <c:v>46143</c:v>
                </c:pt>
                <c:pt idx="11">
                  <c:v>46174</c:v>
                </c:pt>
              </c:numCache>
            </c:numRef>
          </c:cat>
          <c:val>
            <c:numRef>
              <c:f>'KPI 10'!$E$19:$P$19</c:f>
              <c:numCache>
                <c:formatCode>#,##0</c:formatCode>
                <c:ptCount val="12"/>
                <c:pt idx="0">
                  <c:v>2</c:v>
                </c:pt>
                <c:pt idx="1">
                  <c:v>2</c:v>
                </c:pt>
                <c:pt idx="2">
                  <c:v>2</c:v>
                </c:pt>
                <c:pt idx="3">
                  <c:v>2</c:v>
                </c:pt>
                <c:pt idx="4">
                  <c:v>2</c:v>
                </c:pt>
                <c:pt idx="5">
                  <c:v>2</c:v>
                </c:pt>
                <c:pt idx="6">
                  <c:v>2</c:v>
                </c:pt>
                <c:pt idx="7">
                  <c:v>2</c:v>
                </c:pt>
                <c:pt idx="8">
                  <c:v>2</c:v>
                </c:pt>
                <c:pt idx="9">
                  <c:v>2</c:v>
                </c:pt>
                <c:pt idx="10">
                  <c:v>2</c:v>
                </c:pt>
                <c:pt idx="11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EB8C-477E-9763-226C791111A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7873024"/>
        <c:axId val="107874560"/>
      </c:lineChart>
      <c:dateAx>
        <c:axId val="107873024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crossAx val="107874560"/>
        <c:crosses val="autoZero"/>
        <c:auto val="1"/>
        <c:lblOffset val="100"/>
        <c:baseTimeUnit val="months"/>
      </c:dateAx>
      <c:valAx>
        <c:axId val="107874560"/>
        <c:scaling>
          <c:orientation val="minMax"/>
        </c:scaling>
        <c:delete val="0"/>
        <c:axPos val="l"/>
        <c:majorGridlines/>
        <c:numFmt formatCode="#,##0" sourceLinked="1"/>
        <c:majorTickMark val="out"/>
        <c:minorTickMark val="none"/>
        <c:tickLblPos val="nextTo"/>
        <c:crossAx val="107873024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000000000000822" l="0.70000000000000062" r="0.70000000000000062" t="0.75000000000000822" header="0.30000000000000032" footer="0.30000000000000032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1"/>
          <c:order val="1"/>
          <c:tx>
            <c:strRef>
              <c:f>'KPI 10'!$D$20</c:f>
              <c:strCache>
                <c:ptCount val="1"/>
                <c:pt idx="0">
                  <c:v>Actual 2025-26</c:v>
                </c:pt>
              </c:strCache>
            </c:strRef>
          </c:tx>
          <c:spPr>
            <a:solidFill>
              <a:schemeClr val="accent1"/>
            </a:solidFill>
          </c:spPr>
          <c:invertIfNegative val="0"/>
          <c:cat>
            <c:numRef>
              <c:f>'KPI 10'!$E$18:$P$18</c:f>
              <c:numCache>
                <c:formatCode>mmm\-yy</c:formatCode>
                <c:ptCount val="12"/>
                <c:pt idx="0">
                  <c:v>45839</c:v>
                </c:pt>
                <c:pt idx="1">
                  <c:v>45870</c:v>
                </c:pt>
                <c:pt idx="2">
                  <c:v>45901</c:v>
                </c:pt>
                <c:pt idx="3">
                  <c:v>45931</c:v>
                </c:pt>
                <c:pt idx="4">
                  <c:v>45962</c:v>
                </c:pt>
                <c:pt idx="5">
                  <c:v>45992</c:v>
                </c:pt>
                <c:pt idx="6">
                  <c:v>46023</c:v>
                </c:pt>
                <c:pt idx="7">
                  <c:v>46054</c:v>
                </c:pt>
                <c:pt idx="8">
                  <c:v>46082</c:v>
                </c:pt>
                <c:pt idx="9">
                  <c:v>46113</c:v>
                </c:pt>
                <c:pt idx="10">
                  <c:v>46143</c:v>
                </c:pt>
                <c:pt idx="11">
                  <c:v>46174</c:v>
                </c:pt>
              </c:numCache>
            </c:numRef>
          </c:cat>
          <c:val>
            <c:numRef>
              <c:f>'KPI 10'!$E$20:$P$20</c:f>
              <c:numCache>
                <c:formatCode>#,##0</c:formatCode>
                <c:ptCount val="12"/>
                <c:pt idx="0">
                  <c:v>2</c:v>
                </c:pt>
                <c:pt idx="1">
                  <c:v>8</c:v>
                </c:pt>
                <c:pt idx="2">
                  <c:v>0</c:v>
                </c:pt>
                <c:pt idx="3">
                  <c:v>2</c:v>
                </c:pt>
                <c:pt idx="4">
                  <c:v>0</c:v>
                </c:pt>
                <c:pt idx="5">
                  <c:v>0</c:v>
                </c:pt>
                <c:pt idx="6">
                  <c:v>2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2D3-457A-A0AF-13EFE96311E1}"/>
            </c:ext>
          </c:extLst>
        </c:ser>
        <c:ser>
          <c:idx val="4"/>
          <c:order val="2"/>
          <c:tx>
            <c:strRef>
              <c:f>'KPI 10'!$D$21</c:f>
              <c:strCache>
                <c:ptCount val="1"/>
                <c:pt idx="0">
                  <c:v>Actual 2024-25</c:v>
                </c:pt>
              </c:strCache>
            </c:strRef>
          </c:tx>
          <c:spPr>
            <a:solidFill>
              <a:schemeClr val="accent3"/>
            </a:solidFill>
          </c:spPr>
          <c:invertIfNegative val="0"/>
          <c:cat>
            <c:numRef>
              <c:f>'KPI 10'!$E$18:$P$18</c:f>
              <c:numCache>
                <c:formatCode>mmm\-yy</c:formatCode>
                <c:ptCount val="12"/>
                <c:pt idx="0">
                  <c:v>45839</c:v>
                </c:pt>
                <c:pt idx="1">
                  <c:v>45870</c:v>
                </c:pt>
                <c:pt idx="2">
                  <c:v>45901</c:v>
                </c:pt>
                <c:pt idx="3">
                  <c:v>45931</c:v>
                </c:pt>
                <c:pt idx="4">
                  <c:v>45962</c:v>
                </c:pt>
                <c:pt idx="5">
                  <c:v>45992</c:v>
                </c:pt>
                <c:pt idx="6">
                  <c:v>46023</c:v>
                </c:pt>
                <c:pt idx="7">
                  <c:v>46054</c:v>
                </c:pt>
                <c:pt idx="8">
                  <c:v>46082</c:v>
                </c:pt>
                <c:pt idx="9">
                  <c:v>46113</c:v>
                </c:pt>
                <c:pt idx="10">
                  <c:v>46143</c:v>
                </c:pt>
                <c:pt idx="11">
                  <c:v>46174</c:v>
                </c:pt>
              </c:numCache>
            </c:numRef>
          </c:cat>
          <c:val>
            <c:numRef>
              <c:f>'KPI 10'!$E$21:$P$21</c:f>
              <c:numCache>
                <c:formatCode>#,##0</c:formatCode>
                <c:ptCount val="12"/>
                <c:pt idx="0">
                  <c:v>7</c:v>
                </c:pt>
                <c:pt idx="1">
                  <c:v>5</c:v>
                </c:pt>
                <c:pt idx="2">
                  <c:v>0</c:v>
                </c:pt>
                <c:pt idx="3">
                  <c:v>2</c:v>
                </c:pt>
                <c:pt idx="4">
                  <c:v>0</c:v>
                </c:pt>
                <c:pt idx="5">
                  <c:v>0</c:v>
                </c:pt>
                <c:pt idx="6">
                  <c:v>2</c:v>
                </c:pt>
                <c:pt idx="7">
                  <c:v>4</c:v>
                </c:pt>
                <c:pt idx="8">
                  <c:v>2</c:v>
                </c:pt>
                <c:pt idx="9">
                  <c:v>1</c:v>
                </c:pt>
                <c:pt idx="10">
                  <c:v>2</c:v>
                </c:pt>
                <c:pt idx="11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2D3-457A-A0AF-13EFE96311E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7873024"/>
        <c:axId val="107874560"/>
      </c:barChart>
      <c:lineChart>
        <c:grouping val="standard"/>
        <c:varyColors val="0"/>
        <c:ser>
          <c:idx val="0"/>
          <c:order val="0"/>
          <c:tx>
            <c:strRef>
              <c:f>'KPI 10'!$D$19</c:f>
              <c:strCache>
                <c:ptCount val="1"/>
                <c:pt idx="0">
                  <c:v>Budget 2025-26</c:v>
                </c:pt>
              </c:strCache>
            </c:strRef>
          </c:tx>
          <c:spPr>
            <a:ln>
              <a:solidFill>
                <a:srgbClr val="FF0000"/>
              </a:solidFill>
            </a:ln>
          </c:spPr>
          <c:marker>
            <c:symbol val="none"/>
          </c:marker>
          <c:cat>
            <c:numRef>
              <c:f>'KPI 10'!$E$18:$P$18</c:f>
              <c:numCache>
                <c:formatCode>mmm\-yy</c:formatCode>
                <c:ptCount val="12"/>
                <c:pt idx="0">
                  <c:v>45839</c:v>
                </c:pt>
                <c:pt idx="1">
                  <c:v>45870</c:v>
                </c:pt>
                <c:pt idx="2">
                  <c:v>45901</c:v>
                </c:pt>
                <c:pt idx="3">
                  <c:v>45931</c:v>
                </c:pt>
                <c:pt idx="4">
                  <c:v>45962</c:v>
                </c:pt>
                <c:pt idx="5">
                  <c:v>45992</c:v>
                </c:pt>
                <c:pt idx="6">
                  <c:v>46023</c:v>
                </c:pt>
                <c:pt idx="7">
                  <c:v>46054</c:v>
                </c:pt>
                <c:pt idx="8">
                  <c:v>46082</c:v>
                </c:pt>
                <c:pt idx="9">
                  <c:v>46113</c:v>
                </c:pt>
                <c:pt idx="10">
                  <c:v>46143</c:v>
                </c:pt>
                <c:pt idx="11">
                  <c:v>46174</c:v>
                </c:pt>
              </c:numCache>
            </c:numRef>
          </c:cat>
          <c:val>
            <c:numRef>
              <c:f>'KPI 10'!$E$19:$P$19</c:f>
              <c:numCache>
                <c:formatCode>#,##0</c:formatCode>
                <c:ptCount val="12"/>
                <c:pt idx="0">
                  <c:v>2</c:v>
                </c:pt>
                <c:pt idx="1">
                  <c:v>2</c:v>
                </c:pt>
                <c:pt idx="2">
                  <c:v>2</c:v>
                </c:pt>
                <c:pt idx="3">
                  <c:v>2</c:v>
                </c:pt>
                <c:pt idx="4">
                  <c:v>2</c:v>
                </c:pt>
                <c:pt idx="5">
                  <c:v>2</c:v>
                </c:pt>
                <c:pt idx="6">
                  <c:v>2</c:v>
                </c:pt>
                <c:pt idx="7">
                  <c:v>2</c:v>
                </c:pt>
                <c:pt idx="8">
                  <c:v>2</c:v>
                </c:pt>
                <c:pt idx="9">
                  <c:v>2</c:v>
                </c:pt>
                <c:pt idx="10">
                  <c:v>2</c:v>
                </c:pt>
                <c:pt idx="11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02D3-457A-A0AF-13EFE96311E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7873024"/>
        <c:axId val="107874560"/>
      </c:lineChart>
      <c:dateAx>
        <c:axId val="107873024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crossAx val="107874560"/>
        <c:crosses val="autoZero"/>
        <c:auto val="1"/>
        <c:lblOffset val="100"/>
        <c:baseTimeUnit val="months"/>
      </c:dateAx>
      <c:valAx>
        <c:axId val="107874560"/>
        <c:scaling>
          <c:orientation val="minMax"/>
        </c:scaling>
        <c:delete val="0"/>
        <c:axPos val="l"/>
        <c:majorGridlines/>
        <c:numFmt formatCode="#,##0" sourceLinked="1"/>
        <c:majorTickMark val="out"/>
        <c:minorTickMark val="none"/>
        <c:tickLblPos val="nextTo"/>
        <c:crossAx val="107873024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000000000000822" l="0.70000000000000062" r="0.70000000000000062" t="0.75000000000000822" header="0.30000000000000032" footer="0.30000000000000032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1"/>
          <c:order val="1"/>
          <c:tx>
            <c:strRef>
              <c:f>'KPI 13'!$D$20</c:f>
              <c:strCache>
                <c:ptCount val="1"/>
                <c:pt idx="0">
                  <c:v>Actual 2025-26</c:v>
                </c:pt>
              </c:strCache>
            </c:strRef>
          </c:tx>
          <c:spPr>
            <a:solidFill>
              <a:schemeClr val="accent1"/>
            </a:solidFill>
          </c:spPr>
          <c:invertIfNegative val="0"/>
          <c:cat>
            <c:numRef>
              <c:f>'KPI 13'!$E$18:$P$18</c:f>
              <c:numCache>
                <c:formatCode>mmm\-yy</c:formatCode>
                <c:ptCount val="12"/>
                <c:pt idx="0">
                  <c:v>45839</c:v>
                </c:pt>
                <c:pt idx="1">
                  <c:v>45870</c:v>
                </c:pt>
                <c:pt idx="2">
                  <c:v>45901</c:v>
                </c:pt>
                <c:pt idx="3">
                  <c:v>45931</c:v>
                </c:pt>
                <c:pt idx="4">
                  <c:v>45962</c:v>
                </c:pt>
                <c:pt idx="5">
                  <c:v>45992</c:v>
                </c:pt>
                <c:pt idx="6">
                  <c:v>46023</c:v>
                </c:pt>
                <c:pt idx="7">
                  <c:v>46054</c:v>
                </c:pt>
                <c:pt idx="8">
                  <c:v>46082</c:v>
                </c:pt>
                <c:pt idx="9">
                  <c:v>46113</c:v>
                </c:pt>
                <c:pt idx="10">
                  <c:v>46143</c:v>
                </c:pt>
                <c:pt idx="11">
                  <c:v>46174</c:v>
                </c:pt>
              </c:numCache>
            </c:numRef>
          </c:cat>
          <c:val>
            <c:numRef>
              <c:f>'KPI 13'!$E$20:$P$20</c:f>
              <c:numCache>
                <c:formatCode>#,##0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D26-4547-AB86-E691AC9D912B}"/>
            </c:ext>
          </c:extLst>
        </c:ser>
        <c:ser>
          <c:idx val="4"/>
          <c:order val="2"/>
          <c:tx>
            <c:strRef>
              <c:f>'KPI 13'!$D$21</c:f>
              <c:strCache>
                <c:ptCount val="1"/>
                <c:pt idx="0">
                  <c:v>Actual 2024-25</c:v>
                </c:pt>
              </c:strCache>
            </c:strRef>
          </c:tx>
          <c:spPr>
            <a:solidFill>
              <a:schemeClr val="accent3"/>
            </a:solidFill>
          </c:spPr>
          <c:invertIfNegative val="0"/>
          <c:cat>
            <c:numRef>
              <c:f>'KPI 13'!$E$18:$P$18</c:f>
              <c:numCache>
                <c:formatCode>mmm\-yy</c:formatCode>
                <c:ptCount val="12"/>
                <c:pt idx="0">
                  <c:v>45839</c:v>
                </c:pt>
                <c:pt idx="1">
                  <c:v>45870</c:v>
                </c:pt>
                <c:pt idx="2">
                  <c:v>45901</c:v>
                </c:pt>
                <c:pt idx="3">
                  <c:v>45931</c:v>
                </c:pt>
                <c:pt idx="4">
                  <c:v>45962</c:v>
                </c:pt>
                <c:pt idx="5">
                  <c:v>45992</c:v>
                </c:pt>
                <c:pt idx="6">
                  <c:v>46023</c:v>
                </c:pt>
                <c:pt idx="7">
                  <c:v>46054</c:v>
                </c:pt>
                <c:pt idx="8">
                  <c:v>46082</c:v>
                </c:pt>
                <c:pt idx="9">
                  <c:v>46113</c:v>
                </c:pt>
                <c:pt idx="10">
                  <c:v>46143</c:v>
                </c:pt>
                <c:pt idx="11">
                  <c:v>46174</c:v>
                </c:pt>
              </c:numCache>
            </c:numRef>
          </c:cat>
          <c:val>
            <c:numRef>
              <c:f>'KPI 13'!$E$21:$P$21</c:f>
              <c:numCache>
                <c:formatCode>#,##0</c:formatCode>
                <c:ptCount val="12"/>
                <c:pt idx="0">
                  <c:v>0</c:v>
                </c:pt>
                <c:pt idx="1">
                  <c:v>1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1</c:v>
                </c:pt>
                <c:pt idx="6">
                  <c:v>1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D26-4547-AB86-E691AC9D91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8156800"/>
        <c:axId val="108158336"/>
      </c:barChart>
      <c:lineChart>
        <c:grouping val="standard"/>
        <c:varyColors val="0"/>
        <c:ser>
          <c:idx val="0"/>
          <c:order val="0"/>
          <c:tx>
            <c:strRef>
              <c:f>'KPI 13'!$D$19</c:f>
              <c:strCache>
                <c:ptCount val="1"/>
                <c:pt idx="0">
                  <c:v>Budget 2025-26</c:v>
                </c:pt>
              </c:strCache>
            </c:strRef>
          </c:tx>
          <c:spPr>
            <a:ln>
              <a:solidFill>
                <a:srgbClr val="FF0000"/>
              </a:solidFill>
            </a:ln>
          </c:spPr>
          <c:marker>
            <c:symbol val="none"/>
          </c:marker>
          <c:cat>
            <c:numRef>
              <c:f>'KPI 13'!$E$18:$P$18</c:f>
              <c:numCache>
                <c:formatCode>mmm\-yy</c:formatCode>
                <c:ptCount val="12"/>
                <c:pt idx="0">
                  <c:v>45839</c:v>
                </c:pt>
                <c:pt idx="1">
                  <c:v>45870</c:v>
                </c:pt>
                <c:pt idx="2">
                  <c:v>45901</c:v>
                </c:pt>
                <c:pt idx="3">
                  <c:v>45931</c:v>
                </c:pt>
                <c:pt idx="4">
                  <c:v>45962</c:v>
                </c:pt>
                <c:pt idx="5">
                  <c:v>45992</c:v>
                </c:pt>
                <c:pt idx="6">
                  <c:v>46023</c:v>
                </c:pt>
                <c:pt idx="7">
                  <c:v>46054</c:v>
                </c:pt>
                <c:pt idx="8">
                  <c:v>46082</c:v>
                </c:pt>
                <c:pt idx="9">
                  <c:v>46113</c:v>
                </c:pt>
                <c:pt idx="10">
                  <c:v>46143</c:v>
                </c:pt>
                <c:pt idx="11">
                  <c:v>46174</c:v>
                </c:pt>
              </c:numCache>
            </c:numRef>
          </c:cat>
          <c:val>
            <c:numRef>
              <c:f>'KPI 13'!$E$19:$P$19</c:f>
              <c:numCache>
                <c:formatCode>#,##0</c:formatCode>
                <c:ptCount val="12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CD26-4547-AB86-E691AC9D91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8156800"/>
        <c:axId val="108158336"/>
      </c:lineChart>
      <c:dateAx>
        <c:axId val="108156800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crossAx val="108158336"/>
        <c:crosses val="autoZero"/>
        <c:auto val="1"/>
        <c:lblOffset val="100"/>
        <c:baseTimeUnit val="months"/>
      </c:dateAx>
      <c:valAx>
        <c:axId val="108158336"/>
        <c:scaling>
          <c:orientation val="minMax"/>
        </c:scaling>
        <c:delete val="0"/>
        <c:axPos val="l"/>
        <c:majorGridlines/>
        <c:numFmt formatCode="#,##0" sourceLinked="1"/>
        <c:majorTickMark val="out"/>
        <c:minorTickMark val="none"/>
        <c:tickLblPos val="nextTo"/>
        <c:crossAx val="10815680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000000000000822" l="0.70000000000000062" r="0.70000000000000062" t="0.75000000000000822" header="0.30000000000000032" footer="0.30000000000000032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1"/>
          <c:order val="1"/>
          <c:tx>
            <c:strRef>
              <c:f>'KPI 14'!$D$20</c:f>
              <c:strCache>
                <c:ptCount val="1"/>
                <c:pt idx="0">
                  <c:v>Actual 2025-26</c:v>
                </c:pt>
              </c:strCache>
            </c:strRef>
          </c:tx>
          <c:spPr>
            <a:solidFill>
              <a:schemeClr val="accent1"/>
            </a:solidFill>
          </c:spPr>
          <c:invertIfNegative val="0"/>
          <c:cat>
            <c:numRef>
              <c:f>'KPI 14'!$E$18:$P$18</c:f>
              <c:numCache>
                <c:formatCode>mmm\-yy</c:formatCode>
                <c:ptCount val="12"/>
                <c:pt idx="0">
                  <c:v>45839</c:v>
                </c:pt>
                <c:pt idx="1">
                  <c:v>45870</c:v>
                </c:pt>
                <c:pt idx="2">
                  <c:v>45901</c:v>
                </c:pt>
                <c:pt idx="3">
                  <c:v>45931</c:v>
                </c:pt>
                <c:pt idx="4">
                  <c:v>45962</c:v>
                </c:pt>
                <c:pt idx="5">
                  <c:v>45992</c:v>
                </c:pt>
                <c:pt idx="6">
                  <c:v>46023</c:v>
                </c:pt>
                <c:pt idx="7">
                  <c:v>46054</c:v>
                </c:pt>
                <c:pt idx="8">
                  <c:v>46082</c:v>
                </c:pt>
                <c:pt idx="9">
                  <c:v>46113</c:v>
                </c:pt>
                <c:pt idx="10">
                  <c:v>46143</c:v>
                </c:pt>
                <c:pt idx="11">
                  <c:v>46174</c:v>
                </c:pt>
              </c:numCache>
            </c:numRef>
          </c:cat>
          <c:val>
            <c:numRef>
              <c:f>'KPI 14'!$E$20:$P$20</c:f>
              <c:numCache>
                <c:formatCode>#,##0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1</c:v>
                </c:pt>
                <c:pt idx="4">
                  <c:v>1</c:v>
                </c:pt>
                <c:pt idx="5">
                  <c:v>0</c:v>
                </c:pt>
                <c:pt idx="6">
                  <c:v>1</c:v>
                </c:pt>
                <c:pt idx="7">
                  <c:v>2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A1B-4F5D-99D0-AC3BEE266EDC}"/>
            </c:ext>
          </c:extLst>
        </c:ser>
        <c:ser>
          <c:idx val="4"/>
          <c:order val="2"/>
          <c:tx>
            <c:strRef>
              <c:f>'KPI 14'!$D$21</c:f>
              <c:strCache>
                <c:ptCount val="1"/>
                <c:pt idx="0">
                  <c:v>Actual 2024-25</c:v>
                </c:pt>
              </c:strCache>
            </c:strRef>
          </c:tx>
          <c:spPr>
            <a:solidFill>
              <a:schemeClr val="accent3"/>
            </a:solidFill>
          </c:spPr>
          <c:invertIfNegative val="0"/>
          <c:cat>
            <c:numRef>
              <c:f>'KPI 14'!$E$18:$P$18</c:f>
              <c:numCache>
                <c:formatCode>mmm\-yy</c:formatCode>
                <c:ptCount val="12"/>
                <c:pt idx="0">
                  <c:v>45839</c:v>
                </c:pt>
                <c:pt idx="1">
                  <c:v>45870</c:v>
                </c:pt>
                <c:pt idx="2">
                  <c:v>45901</c:v>
                </c:pt>
                <c:pt idx="3">
                  <c:v>45931</c:v>
                </c:pt>
                <c:pt idx="4">
                  <c:v>45962</c:v>
                </c:pt>
                <c:pt idx="5">
                  <c:v>45992</c:v>
                </c:pt>
                <c:pt idx="6">
                  <c:v>46023</c:v>
                </c:pt>
                <c:pt idx="7">
                  <c:v>46054</c:v>
                </c:pt>
                <c:pt idx="8">
                  <c:v>46082</c:v>
                </c:pt>
                <c:pt idx="9">
                  <c:v>46113</c:v>
                </c:pt>
                <c:pt idx="10">
                  <c:v>46143</c:v>
                </c:pt>
                <c:pt idx="11">
                  <c:v>46174</c:v>
                </c:pt>
              </c:numCache>
            </c:numRef>
          </c:cat>
          <c:val>
            <c:numRef>
              <c:f>'KPI 14'!$E$21:$P$21</c:f>
              <c:numCache>
                <c:formatCode>#,##0</c:formatCode>
                <c:ptCount val="12"/>
                <c:pt idx="0">
                  <c:v>1</c:v>
                </c:pt>
                <c:pt idx="1">
                  <c:v>2</c:v>
                </c:pt>
                <c:pt idx="2">
                  <c:v>-2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1</c:v>
                </c:pt>
                <c:pt idx="9">
                  <c:v>1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A1B-4F5D-99D0-AC3BEE266ED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8256256"/>
        <c:axId val="108405504"/>
      </c:barChart>
      <c:lineChart>
        <c:grouping val="standard"/>
        <c:varyColors val="0"/>
        <c:ser>
          <c:idx val="0"/>
          <c:order val="0"/>
          <c:tx>
            <c:strRef>
              <c:f>'KPI 14'!$D$19</c:f>
              <c:strCache>
                <c:ptCount val="1"/>
                <c:pt idx="0">
                  <c:v>Budget 2025-26</c:v>
                </c:pt>
              </c:strCache>
            </c:strRef>
          </c:tx>
          <c:spPr>
            <a:ln>
              <a:solidFill>
                <a:srgbClr val="FF0000"/>
              </a:solidFill>
            </a:ln>
          </c:spPr>
          <c:marker>
            <c:symbol val="none"/>
          </c:marker>
          <c:cat>
            <c:numRef>
              <c:f>'KPI 14'!$E$18:$P$18</c:f>
              <c:numCache>
                <c:formatCode>mmm\-yy</c:formatCode>
                <c:ptCount val="12"/>
                <c:pt idx="0">
                  <c:v>45839</c:v>
                </c:pt>
                <c:pt idx="1">
                  <c:v>45870</c:v>
                </c:pt>
                <c:pt idx="2">
                  <c:v>45901</c:v>
                </c:pt>
                <c:pt idx="3">
                  <c:v>45931</c:v>
                </c:pt>
                <c:pt idx="4">
                  <c:v>45962</c:v>
                </c:pt>
                <c:pt idx="5">
                  <c:v>45992</c:v>
                </c:pt>
                <c:pt idx="6">
                  <c:v>46023</c:v>
                </c:pt>
                <c:pt idx="7">
                  <c:v>46054</c:v>
                </c:pt>
                <c:pt idx="8">
                  <c:v>46082</c:v>
                </c:pt>
                <c:pt idx="9">
                  <c:v>46113</c:v>
                </c:pt>
                <c:pt idx="10">
                  <c:v>46143</c:v>
                </c:pt>
                <c:pt idx="11">
                  <c:v>46174</c:v>
                </c:pt>
              </c:numCache>
            </c:numRef>
          </c:cat>
          <c:val>
            <c:numRef>
              <c:f>'KPI 14'!$E$19:$P$19</c:f>
              <c:numCache>
                <c:formatCode>#,##0</c:formatCode>
                <c:ptCount val="12"/>
                <c:pt idx="0">
                  <c:v>7</c:v>
                </c:pt>
                <c:pt idx="1">
                  <c:v>7</c:v>
                </c:pt>
                <c:pt idx="2">
                  <c:v>7</c:v>
                </c:pt>
                <c:pt idx="3">
                  <c:v>7</c:v>
                </c:pt>
                <c:pt idx="4">
                  <c:v>7</c:v>
                </c:pt>
                <c:pt idx="5">
                  <c:v>7</c:v>
                </c:pt>
                <c:pt idx="6">
                  <c:v>7</c:v>
                </c:pt>
                <c:pt idx="7">
                  <c:v>7</c:v>
                </c:pt>
                <c:pt idx="8">
                  <c:v>7</c:v>
                </c:pt>
                <c:pt idx="9">
                  <c:v>7</c:v>
                </c:pt>
                <c:pt idx="10">
                  <c:v>7</c:v>
                </c:pt>
                <c:pt idx="11">
                  <c:v>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2A1B-4F5D-99D0-AC3BEE266ED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8256256"/>
        <c:axId val="108405504"/>
      </c:lineChart>
      <c:dateAx>
        <c:axId val="108256256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crossAx val="108405504"/>
        <c:crosses val="autoZero"/>
        <c:auto val="1"/>
        <c:lblOffset val="100"/>
        <c:baseTimeUnit val="months"/>
      </c:dateAx>
      <c:valAx>
        <c:axId val="108405504"/>
        <c:scaling>
          <c:orientation val="minMax"/>
        </c:scaling>
        <c:delete val="0"/>
        <c:axPos val="l"/>
        <c:majorGridlines/>
        <c:numFmt formatCode="#,##0" sourceLinked="1"/>
        <c:majorTickMark val="out"/>
        <c:minorTickMark val="none"/>
        <c:tickLblPos val="nextTo"/>
        <c:crossAx val="108256256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000000000000822" l="0.70000000000000062" r="0.70000000000000062" t="0.75000000000000822" header="0.30000000000000032" footer="0.30000000000000032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1"/>
          <c:order val="1"/>
          <c:tx>
            <c:strRef>
              <c:f>'KPI 15'!$D$20</c:f>
              <c:strCache>
                <c:ptCount val="1"/>
                <c:pt idx="0">
                  <c:v>Actual 2025-26</c:v>
                </c:pt>
              </c:strCache>
            </c:strRef>
          </c:tx>
          <c:spPr>
            <a:solidFill>
              <a:schemeClr val="accent1"/>
            </a:solidFill>
          </c:spPr>
          <c:invertIfNegative val="0"/>
          <c:cat>
            <c:numRef>
              <c:f>'KPI 15'!$E$18:$P$18</c:f>
              <c:numCache>
                <c:formatCode>mmm\-yy</c:formatCode>
                <c:ptCount val="12"/>
                <c:pt idx="0">
                  <c:v>45839</c:v>
                </c:pt>
                <c:pt idx="1">
                  <c:v>45870</c:v>
                </c:pt>
                <c:pt idx="2">
                  <c:v>45901</c:v>
                </c:pt>
                <c:pt idx="3">
                  <c:v>45931</c:v>
                </c:pt>
                <c:pt idx="4">
                  <c:v>45962</c:v>
                </c:pt>
                <c:pt idx="5">
                  <c:v>45992</c:v>
                </c:pt>
                <c:pt idx="6">
                  <c:v>46023</c:v>
                </c:pt>
                <c:pt idx="7">
                  <c:v>46054</c:v>
                </c:pt>
                <c:pt idx="8">
                  <c:v>46082</c:v>
                </c:pt>
                <c:pt idx="9">
                  <c:v>46113</c:v>
                </c:pt>
                <c:pt idx="10">
                  <c:v>46143</c:v>
                </c:pt>
                <c:pt idx="11">
                  <c:v>46174</c:v>
                </c:pt>
              </c:numCache>
            </c:numRef>
          </c:cat>
          <c:val>
            <c:numRef>
              <c:f>'KPI 15'!$E$20:$P$20</c:f>
              <c:numCache>
                <c:formatCode>#,##0</c:formatCode>
                <c:ptCount val="12"/>
                <c:pt idx="0">
                  <c:v>0</c:v>
                </c:pt>
                <c:pt idx="1">
                  <c:v>1</c:v>
                </c:pt>
                <c:pt idx="2">
                  <c:v>1</c:v>
                </c:pt>
                <c:pt idx="3">
                  <c:v>0</c:v>
                </c:pt>
                <c:pt idx="4">
                  <c:v>1</c:v>
                </c:pt>
                <c:pt idx="5">
                  <c:v>0</c:v>
                </c:pt>
                <c:pt idx="6">
                  <c:v>2</c:v>
                </c:pt>
                <c:pt idx="7">
                  <c:v>1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892-4257-984D-F68DA3EC62B0}"/>
            </c:ext>
          </c:extLst>
        </c:ser>
        <c:ser>
          <c:idx val="4"/>
          <c:order val="2"/>
          <c:tx>
            <c:strRef>
              <c:f>'KPI 15'!$D$21</c:f>
              <c:strCache>
                <c:ptCount val="1"/>
                <c:pt idx="0">
                  <c:v>Actual 2024-25</c:v>
                </c:pt>
              </c:strCache>
            </c:strRef>
          </c:tx>
          <c:spPr>
            <a:solidFill>
              <a:schemeClr val="accent3"/>
            </a:solidFill>
          </c:spPr>
          <c:invertIfNegative val="0"/>
          <c:cat>
            <c:numRef>
              <c:f>'KPI 15'!$E$18:$P$18</c:f>
              <c:numCache>
                <c:formatCode>mmm\-yy</c:formatCode>
                <c:ptCount val="12"/>
                <c:pt idx="0">
                  <c:v>45839</c:v>
                </c:pt>
                <c:pt idx="1">
                  <c:v>45870</c:v>
                </c:pt>
                <c:pt idx="2">
                  <c:v>45901</c:v>
                </c:pt>
                <c:pt idx="3">
                  <c:v>45931</c:v>
                </c:pt>
                <c:pt idx="4">
                  <c:v>45962</c:v>
                </c:pt>
                <c:pt idx="5">
                  <c:v>45992</c:v>
                </c:pt>
                <c:pt idx="6">
                  <c:v>46023</c:v>
                </c:pt>
                <c:pt idx="7">
                  <c:v>46054</c:v>
                </c:pt>
                <c:pt idx="8">
                  <c:v>46082</c:v>
                </c:pt>
                <c:pt idx="9">
                  <c:v>46113</c:v>
                </c:pt>
                <c:pt idx="10">
                  <c:v>46143</c:v>
                </c:pt>
                <c:pt idx="11">
                  <c:v>46174</c:v>
                </c:pt>
              </c:numCache>
            </c:numRef>
          </c:cat>
          <c:val>
            <c:numRef>
              <c:f>'KPI 15'!$E$21:$P$21</c:f>
              <c:numCache>
                <c:formatCode>#,##0</c:formatCode>
                <c:ptCount val="12"/>
                <c:pt idx="0">
                  <c:v>0</c:v>
                </c:pt>
                <c:pt idx="1">
                  <c:v>4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2</c:v>
                </c:pt>
                <c:pt idx="6">
                  <c:v>0</c:v>
                </c:pt>
                <c:pt idx="7">
                  <c:v>2</c:v>
                </c:pt>
                <c:pt idx="8">
                  <c:v>0</c:v>
                </c:pt>
                <c:pt idx="9">
                  <c:v>1</c:v>
                </c:pt>
                <c:pt idx="10">
                  <c:v>0</c:v>
                </c:pt>
                <c:pt idx="11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892-4257-984D-F68DA3EC62B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8393216"/>
        <c:axId val="108394752"/>
      </c:barChart>
      <c:lineChart>
        <c:grouping val="standard"/>
        <c:varyColors val="0"/>
        <c:ser>
          <c:idx val="0"/>
          <c:order val="0"/>
          <c:tx>
            <c:strRef>
              <c:f>'KPI 15'!$D$19</c:f>
              <c:strCache>
                <c:ptCount val="1"/>
                <c:pt idx="0">
                  <c:v>Budget 2025-26</c:v>
                </c:pt>
              </c:strCache>
            </c:strRef>
          </c:tx>
          <c:spPr>
            <a:ln>
              <a:solidFill>
                <a:srgbClr val="FF0000"/>
              </a:solidFill>
            </a:ln>
          </c:spPr>
          <c:marker>
            <c:symbol val="none"/>
          </c:marker>
          <c:cat>
            <c:numRef>
              <c:f>'KPI 15'!$E$18:$P$18</c:f>
              <c:numCache>
                <c:formatCode>mmm\-yy</c:formatCode>
                <c:ptCount val="12"/>
                <c:pt idx="0">
                  <c:v>45839</c:v>
                </c:pt>
                <c:pt idx="1">
                  <c:v>45870</c:v>
                </c:pt>
                <c:pt idx="2">
                  <c:v>45901</c:v>
                </c:pt>
                <c:pt idx="3">
                  <c:v>45931</c:v>
                </c:pt>
                <c:pt idx="4">
                  <c:v>45962</c:v>
                </c:pt>
                <c:pt idx="5">
                  <c:v>45992</c:v>
                </c:pt>
                <c:pt idx="6">
                  <c:v>46023</c:v>
                </c:pt>
                <c:pt idx="7">
                  <c:v>46054</c:v>
                </c:pt>
                <c:pt idx="8">
                  <c:v>46082</c:v>
                </c:pt>
                <c:pt idx="9">
                  <c:v>46113</c:v>
                </c:pt>
                <c:pt idx="10">
                  <c:v>46143</c:v>
                </c:pt>
                <c:pt idx="11">
                  <c:v>46174</c:v>
                </c:pt>
              </c:numCache>
            </c:numRef>
          </c:cat>
          <c:val>
            <c:numRef>
              <c:f>'KPI 15'!$E$19:$P$19</c:f>
              <c:numCache>
                <c:formatCode>#,##0</c:formatCode>
                <c:ptCount val="12"/>
                <c:pt idx="0">
                  <c:v>4</c:v>
                </c:pt>
                <c:pt idx="1">
                  <c:v>3</c:v>
                </c:pt>
                <c:pt idx="2">
                  <c:v>3</c:v>
                </c:pt>
                <c:pt idx="3">
                  <c:v>3</c:v>
                </c:pt>
                <c:pt idx="4">
                  <c:v>3</c:v>
                </c:pt>
                <c:pt idx="5">
                  <c:v>3</c:v>
                </c:pt>
                <c:pt idx="6">
                  <c:v>3</c:v>
                </c:pt>
                <c:pt idx="7">
                  <c:v>3</c:v>
                </c:pt>
                <c:pt idx="8">
                  <c:v>3</c:v>
                </c:pt>
                <c:pt idx="9">
                  <c:v>3</c:v>
                </c:pt>
                <c:pt idx="10">
                  <c:v>3</c:v>
                </c:pt>
                <c:pt idx="11">
                  <c:v>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892-4257-984D-F68DA3EC62B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8393216"/>
        <c:axId val="108394752"/>
      </c:lineChart>
      <c:dateAx>
        <c:axId val="108393216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crossAx val="108394752"/>
        <c:crosses val="autoZero"/>
        <c:auto val="1"/>
        <c:lblOffset val="100"/>
        <c:baseTimeUnit val="months"/>
      </c:dateAx>
      <c:valAx>
        <c:axId val="108394752"/>
        <c:scaling>
          <c:orientation val="minMax"/>
        </c:scaling>
        <c:delete val="0"/>
        <c:axPos val="l"/>
        <c:majorGridlines/>
        <c:numFmt formatCode="#,##0" sourceLinked="1"/>
        <c:majorTickMark val="out"/>
        <c:minorTickMark val="none"/>
        <c:tickLblPos val="nextTo"/>
        <c:crossAx val="108393216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000000000000822" l="0.70000000000000062" r="0.70000000000000062" t="0.75000000000000822" header="0.30000000000000032" footer="0.30000000000000032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1"/>
          <c:order val="1"/>
          <c:tx>
            <c:strRef>
              <c:f>'KPI 16'!$D$20</c:f>
              <c:strCache>
                <c:ptCount val="1"/>
                <c:pt idx="0">
                  <c:v>Actual 2025-26</c:v>
                </c:pt>
              </c:strCache>
            </c:strRef>
          </c:tx>
          <c:spPr>
            <a:solidFill>
              <a:schemeClr val="accent1"/>
            </a:solidFill>
          </c:spPr>
          <c:invertIfNegative val="0"/>
          <c:cat>
            <c:numRef>
              <c:f>'KPI 16'!$E$18:$P$18</c:f>
              <c:numCache>
                <c:formatCode>mmm\-yy</c:formatCode>
                <c:ptCount val="12"/>
                <c:pt idx="0">
                  <c:v>45839</c:v>
                </c:pt>
                <c:pt idx="1">
                  <c:v>45870</c:v>
                </c:pt>
                <c:pt idx="2">
                  <c:v>45901</c:v>
                </c:pt>
                <c:pt idx="3">
                  <c:v>45931</c:v>
                </c:pt>
                <c:pt idx="4">
                  <c:v>45962</c:v>
                </c:pt>
                <c:pt idx="5">
                  <c:v>45992</c:v>
                </c:pt>
                <c:pt idx="6">
                  <c:v>46023</c:v>
                </c:pt>
                <c:pt idx="7">
                  <c:v>46054</c:v>
                </c:pt>
                <c:pt idx="8">
                  <c:v>46082</c:v>
                </c:pt>
                <c:pt idx="9">
                  <c:v>46113</c:v>
                </c:pt>
                <c:pt idx="10">
                  <c:v>46143</c:v>
                </c:pt>
                <c:pt idx="11">
                  <c:v>46174</c:v>
                </c:pt>
              </c:numCache>
            </c:numRef>
          </c:cat>
          <c:val>
            <c:numRef>
              <c:f>'KPI 16'!$E$20:$P$20</c:f>
              <c:numCache>
                <c:formatCode>#,##0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1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01E-4CDB-8036-E39DC2DE5991}"/>
            </c:ext>
          </c:extLst>
        </c:ser>
        <c:ser>
          <c:idx val="4"/>
          <c:order val="2"/>
          <c:tx>
            <c:strRef>
              <c:f>'KPI 16'!$D$21</c:f>
              <c:strCache>
                <c:ptCount val="1"/>
                <c:pt idx="0">
                  <c:v>Actual 2024-25</c:v>
                </c:pt>
              </c:strCache>
            </c:strRef>
          </c:tx>
          <c:spPr>
            <a:solidFill>
              <a:schemeClr val="accent3"/>
            </a:solidFill>
          </c:spPr>
          <c:invertIfNegative val="0"/>
          <c:cat>
            <c:numRef>
              <c:f>'KPI 16'!$E$18:$P$18</c:f>
              <c:numCache>
                <c:formatCode>mmm\-yy</c:formatCode>
                <c:ptCount val="12"/>
                <c:pt idx="0">
                  <c:v>45839</c:v>
                </c:pt>
                <c:pt idx="1">
                  <c:v>45870</c:v>
                </c:pt>
                <c:pt idx="2">
                  <c:v>45901</c:v>
                </c:pt>
                <c:pt idx="3">
                  <c:v>45931</c:v>
                </c:pt>
                <c:pt idx="4">
                  <c:v>45962</c:v>
                </c:pt>
                <c:pt idx="5">
                  <c:v>45992</c:v>
                </c:pt>
                <c:pt idx="6">
                  <c:v>46023</c:v>
                </c:pt>
                <c:pt idx="7">
                  <c:v>46054</c:v>
                </c:pt>
                <c:pt idx="8">
                  <c:v>46082</c:v>
                </c:pt>
                <c:pt idx="9">
                  <c:v>46113</c:v>
                </c:pt>
                <c:pt idx="10">
                  <c:v>46143</c:v>
                </c:pt>
                <c:pt idx="11">
                  <c:v>46174</c:v>
                </c:pt>
              </c:numCache>
            </c:numRef>
          </c:cat>
          <c:val>
            <c:numRef>
              <c:f>'KPI 16'!$E$21:$P$21</c:f>
              <c:numCache>
                <c:formatCode>#,##0</c:formatCode>
                <c:ptCount val="12"/>
                <c:pt idx="0">
                  <c:v>1</c:v>
                </c:pt>
                <c:pt idx="1">
                  <c:v>3</c:v>
                </c:pt>
                <c:pt idx="2">
                  <c:v>1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1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01E-4CDB-8036-E39DC2DE599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8345216"/>
        <c:axId val="108346752"/>
      </c:barChart>
      <c:lineChart>
        <c:grouping val="standard"/>
        <c:varyColors val="0"/>
        <c:ser>
          <c:idx val="0"/>
          <c:order val="0"/>
          <c:tx>
            <c:strRef>
              <c:f>'KPI 16'!$D$19</c:f>
              <c:strCache>
                <c:ptCount val="1"/>
                <c:pt idx="0">
                  <c:v>Budget 2025-26</c:v>
                </c:pt>
              </c:strCache>
            </c:strRef>
          </c:tx>
          <c:spPr>
            <a:ln>
              <a:solidFill>
                <a:srgbClr val="FF0000"/>
              </a:solidFill>
            </a:ln>
          </c:spPr>
          <c:marker>
            <c:symbol val="none"/>
          </c:marker>
          <c:cat>
            <c:numRef>
              <c:f>'KPI 16'!$E$18:$P$18</c:f>
              <c:numCache>
                <c:formatCode>mmm\-yy</c:formatCode>
                <c:ptCount val="12"/>
                <c:pt idx="0">
                  <c:v>45839</c:v>
                </c:pt>
                <c:pt idx="1">
                  <c:v>45870</c:v>
                </c:pt>
                <c:pt idx="2">
                  <c:v>45901</c:v>
                </c:pt>
                <c:pt idx="3">
                  <c:v>45931</c:v>
                </c:pt>
                <c:pt idx="4">
                  <c:v>45962</c:v>
                </c:pt>
                <c:pt idx="5">
                  <c:v>45992</c:v>
                </c:pt>
                <c:pt idx="6">
                  <c:v>46023</c:v>
                </c:pt>
                <c:pt idx="7">
                  <c:v>46054</c:v>
                </c:pt>
                <c:pt idx="8">
                  <c:v>46082</c:v>
                </c:pt>
                <c:pt idx="9">
                  <c:v>46113</c:v>
                </c:pt>
                <c:pt idx="10">
                  <c:v>46143</c:v>
                </c:pt>
                <c:pt idx="11">
                  <c:v>46174</c:v>
                </c:pt>
              </c:numCache>
            </c:numRef>
          </c:cat>
          <c:val>
            <c:numRef>
              <c:f>'KPI 16'!$E$19:$P$19</c:f>
              <c:numCache>
                <c:formatCode>#,##0</c:formatCode>
                <c:ptCount val="12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01E-4CDB-8036-E39DC2DE599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8345216"/>
        <c:axId val="108346752"/>
      </c:lineChart>
      <c:dateAx>
        <c:axId val="108345216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crossAx val="108346752"/>
        <c:crosses val="autoZero"/>
        <c:auto val="1"/>
        <c:lblOffset val="100"/>
        <c:baseTimeUnit val="months"/>
      </c:dateAx>
      <c:valAx>
        <c:axId val="108346752"/>
        <c:scaling>
          <c:orientation val="minMax"/>
        </c:scaling>
        <c:delete val="0"/>
        <c:axPos val="l"/>
        <c:majorGridlines/>
        <c:numFmt formatCode="#,##0" sourceLinked="1"/>
        <c:majorTickMark val="out"/>
        <c:minorTickMark val="none"/>
        <c:tickLblPos val="nextTo"/>
        <c:crossAx val="108345216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000000000000822" l="0.70000000000000062" r="0.70000000000000062" t="0.75000000000000822" header="0.30000000000000032" footer="0.30000000000000032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1"/>
          <c:order val="1"/>
          <c:tx>
            <c:strRef>
              <c:f>'KPI 17'!$D$20</c:f>
              <c:strCache>
                <c:ptCount val="1"/>
                <c:pt idx="0">
                  <c:v>Actual 2025-26</c:v>
                </c:pt>
              </c:strCache>
            </c:strRef>
          </c:tx>
          <c:spPr>
            <a:solidFill>
              <a:schemeClr val="accent1"/>
            </a:solidFill>
          </c:spPr>
          <c:invertIfNegative val="0"/>
          <c:cat>
            <c:numRef>
              <c:f>'KPI 17'!$E$18:$P$18</c:f>
              <c:numCache>
                <c:formatCode>mmm\-yy</c:formatCode>
                <c:ptCount val="12"/>
                <c:pt idx="0">
                  <c:v>45839</c:v>
                </c:pt>
                <c:pt idx="1">
                  <c:v>45870</c:v>
                </c:pt>
                <c:pt idx="2">
                  <c:v>45901</c:v>
                </c:pt>
                <c:pt idx="3">
                  <c:v>45931</c:v>
                </c:pt>
                <c:pt idx="4">
                  <c:v>45962</c:v>
                </c:pt>
                <c:pt idx="5">
                  <c:v>45992</c:v>
                </c:pt>
                <c:pt idx="6">
                  <c:v>46023</c:v>
                </c:pt>
                <c:pt idx="7">
                  <c:v>46054</c:v>
                </c:pt>
                <c:pt idx="8">
                  <c:v>46082</c:v>
                </c:pt>
                <c:pt idx="9">
                  <c:v>46113</c:v>
                </c:pt>
                <c:pt idx="10">
                  <c:v>46143</c:v>
                </c:pt>
                <c:pt idx="11">
                  <c:v>46174</c:v>
                </c:pt>
              </c:numCache>
            </c:numRef>
          </c:cat>
          <c:val>
            <c:numRef>
              <c:f>'KPI 17'!$E$20:$P$20</c:f>
              <c:numCache>
                <c:formatCode>#,##0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AD9-4C71-AEFD-E59472334CC4}"/>
            </c:ext>
          </c:extLst>
        </c:ser>
        <c:ser>
          <c:idx val="4"/>
          <c:order val="2"/>
          <c:tx>
            <c:strRef>
              <c:f>'KPI 17'!$D$21</c:f>
              <c:strCache>
                <c:ptCount val="1"/>
                <c:pt idx="0">
                  <c:v>Actual 2024-25</c:v>
                </c:pt>
              </c:strCache>
            </c:strRef>
          </c:tx>
          <c:spPr>
            <a:solidFill>
              <a:schemeClr val="accent3"/>
            </a:solidFill>
          </c:spPr>
          <c:invertIfNegative val="0"/>
          <c:cat>
            <c:numRef>
              <c:f>'KPI 17'!$E$18:$P$18</c:f>
              <c:numCache>
                <c:formatCode>mmm\-yy</c:formatCode>
                <c:ptCount val="12"/>
                <c:pt idx="0">
                  <c:v>45839</c:v>
                </c:pt>
                <c:pt idx="1">
                  <c:v>45870</c:v>
                </c:pt>
                <c:pt idx="2">
                  <c:v>45901</c:v>
                </c:pt>
                <c:pt idx="3">
                  <c:v>45931</c:v>
                </c:pt>
                <c:pt idx="4">
                  <c:v>45962</c:v>
                </c:pt>
                <c:pt idx="5">
                  <c:v>45992</c:v>
                </c:pt>
                <c:pt idx="6">
                  <c:v>46023</c:v>
                </c:pt>
                <c:pt idx="7">
                  <c:v>46054</c:v>
                </c:pt>
                <c:pt idx="8">
                  <c:v>46082</c:v>
                </c:pt>
                <c:pt idx="9">
                  <c:v>46113</c:v>
                </c:pt>
                <c:pt idx="10">
                  <c:v>46143</c:v>
                </c:pt>
                <c:pt idx="11">
                  <c:v>46174</c:v>
                </c:pt>
              </c:numCache>
            </c:numRef>
          </c:cat>
          <c:val>
            <c:numRef>
              <c:f>'KPI 17'!$E$21:$P$21</c:f>
              <c:numCache>
                <c:formatCode>#,##0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AD9-4C71-AEFD-E59472334CC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5605760"/>
        <c:axId val="108671360"/>
      </c:barChart>
      <c:lineChart>
        <c:grouping val="standard"/>
        <c:varyColors val="0"/>
        <c:ser>
          <c:idx val="0"/>
          <c:order val="0"/>
          <c:tx>
            <c:strRef>
              <c:f>'KPI 17'!$D$19</c:f>
              <c:strCache>
                <c:ptCount val="1"/>
                <c:pt idx="0">
                  <c:v>Budget 2025-26</c:v>
                </c:pt>
              </c:strCache>
            </c:strRef>
          </c:tx>
          <c:spPr>
            <a:ln>
              <a:solidFill>
                <a:srgbClr val="FF0000"/>
              </a:solidFill>
            </a:ln>
          </c:spPr>
          <c:marker>
            <c:symbol val="none"/>
          </c:marker>
          <c:cat>
            <c:numRef>
              <c:f>'KPI 17'!$E$18:$P$18</c:f>
              <c:numCache>
                <c:formatCode>mmm\-yy</c:formatCode>
                <c:ptCount val="12"/>
                <c:pt idx="0">
                  <c:v>45839</c:v>
                </c:pt>
                <c:pt idx="1">
                  <c:v>45870</c:v>
                </c:pt>
                <c:pt idx="2">
                  <c:v>45901</c:v>
                </c:pt>
                <c:pt idx="3">
                  <c:v>45931</c:v>
                </c:pt>
                <c:pt idx="4">
                  <c:v>45962</c:v>
                </c:pt>
                <c:pt idx="5">
                  <c:v>45992</c:v>
                </c:pt>
                <c:pt idx="6">
                  <c:v>46023</c:v>
                </c:pt>
                <c:pt idx="7">
                  <c:v>46054</c:v>
                </c:pt>
                <c:pt idx="8">
                  <c:v>46082</c:v>
                </c:pt>
                <c:pt idx="9">
                  <c:v>46113</c:v>
                </c:pt>
                <c:pt idx="10">
                  <c:v>46143</c:v>
                </c:pt>
                <c:pt idx="11">
                  <c:v>46174</c:v>
                </c:pt>
              </c:numCache>
            </c:numRef>
          </c:cat>
          <c:val>
            <c:numRef>
              <c:f>'KPI 17'!$E$19:$P$19</c:f>
              <c:numCache>
                <c:formatCode>#,##0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CAD9-4C71-AEFD-E59472334CC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5605760"/>
        <c:axId val="108671360"/>
      </c:lineChart>
      <c:dateAx>
        <c:axId val="105605760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crossAx val="108671360"/>
        <c:crosses val="autoZero"/>
        <c:auto val="1"/>
        <c:lblOffset val="100"/>
        <c:baseTimeUnit val="months"/>
      </c:dateAx>
      <c:valAx>
        <c:axId val="108671360"/>
        <c:scaling>
          <c:orientation val="minMax"/>
        </c:scaling>
        <c:delete val="0"/>
        <c:axPos val="l"/>
        <c:majorGridlines/>
        <c:numFmt formatCode="#,##0" sourceLinked="1"/>
        <c:majorTickMark val="out"/>
        <c:minorTickMark val="none"/>
        <c:tickLblPos val="nextTo"/>
        <c:crossAx val="10560576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000000000000822" l="0.70000000000000062" r="0.70000000000000062" t="0.75000000000000822" header="0.30000000000000032" footer="0.30000000000000032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1"/>
          <c:order val="1"/>
          <c:tx>
            <c:strRef>
              <c:f>'KPI 18'!$D$20</c:f>
              <c:strCache>
                <c:ptCount val="1"/>
                <c:pt idx="0">
                  <c:v>Actual 2025-26</c:v>
                </c:pt>
              </c:strCache>
            </c:strRef>
          </c:tx>
          <c:spPr>
            <a:solidFill>
              <a:schemeClr val="accent1"/>
            </a:solidFill>
          </c:spPr>
          <c:invertIfNegative val="0"/>
          <c:cat>
            <c:numRef>
              <c:f>'KPI 18'!$E$18:$P$18</c:f>
              <c:numCache>
                <c:formatCode>mmm\-yy</c:formatCode>
                <c:ptCount val="12"/>
                <c:pt idx="0">
                  <c:v>45839</c:v>
                </c:pt>
                <c:pt idx="1">
                  <c:v>45870</c:v>
                </c:pt>
                <c:pt idx="2">
                  <c:v>45901</c:v>
                </c:pt>
                <c:pt idx="3">
                  <c:v>45931</c:v>
                </c:pt>
                <c:pt idx="4">
                  <c:v>45962</c:v>
                </c:pt>
                <c:pt idx="5">
                  <c:v>45992</c:v>
                </c:pt>
                <c:pt idx="6">
                  <c:v>46023</c:v>
                </c:pt>
                <c:pt idx="7">
                  <c:v>46054</c:v>
                </c:pt>
                <c:pt idx="8">
                  <c:v>46082</c:v>
                </c:pt>
                <c:pt idx="9">
                  <c:v>46113</c:v>
                </c:pt>
                <c:pt idx="10">
                  <c:v>46143</c:v>
                </c:pt>
                <c:pt idx="11">
                  <c:v>46174</c:v>
                </c:pt>
              </c:numCache>
            </c:numRef>
          </c:cat>
          <c:val>
            <c:numRef>
              <c:f>'KPI 18'!$E$20:$P$20</c:f>
              <c:numCache>
                <c:formatCode>#,##0</c:formatCode>
                <c:ptCount val="12"/>
                <c:pt idx="0">
                  <c:v>0</c:v>
                </c:pt>
                <c:pt idx="1">
                  <c:v>2</c:v>
                </c:pt>
                <c:pt idx="2">
                  <c:v>2</c:v>
                </c:pt>
                <c:pt idx="3">
                  <c:v>2</c:v>
                </c:pt>
                <c:pt idx="4">
                  <c:v>2</c:v>
                </c:pt>
                <c:pt idx="5">
                  <c:v>0</c:v>
                </c:pt>
                <c:pt idx="6">
                  <c:v>4</c:v>
                </c:pt>
                <c:pt idx="7">
                  <c:v>3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F8D-4571-BAC2-466533B85449}"/>
            </c:ext>
          </c:extLst>
        </c:ser>
        <c:ser>
          <c:idx val="4"/>
          <c:order val="2"/>
          <c:tx>
            <c:strRef>
              <c:f>'KPI 18'!$D$21</c:f>
              <c:strCache>
                <c:ptCount val="1"/>
                <c:pt idx="0">
                  <c:v>Actual 2024-25</c:v>
                </c:pt>
              </c:strCache>
            </c:strRef>
          </c:tx>
          <c:spPr>
            <a:solidFill>
              <a:schemeClr val="accent3"/>
            </a:solidFill>
          </c:spPr>
          <c:invertIfNegative val="0"/>
          <c:cat>
            <c:numRef>
              <c:f>'KPI 18'!$E$18:$P$18</c:f>
              <c:numCache>
                <c:formatCode>mmm\-yy</c:formatCode>
                <c:ptCount val="12"/>
                <c:pt idx="0">
                  <c:v>45839</c:v>
                </c:pt>
                <c:pt idx="1">
                  <c:v>45870</c:v>
                </c:pt>
                <c:pt idx="2">
                  <c:v>45901</c:v>
                </c:pt>
                <c:pt idx="3">
                  <c:v>45931</c:v>
                </c:pt>
                <c:pt idx="4">
                  <c:v>45962</c:v>
                </c:pt>
                <c:pt idx="5">
                  <c:v>45992</c:v>
                </c:pt>
                <c:pt idx="6">
                  <c:v>46023</c:v>
                </c:pt>
                <c:pt idx="7">
                  <c:v>46054</c:v>
                </c:pt>
                <c:pt idx="8">
                  <c:v>46082</c:v>
                </c:pt>
                <c:pt idx="9">
                  <c:v>46113</c:v>
                </c:pt>
                <c:pt idx="10">
                  <c:v>46143</c:v>
                </c:pt>
                <c:pt idx="11">
                  <c:v>46174</c:v>
                </c:pt>
              </c:numCache>
            </c:numRef>
          </c:cat>
          <c:val>
            <c:numRef>
              <c:f>'KPI 18'!$E$21:$P$21</c:f>
              <c:numCache>
                <c:formatCode>#,##0</c:formatCode>
                <c:ptCount val="12"/>
                <c:pt idx="0">
                  <c:v>2</c:v>
                </c:pt>
                <c:pt idx="1">
                  <c:v>10</c:v>
                </c:pt>
                <c:pt idx="2">
                  <c:v>1</c:v>
                </c:pt>
                <c:pt idx="3">
                  <c:v>1</c:v>
                </c:pt>
                <c:pt idx="4">
                  <c:v>0</c:v>
                </c:pt>
                <c:pt idx="5">
                  <c:v>3</c:v>
                </c:pt>
                <c:pt idx="6">
                  <c:v>1</c:v>
                </c:pt>
                <c:pt idx="7">
                  <c:v>4</c:v>
                </c:pt>
                <c:pt idx="8">
                  <c:v>2</c:v>
                </c:pt>
                <c:pt idx="9">
                  <c:v>2</c:v>
                </c:pt>
                <c:pt idx="10">
                  <c:v>0</c:v>
                </c:pt>
                <c:pt idx="11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F8D-4571-BAC2-466533B8544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9101440"/>
        <c:axId val="109102976"/>
      </c:barChart>
      <c:lineChart>
        <c:grouping val="standard"/>
        <c:varyColors val="0"/>
        <c:ser>
          <c:idx val="0"/>
          <c:order val="0"/>
          <c:tx>
            <c:strRef>
              <c:f>'KPI 18'!$D$19</c:f>
              <c:strCache>
                <c:ptCount val="1"/>
                <c:pt idx="0">
                  <c:v>Budget 2025-26</c:v>
                </c:pt>
              </c:strCache>
            </c:strRef>
          </c:tx>
          <c:spPr>
            <a:ln>
              <a:solidFill>
                <a:srgbClr val="FF0000"/>
              </a:solidFill>
            </a:ln>
          </c:spPr>
          <c:marker>
            <c:symbol val="none"/>
          </c:marker>
          <c:cat>
            <c:numRef>
              <c:f>'KPI 18'!$E$18:$P$18</c:f>
              <c:numCache>
                <c:formatCode>mmm\-yy</c:formatCode>
                <c:ptCount val="12"/>
                <c:pt idx="0">
                  <c:v>45839</c:v>
                </c:pt>
                <c:pt idx="1">
                  <c:v>45870</c:v>
                </c:pt>
                <c:pt idx="2">
                  <c:v>45901</c:v>
                </c:pt>
                <c:pt idx="3">
                  <c:v>45931</c:v>
                </c:pt>
                <c:pt idx="4">
                  <c:v>45962</c:v>
                </c:pt>
                <c:pt idx="5">
                  <c:v>45992</c:v>
                </c:pt>
                <c:pt idx="6">
                  <c:v>46023</c:v>
                </c:pt>
                <c:pt idx="7">
                  <c:v>46054</c:v>
                </c:pt>
                <c:pt idx="8">
                  <c:v>46082</c:v>
                </c:pt>
                <c:pt idx="9">
                  <c:v>46113</c:v>
                </c:pt>
                <c:pt idx="10">
                  <c:v>46143</c:v>
                </c:pt>
                <c:pt idx="11">
                  <c:v>46174</c:v>
                </c:pt>
              </c:numCache>
            </c:numRef>
          </c:cat>
          <c:val>
            <c:numRef>
              <c:f>'KPI 18'!$E$19:$P$19</c:f>
              <c:numCache>
                <c:formatCode>#,##0</c:formatCode>
                <c:ptCount val="12"/>
                <c:pt idx="0">
                  <c:v>14</c:v>
                </c:pt>
                <c:pt idx="1">
                  <c:v>13</c:v>
                </c:pt>
                <c:pt idx="2">
                  <c:v>13</c:v>
                </c:pt>
                <c:pt idx="3">
                  <c:v>13</c:v>
                </c:pt>
                <c:pt idx="4">
                  <c:v>13</c:v>
                </c:pt>
                <c:pt idx="5">
                  <c:v>13</c:v>
                </c:pt>
                <c:pt idx="6">
                  <c:v>13</c:v>
                </c:pt>
                <c:pt idx="7">
                  <c:v>13</c:v>
                </c:pt>
                <c:pt idx="8">
                  <c:v>13</c:v>
                </c:pt>
                <c:pt idx="9">
                  <c:v>13</c:v>
                </c:pt>
                <c:pt idx="10">
                  <c:v>13</c:v>
                </c:pt>
                <c:pt idx="11">
                  <c:v>13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F8D-4571-BAC2-466533B8544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9101440"/>
        <c:axId val="109102976"/>
      </c:lineChart>
      <c:dateAx>
        <c:axId val="109101440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crossAx val="109102976"/>
        <c:crosses val="autoZero"/>
        <c:auto val="1"/>
        <c:lblOffset val="100"/>
        <c:baseTimeUnit val="months"/>
      </c:dateAx>
      <c:valAx>
        <c:axId val="109102976"/>
        <c:scaling>
          <c:orientation val="minMax"/>
        </c:scaling>
        <c:delete val="0"/>
        <c:axPos val="l"/>
        <c:majorGridlines/>
        <c:numFmt formatCode="#,##0" sourceLinked="1"/>
        <c:majorTickMark val="out"/>
        <c:minorTickMark val="none"/>
        <c:tickLblPos val="nextTo"/>
        <c:crossAx val="10910144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000000000000822" l="0.70000000000000062" r="0.70000000000000062" t="0.75000000000000822" header="0.30000000000000032" footer="0.30000000000000032"/>
    <c:pageSetup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1"/>
          <c:order val="1"/>
          <c:tx>
            <c:strRef>
              <c:f>'KPI 19'!$D$20</c:f>
              <c:strCache>
                <c:ptCount val="1"/>
                <c:pt idx="0">
                  <c:v>Actual 2025-26</c:v>
                </c:pt>
              </c:strCache>
            </c:strRef>
          </c:tx>
          <c:spPr>
            <a:solidFill>
              <a:schemeClr val="accent1"/>
            </a:solidFill>
          </c:spPr>
          <c:invertIfNegative val="0"/>
          <c:cat>
            <c:numRef>
              <c:f>'KPI 19'!$E$18:$P$18</c:f>
              <c:numCache>
                <c:formatCode>mmm\-yy</c:formatCode>
                <c:ptCount val="12"/>
                <c:pt idx="0">
                  <c:v>45839</c:v>
                </c:pt>
                <c:pt idx="1">
                  <c:v>45870</c:v>
                </c:pt>
                <c:pt idx="2">
                  <c:v>45901</c:v>
                </c:pt>
                <c:pt idx="3">
                  <c:v>45931</c:v>
                </c:pt>
                <c:pt idx="4">
                  <c:v>45962</c:v>
                </c:pt>
                <c:pt idx="5">
                  <c:v>45992</c:v>
                </c:pt>
                <c:pt idx="6">
                  <c:v>46023</c:v>
                </c:pt>
                <c:pt idx="7">
                  <c:v>46054</c:v>
                </c:pt>
                <c:pt idx="8">
                  <c:v>46082</c:v>
                </c:pt>
                <c:pt idx="9">
                  <c:v>46113</c:v>
                </c:pt>
                <c:pt idx="10">
                  <c:v>46143</c:v>
                </c:pt>
                <c:pt idx="11">
                  <c:v>46174</c:v>
                </c:pt>
              </c:numCache>
            </c:numRef>
          </c:cat>
          <c:val>
            <c:numRef>
              <c:f>'KPI 19'!$E$20:$P$20</c:f>
              <c:numCache>
                <c:formatCode>#,##0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58E-4F63-B192-F61F243A97F0}"/>
            </c:ext>
          </c:extLst>
        </c:ser>
        <c:ser>
          <c:idx val="4"/>
          <c:order val="2"/>
          <c:tx>
            <c:strRef>
              <c:f>'KPI 19'!$D$21</c:f>
              <c:strCache>
                <c:ptCount val="1"/>
                <c:pt idx="0">
                  <c:v>Actual 2024-25</c:v>
                </c:pt>
              </c:strCache>
            </c:strRef>
          </c:tx>
          <c:spPr>
            <a:solidFill>
              <a:schemeClr val="accent3"/>
            </a:solidFill>
          </c:spPr>
          <c:invertIfNegative val="0"/>
          <c:cat>
            <c:numRef>
              <c:f>'KPI 19'!$E$18:$P$18</c:f>
              <c:numCache>
                <c:formatCode>mmm\-yy</c:formatCode>
                <c:ptCount val="12"/>
                <c:pt idx="0">
                  <c:v>45839</c:v>
                </c:pt>
                <c:pt idx="1">
                  <c:v>45870</c:v>
                </c:pt>
                <c:pt idx="2">
                  <c:v>45901</c:v>
                </c:pt>
                <c:pt idx="3">
                  <c:v>45931</c:v>
                </c:pt>
                <c:pt idx="4">
                  <c:v>45962</c:v>
                </c:pt>
                <c:pt idx="5">
                  <c:v>45992</c:v>
                </c:pt>
                <c:pt idx="6">
                  <c:v>46023</c:v>
                </c:pt>
                <c:pt idx="7">
                  <c:v>46054</c:v>
                </c:pt>
                <c:pt idx="8">
                  <c:v>46082</c:v>
                </c:pt>
                <c:pt idx="9">
                  <c:v>46113</c:v>
                </c:pt>
                <c:pt idx="10">
                  <c:v>46143</c:v>
                </c:pt>
                <c:pt idx="11">
                  <c:v>46174</c:v>
                </c:pt>
              </c:numCache>
            </c:numRef>
          </c:cat>
          <c:val>
            <c:numRef>
              <c:f>'KPI 19'!$E$21:$P$21</c:f>
              <c:numCache>
                <c:formatCode>#,##0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58E-4F63-B192-F61F243A97F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8008576"/>
        <c:axId val="108010112"/>
      </c:barChart>
      <c:lineChart>
        <c:grouping val="standard"/>
        <c:varyColors val="0"/>
        <c:ser>
          <c:idx val="0"/>
          <c:order val="0"/>
          <c:tx>
            <c:strRef>
              <c:f>'KPI 19'!$D$19</c:f>
              <c:strCache>
                <c:ptCount val="1"/>
                <c:pt idx="0">
                  <c:v>Budget 2025-26</c:v>
                </c:pt>
              </c:strCache>
            </c:strRef>
          </c:tx>
          <c:spPr>
            <a:ln>
              <a:solidFill>
                <a:srgbClr val="FF0000"/>
              </a:solidFill>
            </a:ln>
          </c:spPr>
          <c:marker>
            <c:symbol val="none"/>
          </c:marker>
          <c:cat>
            <c:numRef>
              <c:f>'KPI 19'!$E$18:$P$18</c:f>
              <c:numCache>
                <c:formatCode>mmm\-yy</c:formatCode>
                <c:ptCount val="12"/>
                <c:pt idx="0">
                  <c:v>45839</c:v>
                </c:pt>
                <c:pt idx="1">
                  <c:v>45870</c:v>
                </c:pt>
                <c:pt idx="2">
                  <c:v>45901</c:v>
                </c:pt>
                <c:pt idx="3">
                  <c:v>45931</c:v>
                </c:pt>
                <c:pt idx="4">
                  <c:v>45962</c:v>
                </c:pt>
                <c:pt idx="5">
                  <c:v>45992</c:v>
                </c:pt>
                <c:pt idx="6">
                  <c:v>46023</c:v>
                </c:pt>
                <c:pt idx="7">
                  <c:v>46054</c:v>
                </c:pt>
                <c:pt idx="8">
                  <c:v>46082</c:v>
                </c:pt>
                <c:pt idx="9">
                  <c:v>46113</c:v>
                </c:pt>
                <c:pt idx="10">
                  <c:v>46143</c:v>
                </c:pt>
                <c:pt idx="11">
                  <c:v>46174</c:v>
                </c:pt>
              </c:numCache>
            </c:numRef>
          </c:cat>
          <c:val>
            <c:numRef>
              <c:f>'KPI 19'!$E$19:$P$19</c:f>
              <c:numCache>
                <c:formatCode>#,##0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B58E-4F63-B192-F61F243A97F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8008576"/>
        <c:axId val="108010112"/>
      </c:lineChart>
      <c:dateAx>
        <c:axId val="108008576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crossAx val="108010112"/>
        <c:crosses val="autoZero"/>
        <c:auto val="1"/>
        <c:lblOffset val="100"/>
        <c:baseTimeUnit val="months"/>
      </c:dateAx>
      <c:valAx>
        <c:axId val="108010112"/>
        <c:scaling>
          <c:orientation val="minMax"/>
        </c:scaling>
        <c:delete val="0"/>
        <c:axPos val="l"/>
        <c:majorGridlines/>
        <c:numFmt formatCode="#,##0" sourceLinked="1"/>
        <c:majorTickMark val="out"/>
        <c:minorTickMark val="none"/>
        <c:tickLblPos val="nextTo"/>
        <c:crossAx val="108008576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000000000000822" l="0.70000000000000062" r="0.70000000000000062" t="0.75000000000000822" header="0.30000000000000032" footer="0.30000000000000032"/>
    <c:pageSetup/>
  </c:printSettings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1"/>
          <c:order val="1"/>
          <c:tx>
            <c:strRef>
              <c:f>'KPI 20'!$D$20</c:f>
              <c:strCache>
                <c:ptCount val="1"/>
                <c:pt idx="0">
                  <c:v>Actual 2025-26</c:v>
                </c:pt>
              </c:strCache>
            </c:strRef>
          </c:tx>
          <c:spPr>
            <a:solidFill>
              <a:schemeClr val="accent1"/>
            </a:solidFill>
          </c:spPr>
          <c:invertIfNegative val="0"/>
          <c:cat>
            <c:numRef>
              <c:f>'KPI 20'!$E$18:$P$18</c:f>
              <c:numCache>
                <c:formatCode>mmm\-yy</c:formatCode>
                <c:ptCount val="12"/>
                <c:pt idx="0">
                  <c:v>45839</c:v>
                </c:pt>
                <c:pt idx="1">
                  <c:v>45870</c:v>
                </c:pt>
                <c:pt idx="2">
                  <c:v>45901</c:v>
                </c:pt>
                <c:pt idx="3">
                  <c:v>45931</c:v>
                </c:pt>
                <c:pt idx="4">
                  <c:v>45962</c:v>
                </c:pt>
                <c:pt idx="5">
                  <c:v>45992</c:v>
                </c:pt>
                <c:pt idx="6">
                  <c:v>46023</c:v>
                </c:pt>
                <c:pt idx="7">
                  <c:v>46054</c:v>
                </c:pt>
                <c:pt idx="8">
                  <c:v>46082</c:v>
                </c:pt>
                <c:pt idx="9">
                  <c:v>46113</c:v>
                </c:pt>
                <c:pt idx="10">
                  <c:v>46143</c:v>
                </c:pt>
                <c:pt idx="11">
                  <c:v>46174</c:v>
                </c:pt>
              </c:numCache>
            </c:numRef>
          </c:cat>
          <c:val>
            <c:numRef>
              <c:f>'KPI 20'!$E$20:$P$20</c:f>
              <c:numCache>
                <c:formatCode>#,##0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FAF-4A26-97F2-946C00AA27C4}"/>
            </c:ext>
          </c:extLst>
        </c:ser>
        <c:ser>
          <c:idx val="4"/>
          <c:order val="2"/>
          <c:tx>
            <c:strRef>
              <c:f>'KPI 20'!$D$21</c:f>
              <c:strCache>
                <c:ptCount val="1"/>
                <c:pt idx="0">
                  <c:v>Actual 2024-25</c:v>
                </c:pt>
              </c:strCache>
            </c:strRef>
          </c:tx>
          <c:spPr>
            <a:solidFill>
              <a:schemeClr val="accent3"/>
            </a:solidFill>
          </c:spPr>
          <c:invertIfNegative val="0"/>
          <c:cat>
            <c:numRef>
              <c:f>'KPI 20'!$E$18:$P$18</c:f>
              <c:numCache>
                <c:formatCode>mmm\-yy</c:formatCode>
                <c:ptCount val="12"/>
                <c:pt idx="0">
                  <c:v>45839</c:v>
                </c:pt>
                <c:pt idx="1">
                  <c:v>45870</c:v>
                </c:pt>
                <c:pt idx="2">
                  <c:v>45901</c:v>
                </c:pt>
                <c:pt idx="3">
                  <c:v>45931</c:v>
                </c:pt>
                <c:pt idx="4">
                  <c:v>45962</c:v>
                </c:pt>
                <c:pt idx="5">
                  <c:v>45992</c:v>
                </c:pt>
                <c:pt idx="6">
                  <c:v>46023</c:v>
                </c:pt>
                <c:pt idx="7">
                  <c:v>46054</c:v>
                </c:pt>
                <c:pt idx="8">
                  <c:v>46082</c:v>
                </c:pt>
                <c:pt idx="9">
                  <c:v>46113</c:v>
                </c:pt>
                <c:pt idx="10">
                  <c:v>46143</c:v>
                </c:pt>
                <c:pt idx="11">
                  <c:v>46174</c:v>
                </c:pt>
              </c:numCache>
            </c:numRef>
          </c:cat>
          <c:val>
            <c:numRef>
              <c:f>'KPI 20'!$E$21:$P$21</c:f>
              <c:numCache>
                <c:formatCode>#,##0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FAF-4A26-97F2-946C00AA27C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8595456"/>
        <c:axId val="108597248"/>
      </c:barChart>
      <c:lineChart>
        <c:grouping val="standard"/>
        <c:varyColors val="0"/>
        <c:ser>
          <c:idx val="0"/>
          <c:order val="0"/>
          <c:tx>
            <c:strRef>
              <c:f>'KPI 20'!$D$19</c:f>
              <c:strCache>
                <c:ptCount val="1"/>
                <c:pt idx="0">
                  <c:v>Budget 2025-26</c:v>
                </c:pt>
              </c:strCache>
            </c:strRef>
          </c:tx>
          <c:spPr>
            <a:ln>
              <a:solidFill>
                <a:srgbClr val="FF0000"/>
              </a:solidFill>
            </a:ln>
          </c:spPr>
          <c:marker>
            <c:symbol val="none"/>
          </c:marker>
          <c:cat>
            <c:numRef>
              <c:f>'KPI 20'!$E$18:$P$18</c:f>
              <c:numCache>
                <c:formatCode>mmm\-yy</c:formatCode>
                <c:ptCount val="12"/>
                <c:pt idx="0">
                  <c:v>45839</c:v>
                </c:pt>
                <c:pt idx="1">
                  <c:v>45870</c:v>
                </c:pt>
                <c:pt idx="2">
                  <c:v>45901</c:v>
                </c:pt>
                <c:pt idx="3">
                  <c:v>45931</c:v>
                </c:pt>
                <c:pt idx="4">
                  <c:v>45962</c:v>
                </c:pt>
                <c:pt idx="5">
                  <c:v>45992</c:v>
                </c:pt>
                <c:pt idx="6">
                  <c:v>46023</c:v>
                </c:pt>
                <c:pt idx="7">
                  <c:v>46054</c:v>
                </c:pt>
                <c:pt idx="8">
                  <c:v>46082</c:v>
                </c:pt>
                <c:pt idx="9">
                  <c:v>46113</c:v>
                </c:pt>
                <c:pt idx="10">
                  <c:v>46143</c:v>
                </c:pt>
                <c:pt idx="11">
                  <c:v>46174</c:v>
                </c:pt>
              </c:numCache>
            </c:numRef>
          </c:cat>
          <c:val>
            <c:numRef>
              <c:f>'KPI 20'!$E$19:$P$19</c:f>
              <c:numCache>
                <c:formatCode>#,##0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0FAF-4A26-97F2-946C00AA27C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8595456"/>
        <c:axId val="108597248"/>
      </c:lineChart>
      <c:dateAx>
        <c:axId val="108595456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crossAx val="108597248"/>
        <c:crosses val="autoZero"/>
        <c:auto val="1"/>
        <c:lblOffset val="100"/>
        <c:baseTimeUnit val="months"/>
      </c:dateAx>
      <c:valAx>
        <c:axId val="108597248"/>
        <c:scaling>
          <c:orientation val="minMax"/>
        </c:scaling>
        <c:delete val="0"/>
        <c:axPos val="l"/>
        <c:majorGridlines/>
        <c:numFmt formatCode="#,##0" sourceLinked="1"/>
        <c:majorTickMark val="out"/>
        <c:minorTickMark val="none"/>
        <c:tickLblPos val="nextTo"/>
        <c:crossAx val="108595456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000000000000822" l="0.70000000000000062" r="0.70000000000000062" t="0.75000000000000822" header="0.30000000000000032" footer="0.30000000000000032"/>
    <c:pageSetup/>
  </c:printSettings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1"/>
          <c:order val="1"/>
          <c:tx>
            <c:strRef>
              <c:f>'KPI 21'!$D$20</c:f>
              <c:strCache>
                <c:ptCount val="1"/>
                <c:pt idx="0">
                  <c:v>Actual 2025-26</c:v>
                </c:pt>
              </c:strCache>
            </c:strRef>
          </c:tx>
          <c:spPr>
            <a:solidFill>
              <a:schemeClr val="accent1"/>
            </a:solidFill>
          </c:spPr>
          <c:invertIfNegative val="0"/>
          <c:cat>
            <c:numRef>
              <c:f>'KPI 21'!$E$18:$P$18</c:f>
              <c:numCache>
                <c:formatCode>mmm\-yy</c:formatCode>
                <c:ptCount val="12"/>
                <c:pt idx="0">
                  <c:v>45839</c:v>
                </c:pt>
                <c:pt idx="1">
                  <c:v>45870</c:v>
                </c:pt>
                <c:pt idx="2">
                  <c:v>45901</c:v>
                </c:pt>
                <c:pt idx="3">
                  <c:v>45931</c:v>
                </c:pt>
                <c:pt idx="4">
                  <c:v>45962</c:v>
                </c:pt>
                <c:pt idx="5">
                  <c:v>45992</c:v>
                </c:pt>
                <c:pt idx="6">
                  <c:v>46023</c:v>
                </c:pt>
                <c:pt idx="7">
                  <c:v>46054</c:v>
                </c:pt>
                <c:pt idx="8">
                  <c:v>46082</c:v>
                </c:pt>
                <c:pt idx="9">
                  <c:v>46113</c:v>
                </c:pt>
                <c:pt idx="10">
                  <c:v>46143</c:v>
                </c:pt>
                <c:pt idx="11">
                  <c:v>46174</c:v>
                </c:pt>
              </c:numCache>
            </c:numRef>
          </c:cat>
          <c:val>
            <c:numRef>
              <c:f>'KPI 21'!$E$20:$P$20</c:f>
              <c:numCache>
                <c:formatCode>#,##0</c:formatCode>
                <c:ptCount val="12"/>
                <c:pt idx="0">
                  <c:v>0</c:v>
                </c:pt>
                <c:pt idx="1">
                  <c:v>2</c:v>
                </c:pt>
                <c:pt idx="2">
                  <c:v>2</c:v>
                </c:pt>
                <c:pt idx="3">
                  <c:v>1</c:v>
                </c:pt>
                <c:pt idx="4">
                  <c:v>3</c:v>
                </c:pt>
                <c:pt idx="5">
                  <c:v>0</c:v>
                </c:pt>
                <c:pt idx="6">
                  <c:v>0</c:v>
                </c:pt>
                <c:pt idx="7">
                  <c:v>2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FB1-4F83-9268-3CB40D30EC8B}"/>
            </c:ext>
          </c:extLst>
        </c:ser>
        <c:ser>
          <c:idx val="4"/>
          <c:order val="2"/>
          <c:tx>
            <c:strRef>
              <c:f>'KPI 21'!$D$21</c:f>
              <c:strCache>
                <c:ptCount val="1"/>
                <c:pt idx="0">
                  <c:v>Actual 2024-25</c:v>
                </c:pt>
              </c:strCache>
            </c:strRef>
          </c:tx>
          <c:spPr>
            <a:solidFill>
              <a:schemeClr val="accent3"/>
            </a:solidFill>
          </c:spPr>
          <c:invertIfNegative val="0"/>
          <c:cat>
            <c:numRef>
              <c:f>'KPI 21'!$E$18:$P$18</c:f>
              <c:numCache>
                <c:formatCode>mmm\-yy</c:formatCode>
                <c:ptCount val="12"/>
                <c:pt idx="0">
                  <c:v>45839</c:v>
                </c:pt>
                <c:pt idx="1">
                  <c:v>45870</c:v>
                </c:pt>
                <c:pt idx="2">
                  <c:v>45901</c:v>
                </c:pt>
                <c:pt idx="3">
                  <c:v>45931</c:v>
                </c:pt>
                <c:pt idx="4">
                  <c:v>45962</c:v>
                </c:pt>
                <c:pt idx="5">
                  <c:v>45992</c:v>
                </c:pt>
                <c:pt idx="6">
                  <c:v>46023</c:v>
                </c:pt>
                <c:pt idx="7">
                  <c:v>46054</c:v>
                </c:pt>
                <c:pt idx="8">
                  <c:v>46082</c:v>
                </c:pt>
                <c:pt idx="9">
                  <c:v>46113</c:v>
                </c:pt>
                <c:pt idx="10">
                  <c:v>46143</c:v>
                </c:pt>
                <c:pt idx="11">
                  <c:v>46174</c:v>
                </c:pt>
              </c:numCache>
            </c:numRef>
          </c:cat>
          <c:val>
            <c:numRef>
              <c:f>'KPI 21'!$E$21:$P$21</c:f>
              <c:numCache>
                <c:formatCode>#,##0</c:formatCode>
                <c:ptCount val="12"/>
                <c:pt idx="0">
                  <c:v>1</c:v>
                </c:pt>
                <c:pt idx="1">
                  <c:v>0</c:v>
                </c:pt>
                <c:pt idx="2">
                  <c:v>2</c:v>
                </c:pt>
                <c:pt idx="3">
                  <c:v>1</c:v>
                </c:pt>
                <c:pt idx="4">
                  <c:v>0</c:v>
                </c:pt>
                <c:pt idx="5">
                  <c:v>1</c:v>
                </c:pt>
                <c:pt idx="6">
                  <c:v>0</c:v>
                </c:pt>
                <c:pt idx="7">
                  <c:v>2</c:v>
                </c:pt>
                <c:pt idx="8">
                  <c:v>2</c:v>
                </c:pt>
                <c:pt idx="9">
                  <c:v>1</c:v>
                </c:pt>
                <c:pt idx="10">
                  <c:v>0</c:v>
                </c:pt>
                <c:pt idx="11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FB1-4F83-9268-3CB40D30EC8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8617088"/>
        <c:axId val="108635264"/>
      </c:barChart>
      <c:lineChart>
        <c:grouping val="standard"/>
        <c:varyColors val="0"/>
        <c:ser>
          <c:idx val="0"/>
          <c:order val="0"/>
          <c:tx>
            <c:strRef>
              <c:f>'KPI 21'!$D$19</c:f>
              <c:strCache>
                <c:ptCount val="1"/>
                <c:pt idx="0">
                  <c:v>Budget 2025-26</c:v>
                </c:pt>
              </c:strCache>
            </c:strRef>
          </c:tx>
          <c:spPr>
            <a:ln>
              <a:solidFill>
                <a:srgbClr val="FF0000"/>
              </a:solidFill>
            </a:ln>
          </c:spPr>
          <c:marker>
            <c:symbol val="none"/>
          </c:marker>
          <c:cat>
            <c:numRef>
              <c:f>'KPI 21'!$E$18:$P$18</c:f>
              <c:numCache>
                <c:formatCode>mmm\-yy</c:formatCode>
                <c:ptCount val="12"/>
                <c:pt idx="0">
                  <c:v>45839</c:v>
                </c:pt>
                <c:pt idx="1">
                  <c:v>45870</c:v>
                </c:pt>
                <c:pt idx="2">
                  <c:v>45901</c:v>
                </c:pt>
                <c:pt idx="3">
                  <c:v>45931</c:v>
                </c:pt>
                <c:pt idx="4">
                  <c:v>45962</c:v>
                </c:pt>
                <c:pt idx="5">
                  <c:v>45992</c:v>
                </c:pt>
                <c:pt idx="6">
                  <c:v>46023</c:v>
                </c:pt>
                <c:pt idx="7">
                  <c:v>46054</c:v>
                </c:pt>
                <c:pt idx="8">
                  <c:v>46082</c:v>
                </c:pt>
                <c:pt idx="9">
                  <c:v>46113</c:v>
                </c:pt>
                <c:pt idx="10">
                  <c:v>46143</c:v>
                </c:pt>
                <c:pt idx="11">
                  <c:v>46174</c:v>
                </c:pt>
              </c:numCache>
            </c:numRef>
          </c:cat>
          <c:val>
            <c:numRef>
              <c:f>'KPI 21'!$E$19:$P$19</c:f>
              <c:numCache>
                <c:formatCode>#,##0</c:formatCode>
                <c:ptCount val="12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4FB1-4F83-9268-3CB40D30EC8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8617088"/>
        <c:axId val="108635264"/>
      </c:lineChart>
      <c:dateAx>
        <c:axId val="108617088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crossAx val="108635264"/>
        <c:crosses val="autoZero"/>
        <c:auto val="1"/>
        <c:lblOffset val="100"/>
        <c:baseTimeUnit val="months"/>
      </c:dateAx>
      <c:valAx>
        <c:axId val="108635264"/>
        <c:scaling>
          <c:orientation val="minMax"/>
        </c:scaling>
        <c:delete val="0"/>
        <c:axPos val="l"/>
        <c:majorGridlines/>
        <c:numFmt formatCode="#,##0" sourceLinked="1"/>
        <c:majorTickMark val="out"/>
        <c:minorTickMark val="none"/>
        <c:tickLblPos val="nextTo"/>
        <c:crossAx val="108617088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000000000000822" l="0.70000000000000062" r="0.70000000000000062" t="0.75000000000000822" header="0.30000000000000032" footer="0.30000000000000032"/>
    <c:pageSetup/>
  </c:printSettings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1"/>
          <c:order val="1"/>
          <c:tx>
            <c:strRef>
              <c:f>'KPI 22'!$D$20</c:f>
              <c:strCache>
                <c:ptCount val="1"/>
                <c:pt idx="0">
                  <c:v>Actual 2025-26</c:v>
                </c:pt>
              </c:strCache>
            </c:strRef>
          </c:tx>
          <c:spPr>
            <a:solidFill>
              <a:schemeClr val="accent1"/>
            </a:solidFill>
          </c:spPr>
          <c:invertIfNegative val="0"/>
          <c:cat>
            <c:numRef>
              <c:f>'KPI 22'!$E$18:$P$18</c:f>
              <c:numCache>
                <c:formatCode>mmm\-yy</c:formatCode>
                <c:ptCount val="12"/>
                <c:pt idx="0">
                  <c:v>45839</c:v>
                </c:pt>
                <c:pt idx="1">
                  <c:v>45870</c:v>
                </c:pt>
                <c:pt idx="2">
                  <c:v>45901</c:v>
                </c:pt>
                <c:pt idx="3">
                  <c:v>45931</c:v>
                </c:pt>
                <c:pt idx="4">
                  <c:v>45962</c:v>
                </c:pt>
                <c:pt idx="5">
                  <c:v>45992</c:v>
                </c:pt>
                <c:pt idx="6">
                  <c:v>46023</c:v>
                </c:pt>
                <c:pt idx="7">
                  <c:v>46054</c:v>
                </c:pt>
                <c:pt idx="8">
                  <c:v>46082</c:v>
                </c:pt>
                <c:pt idx="9">
                  <c:v>46113</c:v>
                </c:pt>
                <c:pt idx="10">
                  <c:v>46143</c:v>
                </c:pt>
                <c:pt idx="11">
                  <c:v>46174</c:v>
                </c:pt>
              </c:numCache>
            </c:numRef>
          </c:cat>
          <c:val>
            <c:numRef>
              <c:f>'KPI 22'!$E$20:$P$20</c:f>
              <c:numCache>
                <c:formatCode>#,##0</c:formatCode>
                <c:ptCount val="12"/>
                <c:pt idx="0">
                  <c:v>0</c:v>
                </c:pt>
                <c:pt idx="1">
                  <c:v>1</c:v>
                </c:pt>
                <c:pt idx="2">
                  <c:v>0</c:v>
                </c:pt>
                <c:pt idx="3">
                  <c:v>1</c:v>
                </c:pt>
                <c:pt idx="4">
                  <c:v>0</c:v>
                </c:pt>
                <c:pt idx="5">
                  <c:v>0</c:v>
                </c:pt>
                <c:pt idx="6">
                  <c:v>1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745-437D-9D05-604D023AB2FB}"/>
            </c:ext>
          </c:extLst>
        </c:ser>
        <c:ser>
          <c:idx val="4"/>
          <c:order val="2"/>
          <c:tx>
            <c:strRef>
              <c:f>'KPI 22'!$D$21</c:f>
              <c:strCache>
                <c:ptCount val="1"/>
                <c:pt idx="0">
                  <c:v>Actual 2024-25</c:v>
                </c:pt>
              </c:strCache>
            </c:strRef>
          </c:tx>
          <c:spPr>
            <a:solidFill>
              <a:schemeClr val="accent3"/>
            </a:solidFill>
          </c:spPr>
          <c:invertIfNegative val="0"/>
          <c:cat>
            <c:numRef>
              <c:f>'KPI 22'!$E$18:$P$18</c:f>
              <c:numCache>
                <c:formatCode>mmm\-yy</c:formatCode>
                <c:ptCount val="12"/>
                <c:pt idx="0">
                  <c:v>45839</c:v>
                </c:pt>
                <c:pt idx="1">
                  <c:v>45870</c:v>
                </c:pt>
                <c:pt idx="2">
                  <c:v>45901</c:v>
                </c:pt>
                <c:pt idx="3">
                  <c:v>45931</c:v>
                </c:pt>
                <c:pt idx="4">
                  <c:v>45962</c:v>
                </c:pt>
                <c:pt idx="5">
                  <c:v>45992</c:v>
                </c:pt>
                <c:pt idx="6">
                  <c:v>46023</c:v>
                </c:pt>
                <c:pt idx="7">
                  <c:v>46054</c:v>
                </c:pt>
                <c:pt idx="8">
                  <c:v>46082</c:v>
                </c:pt>
                <c:pt idx="9">
                  <c:v>46113</c:v>
                </c:pt>
                <c:pt idx="10">
                  <c:v>46143</c:v>
                </c:pt>
                <c:pt idx="11">
                  <c:v>46174</c:v>
                </c:pt>
              </c:numCache>
            </c:numRef>
          </c:cat>
          <c:val>
            <c:numRef>
              <c:f>'KPI 22'!$E$21:$P$21</c:f>
              <c:numCache>
                <c:formatCode>#,##0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2</c:v>
                </c:pt>
                <c:pt idx="3">
                  <c:v>1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1</c:v>
                </c:pt>
                <c:pt idx="8">
                  <c:v>1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745-437D-9D05-604D023AB2F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9502848"/>
        <c:axId val="109504384"/>
      </c:barChart>
      <c:lineChart>
        <c:grouping val="standard"/>
        <c:varyColors val="0"/>
        <c:ser>
          <c:idx val="0"/>
          <c:order val="0"/>
          <c:tx>
            <c:strRef>
              <c:f>'KPI 22'!$D$19</c:f>
              <c:strCache>
                <c:ptCount val="1"/>
                <c:pt idx="0">
                  <c:v>Budget 2025-26</c:v>
                </c:pt>
              </c:strCache>
            </c:strRef>
          </c:tx>
          <c:spPr>
            <a:ln>
              <a:solidFill>
                <a:srgbClr val="FF0000"/>
              </a:solidFill>
            </a:ln>
          </c:spPr>
          <c:marker>
            <c:symbol val="none"/>
          </c:marker>
          <c:cat>
            <c:numRef>
              <c:f>'KPI 22'!$E$18:$P$18</c:f>
              <c:numCache>
                <c:formatCode>mmm\-yy</c:formatCode>
                <c:ptCount val="12"/>
                <c:pt idx="0">
                  <c:v>45839</c:v>
                </c:pt>
                <c:pt idx="1">
                  <c:v>45870</c:v>
                </c:pt>
                <c:pt idx="2">
                  <c:v>45901</c:v>
                </c:pt>
                <c:pt idx="3">
                  <c:v>45931</c:v>
                </c:pt>
                <c:pt idx="4">
                  <c:v>45962</c:v>
                </c:pt>
                <c:pt idx="5">
                  <c:v>45992</c:v>
                </c:pt>
                <c:pt idx="6">
                  <c:v>46023</c:v>
                </c:pt>
                <c:pt idx="7">
                  <c:v>46054</c:v>
                </c:pt>
                <c:pt idx="8">
                  <c:v>46082</c:v>
                </c:pt>
                <c:pt idx="9">
                  <c:v>46113</c:v>
                </c:pt>
                <c:pt idx="10">
                  <c:v>46143</c:v>
                </c:pt>
                <c:pt idx="11">
                  <c:v>46174</c:v>
                </c:pt>
              </c:numCache>
            </c:numRef>
          </c:cat>
          <c:val>
            <c:numRef>
              <c:f>'KPI 22'!$E$19:$P$19</c:f>
              <c:numCache>
                <c:formatCode>#,##0</c:formatCode>
                <c:ptCount val="12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9745-437D-9D05-604D023AB2F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9502848"/>
        <c:axId val="109504384"/>
      </c:lineChart>
      <c:dateAx>
        <c:axId val="109502848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crossAx val="109504384"/>
        <c:crosses val="autoZero"/>
        <c:auto val="1"/>
        <c:lblOffset val="100"/>
        <c:baseTimeUnit val="months"/>
      </c:dateAx>
      <c:valAx>
        <c:axId val="109504384"/>
        <c:scaling>
          <c:orientation val="minMax"/>
        </c:scaling>
        <c:delete val="0"/>
        <c:axPos val="l"/>
        <c:majorGridlines/>
        <c:numFmt formatCode="#,##0" sourceLinked="1"/>
        <c:majorTickMark val="out"/>
        <c:minorTickMark val="none"/>
        <c:tickLblPos val="nextTo"/>
        <c:crossAx val="109502848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000000000000822" l="0.70000000000000062" r="0.70000000000000062" t="0.75000000000000822" header="0.30000000000000032" footer="0.30000000000000032"/>
    <c:pageSetup/>
  </c:printSettings>
</c:chartSpace>
</file>

<file path=xl/charts/chart2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1"/>
          <c:order val="1"/>
          <c:tx>
            <c:strRef>
              <c:f>'KPI 22'!$D$20</c:f>
              <c:strCache>
                <c:ptCount val="1"/>
                <c:pt idx="0">
                  <c:v>Actual 2025-26</c:v>
                </c:pt>
              </c:strCache>
            </c:strRef>
          </c:tx>
          <c:spPr>
            <a:solidFill>
              <a:schemeClr val="accent1"/>
            </a:solidFill>
          </c:spPr>
          <c:invertIfNegative val="0"/>
          <c:cat>
            <c:numRef>
              <c:f>'KPI 22'!$E$18:$P$18</c:f>
              <c:numCache>
                <c:formatCode>mmm\-yy</c:formatCode>
                <c:ptCount val="12"/>
                <c:pt idx="0">
                  <c:v>45839</c:v>
                </c:pt>
                <c:pt idx="1">
                  <c:v>45870</c:v>
                </c:pt>
                <c:pt idx="2">
                  <c:v>45901</c:v>
                </c:pt>
                <c:pt idx="3">
                  <c:v>45931</c:v>
                </c:pt>
                <c:pt idx="4">
                  <c:v>45962</c:v>
                </c:pt>
                <c:pt idx="5">
                  <c:v>45992</c:v>
                </c:pt>
                <c:pt idx="6">
                  <c:v>46023</c:v>
                </c:pt>
                <c:pt idx="7">
                  <c:v>46054</c:v>
                </c:pt>
                <c:pt idx="8">
                  <c:v>46082</c:v>
                </c:pt>
                <c:pt idx="9">
                  <c:v>46113</c:v>
                </c:pt>
                <c:pt idx="10">
                  <c:v>46143</c:v>
                </c:pt>
                <c:pt idx="11">
                  <c:v>46174</c:v>
                </c:pt>
              </c:numCache>
            </c:numRef>
          </c:cat>
          <c:val>
            <c:numRef>
              <c:f>'KPI 22'!$E$20:$P$20</c:f>
              <c:numCache>
                <c:formatCode>#,##0</c:formatCode>
                <c:ptCount val="12"/>
                <c:pt idx="0">
                  <c:v>0</c:v>
                </c:pt>
                <c:pt idx="1">
                  <c:v>1</c:v>
                </c:pt>
                <c:pt idx="2">
                  <c:v>0</c:v>
                </c:pt>
                <c:pt idx="3">
                  <c:v>1</c:v>
                </c:pt>
                <c:pt idx="4">
                  <c:v>0</c:v>
                </c:pt>
                <c:pt idx="5">
                  <c:v>0</c:v>
                </c:pt>
                <c:pt idx="6">
                  <c:v>1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0D9-4C4B-A77C-0D21A0F432B7}"/>
            </c:ext>
          </c:extLst>
        </c:ser>
        <c:ser>
          <c:idx val="4"/>
          <c:order val="2"/>
          <c:tx>
            <c:strRef>
              <c:f>'KPI 22'!$D$21</c:f>
              <c:strCache>
                <c:ptCount val="1"/>
                <c:pt idx="0">
                  <c:v>Actual 2024-25</c:v>
                </c:pt>
              </c:strCache>
            </c:strRef>
          </c:tx>
          <c:spPr>
            <a:solidFill>
              <a:schemeClr val="accent3"/>
            </a:solidFill>
          </c:spPr>
          <c:invertIfNegative val="0"/>
          <c:cat>
            <c:numRef>
              <c:f>'KPI 22'!$E$18:$P$18</c:f>
              <c:numCache>
                <c:formatCode>mmm\-yy</c:formatCode>
                <c:ptCount val="12"/>
                <c:pt idx="0">
                  <c:v>45839</c:v>
                </c:pt>
                <c:pt idx="1">
                  <c:v>45870</c:v>
                </c:pt>
                <c:pt idx="2">
                  <c:v>45901</c:v>
                </c:pt>
                <c:pt idx="3">
                  <c:v>45931</c:v>
                </c:pt>
                <c:pt idx="4">
                  <c:v>45962</c:v>
                </c:pt>
                <c:pt idx="5">
                  <c:v>45992</c:v>
                </c:pt>
                <c:pt idx="6">
                  <c:v>46023</c:v>
                </c:pt>
                <c:pt idx="7">
                  <c:v>46054</c:v>
                </c:pt>
                <c:pt idx="8">
                  <c:v>46082</c:v>
                </c:pt>
                <c:pt idx="9">
                  <c:v>46113</c:v>
                </c:pt>
                <c:pt idx="10">
                  <c:v>46143</c:v>
                </c:pt>
                <c:pt idx="11">
                  <c:v>46174</c:v>
                </c:pt>
              </c:numCache>
            </c:numRef>
          </c:cat>
          <c:val>
            <c:numRef>
              <c:f>'KPI 22'!$E$21:$P$21</c:f>
              <c:numCache>
                <c:formatCode>#,##0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2</c:v>
                </c:pt>
                <c:pt idx="3">
                  <c:v>1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1</c:v>
                </c:pt>
                <c:pt idx="8">
                  <c:v>1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0D9-4C4B-A77C-0D21A0F432B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9502848"/>
        <c:axId val="109504384"/>
      </c:barChart>
      <c:lineChart>
        <c:grouping val="standard"/>
        <c:varyColors val="0"/>
        <c:ser>
          <c:idx val="0"/>
          <c:order val="0"/>
          <c:tx>
            <c:strRef>
              <c:f>'KPI 22'!$D$19</c:f>
              <c:strCache>
                <c:ptCount val="1"/>
                <c:pt idx="0">
                  <c:v>Budget 2025-26</c:v>
                </c:pt>
              </c:strCache>
            </c:strRef>
          </c:tx>
          <c:spPr>
            <a:ln>
              <a:solidFill>
                <a:srgbClr val="FF0000"/>
              </a:solidFill>
            </a:ln>
          </c:spPr>
          <c:marker>
            <c:symbol val="none"/>
          </c:marker>
          <c:cat>
            <c:numRef>
              <c:f>'KPI 22'!$E$18:$P$18</c:f>
              <c:numCache>
                <c:formatCode>mmm\-yy</c:formatCode>
                <c:ptCount val="12"/>
                <c:pt idx="0">
                  <c:v>45839</c:v>
                </c:pt>
                <c:pt idx="1">
                  <c:v>45870</c:v>
                </c:pt>
                <c:pt idx="2">
                  <c:v>45901</c:v>
                </c:pt>
                <c:pt idx="3">
                  <c:v>45931</c:v>
                </c:pt>
                <c:pt idx="4">
                  <c:v>45962</c:v>
                </c:pt>
                <c:pt idx="5">
                  <c:v>45992</c:v>
                </c:pt>
                <c:pt idx="6">
                  <c:v>46023</c:v>
                </c:pt>
                <c:pt idx="7">
                  <c:v>46054</c:v>
                </c:pt>
                <c:pt idx="8">
                  <c:v>46082</c:v>
                </c:pt>
                <c:pt idx="9">
                  <c:v>46113</c:v>
                </c:pt>
                <c:pt idx="10">
                  <c:v>46143</c:v>
                </c:pt>
                <c:pt idx="11">
                  <c:v>46174</c:v>
                </c:pt>
              </c:numCache>
            </c:numRef>
          </c:cat>
          <c:val>
            <c:numRef>
              <c:f>'KPI 22'!$E$19:$P$19</c:f>
              <c:numCache>
                <c:formatCode>#,##0</c:formatCode>
                <c:ptCount val="12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E0D9-4C4B-A77C-0D21A0F432B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9502848"/>
        <c:axId val="109504384"/>
      </c:lineChart>
      <c:dateAx>
        <c:axId val="109502848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crossAx val="109504384"/>
        <c:crosses val="autoZero"/>
        <c:auto val="1"/>
        <c:lblOffset val="100"/>
        <c:baseTimeUnit val="months"/>
      </c:dateAx>
      <c:valAx>
        <c:axId val="109504384"/>
        <c:scaling>
          <c:orientation val="minMax"/>
        </c:scaling>
        <c:delete val="0"/>
        <c:axPos val="l"/>
        <c:majorGridlines/>
        <c:numFmt formatCode="#,##0" sourceLinked="1"/>
        <c:majorTickMark val="out"/>
        <c:minorTickMark val="none"/>
        <c:tickLblPos val="nextTo"/>
        <c:crossAx val="109502848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000000000000822" l="0.70000000000000062" r="0.70000000000000062" t="0.75000000000000822" header="0.30000000000000032" footer="0.30000000000000032"/>
    <c:pageSetup/>
  </c:printSettings>
</c:chartSpace>
</file>

<file path=xl/charts/chart2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1"/>
          <c:order val="1"/>
          <c:tx>
            <c:strRef>
              <c:f>'KPI 23'!$D$20</c:f>
              <c:strCache>
                <c:ptCount val="1"/>
                <c:pt idx="0">
                  <c:v>Actual 2025-26</c:v>
                </c:pt>
              </c:strCache>
            </c:strRef>
          </c:tx>
          <c:spPr>
            <a:solidFill>
              <a:schemeClr val="accent1"/>
            </a:solidFill>
          </c:spPr>
          <c:invertIfNegative val="0"/>
          <c:cat>
            <c:numRef>
              <c:f>'KPI 23'!$E$18:$P$18</c:f>
              <c:numCache>
                <c:formatCode>mmm\-yy</c:formatCode>
                <c:ptCount val="12"/>
                <c:pt idx="0">
                  <c:v>45839</c:v>
                </c:pt>
                <c:pt idx="1">
                  <c:v>45870</c:v>
                </c:pt>
                <c:pt idx="2">
                  <c:v>45901</c:v>
                </c:pt>
                <c:pt idx="3">
                  <c:v>45931</c:v>
                </c:pt>
                <c:pt idx="4">
                  <c:v>45962</c:v>
                </c:pt>
                <c:pt idx="5">
                  <c:v>45992</c:v>
                </c:pt>
                <c:pt idx="6">
                  <c:v>46023</c:v>
                </c:pt>
                <c:pt idx="7">
                  <c:v>46054</c:v>
                </c:pt>
                <c:pt idx="8">
                  <c:v>46082</c:v>
                </c:pt>
                <c:pt idx="9">
                  <c:v>46113</c:v>
                </c:pt>
                <c:pt idx="10">
                  <c:v>46143</c:v>
                </c:pt>
                <c:pt idx="11">
                  <c:v>46174</c:v>
                </c:pt>
              </c:numCache>
            </c:numRef>
          </c:cat>
          <c:val>
            <c:numRef>
              <c:f>'KPI 23'!$E$20:$P$20</c:f>
              <c:numCache>
                <c:formatCode>#,##0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DD9-44ED-81D6-C434D974F639}"/>
            </c:ext>
          </c:extLst>
        </c:ser>
        <c:ser>
          <c:idx val="4"/>
          <c:order val="2"/>
          <c:tx>
            <c:strRef>
              <c:f>'KPI 23'!$D$21</c:f>
              <c:strCache>
                <c:ptCount val="1"/>
                <c:pt idx="0">
                  <c:v>Actual 2024-25</c:v>
                </c:pt>
              </c:strCache>
            </c:strRef>
          </c:tx>
          <c:spPr>
            <a:solidFill>
              <a:schemeClr val="accent3"/>
            </a:solidFill>
          </c:spPr>
          <c:invertIfNegative val="0"/>
          <c:cat>
            <c:numRef>
              <c:f>'KPI 23'!$E$18:$P$18</c:f>
              <c:numCache>
                <c:formatCode>mmm\-yy</c:formatCode>
                <c:ptCount val="12"/>
                <c:pt idx="0">
                  <c:v>45839</c:v>
                </c:pt>
                <c:pt idx="1">
                  <c:v>45870</c:v>
                </c:pt>
                <c:pt idx="2">
                  <c:v>45901</c:v>
                </c:pt>
                <c:pt idx="3">
                  <c:v>45931</c:v>
                </c:pt>
                <c:pt idx="4">
                  <c:v>45962</c:v>
                </c:pt>
                <c:pt idx="5">
                  <c:v>45992</c:v>
                </c:pt>
                <c:pt idx="6">
                  <c:v>46023</c:v>
                </c:pt>
                <c:pt idx="7">
                  <c:v>46054</c:v>
                </c:pt>
                <c:pt idx="8">
                  <c:v>46082</c:v>
                </c:pt>
                <c:pt idx="9">
                  <c:v>46113</c:v>
                </c:pt>
                <c:pt idx="10">
                  <c:v>46143</c:v>
                </c:pt>
                <c:pt idx="11">
                  <c:v>46174</c:v>
                </c:pt>
              </c:numCache>
            </c:numRef>
          </c:cat>
          <c:val>
            <c:numRef>
              <c:f>'KPI 23'!$E$21:$P$21</c:f>
              <c:numCache>
                <c:formatCode>#,##0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DD9-44ED-81D6-C434D974F63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15025408"/>
        <c:axId val="115026944"/>
      </c:barChart>
      <c:lineChart>
        <c:grouping val="standard"/>
        <c:varyColors val="0"/>
        <c:ser>
          <c:idx val="0"/>
          <c:order val="0"/>
          <c:tx>
            <c:strRef>
              <c:f>'KPI 23'!$D$19</c:f>
              <c:strCache>
                <c:ptCount val="1"/>
                <c:pt idx="0">
                  <c:v>Budget 2025-26</c:v>
                </c:pt>
              </c:strCache>
            </c:strRef>
          </c:tx>
          <c:spPr>
            <a:ln>
              <a:solidFill>
                <a:srgbClr val="FF0000"/>
              </a:solidFill>
            </a:ln>
          </c:spPr>
          <c:marker>
            <c:symbol val="none"/>
          </c:marker>
          <c:cat>
            <c:numRef>
              <c:f>'KPI 23'!$E$18:$P$18</c:f>
              <c:numCache>
                <c:formatCode>mmm\-yy</c:formatCode>
                <c:ptCount val="12"/>
                <c:pt idx="0">
                  <c:v>45839</c:v>
                </c:pt>
                <c:pt idx="1">
                  <c:v>45870</c:v>
                </c:pt>
                <c:pt idx="2">
                  <c:v>45901</c:v>
                </c:pt>
                <c:pt idx="3">
                  <c:v>45931</c:v>
                </c:pt>
                <c:pt idx="4">
                  <c:v>45962</c:v>
                </c:pt>
                <c:pt idx="5">
                  <c:v>45992</c:v>
                </c:pt>
                <c:pt idx="6">
                  <c:v>46023</c:v>
                </c:pt>
                <c:pt idx="7">
                  <c:v>46054</c:v>
                </c:pt>
                <c:pt idx="8">
                  <c:v>46082</c:v>
                </c:pt>
                <c:pt idx="9">
                  <c:v>46113</c:v>
                </c:pt>
                <c:pt idx="10">
                  <c:v>46143</c:v>
                </c:pt>
                <c:pt idx="11">
                  <c:v>46174</c:v>
                </c:pt>
              </c:numCache>
            </c:numRef>
          </c:cat>
          <c:val>
            <c:numRef>
              <c:f>'KPI 23'!$E$19:$P$19</c:f>
              <c:numCache>
                <c:formatCode>#,##0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DD9-44ED-81D6-C434D974F63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15025408"/>
        <c:axId val="115026944"/>
      </c:lineChart>
      <c:dateAx>
        <c:axId val="115025408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crossAx val="115026944"/>
        <c:crosses val="autoZero"/>
        <c:auto val="1"/>
        <c:lblOffset val="100"/>
        <c:baseTimeUnit val="months"/>
      </c:dateAx>
      <c:valAx>
        <c:axId val="115026944"/>
        <c:scaling>
          <c:orientation val="minMax"/>
        </c:scaling>
        <c:delete val="0"/>
        <c:axPos val="l"/>
        <c:majorGridlines/>
        <c:numFmt formatCode="#,##0" sourceLinked="1"/>
        <c:majorTickMark val="out"/>
        <c:minorTickMark val="none"/>
        <c:tickLblPos val="nextTo"/>
        <c:crossAx val="115025408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000000000000822" l="0.70000000000000062" r="0.70000000000000062" t="0.75000000000000822" header="0.30000000000000032" footer="0.30000000000000032"/>
    <c:pageSetup/>
  </c:printSettings>
</c:chartSpace>
</file>

<file path=xl/charts/chart3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1"/>
          <c:order val="1"/>
          <c:tx>
            <c:strRef>
              <c:f>'KPI 24'!$D$20</c:f>
              <c:strCache>
                <c:ptCount val="1"/>
                <c:pt idx="0">
                  <c:v>Actual 2025-26</c:v>
                </c:pt>
              </c:strCache>
            </c:strRef>
          </c:tx>
          <c:spPr>
            <a:solidFill>
              <a:schemeClr val="accent1"/>
            </a:solidFill>
          </c:spPr>
          <c:invertIfNegative val="0"/>
          <c:cat>
            <c:numRef>
              <c:f>'KPI 24'!$E$18:$P$18</c:f>
              <c:numCache>
                <c:formatCode>mmm\-yy</c:formatCode>
                <c:ptCount val="12"/>
                <c:pt idx="0">
                  <c:v>45839</c:v>
                </c:pt>
                <c:pt idx="1">
                  <c:v>45870</c:v>
                </c:pt>
                <c:pt idx="2">
                  <c:v>45901</c:v>
                </c:pt>
                <c:pt idx="3">
                  <c:v>45931</c:v>
                </c:pt>
                <c:pt idx="4">
                  <c:v>45962</c:v>
                </c:pt>
                <c:pt idx="5">
                  <c:v>45992</c:v>
                </c:pt>
                <c:pt idx="6">
                  <c:v>46023</c:v>
                </c:pt>
                <c:pt idx="7">
                  <c:v>46054</c:v>
                </c:pt>
                <c:pt idx="8">
                  <c:v>46082</c:v>
                </c:pt>
                <c:pt idx="9">
                  <c:v>46113</c:v>
                </c:pt>
                <c:pt idx="10">
                  <c:v>46143</c:v>
                </c:pt>
                <c:pt idx="11">
                  <c:v>46174</c:v>
                </c:pt>
              </c:numCache>
            </c:numRef>
          </c:cat>
          <c:val>
            <c:numRef>
              <c:f>'KPI 24'!$E$20:$P$20</c:f>
              <c:numCache>
                <c:formatCode>#,##0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B96-4A0F-8414-F990BF5552AB}"/>
            </c:ext>
          </c:extLst>
        </c:ser>
        <c:ser>
          <c:idx val="4"/>
          <c:order val="2"/>
          <c:tx>
            <c:strRef>
              <c:f>'KPI 24'!$D$21</c:f>
              <c:strCache>
                <c:ptCount val="1"/>
                <c:pt idx="0">
                  <c:v>Actual 2024-25</c:v>
                </c:pt>
              </c:strCache>
            </c:strRef>
          </c:tx>
          <c:spPr>
            <a:solidFill>
              <a:schemeClr val="accent3"/>
            </a:solidFill>
          </c:spPr>
          <c:invertIfNegative val="0"/>
          <c:cat>
            <c:numRef>
              <c:f>'KPI 24'!$E$18:$P$18</c:f>
              <c:numCache>
                <c:formatCode>mmm\-yy</c:formatCode>
                <c:ptCount val="12"/>
                <c:pt idx="0">
                  <c:v>45839</c:v>
                </c:pt>
                <c:pt idx="1">
                  <c:v>45870</c:v>
                </c:pt>
                <c:pt idx="2">
                  <c:v>45901</c:v>
                </c:pt>
                <c:pt idx="3">
                  <c:v>45931</c:v>
                </c:pt>
                <c:pt idx="4">
                  <c:v>45962</c:v>
                </c:pt>
                <c:pt idx="5">
                  <c:v>45992</c:v>
                </c:pt>
                <c:pt idx="6">
                  <c:v>46023</c:v>
                </c:pt>
                <c:pt idx="7">
                  <c:v>46054</c:v>
                </c:pt>
                <c:pt idx="8">
                  <c:v>46082</c:v>
                </c:pt>
                <c:pt idx="9">
                  <c:v>46113</c:v>
                </c:pt>
                <c:pt idx="10">
                  <c:v>46143</c:v>
                </c:pt>
                <c:pt idx="11">
                  <c:v>46174</c:v>
                </c:pt>
              </c:numCache>
            </c:numRef>
          </c:cat>
          <c:val>
            <c:numRef>
              <c:f>'KPI 24'!$E$21:$P$21</c:f>
              <c:numCache>
                <c:formatCode>#,##0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B96-4A0F-8414-F990BF5552A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18557312"/>
        <c:axId val="118583680"/>
      </c:barChart>
      <c:lineChart>
        <c:grouping val="standard"/>
        <c:varyColors val="0"/>
        <c:ser>
          <c:idx val="0"/>
          <c:order val="0"/>
          <c:tx>
            <c:strRef>
              <c:f>'KPI 24'!$D$19</c:f>
              <c:strCache>
                <c:ptCount val="1"/>
                <c:pt idx="0">
                  <c:v>Budget 2025-26</c:v>
                </c:pt>
              </c:strCache>
            </c:strRef>
          </c:tx>
          <c:spPr>
            <a:ln>
              <a:solidFill>
                <a:srgbClr val="FF0000"/>
              </a:solidFill>
            </a:ln>
          </c:spPr>
          <c:marker>
            <c:symbol val="none"/>
          </c:marker>
          <c:cat>
            <c:numRef>
              <c:f>'KPI 24'!$E$18:$P$18</c:f>
              <c:numCache>
                <c:formatCode>mmm\-yy</c:formatCode>
                <c:ptCount val="12"/>
                <c:pt idx="0">
                  <c:v>45839</c:v>
                </c:pt>
                <c:pt idx="1">
                  <c:v>45870</c:v>
                </c:pt>
                <c:pt idx="2">
                  <c:v>45901</c:v>
                </c:pt>
                <c:pt idx="3">
                  <c:v>45931</c:v>
                </c:pt>
                <c:pt idx="4">
                  <c:v>45962</c:v>
                </c:pt>
                <c:pt idx="5">
                  <c:v>45992</c:v>
                </c:pt>
                <c:pt idx="6">
                  <c:v>46023</c:v>
                </c:pt>
                <c:pt idx="7">
                  <c:v>46054</c:v>
                </c:pt>
                <c:pt idx="8">
                  <c:v>46082</c:v>
                </c:pt>
                <c:pt idx="9">
                  <c:v>46113</c:v>
                </c:pt>
                <c:pt idx="10">
                  <c:v>46143</c:v>
                </c:pt>
                <c:pt idx="11">
                  <c:v>46174</c:v>
                </c:pt>
              </c:numCache>
            </c:numRef>
          </c:cat>
          <c:val>
            <c:numRef>
              <c:f>'KPI 24'!$E$19:$P$19</c:f>
              <c:numCache>
                <c:formatCode>#,##0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EB96-4A0F-8414-F990BF5552A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18557312"/>
        <c:axId val="118583680"/>
      </c:lineChart>
      <c:dateAx>
        <c:axId val="118557312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crossAx val="118583680"/>
        <c:crosses val="autoZero"/>
        <c:auto val="1"/>
        <c:lblOffset val="100"/>
        <c:baseTimeUnit val="months"/>
      </c:dateAx>
      <c:valAx>
        <c:axId val="118583680"/>
        <c:scaling>
          <c:orientation val="minMax"/>
        </c:scaling>
        <c:delete val="0"/>
        <c:axPos val="l"/>
        <c:majorGridlines/>
        <c:numFmt formatCode="#,##0" sourceLinked="1"/>
        <c:majorTickMark val="out"/>
        <c:minorTickMark val="none"/>
        <c:tickLblPos val="nextTo"/>
        <c:crossAx val="118557312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000000000000822" l="0.70000000000000062" r="0.70000000000000062" t="0.75000000000000822" header="0.30000000000000032" footer="0.30000000000000032"/>
    <c:pageSetup/>
  </c:printSettings>
</c:chartSpace>
</file>

<file path=xl/charts/chart3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1"/>
          <c:order val="1"/>
          <c:tx>
            <c:strRef>
              <c:f>'KPI 25'!$D$20</c:f>
              <c:strCache>
                <c:ptCount val="1"/>
                <c:pt idx="0">
                  <c:v>Actual 2025-26</c:v>
                </c:pt>
              </c:strCache>
            </c:strRef>
          </c:tx>
          <c:spPr>
            <a:solidFill>
              <a:schemeClr val="accent1"/>
            </a:solidFill>
          </c:spPr>
          <c:invertIfNegative val="0"/>
          <c:cat>
            <c:numRef>
              <c:f>'KPI 25'!$E$18:$P$18</c:f>
              <c:numCache>
                <c:formatCode>mmm\-yy</c:formatCode>
                <c:ptCount val="12"/>
                <c:pt idx="0">
                  <c:v>45839</c:v>
                </c:pt>
                <c:pt idx="1">
                  <c:v>45870</c:v>
                </c:pt>
                <c:pt idx="2">
                  <c:v>45901</c:v>
                </c:pt>
                <c:pt idx="3">
                  <c:v>45931</c:v>
                </c:pt>
                <c:pt idx="4">
                  <c:v>45962</c:v>
                </c:pt>
                <c:pt idx="5">
                  <c:v>45992</c:v>
                </c:pt>
                <c:pt idx="6">
                  <c:v>46023</c:v>
                </c:pt>
                <c:pt idx="7">
                  <c:v>46054</c:v>
                </c:pt>
                <c:pt idx="8">
                  <c:v>46082</c:v>
                </c:pt>
                <c:pt idx="9">
                  <c:v>46113</c:v>
                </c:pt>
                <c:pt idx="10">
                  <c:v>46143</c:v>
                </c:pt>
                <c:pt idx="11">
                  <c:v>46174</c:v>
                </c:pt>
              </c:numCache>
            </c:numRef>
          </c:cat>
          <c:val>
            <c:numRef>
              <c:f>'KPI 25'!$E$20:$P$20</c:f>
              <c:numCache>
                <c:formatCode>#,##0</c:formatCode>
                <c:ptCount val="12"/>
                <c:pt idx="0">
                  <c:v>790</c:v>
                </c:pt>
                <c:pt idx="1">
                  <c:v>791</c:v>
                </c:pt>
                <c:pt idx="2">
                  <c:v>791</c:v>
                </c:pt>
                <c:pt idx="3">
                  <c:v>793</c:v>
                </c:pt>
                <c:pt idx="4">
                  <c:v>793</c:v>
                </c:pt>
                <c:pt idx="5">
                  <c:v>793</c:v>
                </c:pt>
                <c:pt idx="6">
                  <c:v>792</c:v>
                </c:pt>
                <c:pt idx="7">
                  <c:v>792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AB5-437C-9830-1FAB5110DDA3}"/>
            </c:ext>
          </c:extLst>
        </c:ser>
        <c:ser>
          <c:idx val="4"/>
          <c:order val="2"/>
          <c:tx>
            <c:strRef>
              <c:f>'KPI 25'!$D$21</c:f>
              <c:strCache>
                <c:ptCount val="1"/>
                <c:pt idx="0">
                  <c:v>Actual 2024-25</c:v>
                </c:pt>
              </c:strCache>
            </c:strRef>
          </c:tx>
          <c:spPr>
            <a:solidFill>
              <a:schemeClr val="accent3"/>
            </a:solidFill>
          </c:spPr>
          <c:invertIfNegative val="0"/>
          <c:cat>
            <c:numRef>
              <c:f>'KPI 25'!$E$18:$P$18</c:f>
              <c:numCache>
                <c:formatCode>mmm\-yy</c:formatCode>
                <c:ptCount val="12"/>
                <c:pt idx="0">
                  <c:v>45839</c:v>
                </c:pt>
                <c:pt idx="1">
                  <c:v>45870</c:v>
                </c:pt>
                <c:pt idx="2">
                  <c:v>45901</c:v>
                </c:pt>
                <c:pt idx="3">
                  <c:v>45931</c:v>
                </c:pt>
                <c:pt idx="4">
                  <c:v>45962</c:v>
                </c:pt>
                <c:pt idx="5">
                  <c:v>45992</c:v>
                </c:pt>
                <c:pt idx="6">
                  <c:v>46023</c:v>
                </c:pt>
                <c:pt idx="7">
                  <c:v>46054</c:v>
                </c:pt>
                <c:pt idx="8">
                  <c:v>46082</c:v>
                </c:pt>
                <c:pt idx="9">
                  <c:v>46113</c:v>
                </c:pt>
                <c:pt idx="10">
                  <c:v>46143</c:v>
                </c:pt>
                <c:pt idx="11">
                  <c:v>46174</c:v>
                </c:pt>
              </c:numCache>
            </c:numRef>
          </c:cat>
          <c:val>
            <c:numRef>
              <c:f>'KPI 25'!$E$21:$P$21</c:f>
              <c:numCache>
                <c:formatCode>#,##0</c:formatCode>
                <c:ptCount val="12"/>
                <c:pt idx="0">
                  <c:v>782</c:v>
                </c:pt>
                <c:pt idx="1">
                  <c:v>783</c:v>
                </c:pt>
                <c:pt idx="2">
                  <c:v>785</c:v>
                </c:pt>
                <c:pt idx="3">
                  <c:v>786</c:v>
                </c:pt>
                <c:pt idx="4">
                  <c:v>785</c:v>
                </c:pt>
                <c:pt idx="5">
                  <c:v>786</c:v>
                </c:pt>
                <c:pt idx="6">
                  <c:v>785</c:v>
                </c:pt>
                <c:pt idx="7">
                  <c:v>785</c:v>
                </c:pt>
                <c:pt idx="8">
                  <c:v>785</c:v>
                </c:pt>
                <c:pt idx="9">
                  <c:v>786</c:v>
                </c:pt>
                <c:pt idx="10">
                  <c:v>788</c:v>
                </c:pt>
                <c:pt idx="11">
                  <c:v>790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AB5-437C-9830-1FAB5110DDA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18566912"/>
        <c:axId val="118568448"/>
      </c:barChart>
      <c:lineChart>
        <c:grouping val="standard"/>
        <c:varyColors val="0"/>
        <c:ser>
          <c:idx val="0"/>
          <c:order val="0"/>
          <c:tx>
            <c:strRef>
              <c:f>'KPI 25'!$D$19</c:f>
              <c:strCache>
                <c:ptCount val="1"/>
                <c:pt idx="0">
                  <c:v>Budget 2025-26</c:v>
                </c:pt>
              </c:strCache>
            </c:strRef>
          </c:tx>
          <c:spPr>
            <a:ln>
              <a:solidFill>
                <a:srgbClr val="FF0000"/>
              </a:solidFill>
            </a:ln>
          </c:spPr>
          <c:marker>
            <c:symbol val="none"/>
          </c:marker>
          <c:cat>
            <c:numRef>
              <c:f>'KPI 25'!$E$18:$P$18</c:f>
              <c:numCache>
                <c:formatCode>mmm\-yy</c:formatCode>
                <c:ptCount val="12"/>
                <c:pt idx="0">
                  <c:v>45839</c:v>
                </c:pt>
                <c:pt idx="1">
                  <c:v>45870</c:v>
                </c:pt>
                <c:pt idx="2">
                  <c:v>45901</c:v>
                </c:pt>
                <c:pt idx="3">
                  <c:v>45931</c:v>
                </c:pt>
                <c:pt idx="4">
                  <c:v>45962</c:v>
                </c:pt>
                <c:pt idx="5">
                  <c:v>45992</c:v>
                </c:pt>
                <c:pt idx="6">
                  <c:v>46023</c:v>
                </c:pt>
                <c:pt idx="7">
                  <c:v>46054</c:v>
                </c:pt>
                <c:pt idx="8">
                  <c:v>46082</c:v>
                </c:pt>
                <c:pt idx="9">
                  <c:v>46113</c:v>
                </c:pt>
                <c:pt idx="10">
                  <c:v>46143</c:v>
                </c:pt>
                <c:pt idx="11">
                  <c:v>46174</c:v>
                </c:pt>
              </c:numCache>
            </c:numRef>
          </c:cat>
          <c:val>
            <c:numRef>
              <c:f>'KPI 25'!$E$19:$P$19</c:f>
              <c:numCache>
                <c:formatCode>#,##0</c:formatCode>
                <c:ptCount val="12"/>
                <c:pt idx="0">
                  <c:v>791</c:v>
                </c:pt>
                <c:pt idx="1">
                  <c:v>792</c:v>
                </c:pt>
                <c:pt idx="2">
                  <c:v>793</c:v>
                </c:pt>
                <c:pt idx="3">
                  <c:v>794</c:v>
                </c:pt>
                <c:pt idx="4">
                  <c:v>795</c:v>
                </c:pt>
                <c:pt idx="5">
                  <c:v>796</c:v>
                </c:pt>
                <c:pt idx="6">
                  <c:v>797</c:v>
                </c:pt>
                <c:pt idx="7">
                  <c:v>798</c:v>
                </c:pt>
                <c:pt idx="8">
                  <c:v>799</c:v>
                </c:pt>
                <c:pt idx="9">
                  <c:v>800</c:v>
                </c:pt>
                <c:pt idx="10">
                  <c:v>801</c:v>
                </c:pt>
                <c:pt idx="11">
                  <c:v>802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DAB5-437C-9830-1FAB5110DDA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18566912"/>
        <c:axId val="118568448"/>
      </c:lineChart>
      <c:dateAx>
        <c:axId val="118566912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crossAx val="118568448"/>
        <c:crosses val="autoZero"/>
        <c:auto val="1"/>
        <c:lblOffset val="100"/>
        <c:baseTimeUnit val="months"/>
      </c:dateAx>
      <c:valAx>
        <c:axId val="118568448"/>
        <c:scaling>
          <c:orientation val="minMax"/>
        </c:scaling>
        <c:delete val="0"/>
        <c:axPos val="l"/>
        <c:majorGridlines/>
        <c:numFmt formatCode="#,##0" sourceLinked="1"/>
        <c:majorTickMark val="out"/>
        <c:minorTickMark val="none"/>
        <c:tickLblPos val="nextTo"/>
        <c:crossAx val="118566912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000000000000822" l="0.70000000000000062" r="0.70000000000000062" t="0.75000000000000822" header="0.30000000000000032" footer="0.30000000000000032"/>
    <c:pageSetup/>
  </c:printSettings>
</c:chartSpace>
</file>

<file path=xl/charts/chart3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1"/>
          <c:order val="1"/>
          <c:tx>
            <c:strRef>
              <c:f>'KPI 26'!$D$20</c:f>
              <c:strCache>
                <c:ptCount val="1"/>
                <c:pt idx="0">
                  <c:v>Actual 2025-26</c:v>
                </c:pt>
              </c:strCache>
            </c:strRef>
          </c:tx>
          <c:spPr>
            <a:solidFill>
              <a:schemeClr val="accent1"/>
            </a:solidFill>
          </c:spPr>
          <c:invertIfNegative val="0"/>
          <c:cat>
            <c:numRef>
              <c:f>'KPI 26'!$E$18:$P$18</c:f>
              <c:numCache>
                <c:formatCode>mmm\-yy</c:formatCode>
                <c:ptCount val="12"/>
                <c:pt idx="0">
                  <c:v>45839</c:v>
                </c:pt>
                <c:pt idx="1">
                  <c:v>45870</c:v>
                </c:pt>
                <c:pt idx="2">
                  <c:v>45901</c:v>
                </c:pt>
                <c:pt idx="3">
                  <c:v>45931</c:v>
                </c:pt>
                <c:pt idx="4">
                  <c:v>45962</c:v>
                </c:pt>
                <c:pt idx="5">
                  <c:v>45992</c:v>
                </c:pt>
                <c:pt idx="6">
                  <c:v>46023</c:v>
                </c:pt>
                <c:pt idx="7">
                  <c:v>46054</c:v>
                </c:pt>
                <c:pt idx="8">
                  <c:v>46082</c:v>
                </c:pt>
                <c:pt idx="9">
                  <c:v>46113</c:v>
                </c:pt>
                <c:pt idx="10">
                  <c:v>46143</c:v>
                </c:pt>
                <c:pt idx="11">
                  <c:v>46174</c:v>
                </c:pt>
              </c:numCache>
            </c:numRef>
          </c:cat>
          <c:val>
            <c:numRef>
              <c:f>'KPI 26'!$E$20:$P$20</c:f>
              <c:numCache>
                <c:formatCode>#,##0</c:formatCode>
                <c:ptCount val="12"/>
                <c:pt idx="0">
                  <c:v>880</c:v>
                </c:pt>
                <c:pt idx="1">
                  <c:v>883</c:v>
                </c:pt>
                <c:pt idx="2">
                  <c:v>885</c:v>
                </c:pt>
                <c:pt idx="3">
                  <c:v>886</c:v>
                </c:pt>
                <c:pt idx="4">
                  <c:v>889</c:v>
                </c:pt>
                <c:pt idx="5">
                  <c:v>890</c:v>
                </c:pt>
                <c:pt idx="6">
                  <c:v>895</c:v>
                </c:pt>
                <c:pt idx="7">
                  <c:v>898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6FD-40F6-8F2D-0BB9CFC89E59}"/>
            </c:ext>
          </c:extLst>
        </c:ser>
        <c:ser>
          <c:idx val="4"/>
          <c:order val="2"/>
          <c:tx>
            <c:strRef>
              <c:f>'KPI 26'!$D$21</c:f>
              <c:strCache>
                <c:ptCount val="1"/>
                <c:pt idx="0">
                  <c:v>Actual 2024-25</c:v>
                </c:pt>
              </c:strCache>
            </c:strRef>
          </c:tx>
          <c:spPr>
            <a:solidFill>
              <a:schemeClr val="accent3"/>
            </a:solidFill>
          </c:spPr>
          <c:invertIfNegative val="0"/>
          <c:cat>
            <c:numRef>
              <c:f>'KPI 26'!$E$18:$P$18</c:f>
              <c:numCache>
                <c:formatCode>mmm\-yy</c:formatCode>
                <c:ptCount val="12"/>
                <c:pt idx="0">
                  <c:v>45839</c:v>
                </c:pt>
                <c:pt idx="1">
                  <c:v>45870</c:v>
                </c:pt>
                <c:pt idx="2">
                  <c:v>45901</c:v>
                </c:pt>
                <c:pt idx="3">
                  <c:v>45931</c:v>
                </c:pt>
                <c:pt idx="4">
                  <c:v>45962</c:v>
                </c:pt>
                <c:pt idx="5">
                  <c:v>45992</c:v>
                </c:pt>
                <c:pt idx="6">
                  <c:v>46023</c:v>
                </c:pt>
                <c:pt idx="7">
                  <c:v>46054</c:v>
                </c:pt>
                <c:pt idx="8">
                  <c:v>46082</c:v>
                </c:pt>
                <c:pt idx="9">
                  <c:v>46113</c:v>
                </c:pt>
                <c:pt idx="10">
                  <c:v>46143</c:v>
                </c:pt>
                <c:pt idx="11">
                  <c:v>46174</c:v>
                </c:pt>
              </c:numCache>
            </c:numRef>
          </c:cat>
          <c:val>
            <c:numRef>
              <c:f>'KPI 26'!$E$21:$P$21</c:f>
              <c:numCache>
                <c:formatCode>#,##0</c:formatCode>
                <c:ptCount val="12"/>
                <c:pt idx="0">
                  <c:v>857</c:v>
                </c:pt>
                <c:pt idx="1">
                  <c:v>858</c:v>
                </c:pt>
                <c:pt idx="2">
                  <c:v>861</c:v>
                </c:pt>
                <c:pt idx="3">
                  <c:v>859</c:v>
                </c:pt>
                <c:pt idx="4">
                  <c:v>861</c:v>
                </c:pt>
                <c:pt idx="5">
                  <c:v>861</c:v>
                </c:pt>
                <c:pt idx="6">
                  <c:v>869</c:v>
                </c:pt>
                <c:pt idx="7">
                  <c:v>872</c:v>
                </c:pt>
                <c:pt idx="8">
                  <c:v>873</c:v>
                </c:pt>
                <c:pt idx="9">
                  <c:v>875</c:v>
                </c:pt>
                <c:pt idx="10">
                  <c:v>876</c:v>
                </c:pt>
                <c:pt idx="11">
                  <c:v>880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6FD-40F6-8F2D-0BB9CFC89E5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9315200"/>
        <c:axId val="109316736"/>
      </c:barChart>
      <c:lineChart>
        <c:grouping val="standard"/>
        <c:varyColors val="0"/>
        <c:ser>
          <c:idx val="0"/>
          <c:order val="0"/>
          <c:tx>
            <c:strRef>
              <c:f>'KPI 26'!$D$19</c:f>
              <c:strCache>
                <c:ptCount val="1"/>
                <c:pt idx="0">
                  <c:v>Budget 2025-26</c:v>
                </c:pt>
              </c:strCache>
            </c:strRef>
          </c:tx>
          <c:spPr>
            <a:ln>
              <a:solidFill>
                <a:srgbClr val="FF0000"/>
              </a:solidFill>
            </a:ln>
          </c:spPr>
          <c:marker>
            <c:symbol val="none"/>
          </c:marker>
          <c:cat>
            <c:numRef>
              <c:f>'KPI 26'!$E$18:$P$18</c:f>
              <c:numCache>
                <c:formatCode>mmm\-yy</c:formatCode>
                <c:ptCount val="12"/>
                <c:pt idx="0">
                  <c:v>45839</c:v>
                </c:pt>
                <c:pt idx="1">
                  <c:v>45870</c:v>
                </c:pt>
                <c:pt idx="2">
                  <c:v>45901</c:v>
                </c:pt>
                <c:pt idx="3">
                  <c:v>45931</c:v>
                </c:pt>
                <c:pt idx="4">
                  <c:v>45962</c:v>
                </c:pt>
                <c:pt idx="5">
                  <c:v>45992</c:v>
                </c:pt>
                <c:pt idx="6">
                  <c:v>46023</c:v>
                </c:pt>
                <c:pt idx="7">
                  <c:v>46054</c:v>
                </c:pt>
                <c:pt idx="8">
                  <c:v>46082</c:v>
                </c:pt>
                <c:pt idx="9">
                  <c:v>46113</c:v>
                </c:pt>
                <c:pt idx="10">
                  <c:v>46143</c:v>
                </c:pt>
                <c:pt idx="11">
                  <c:v>46174</c:v>
                </c:pt>
              </c:numCache>
            </c:numRef>
          </c:cat>
          <c:val>
            <c:numRef>
              <c:f>'KPI 26'!$E$19:$P$19</c:f>
              <c:numCache>
                <c:formatCode>#,##0</c:formatCode>
                <c:ptCount val="12"/>
                <c:pt idx="0">
                  <c:v>889</c:v>
                </c:pt>
                <c:pt idx="1">
                  <c:v>899</c:v>
                </c:pt>
                <c:pt idx="2">
                  <c:v>909</c:v>
                </c:pt>
                <c:pt idx="3">
                  <c:v>919</c:v>
                </c:pt>
                <c:pt idx="4">
                  <c:v>929</c:v>
                </c:pt>
                <c:pt idx="5">
                  <c:v>939</c:v>
                </c:pt>
                <c:pt idx="6">
                  <c:v>949</c:v>
                </c:pt>
                <c:pt idx="7">
                  <c:v>959</c:v>
                </c:pt>
                <c:pt idx="8">
                  <c:v>969</c:v>
                </c:pt>
                <c:pt idx="9">
                  <c:v>979</c:v>
                </c:pt>
                <c:pt idx="10">
                  <c:v>989</c:v>
                </c:pt>
                <c:pt idx="11">
                  <c:v>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6FD-40F6-8F2D-0BB9CFC89E5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9315200"/>
        <c:axId val="109316736"/>
      </c:lineChart>
      <c:dateAx>
        <c:axId val="109315200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crossAx val="109316736"/>
        <c:crosses val="autoZero"/>
        <c:auto val="1"/>
        <c:lblOffset val="100"/>
        <c:baseTimeUnit val="months"/>
      </c:dateAx>
      <c:valAx>
        <c:axId val="109316736"/>
        <c:scaling>
          <c:orientation val="minMax"/>
        </c:scaling>
        <c:delete val="0"/>
        <c:axPos val="l"/>
        <c:majorGridlines/>
        <c:numFmt formatCode="#,##0" sourceLinked="1"/>
        <c:majorTickMark val="out"/>
        <c:minorTickMark val="none"/>
        <c:tickLblPos val="nextTo"/>
        <c:crossAx val="10931520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000000000000822" l="0.70000000000000062" r="0.70000000000000062" t="0.75000000000000822" header="0.30000000000000032" footer="0.30000000000000032"/>
    <c:pageSetup/>
  </c:printSettings>
</c:chartSpace>
</file>

<file path=xl/charts/chart3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1"/>
          <c:order val="1"/>
          <c:tx>
            <c:strRef>
              <c:f>'KPI 27'!$D$20</c:f>
              <c:strCache>
                <c:ptCount val="1"/>
                <c:pt idx="0">
                  <c:v>Actual 2025-26</c:v>
                </c:pt>
              </c:strCache>
            </c:strRef>
          </c:tx>
          <c:spPr>
            <a:solidFill>
              <a:schemeClr val="accent1"/>
            </a:solidFill>
          </c:spPr>
          <c:invertIfNegative val="0"/>
          <c:cat>
            <c:numRef>
              <c:f>'KPI 27'!$E$18:$P$18</c:f>
              <c:numCache>
                <c:formatCode>mmm\-yy</c:formatCode>
                <c:ptCount val="12"/>
                <c:pt idx="0">
                  <c:v>45839</c:v>
                </c:pt>
                <c:pt idx="1">
                  <c:v>45870</c:v>
                </c:pt>
                <c:pt idx="2">
                  <c:v>45901</c:v>
                </c:pt>
                <c:pt idx="3">
                  <c:v>45931</c:v>
                </c:pt>
                <c:pt idx="4">
                  <c:v>45962</c:v>
                </c:pt>
                <c:pt idx="5">
                  <c:v>45992</c:v>
                </c:pt>
                <c:pt idx="6">
                  <c:v>46023</c:v>
                </c:pt>
                <c:pt idx="7">
                  <c:v>46054</c:v>
                </c:pt>
                <c:pt idx="8">
                  <c:v>46082</c:v>
                </c:pt>
                <c:pt idx="9">
                  <c:v>46113</c:v>
                </c:pt>
                <c:pt idx="10">
                  <c:v>46143</c:v>
                </c:pt>
                <c:pt idx="11">
                  <c:v>46174</c:v>
                </c:pt>
              </c:numCache>
            </c:numRef>
          </c:cat>
          <c:val>
            <c:numRef>
              <c:f>'KPI 27'!$E$20:$P$20</c:f>
              <c:numCache>
                <c:formatCode>#,##0</c:formatCode>
                <c:ptCount val="12"/>
                <c:pt idx="0">
                  <c:v>953</c:v>
                </c:pt>
                <c:pt idx="1">
                  <c:v>952</c:v>
                </c:pt>
                <c:pt idx="2">
                  <c:v>956</c:v>
                </c:pt>
                <c:pt idx="3">
                  <c:v>956</c:v>
                </c:pt>
                <c:pt idx="4">
                  <c:v>957</c:v>
                </c:pt>
                <c:pt idx="5">
                  <c:v>957</c:v>
                </c:pt>
                <c:pt idx="6">
                  <c:v>959</c:v>
                </c:pt>
                <c:pt idx="7">
                  <c:v>959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6DE-4CD0-861E-9089B73EF484}"/>
            </c:ext>
          </c:extLst>
        </c:ser>
        <c:ser>
          <c:idx val="4"/>
          <c:order val="2"/>
          <c:tx>
            <c:strRef>
              <c:f>'KPI 27'!$D$21</c:f>
              <c:strCache>
                <c:ptCount val="1"/>
                <c:pt idx="0">
                  <c:v>Actual 2024-25</c:v>
                </c:pt>
              </c:strCache>
            </c:strRef>
          </c:tx>
          <c:spPr>
            <a:solidFill>
              <a:schemeClr val="accent3"/>
            </a:solidFill>
          </c:spPr>
          <c:invertIfNegative val="0"/>
          <c:cat>
            <c:numRef>
              <c:f>'KPI 27'!$E$18:$P$18</c:f>
              <c:numCache>
                <c:formatCode>mmm\-yy</c:formatCode>
                <c:ptCount val="12"/>
                <c:pt idx="0">
                  <c:v>45839</c:v>
                </c:pt>
                <c:pt idx="1">
                  <c:v>45870</c:v>
                </c:pt>
                <c:pt idx="2">
                  <c:v>45901</c:v>
                </c:pt>
                <c:pt idx="3">
                  <c:v>45931</c:v>
                </c:pt>
                <c:pt idx="4">
                  <c:v>45962</c:v>
                </c:pt>
                <c:pt idx="5">
                  <c:v>45992</c:v>
                </c:pt>
                <c:pt idx="6">
                  <c:v>46023</c:v>
                </c:pt>
                <c:pt idx="7">
                  <c:v>46054</c:v>
                </c:pt>
                <c:pt idx="8">
                  <c:v>46082</c:v>
                </c:pt>
                <c:pt idx="9">
                  <c:v>46113</c:v>
                </c:pt>
                <c:pt idx="10">
                  <c:v>46143</c:v>
                </c:pt>
                <c:pt idx="11">
                  <c:v>46174</c:v>
                </c:pt>
              </c:numCache>
            </c:numRef>
          </c:cat>
          <c:val>
            <c:numRef>
              <c:f>'KPI 27'!$E$21:$P$21</c:f>
              <c:numCache>
                <c:formatCode>#,##0</c:formatCode>
                <c:ptCount val="12"/>
                <c:pt idx="0">
                  <c:v>935</c:v>
                </c:pt>
                <c:pt idx="1">
                  <c:v>939</c:v>
                </c:pt>
                <c:pt idx="2">
                  <c:v>944</c:v>
                </c:pt>
                <c:pt idx="3">
                  <c:v>944</c:v>
                </c:pt>
                <c:pt idx="4">
                  <c:v>946</c:v>
                </c:pt>
                <c:pt idx="5">
                  <c:v>945</c:v>
                </c:pt>
                <c:pt idx="6">
                  <c:v>946</c:v>
                </c:pt>
                <c:pt idx="7">
                  <c:v>950</c:v>
                </c:pt>
                <c:pt idx="8">
                  <c:v>950</c:v>
                </c:pt>
                <c:pt idx="9">
                  <c:v>951</c:v>
                </c:pt>
                <c:pt idx="10">
                  <c:v>953</c:v>
                </c:pt>
                <c:pt idx="11">
                  <c:v>953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6DE-4CD0-861E-9089B73EF48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9287680"/>
        <c:axId val="109346816"/>
      </c:barChart>
      <c:lineChart>
        <c:grouping val="standard"/>
        <c:varyColors val="0"/>
        <c:ser>
          <c:idx val="0"/>
          <c:order val="0"/>
          <c:tx>
            <c:strRef>
              <c:f>'KPI 27'!$D$19</c:f>
              <c:strCache>
                <c:ptCount val="1"/>
                <c:pt idx="0">
                  <c:v>Budget 2025-26</c:v>
                </c:pt>
              </c:strCache>
            </c:strRef>
          </c:tx>
          <c:spPr>
            <a:ln>
              <a:solidFill>
                <a:srgbClr val="FF0000"/>
              </a:solidFill>
            </a:ln>
          </c:spPr>
          <c:marker>
            <c:symbol val="none"/>
          </c:marker>
          <c:cat>
            <c:numRef>
              <c:f>'KPI 27'!$E$18:$P$18</c:f>
              <c:numCache>
                <c:formatCode>mmm\-yy</c:formatCode>
                <c:ptCount val="12"/>
                <c:pt idx="0">
                  <c:v>45839</c:v>
                </c:pt>
                <c:pt idx="1">
                  <c:v>45870</c:v>
                </c:pt>
                <c:pt idx="2">
                  <c:v>45901</c:v>
                </c:pt>
                <c:pt idx="3">
                  <c:v>45931</c:v>
                </c:pt>
                <c:pt idx="4">
                  <c:v>45962</c:v>
                </c:pt>
                <c:pt idx="5">
                  <c:v>45992</c:v>
                </c:pt>
                <c:pt idx="6">
                  <c:v>46023</c:v>
                </c:pt>
                <c:pt idx="7">
                  <c:v>46054</c:v>
                </c:pt>
                <c:pt idx="8">
                  <c:v>46082</c:v>
                </c:pt>
                <c:pt idx="9">
                  <c:v>46113</c:v>
                </c:pt>
                <c:pt idx="10">
                  <c:v>46143</c:v>
                </c:pt>
                <c:pt idx="11">
                  <c:v>46174</c:v>
                </c:pt>
              </c:numCache>
            </c:numRef>
          </c:cat>
          <c:val>
            <c:numRef>
              <c:f>'KPI 27'!$E$19:$P$19</c:f>
              <c:numCache>
                <c:formatCode>#,##0</c:formatCode>
                <c:ptCount val="12"/>
                <c:pt idx="0">
                  <c:v>957</c:v>
                </c:pt>
                <c:pt idx="1">
                  <c:v>961</c:v>
                </c:pt>
                <c:pt idx="2">
                  <c:v>965</c:v>
                </c:pt>
                <c:pt idx="3">
                  <c:v>969</c:v>
                </c:pt>
                <c:pt idx="4">
                  <c:v>973</c:v>
                </c:pt>
                <c:pt idx="5">
                  <c:v>977</c:v>
                </c:pt>
                <c:pt idx="6">
                  <c:v>981</c:v>
                </c:pt>
                <c:pt idx="7">
                  <c:v>985</c:v>
                </c:pt>
                <c:pt idx="8">
                  <c:v>989</c:v>
                </c:pt>
                <c:pt idx="9">
                  <c:v>993</c:v>
                </c:pt>
                <c:pt idx="10">
                  <c:v>997</c:v>
                </c:pt>
                <c:pt idx="11">
                  <c:v>1001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D6DE-4CD0-861E-9089B73EF48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9287680"/>
        <c:axId val="109346816"/>
      </c:lineChart>
      <c:dateAx>
        <c:axId val="109287680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crossAx val="109346816"/>
        <c:crosses val="autoZero"/>
        <c:auto val="1"/>
        <c:lblOffset val="100"/>
        <c:baseTimeUnit val="months"/>
      </c:dateAx>
      <c:valAx>
        <c:axId val="109346816"/>
        <c:scaling>
          <c:orientation val="minMax"/>
        </c:scaling>
        <c:delete val="0"/>
        <c:axPos val="l"/>
        <c:majorGridlines/>
        <c:numFmt formatCode="#,##0" sourceLinked="1"/>
        <c:majorTickMark val="out"/>
        <c:minorTickMark val="none"/>
        <c:tickLblPos val="nextTo"/>
        <c:crossAx val="10928768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000000000000822" l="0.70000000000000062" r="0.70000000000000062" t="0.75000000000000822" header="0.30000000000000032" footer="0.30000000000000032"/>
    <c:pageSetup/>
  </c:printSettings>
</c:chartSpace>
</file>

<file path=xl/charts/chart3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1"/>
          <c:order val="1"/>
          <c:tx>
            <c:strRef>
              <c:f>'KPI 28'!$D$20</c:f>
              <c:strCache>
                <c:ptCount val="1"/>
                <c:pt idx="0">
                  <c:v>Actual 2025-26</c:v>
                </c:pt>
              </c:strCache>
            </c:strRef>
          </c:tx>
          <c:spPr>
            <a:solidFill>
              <a:schemeClr val="accent1"/>
            </a:solidFill>
          </c:spPr>
          <c:invertIfNegative val="0"/>
          <c:cat>
            <c:numRef>
              <c:f>'KPI 28'!$E$18:$P$18</c:f>
              <c:numCache>
                <c:formatCode>mmm\-yy</c:formatCode>
                <c:ptCount val="12"/>
                <c:pt idx="0">
                  <c:v>45839</c:v>
                </c:pt>
                <c:pt idx="1">
                  <c:v>45870</c:v>
                </c:pt>
                <c:pt idx="2">
                  <c:v>45901</c:v>
                </c:pt>
                <c:pt idx="3">
                  <c:v>45931</c:v>
                </c:pt>
                <c:pt idx="4">
                  <c:v>45962</c:v>
                </c:pt>
                <c:pt idx="5">
                  <c:v>45992</c:v>
                </c:pt>
                <c:pt idx="6">
                  <c:v>46023</c:v>
                </c:pt>
                <c:pt idx="7">
                  <c:v>46054</c:v>
                </c:pt>
                <c:pt idx="8">
                  <c:v>46082</c:v>
                </c:pt>
                <c:pt idx="9">
                  <c:v>46113</c:v>
                </c:pt>
                <c:pt idx="10">
                  <c:v>46143</c:v>
                </c:pt>
                <c:pt idx="11">
                  <c:v>46174</c:v>
                </c:pt>
              </c:numCache>
            </c:numRef>
          </c:cat>
          <c:val>
            <c:numRef>
              <c:f>'KPI 28'!$E$20:$P$20</c:f>
              <c:numCache>
                <c:formatCode>#,##0</c:formatCode>
                <c:ptCount val="12"/>
                <c:pt idx="0">
                  <c:v>939</c:v>
                </c:pt>
                <c:pt idx="1">
                  <c:v>940</c:v>
                </c:pt>
                <c:pt idx="2">
                  <c:v>940</c:v>
                </c:pt>
                <c:pt idx="3">
                  <c:v>943</c:v>
                </c:pt>
                <c:pt idx="4">
                  <c:v>943</c:v>
                </c:pt>
                <c:pt idx="5">
                  <c:v>942</c:v>
                </c:pt>
                <c:pt idx="6">
                  <c:v>944</c:v>
                </c:pt>
                <c:pt idx="7">
                  <c:v>944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7BE-4DFA-9E1A-EC5D2824E3A2}"/>
            </c:ext>
          </c:extLst>
        </c:ser>
        <c:ser>
          <c:idx val="4"/>
          <c:order val="2"/>
          <c:tx>
            <c:strRef>
              <c:f>'KPI 28'!$D$21</c:f>
              <c:strCache>
                <c:ptCount val="1"/>
                <c:pt idx="0">
                  <c:v>Actual 2024-25</c:v>
                </c:pt>
              </c:strCache>
            </c:strRef>
          </c:tx>
          <c:spPr>
            <a:solidFill>
              <a:schemeClr val="accent3"/>
            </a:solidFill>
          </c:spPr>
          <c:invertIfNegative val="0"/>
          <c:cat>
            <c:numRef>
              <c:f>'KPI 28'!$E$18:$P$18</c:f>
              <c:numCache>
                <c:formatCode>mmm\-yy</c:formatCode>
                <c:ptCount val="12"/>
                <c:pt idx="0">
                  <c:v>45839</c:v>
                </c:pt>
                <c:pt idx="1">
                  <c:v>45870</c:v>
                </c:pt>
                <c:pt idx="2">
                  <c:v>45901</c:v>
                </c:pt>
                <c:pt idx="3">
                  <c:v>45931</c:v>
                </c:pt>
                <c:pt idx="4">
                  <c:v>45962</c:v>
                </c:pt>
                <c:pt idx="5">
                  <c:v>45992</c:v>
                </c:pt>
                <c:pt idx="6">
                  <c:v>46023</c:v>
                </c:pt>
                <c:pt idx="7">
                  <c:v>46054</c:v>
                </c:pt>
                <c:pt idx="8">
                  <c:v>46082</c:v>
                </c:pt>
                <c:pt idx="9">
                  <c:v>46113</c:v>
                </c:pt>
                <c:pt idx="10">
                  <c:v>46143</c:v>
                </c:pt>
                <c:pt idx="11">
                  <c:v>46174</c:v>
                </c:pt>
              </c:numCache>
            </c:numRef>
          </c:cat>
          <c:val>
            <c:numRef>
              <c:f>'KPI 28'!$E$21:$P$21</c:f>
              <c:numCache>
                <c:formatCode>#,##0</c:formatCode>
                <c:ptCount val="12"/>
                <c:pt idx="0">
                  <c:v>935</c:v>
                </c:pt>
                <c:pt idx="1">
                  <c:v>935</c:v>
                </c:pt>
                <c:pt idx="2">
                  <c:v>935</c:v>
                </c:pt>
                <c:pt idx="3">
                  <c:v>935</c:v>
                </c:pt>
                <c:pt idx="4">
                  <c:v>935</c:v>
                </c:pt>
                <c:pt idx="5">
                  <c:v>935</c:v>
                </c:pt>
                <c:pt idx="6">
                  <c:v>936</c:v>
                </c:pt>
                <c:pt idx="7">
                  <c:v>937</c:v>
                </c:pt>
                <c:pt idx="8">
                  <c:v>937</c:v>
                </c:pt>
                <c:pt idx="9">
                  <c:v>937</c:v>
                </c:pt>
                <c:pt idx="10">
                  <c:v>937</c:v>
                </c:pt>
                <c:pt idx="11">
                  <c:v>939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7BE-4DFA-9E1A-EC5D2824E3A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14904448"/>
        <c:axId val="114922624"/>
      </c:barChart>
      <c:lineChart>
        <c:grouping val="standard"/>
        <c:varyColors val="0"/>
        <c:ser>
          <c:idx val="0"/>
          <c:order val="0"/>
          <c:tx>
            <c:strRef>
              <c:f>'KPI 28'!$D$19</c:f>
              <c:strCache>
                <c:ptCount val="1"/>
                <c:pt idx="0">
                  <c:v>Budget 2025-26</c:v>
                </c:pt>
              </c:strCache>
            </c:strRef>
          </c:tx>
          <c:spPr>
            <a:ln>
              <a:solidFill>
                <a:srgbClr val="FF0000"/>
              </a:solidFill>
            </a:ln>
          </c:spPr>
          <c:marker>
            <c:symbol val="none"/>
          </c:marker>
          <c:cat>
            <c:numRef>
              <c:f>'KPI 28'!$E$18:$P$18</c:f>
              <c:numCache>
                <c:formatCode>mmm\-yy</c:formatCode>
                <c:ptCount val="12"/>
                <c:pt idx="0">
                  <c:v>45839</c:v>
                </c:pt>
                <c:pt idx="1">
                  <c:v>45870</c:v>
                </c:pt>
                <c:pt idx="2">
                  <c:v>45901</c:v>
                </c:pt>
                <c:pt idx="3">
                  <c:v>45931</c:v>
                </c:pt>
                <c:pt idx="4">
                  <c:v>45962</c:v>
                </c:pt>
                <c:pt idx="5">
                  <c:v>45992</c:v>
                </c:pt>
                <c:pt idx="6">
                  <c:v>46023</c:v>
                </c:pt>
                <c:pt idx="7">
                  <c:v>46054</c:v>
                </c:pt>
                <c:pt idx="8">
                  <c:v>46082</c:v>
                </c:pt>
                <c:pt idx="9">
                  <c:v>46113</c:v>
                </c:pt>
                <c:pt idx="10">
                  <c:v>46143</c:v>
                </c:pt>
                <c:pt idx="11">
                  <c:v>46174</c:v>
                </c:pt>
              </c:numCache>
            </c:numRef>
          </c:cat>
          <c:val>
            <c:numRef>
              <c:f>'KPI 28'!$E$19:$P$19</c:f>
              <c:numCache>
                <c:formatCode>#,##0</c:formatCode>
                <c:ptCount val="12"/>
                <c:pt idx="0">
                  <c:v>940</c:v>
                </c:pt>
                <c:pt idx="1">
                  <c:v>941</c:v>
                </c:pt>
                <c:pt idx="2">
                  <c:v>942</c:v>
                </c:pt>
                <c:pt idx="3">
                  <c:v>943</c:v>
                </c:pt>
                <c:pt idx="4">
                  <c:v>944</c:v>
                </c:pt>
                <c:pt idx="5">
                  <c:v>945</c:v>
                </c:pt>
                <c:pt idx="6">
                  <c:v>946</c:v>
                </c:pt>
                <c:pt idx="7">
                  <c:v>947</c:v>
                </c:pt>
                <c:pt idx="8">
                  <c:v>948</c:v>
                </c:pt>
                <c:pt idx="9">
                  <c:v>949</c:v>
                </c:pt>
                <c:pt idx="10">
                  <c:v>950</c:v>
                </c:pt>
                <c:pt idx="11">
                  <c:v>951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17BE-4DFA-9E1A-EC5D2824E3A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14904448"/>
        <c:axId val="114922624"/>
      </c:lineChart>
      <c:dateAx>
        <c:axId val="114904448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crossAx val="114922624"/>
        <c:crosses val="autoZero"/>
        <c:auto val="1"/>
        <c:lblOffset val="100"/>
        <c:baseTimeUnit val="months"/>
      </c:dateAx>
      <c:valAx>
        <c:axId val="114922624"/>
        <c:scaling>
          <c:orientation val="minMax"/>
        </c:scaling>
        <c:delete val="0"/>
        <c:axPos val="l"/>
        <c:majorGridlines/>
        <c:numFmt formatCode="#,##0" sourceLinked="1"/>
        <c:majorTickMark val="out"/>
        <c:minorTickMark val="none"/>
        <c:tickLblPos val="nextTo"/>
        <c:crossAx val="114904448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000000000000822" l="0.70000000000000062" r="0.70000000000000062" t="0.75000000000000822" header="0.30000000000000032" footer="0.30000000000000032"/>
    <c:pageSetup/>
  </c:printSettings>
</c:chartSpace>
</file>

<file path=xl/charts/chart3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1"/>
          <c:order val="1"/>
          <c:tx>
            <c:strRef>
              <c:f>'KPI 29'!$D$20</c:f>
              <c:strCache>
                <c:ptCount val="1"/>
                <c:pt idx="0">
                  <c:v>Actual 2025-26</c:v>
                </c:pt>
              </c:strCache>
            </c:strRef>
          </c:tx>
          <c:spPr>
            <a:solidFill>
              <a:schemeClr val="accent1"/>
            </a:solidFill>
          </c:spPr>
          <c:invertIfNegative val="0"/>
          <c:cat>
            <c:numRef>
              <c:f>'KPI 29'!$E$18:$P$18</c:f>
              <c:numCache>
                <c:formatCode>mmm\-yy</c:formatCode>
                <c:ptCount val="12"/>
                <c:pt idx="0">
                  <c:v>45839</c:v>
                </c:pt>
                <c:pt idx="1">
                  <c:v>45870</c:v>
                </c:pt>
                <c:pt idx="2">
                  <c:v>45901</c:v>
                </c:pt>
                <c:pt idx="3">
                  <c:v>45931</c:v>
                </c:pt>
                <c:pt idx="4">
                  <c:v>45962</c:v>
                </c:pt>
                <c:pt idx="5">
                  <c:v>45992</c:v>
                </c:pt>
                <c:pt idx="6">
                  <c:v>46023</c:v>
                </c:pt>
                <c:pt idx="7">
                  <c:v>46054</c:v>
                </c:pt>
                <c:pt idx="8">
                  <c:v>46082</c:v>
                </c:pt>
                <c:pt idx="9">
                  <c:v>46113</c:v>
                </c:pt>
                <c:pt idx="10">
                  <c:v>46143</c:v>
                </c:pt>
                <c:pt idx="11">
                  <c:v>46174</c:v>
                </c:pt>
              </c:numCache>
            </c:numRef>
          </c:cat>
          <c:val>
            <c:numRef>
              <c:f>'KPI 29'!$E$20:$P$20</c:f>
              <c:numCache>
                <c:formatCode>#,##0</c:formatCode>
                <c:ptCount val="12"/>
                <c:pt idx="0">
                  <c:v>221</c:v>
                </c:pt>
                <c:pt idx="1">
                  <c:v>221</c:v>
                </c:pt>
                <c:pt idx="2">
                  <c:v>221</c:v>
                </c:pt>
                <c:pt idx="3">
                  <c:v>221</c:v>
                </c:pt>
                <c:pt idx="4">
                  <c:v>221</c:v>
                </c:pt>
                <c:pt idx="5">
                  <c:v>221</c:v>
                </c:pt>
                <c:pt idx="6">
                  <c:v>221</c:v>
                </c:pt>
                <c:pt idx="7">
                  <c:v>222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E73-48A9-95F5-EBB09DB74CFA}"/>
            </c:ext>
          </c:extLst>
        </c:ser>
        <c:ser>
          <c:idx val="4"/>
          <c:order val="2"/>
          <c:tx>
            <c:strRef>
              <c:f>'KPI 29'!$D$21</c:f>
              <c:strCache>
                <c:ptCount val="1"/>
                <c:pt idx="0">
                  <c:v>Actual 2024-25</c:v>
                </c:pt>
              </c:strCache>
            </c:strRef>
          </c:tx>
          <c:spPr>
            <a:solidFill>
              <a:schemeClr val="accent3"/>
            </a:solidFill>
          </c:spPr>
          <c:invertIfNegative val="0"/>
          <c:cat>
            <c:numRef>
              <c:f>'KPI 29'!$E$18:$P$18</c:f>
              <c:numCache>
                <c:formatCode>mmm\-yy</c:formatCode>
                <c:ptCount val="12"/>
                <c:pt idx="0">
                  <c:v>45839</c:v>
                </c:pt>
                <c:pt idx="1">
                  <c:v>45870</c:v>
                </c:pt>
                <c:pt idx="2">
                  <c:v>45901</c:v>
                </c:pt>
                <c:pt idx="3">
                  <c:v>45931</c:v>
                </c:pt>
                <c:pt idx="4">
                  <c:v>45962</c:v>
                </c:pt>
                <c:pt idx="5">
                  <c:v>45992</c:v>
                </c:pt>
                <c:pt idx="6">
                  <c:v>46023</c:v>
                </c:pt>
                <c:pt idx="7">
                  <c:v>46054</c:v>
                </c:pt>
                <c:pt idx="8">
                  <c:v>46082</c:v>
                </c:pt>
                <c:pt idx="9">
                  <c:v>46113</c:v>
                </c:pt>
                <c:pt idx="10">
                  <c:v>46143</c:v>
                </c:pt>
                <c:pt idx="11">
                  <c:v>46174</c:v>
                </c:pt>
              </c:numCache>
            </c:numRef>
          </c:cat>
          <c:val>
            <c:numRef>
              <c:f>'KPI 29'!$E$21:$P$21</c:f>
              <c:numCache>
                <c:formatCode>#,##0</c:formatCode>
                <c:ptCount val="12"/>
                <c:pt idx="0">
                  <c:v>217</c:v>
                </c:pt>
                <c:pt idx="1">
                  <c:v>217</c:v>
                </c:pt>
                <c:pt idx="2">
                  <c:v>217</c:v>
                </c:pt>
                <c:pt idx="3">
                  <c:v>217</c:v>
                </c:pt>
                <c:pt idx="4">
                  <c:v>217</c:v>
                </c:pt>
                <c:pt idx="5">
                  <c:v>217</c:v>
                </c:pt>
                <c:pt idx="6">
                  <c:v>218</c:v>
                </c:pt>
                <c:pt idx="7">
                  <c:v>218</c:v>
                </c:pt>
                <c:pt idx="8">
                  <c:v>218</c:v>
                </c:pt>
                <c:pt idx="9">
                  <c:v>218</c:v>
                </c:pt>
                <c:pt idx="10">
                  <c:v>218</c:v>
                </c:pt>
                <c:pt idx="11">
                  <c:v>219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E73-48A9-95F5-EBB09DB74CF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14938624"/>
        <c:axId val="114940160"/>
      </c:barChart>
      <c:lineChart>
        <c:grouping val="standard"/>
        <c:varyColors val="0"/>
        <c:ser>
          <c:idx val="0"/>
          <c:order val="0"/>
          <c:tx>
            <c:strRef>
              <c:f>'KPI 29'!$D$19</c:f>
              <c:strCache>
                <c:ptCount val="1"/>
                <c:pt idx="0">
                  <c:v>Budget 2025-26</c:v>
                </c:pt>
              </c:strCache>
            </c:strRef>
          </c:tx>
          <c:spPr>
            <a:ln>
              <a:solidFill>
                <a:srgbClr val="FF0000"/>
              </a:solidFill>
            </a:ln>
          </c:spPr>
          <c:marker>
            <c:symbol val="none"/>
          </c:marker>
          <c:cat>
            <c:numRef>
              <c:f>'KPI 29'!$E$18:$P$18</c:f>
              <c:numCache>
                <c:formatCode>mmm\-yy</c:formatCode>
                <c:ptCount val="12"/>
                <c:pt idx="0">
                  <c:v>45839</c:v>
                </c:pt>
                <c:pt idx="1">
                  <c:v>45870</c:v>
                </c:pt>
                <c:pt idx="2">
                  <c:v>45901</c:v>
                </c:pt>
                <c:pt idx="3">
                  <c:v>45931</c:v>
                </c:pt>
                <c:pt idx="4">
                  <c:v>45962</c:v>
                </c:pt>
                <c:pt idx="5">
                  <c:v>45992</c:v>
                </c:pt>
                <c:pt idx="6">
                  <c:v>46023</c:v>
                </c:pt>
                <c:pt idx="7">
                  <c:v>46054</c:v>
                </c:pt>
                <c:pt idx="8">
                  <c:v>46082</c:v>
                </c:pt>
                <c:pt idx="9">
                  <c:v>46113</c:v>
                </c:pt>
                <c:pt idx="10">
                  <c:v>46143</c:v>
                </c:pt>
                <c:pt idx="11">
                  <c:v>46174</c:v>
                </c:pt>
              </c:numCache>
            </c:numRef>
          </c:cat>
          <c:val>
            <c:numRef>
              <c:f>'KPI 29'!$E$19:$P$19</c:f>
              <c:numCache>
                <c:formatCode>#,##0</c:formatCode>
                <c:ptCount val="12"/>
                <c:pt idx="0">
                  <c:v>220</c:v>
                </c:pt>
                <c:pt idx="1">
                  <c:v>221</c:v>
                </c:pt>
                <c:pt idx="2">
                  <c:v>222</c:v>
                </c:pt>
                <c:pt idx="3">
                  <c:v>223</c:v>
                </c:pt>
                <c:pt idx="4">
                  <c:v>224</c:v>
                </c:pt>
                <c:pt idx="5">
                  <c:v>225</c:v>
                </c:pt>
                <c:pt idx="6">
                  <c:v>226</c:v>
                </c:pt>
                <c:pt idx="7">
                  <c:v>227</c:v>
                </c:pt>
                <c:pt idx="8">
                  <c:v>228</c:v>
                </c:pt>
                <c:pt idx="9">
                  <c:v>229</c:v>
                </c:pt>
                <c:pt idx="10">
                  <c:v>230</c:v>
                </c:pt>
                <c:pt idx="11">
                  <c:v>231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4E73-48A9-95F5-EBB09DB74CF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14938624"/>
        <c:axId val="114940160"/>
      </c:lineChart>
      <c:dateAx>
        <c:axId val="114938624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crossAx val="114940160"/>
        <c:crosses val="autoZero"/>
        <c:auto val="1"/>
        <c:lblOffset val="100"/>
        <c:baseTimeUnit val="months"/>
      </c:dateAx>
      <c:valAx>
        <c:axId val="114940160"/>
        <c:scaling>
          <c:orientation val="minMax"/>
        </c:scaling>
        <c:delete val="0"/>
        <c:axPos val="l"/>
        <c:majorGridlines/>
        <c:numFmt formatCode="#,##0" sourceLinked="1"/>
        <c:majorTickMark val="out"/>
        <c:minorTickMark val="none"/>
        <c:tickLblPos val="nextTo"/>
        <c:crossAx val="114938624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000000000000822" l="0.70000000000000062" r="0.70000000000000062" t="0.75000000000000822" header="0.30000000000000032" footer="0.30000000000000032"/>
    <c:pageSetup/>
  </c:printSettings>
</c:chartSpace>
</file>

<file path=xl/charts/chart3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1"/>
          <c:order val="1"/>
          <c:tx>
            <c:strRef>
              <c:f>'KPI 30'!$D$20</c:f>
              <c:strCache>
                <c:ptCount val="1"/>
                <c:pt idx="0">
                  <c:v>Actual 2025-26</c:v>
                </c:pt>
              </c:strCache>
            </c:strRef>
          </c:tx>
          <c:spPr>
            <a:solidFill>
              <a:schemeClr val="accent1"/>
            </a:solidFill>
          </c:spPr>
          <c:invertIfNegative val="0"/>
          <c:cat>
            <c:numRef>
              <c:f>'KPI 30'!$E$18:$P$18</c:f>
              <c:numCache>
                <c:formatCode>mmm\-yy</c:formatCode>
                <c:ptCount val="12"/>
                <c:pt idx="0">
                  <c:v>45839</c:v>
                </c:pt>
                <c:pt idx="1">
                  <c:v>45870</c:v>
                </c:pt>
                <c:pt idx="2">
                  <c:v>45901</c:v>
                </c:pt>
                <c:pt idx="3">
                  <c:v>45931</c:v>
                </c:pt>
                <c:pt idx="4">
                  <c:v>45962</c:v>
                </c:pt>
                <c:pt idx="5">
                  <c:v>45992</c:v>
                </c:pt>
                <c:pt idx="6">
                  <c:v>46023</c:v>
                </c:pt>
                <c:pt idx="7">
                  <c:v>46054</c:v>
                </c:pt>
                <c:pt idx="8">
                  <c:v>46082</c:v>
                </c:pt>
                <c:pt idx="9">
                  <c:v>46113</c:v>
                </c:pt>
                <c:pt idx="10">
                  <c:v>46143</c:v>
                </c:pt>
                <c:pt idx="11">
                  <c:v>46174</c:v>
                </c:pt>
              </c:numCache>
            </c:numRef>
          </c:cat>
          <c:val>
            <c:numRef>
              <c:f>'KPI 30'!$E$20:$P$20</c:f>
              <c:numCache>
                <c:formatCode>#,##0</c:formatCode>
                <c:ptCount val="12"/>
                <c:pt idx="0">
                  <c:v>5303</c:v>
                </c:pt>
                <c:pt idx="1">
                  <c:v>5315</c:v>
                </c:pt>
                <c:pt idx="2">
                  <c:v>5322</c:v>
                </c:pt>
                <c:pt idx="3">
                  <c:v>5344</c:v>
                </c:pt>
                <c:pt idx="4">
                  <c:v>5350</c:v>
                </c:pt>
                <c:pt idx="5">
                  <c:v>5362</c:v>
                </c:pt>
                <c:pt idx="6">
                  <c:v>5394</c:v>
                </c:pt>
                <c:pt idx="7">
                  <c:v>5401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E4A-4473-9515-3E0FB20BAE3A}"/>
            </c:ext>
          </c:extLst>
        </c:ser>
        <c:ser>
          <c:idx val="4"/>
          <c:order val="2"/>
          <c:tx>
            <c:strRef>
              <c:f>'KPI 30'!$D$21</c:f>
              <c:strCache>
                <c:ptCount val="1"/>
                <c:pt idx="0">
                  <c:v>Actual 2024-25</c:v>
                </c:pt>
              </c:strCache>
            </c:strRef>
          </c:tx>
          <c:spPr>
            <a:solidFill>
              <a:schemeClr val="accent3"/>
            </a:solidFill>
          </c:spPr>
          <c:invertIfNegative val="0"/>
          <c:cat>
            <c:numRef>
              <c:f>'KPI 30'!$E$18:$P$18</c:f>
              <c:numCache>
                <c:formatCode>mmm\-yy</c:formatCode>
                <c:ptCount val="12"/>
                <c:pt idx="0">
                  <c:v>45839</c:v>
                </c:pt>
                <c:pt idx="1">
                  <c:v>45870</c:v>
                </c:pt>
                <c:pt idx="2">
                  <c:v>45901</c:v>
                </c:pt>
                <c:pt idx="3">
                  <c:v>45931</c:v>
                </c:pt>
                <c:pt idx="4">
                  <c:v>45962</c:v>
                </c:pt>
                <c:pt idx="5">
                  <c:v>45992</c:v>
                </c:pt>
                <c:pt idx="6">
                  <c:v>46023</c:v>
                </c:pt>
                <c:pt idx="7">
                  <c:v>46054</c:v>
                </c:pt>
                <c:pt idx="8">
                  <c:v>46082</c:v>
                </c:pt>
                <c:pt idx="9">
                  <c:v>46113</c:v>
                </c:pt>
                <c:pt idx="10">
                  <c:v>46143</c:v>
                </c:pt>
                <c:pt idx="11">
                  <c:v>46174</c:v>
                </c:pt>
              </c:numCache>
            </c:numRef>
          </c:cat>
          <c:val>
            <c:numRef>
              <c:f>'KPI 30'!$E$21:$P$21</c:f>
              <c:numCache>
                <c:formatCode>#,##0</c:formatCode>
                <c:ptCount val="12"/>
                <c:pt idx="0">
                  <c:v>5217</c:v>
                </c:pt>
                <c:pt idx="1">
                  <c:v>5228</c:v>
                </c:pt>
                <c:pt idx="2">
                  <c:v>5238</c:v>
                </c:pt>
                <c:pt idx="3">
                  <c:v>5238</c:v>
                </c:pt>
                <c:pt idx="4">
                  <c:v>5242</c:v>
                </c:pt>
                <c:pt idx="5">
                  <c:v>5243</c:v>
                </c:pt>
                <c:pt idx="6">
                  <c:v>5258</c:v>
                </c:pt>
                <c:pt idx="7">
                  <c:v>5268</c:v>
                </c:pt>
                <c:pt idx="8">
                  <c:v>5272</c:v>
                </c:pt>
                <c:pt idx="9">
                  <c:v>5277</c:v>
                </c:pt>
                <c:pt idx="10">
                  <c:v>5286</c:v>
                </c:pt>
                <c:pt idx="11">
                  <c:v>5298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E4A-4473-9515-3E0FB20BAE3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19097216"/>
        <c:axId val="119098752"/>
      </c:barChart>
      <c:lineChart>
        <c:grouping val="standard"/>
        <c:varyColors val="0"/>
        <c:ser>
          <c:idx val="0"/>
          <c:order val="0"/>
          <c:tx>
            <c:strRef>
              <c:f>'KPI 30'!$D$19</c:f>
              <c:strCache>
                <c:ptCount val="1"/>
                <c:pt idx="0">
                  <c:v>Budget 2025-26</c:v>
                </c:pt>
              </c:strCache>
            </c:strRef>
          </c:tx>
          <c:spPr>
            <a:ln>
              <a:solidFill>
                <a:srgbClr val="FF0000"/>
              </a:solidFill>
            </a:ln>
          </c:spPr>
          <c:marker>
            <c:symbol val="none"/>
          </c:marker>
          <c:cat>
            <c:numRef>
              <c:f>'KPI 30'!$E$18:$P$18</c:f>
              <c:numCache>
                <c:formatCode>mmm\-yy</c:formatCode>
                <c:ptCount val="12"/>
                <c:pt idx="0">
                  <c:v>45839</c:v>
                </c:pt>
                <c:pt idx="1">
                  <c:v>45870</c:v>
                </c:pt>
                <c:pt idx="2">
                  <c:v>45901</c:v>
                </c:pt>
                <c:pt idx="3">
                  <c:v>45931</c:v>
                </c:pt>
                <c:pt idx="4">
                  <c:v>45962</c:v>
                </c:pt>
                <c:pt idx="5">
                  <c:v>45992</c:v>
                </c:pt>
                <c:pt idx="6">
                  <c:v>46023</c:v>
                </c:pt>
                <c:pt idx="7">
                  <c:v>46054</c:v>
                </c:pt>
                <c:pt idx="8">
                  <c:v>46082</c:v>
                </c:pt>
                <c:pt idx="9">
                  <c:v>46113</c:v>
                </c:pt>
                <c:pt idx="10">
                  <c:v>46143</c:v>
                </c:pt>
                <c:pt idx="11">
                  <c:v>46174</c:v>
                </c:pt>
              </c:numCache>
            </c:numRef>
          </c:cat>
          <c:val>
            <c:numRef>
              <c:f>'KPI 30'!$E$19:$P$19</c:f>
              <c:numCache>
                <c:formatCode>#,##0</c:formatCode>
                <c:ptCount val="12"/>
                <c:pt idx="0">
                  <c:v>5318</c:v>
                </c:pt>
                <c:pt idx="1">
                  <c:v>5339</c:v>
                </c:pt>
                <c:pt idx="2">
                  <c:v>5360</c:v>
                </c:pt>
                <c:pt idx="3">
                  <c:v>5381</c:v>
                </c:pt>
                <c:pt idx="4">
                  <c:v>5402</c:v>
                </c:pt>
                <c:pt idx="5">
                  <c:v>5423</c:v>
                </c:pt>
                <c:pt idx="6">
                  <c:v>5444</c:v>
                </c:pt>
                <c:pt idx="7">
                  <c:v>5465</c:v>
                </c:pt>
                <c:pt idx="8">
                  <c:v>5486</c:v>
                </c:pt>
                <c:pt idx="9">
                  <c:v>5507</c:v>
                </c:pt>
                <c:pt idx="10">
                  <c:v>5528</c:v>
                </c:pt>
                <c:pt idx="11">
                  <c:v>5549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4E4A-4473-9515-3E0FB20BAE3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19097216"/>
        <c:axId val="119098752"/>
      </c:lineChart>
      <c:dateAx>
        <c:axId val="119097216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crossAx val="119098752"/>
        <c:crosses val="autoZero"/>
        <c:auto val="1"/>
        <c:lblOffset val="100"/>
        <c:baseTimeUnit val="months"/>
      </c:dateAx>
      <c:valAx>
        <c:axId val="119098752"/>
        <c:scaling>
          <c:orientation val="minMax"/>
        </c:scaling>
        <c:delete val="0"/>
        <c:axPos val="l"/>
        <c:majorGridlines/>
        <c:numFmt formatCode="#,##0" sourceLinked="1"/>
        <c:majorTickMark val="out"/>
        <c:minorTickMark val="none"/>
        <c:tickLblPos val="nextTo"/>
        <c:crossAx val="119097216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000000000000822" l="0.70000000000000062" r="0.70000000000000062" t="0.75000000000000822" header="0.30000000000000032" footer="0.30000000000000032"/>
    <c:pageSetup/>
  </c:printSettings>
</c:chartSpace>
</file>

<file path=xl/charts/chart3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1"/>
          <c:order val="1"/>
          <c:tx>
            <c:strRef>
              <c:f>'KPI 31'!$D$20</c:f>
              <c:strCache>
                <c:ptCount val="1"/>
                <c:pt idx="0">
                  <c:v>Actual 2025-26</c:v>
                </c:pt>
              </c:strCache>
            </c:strRef>
          </c:tx>
          <c:spPr>
            <a:solidFill>
              <a:schemeClr val="accent1"/>
            </a:solidFill>
          </c:spPr>
          <c:invertIfNegative val="0"/>
          <c:cat>
            <c:numRef>
              <c:f>'KPI 31'!$E$18:$P$18</c:f>
              <c:numCache>
                <c:formatCode>mmm\-yy</c:formatCode>
                <c:ptCount val="12"/>
                <c:pt idx="0">
                  <c:v>45839</c:v>
                </c:pt>
                <c:pt idx="1">
                  <c:v>45870</c:v>
                </c:pt>
                <c:pt idx="2">
                  <c:v>45901</c:v>
                </c:pt>
                <c:pt idx="3">
                  <c:v>45931</c:v>
                </c:pt>
                <c:pt idx="4">
                  <c:v>45962</c:v>
                </c:pt>
                <c:pt idx="5">
                  <c:v>45992</c:v>
                </c:pt>
                <c:pt idx="6">
                  <c:v>46023</c:v>
                </c:pt>
                <c:pt idx="7">
                  <c:v>46054</c:v>
                </c:pt>
                <c:pt idx="8">
                  <c:v>46082</c:v>
                </c:pt>
                <c:pt idx="9">
                  <c:v>46113</c:v>
                </c:pt>
                <c:pt idx="10">
                  <c:v>46143</c:v>
                </c:pt>
                <c:pt idx="11">
                  <c:v>46174</c:v>
                </c:pt>
              </c:numCache>
            </c:numRef>
          </c:cat>
          <c:val>
            <c:numRef>
              <c:f>'KPI 31'!$E$20:$P$20</c:f>
              <c:numCache>
                <c:formatCode>#,##0</c:formatCode>
                <c:ptCount val="12"/>
                <c:pt idx="0">
                  <c:v>1872</c:v>
                </c:pt>
                <c:pt idx="1">
                  <c:v>1889</c:v>
                </c:pt>
                <c:pt idx="2">
                  <c:v>1901</c:v>
                </c:pt>
                <c:pt idx="3">
                  <c:v>1910</c:v>
                </c:pt>
                <c:pt idx="4">
                  <c:v>1919</c:v>
                </c:pt>
                <c:pt idx="5">
                  <c:v>1929</c:v>
                </c:pt>
                <c:pt idx="6">
                  <c:v>1962</c:v>
                </c:pt>
                <c:pt idx="7">
                  <c:v>1975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51B-4EE9-9049-8C3CB0F6D169}"/>
            </c:ext>
          </c:extLst>
        </c:ser>
        <c:ser>
          <c:idx val="4"/>
          <c:order val="2"/>
          <c:tx>
            <c:strRef>
              <c:f>'KPI 31'!$D$21</c:f>
              <c:strCache>
                <c:ptCount val="1"/>
                <c:pt idx="0">
                  <c:v>Actual 2024-25</c:v>
                </c:pt>
              </c:strCache>
            </c:strRef>
          </c:tx>
          <c:spPr>
            <a:solidFill>
              <a:schemeClr val="accent3"/>
            </a:solidFill>
          </c:spPr>
          <c:invertIfNegative val="0"/>
          <c:cat>
            <c:numRef>
              <c:f>'KPI 31'!$E$18:$P$18</c:f>
              <c:numCache>
                <c:formatCode>mmm\-yy</c:formatCode>
                <c:ptCount val="12"/>
                <c:pt idx="0">
                  <c:v>45839</c:v>
                </c:pt>
                <c:pt idx="1">
                  <c:v>45870</c:v>
                </c:pt>
                <c:pt idx="2">
                  <c:v>45901</c:v>
                </c:pt>
                <c:pt idx="3">
                  <c:v>45931</c:v>
                </c:pt>
                <c:pt idx="4">
                  <c:v>45962</c:v>
                </c:pt>
                <c:pt idx="5">
                  <c:v>45992</c:v>
                </c:pt>
                <c:pt idx="6">
                  <c:v>46023</c:v>
                </c:pt>
                <c:pt idx="7">
                  <c:v>46054</c:v>
                </c:pt>
                <c:pt idx="8">
                  <c:v>46082</c:v>
                </c:pt>
                <c:pt idx="9">
                  <c:v>46113</c:v>
                </c:pt>
                <c:pt idx="10">
                  <c:v>46143</c:v>
                </c:pt>
                <c:pt idx="11">
                  <c:v>46174</c:v>
                </c:pt>
              </c:numCache>
            </c:numRef>
          </c:cat>
          <c:val>
            <c:numRef>
              <c:f>'KPI 31'!$E$21:$P$21</c:f>
              <c:numCache>
                <c:formatCode>#,##0</c:formatCode>
                <c:ptCount val="12"/>
                <c:pt idx="0">
                  <c:v>1740</c:v>
                </c:pt>
                <c:pt idx="1">
                  <c:v>1748</c:v>
                </c:pt>
                <c:pt idx="2">
                  <c:v>1747</c:v>
                </c:pt>
                <c:pt idx="3">
                  <c:v>1748</c:v>
                </c:pt>
                <c:pt idx="4">
                  <c:v>1749</c:v>
                </c:pt>
                <c:pt idx="5">
                  <c:v>1749</c:v>
                </c:pt>
                <c:pt idx="6">
                  <c:v>1762</c:v>
                </c:pt>
                <c:pt idx="7">
                  <c:v>1774</c:v>
                </c:pt>
                <c:pt idx="8">
                  <c:v>1789</c:v>
                </c:pt>
                <c:pt idx="9">
                  <c:v>1804</c:v>
                </c:pt>
                <c:pt idx="10">
                  <c:v>1821</c:v>
                </c:pt>
                <c:pt idx="11">
                  <c:v>1835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51B-4EE9-9049-8C3CB0F6D16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19135232"/>
        <c:axId val="119137024"/>
      </c:barChart>
      <c:lineChart>
        <c:grouping val="standard"/>
        <c:varyColors val="0"/>
        <c:ser>
          <c:idx val="0"/>
          <c:order val="0"/>
          <c:tx>
            <c:strRef>
              <c:f>'KPI 31'!$D$19</c:f>
              <c:strCache>
                <c:ptCount val="1"/>
                <c:pt idx="0">
                  <c:v>Budget 2025-26</c:v>
                </c:pt>
              </c:strCache>
            </c:strRef>
          </c:tx>
          <c:spPr>
            <a:ln>
              <a:solidFill>
                <a:srgbClr val="FF0000"/>
              </a:solidFill>
            </a:ln>
          </c:spPr>
          <c:marker>
            <c:symbol val="none"/>
          </c:marker>
          <c:cat>
            <c:numRef>
              <c:f>'KPI 31'!$E$18:$P$18</c:f>
              <c:numCache>
                <c:formatCode>mmm\-yy</c:formatCode>
                <c:ptCount val="12"/>
                <c:pt idx="0">
                  <c:v>45839</c:v>
                </c:pt>
                <c:pt idx="1">
                  <c:v>45870</c:v>
                </c:pt>
                <c:pt idx="2">
                  <c:v>45901</c:v>
                </c:pt>
                <c:pt idx="3">
                  <c:v>45931</c:v>
                </c:pt>
                <c:pt idx="4">
                  <c:v>45962</c:v>
                </c:pt>
                <c:pt idx="5">
                  <c:v>45992</c:v>
                </c:pt>
                <c:pt idx="6">
                  <c:v>46023</c:v>
                </c:pt>
                <c:pt idx="7">
                  <c:v>46054</c:v>
                </c:pt>
                <c:pt idx="8">
                  <c:v>46082</c:v>
                </c:pt>
                <c:pt idx="9">
                  <c:v>46113</c:v>
                </c:pt>
                <c:pt idx="10">
                  <c:v>46143</c:v>
                </c:pt>
                <c:pt idx="11">
                  <c:v>46174</c:v>
                </c:pt>
              </c:numCache>
            </c:numRef>
          </c:cat>
          <c:val>
            <c:numRef>
              <c:f>'KPI 31'!$E$19:$P$19</c:f>
              <c:numCache>
                <c:formatCode>#,##0</c:formatCode>
                <c:ptCount val="12"/>
                <c:pt idx="0">
                  <c:v>1843</c:v>
                </c:pt>
                <c:pt idx="1">
                  <c:v>1851</c:v>
                </c:pt>
                <c:pt idx="2">
                  <c:v>1871</c:v>
                </c:pt>
                <c:pt idx="3">
                  <c:v>1921</c:v>
                </c:pt>
                <c:pt idx="4">
                  <c:v>1971</c:v>
                </c:pt>
                <c:pt idx="5">
                  <c:v>2021</c:v>
                </c:pt>
                <c:pt idx="6">
                  <c:v>2066</c:v>
                </c:pt>
                <c:pt idx="7">
                  <c:v>2111</c:v>
                </c:pt>
                <c:pt idx="8">
                  <c:v>2146</c:v>
                </c:pt>
                <c:pt idx="9">
                  <c:v>2176</c:v>
                </c:pt>
                <c:pt idx="10">
                  <c:v>2206</c:v>
                </c:pt>
                <c:pt idx="11">
                  <c:v>2234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C51B-4EE9-9049-8C3CB0F6D16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19135232"/>
        <c:axId val="119137024"/>
      </c:lineChart>
      <c:dateAx>
        <c:axId val="119135232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crossAx val="119137024"/>
        <c:crosses val="autoZero"/>
        <c:auto val="1"/>
        <c:lblOffset val="100"/>
        <c:baseTimeUnit val="months"/>
      </c:dateAx>
      <c:valAx>
        <c:axId val="119137024"/>
        <c:scaling>
          <c:orientation val="minMax"/>
        </c:scaling>
        <c:delete val="0"/>
        <c:axPos val="l"/>
        <c:majorGridlines/>
        <c:numFmt formatCode="#,##0" sourceLinked="1"/>
        <c:majorTickMark val="out"/>
        <c:minorTickMark val="none"/>
        <c:tickLblPos val="nextTo"/>
        <c:crossAx val="119135232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000000000000822" l="0.70000000000000062" r="0.70000000000000062" t="0.75000000000000822" header="0.30000000000000032" footer="0.30000000000000032"/>
    <c:pageSetup/>
  </c:printSettings>
</c:chartSpace>
</file>

<file path=xl/charts/chart3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1"/>
          <c:order val="1"/>
          <c:tx>
            <c:strRef>
              <c:f>'KPI 32'!$D$20</c:f>
              <c:strCache>
                <c:ptCount val="1"/>
                <c:pt idx="0">
                  <c:v>Actual 2025-26</c:v>
                </c:pt>
              </c:strCache>
            </c:strRef>
          </c:tx>
          <c:spPr>
            <a:solidFill>
              <a:schemeClr val="accent1"/>
            </a:solidFill>
          </c:spPr>
          <c:invertIfNegative val="0"/>
          <c:cat>
            <c:numRef>
              <c:f>'KPI 32'!$E$18:$P$18</c:f>
              <c:numCache>
                <c:formatCode>mmm\-yy</c:formatCode>
                <c:ptCount val="12"/>
                <c:pt idx="0">
                  <c:v>45839</c:v>
                </c:pt>
                <c:pt idx="1">
                  <c:v>45870</c:v>
                </c:pt>
                <c:pt idx="2">
                  <c:v>45901</c:v>
                </c:pt>
                <c:pt idx="3">
                  <c:v>45931</c:v>
                </c:pt>
                <c:pt idx="4">
                  <c:v>45962</c:v>
                </c:pt>
                <c:pt idx="5">
                  <c:v>45992</c:v>
                </c:pt>
                <c:pt idx="6">
                  <c:v>46023</c:v>
                </c:pt>
                <c:pt idx="7">
                  <c:v>46054</c:v>
                </c:pt>
                <c:pt idx="8">
                  <c:v>46082</c:v>
                </c:pt>
                <c:pt idx="9">
                  <c:v>46113</c:v>
                </c:pt>
                <c:pt idx="10">
                  <c:v>46143</c:v>
                </c:pt>
                <c:pt idx="11">
                  <c:v>46174</c:v>
                </c:pt>
              </c:numCache>
            </c:numRef>
          </c:cat>
          <c:val>
            <c:numRef>
              <c:f>'KPI 32'!$E$20:$P$20</c:f>
              <c:numCache>
                <c:formatCode>#,##0</c:formatCode>
                <c:ptCount val="12"/>
                <c:pt idx="0">
                  <c:v>365</c:v>
                </c:pt>
                <c:pt idx="1">
                  <c:v>368</c:v>
                </c:pt>
                <c:pt idx="2">
                  <c:v>382</c:v>
                </c:pt>
                <c:pt idx="3">
                  <c:v>382</c:v>
                </c:pt>
                <c:pt idx="4">
                  <c:v>397</c:v>
                </c:pt>
                <c:pt idx="5">
                  <c:v>401</c:v>
                </c:pt>
                <c:pt idx="6">
                  <c:v>405</c:v>
                </c:pt>
                <c:pt idx="7">
                  <c:v>407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1AC-4A34-92FA-7BFD021963C9}"/>
            </c:ext>
          </c:extLst>
        </c:ser>
        <c:ser>
          <c:idx val="4"/>
          <c:order val="2"/>
          <c:tx>
            <c:strRef>
              <c:f>'KPI 32'!$D$21</c:f>
              <c:strCache>
                <c:ptCount val="1"/>
                <c:pt idx="0">
                  <c:v>Actual 2024-25</c:v>
                </c:pt>
              </c:strCache>
            </c:strRef>
          </c:tx>
          <c:spPr>
            <a:solidFill>
              <a:schemeClr val="accent3"/>
            </a:solidFill>
          </c:spPr>
          <c:invertIfNegative val="0"/>
          <c:cat>
            <c:numRef>
              <c:f>'KPI 32'!$E$18:$P$18</c:f>
              <c:numCache>
                <c:formatCode>mmm\-yy</c:formatCode>
                <c:ptCount val="12"/>
                <c:pt idx="0">
                  <c:v>45839</c:v>
                </c:pt>
                <c:pt idx="1">
                  <c:v>45870</c:v>
                </c:pt>
                <c:pt idx="2">
                  <c:v>45901</c:v>
                </c:pt>
                <c:pt idx="3">
                  <c:v>45931</c:v>
                </c:pt>
                <c:pt idx="4">
                  <c:v>45962</c:v>
                </c:pt>
                <c:pt idx="5">
                  <c:v>45992</c:v>
                </c:pt>
                <c:pt idx="6">
                  <c:v>46023</c:v>
                </c:pt>
                <c:pt idx="7">
                  <c:v>46054</c:v>
                </c:pt>
                <c:pt idx="8">
                  <c:v>46082</c:v>
                </c:pt>
                <c:pt idx="9">
                  <c:v>46113</c:v>
                </c:pt>
                <c:pt idx="10">
                  <c:v>46143</c:v>
                </c:pt>
                <c:pt idx="11">
                  <c:v>46174</c:v>
                </c:pt>
              </c:numCache>
            </c:numRef>
          </c:cat>
          <c:val>
            <c:numRef>
              <c:f>'KPI 32'!$E$21:$P$21</c:f>
              <c:numCache>
                <c:formatCode>#,##0</c:formatCode>
                <c:ptCount val="12"/>
                <c:pt idx="0">
                  <c:v>356</c:v>
                </c:pt>
                <c:pt idx="1">
                  <c:v>357</c:v>
                </c:pt>
                <c:pt idx="2">
                  <c:v>357</c:v>
                </c:pt>
                <c:pt idx="3">
                  <c:v>358</c:v>
                </c:pt>
                <c:pt idx="4">
                  <c:v>358</c:v>
                </c:pt>
                <c:pt idx="5">
                  <c:v>359</c:v>
                </c:pt>
                <c:pt idx="6">
                  <c:v>360</c:v>
                </c:pt>
                <c:pt idx="7">
                  <c:v>364</c:v>
                </c:pt>
                <c:pt idx="8">
                  <c:v>364</c:v>
                </c:pt>
                <c:pt idx="9">
                  <c:v>364</c:v>
                </c:pt>
                <c:pt idx="10">
                  <c:v>365</c:v>
                </c:pt>
                <c:pt idx="11">
                  <c:v>365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1AC-4A34-92FA-7BFD021963C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19120256"/>
        <c:axId val="119121792"/>
      </c:barChart>
      <c:lineChart>
        <c:grouping val="standard"/>
        <c:varyColors val="0"/>
        <c:ser>
          <c:idx val="0"/>
          <c:order val="0"/>
          <c:tx>
            <c:strRef>
              <c:f>'KPI 32'!$D$19</c:f>
              <c:strCache>
                <c:ptCount val="1"/>
                <c:pt idx="0">
                  <c:v>Budget 2025-26</c:v>
                </c:pt>
              </c:strCache>
            </c:strRef>
          </c:tx>
          <c:spPr>
            <a:ln>
              <a:solidFill>
                <a:srgbClr val="FF0000"/>
              </a:solidFill>
            </a:ln>
          </c:spPr>
          <c:marker>
            <c:symbol val="none"/>
          </c:marker>
          <c:cat>
            <c:numRef>
              <c:f>'KPI 32'!$E$18:$P$18</c:f>
              <c:numCache>
                <c:formatCode>mmm\-yy</c:formatCode>
                <c:ptCount val="12"/>
                <c:pt idx="0">
                  <c:v>45839</c:v>
                </c:pt>
                <c:pt idx="1">
                  <c:v>45870</c:v>
                </c:pt>
                <c:pt idx="2">
                  <c:v>45901</c:v>
                </c:pt>
                <c:pt idx="3">
                  <c:v>45931</c:v>
                </c:pt>
                <c:pt idx="4">
                  <c:v>45962</c:v>
                </c:pt>
                <c:pt idx="5">
                  <c:v>45992</c:v>
                </c:pt>
                <c:pt idx="6">
                  <c:v>46023</c:v>
                </c:pt>
                <c:pt idx="7">
                  <c:v>46054</c:v>
                </c:pt>
                <c:pt idx="8">
                  <c:v>46082</c:v>
                </c:pt>
                <c:pt idx="9">
                  <c:v>46113</c:v>
                </c:pt>
                <c:pt idx="10">
                  <c:v>46143</c:v>
                </c:pt>
                <c:pt idx="11">
                  <c:v>46174</c:v>
                </c:pt>
              </c:numCache>
            </c:numRef>
          </c:cat>
          <c:val>
            <c:numRef>
              <c:f>'KPI 32'!$E$19:$P$19</c:f>
              <c:numCache>
                <c:formatCode>#,##0</c:formatCode>
                <c:ptCount val="12"/>
                <c:pt idx="0">
                  <c:v>366</c:v>
                </c:pt>
                <c:pt idx="1">
                  <c:v>367</c:v>
                </c:pt>
                <c:pt idx="2">
                  <c:v>368</c:v>
                </c:pt>
                <c:pt idx="3">
                  <c:v>389</c:v>
                </c:pt>
                <c:pt idx="4">
                  <c:v>400</c:v>
                </c:pt>
                <c:pt idx="5">
                  <c:v>411</c:v>
                </c:pt>
                <c:pt idx="6">
                  <c:v>422</c:v>
                </c:pt>
                <c:pt idx="7">
                  <c:v>433</c:v>
                </c:pt>
                <c:pt idx="8">
                  <c:v>444</c:v>
                </c:pt>
                <c:pt idx="9">
                  <c:v>455</c:v>
                </c:pt>
                <c:pt idx="10">
                  <c:v>466</c:v>
                </c:pt>
                <c:pt idx="11">
                  <c:v>477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B1AC-4A34-92FA-7BFD021963C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19120256"/>
        <c:axId val="119121792"/>
      </c:lineChart>
      <c:dateAx>
        <c:axId val="119120256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crossAx val="119121792"/>
        <c:crosses val="autoZero"/>
        <c:auto val="1"/>
        <c:lblOffset val="100"/>
        <c:baseTimeUnit val="months"/>
      </c:dateAx>
      <c:valAx>
        <c:axId val="119121792"/>
        <c:scaling>
          <c:orientation val="minMax"/>
        </c:scaling>
        <c:delete val="0"/>
        <c:axPos val="l"/>
        <c:majorGridlines/>
        <c:numFmt formatCode="#,##0" sourceLinked="1"/>
        <c:majorTickMark val="out"/>
        <c:minorTickMark val="none"/>
        <c:tickLblPos val="nextTo"/>
        <c:crossAx val="119120256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000000000000822" l="0.70000000000000062" r="0.70000000000000062" t="0.75000000000000822" header="0.30000000000000032" footer="0.30000000000000032"/>
    <c:pageSetup/>
  </c:printSettings>
</c:chartSpace>
</file>

<file path=xl/charts/chart3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1"/>
          <c:order val="1"/>
          <c:tx>
            <c:strRef>
              <c:f>'KPI 33'!$D$20</c:f>
              <c:strCache>
                <c:ptCount val="1"/>
                <c:pt idx="0">
                  <c:v>Actual 2025-26</c:v>
                </c:pt>
              </c:strCache>
            </c:strRef>
          </c:tx>
          <c:spPr>
            <a:solidFill>
              <a:schemeClr val="accent1"/>
            </a:solidFill>
          </c:spPr>
          <c:invertIfNegative val="0"/>
          <c:cat>
            <c:numRef>
              <c:f>'KPI 33'!$E$18:$P$18</c:f>
              <c:numCache>
                <c:formatCode>mmm\-yy</c:formatCode>
                <c:ptCount val="12"/>
                <c:pt idx="0">
                  <c:v>45839</c:v>
                </c:pt>
                <c:pt idx="1">
                  <c:v>45870</c:v>
                </c:pt>
                <c:pt idx="2">
                  <c:v>45901</c:v>
                </c:pt>
                <c:pt idx="3">
                  <c:v>45931</c:v>
                </c:pt>
                <c:pt idx="4">
                  <c:v>45962</c:v>
                </c:pt>
                <c:pt idx="5">
                  <c:v>45992</c:v>
                </c:pt>
                <c:pt idx="6">
                  <c:v>46023</c:v>
                </c:pt>
                <c:pt idx="7">
                  <c:v>46054</c:v>
                </c:pt>
                <c:pt idx="8">
                  <c:v>46082</c:v>
                </c:pt>
                <c:pt idx="9">
                  <c:v>46113</c:v>
                </c:pt>
                <c:pt idx="10">
                  <c:v>46143</c:v>
                </c:pt>
                <c:pt idx="11">
                  <c:v>46174</c:v>
                </c:pt>
              </c:numCache>
            </c:numRef>
          </c:cat>
          <c:val>
            <c:numRef>
              <c:f>'KPI 33'!$E$20:$P$20</c:f>
              <c:numCache>
                <c:formatCode>#,##0</c:formatCode>
                <c:ptCount val="12"/>
                <c:pt idx="0">
                  <c:v>2880</c:v>
                </c:pt>
                <c:pt idx="1">
                  <c:v>2920</c:v>
                </c:pt>
                <c:pt idx="2">
                  <c:v>2975</c:v>
                </c:pt>
                <c:pt idx="3">
                  <c:v>3005</c:v>
                </c:pt>
                <c:pt idx="4">
                  <c:v>3035</c:v>
                </c:pt>
                <c:pt idx="5">
                  <c:v>3073</c:v>
                </c:pt>
                <c:pt idx="6">
                  <c:v>3115</c:v>
                </c:pt>
                <c:pt idx="7">
                  <c:v>3131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C83-4067-938C-FB5B18B4B1A1}"/>
            </c:ext>
          </c:extLst>
        </c:ser>
        <c:ser>
          <c:idx val="4"/>
          <c:order val="2"/>
          <c:tx>
            <c:strRef>
              <c:f>'KPI 33'!$D$21</c:f>
              <c:strCache>
                <c:ptCount val="1"/>
                <c:pt idx="0">
                  <c:v>Actual 2024-25</c:v>
                </c:pt>
              </c:strCache>
            </c:strRef>
          </c:tx>
          <c:spPr>
            <a:solidFill>
              <a:schemeClr val="accent3"/>
            </a:solidFill>
          </c:spPr>
          <c:invertIfNegative val="0"/>
          <c:cat>
            <c:numRef>
              <c:f>'KPI 33'!$E$18:$P$18</c:f>
              <c:numCache>
                <c:formatCode>mmm\-yy</c:formatCode>
                <c:ptCount val="12"/>
                <c:pt idx="0">
                  <c:v>45839</c:v>
                </c:pt>
                <c:pt idx="1">
                  <c:v>45870</c:v>
                </c:pt>
                <c:pt idx="2">
                  <c:v>45901</c:v>
                </c:pt>
                <c:pt idx="3">
                  <c:v>45931</c:v>
                </c:pt>
                <c:pt idx="4">
                  <c:v>45962</c:v>
                </c:pt>
                <c:pt idx="5">
                  <c:v>45992</c:v>
                </c:pt>
                <c:pt idx="6">
                  <c:v>46023</c:v>
                </c:pt>
                <c:pt idx="7">
                  <c:v>46054</c:v>
                </c:pt>
                <c:pt idx="8">
                  <c:v>46082</c:v>
                </c:pt>
                <c:pt idx="9">
                  <c:v>46113</c:v>
                </c:pt>
                <c:pt idx="10">
                  <c:v>46143</c:v>
                </c:pt>
                <c:pt idx="11">
                  <c:v>46174</c:v>
                </c:pt>
              </c:numCache>
            </c:numRef>
          </c:cat>
          <c:val>
            <c:numRef>
              <c:f>'KPI 33'!$E$21:$P$21</c:f>
              <c:numCache>
                <c:formatCode>#,##0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C83-4067-938C-FB5B18B4B1A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19027200"/>
        <c:axId val="119028736"/>
      </c:barChart>
      <c:lineChart>
        <c:grouping val="standard"/>
        <c:varyColors val="0"/>
        <c:ser>
          <c:idx val="0"/>
          <c:order val="0"/>
          <c:tx>
            <c:strRef>
              <c:f>'KPI 33'!$D$19</c:f>
              <c:strCache>
                <c:ptCount val="1"/>
                <c:pt idx="0">
                  <c:v>Budget 2025-26</c:v>
                </c:pt>
              </c:strCache>
            </c:strRef>
          </c:tx>
          <c:spPr>
            <a:ln>
              <a:solidFill>
                <a:srgbClr val="FF0000"/>
              </a:solidFill>
            </a:ln>
          </c:spPr>
          <c:marker>
            <c:symbol val="none"/>
          </c:marker>
          <c:cat>
            <c:numRef>
              <c:f>'KPI 33'!$E$18:$P$18</c:f>
              <c:numCache>
                <c:formatCode>mmm\-yy</c:formatCode>
                <c:ptCount val="12"/>
                <c:pt idx="0">
                  <c:v>45839</c:v>
                </c:pt>
                <c:pt idx="1">
                  <c:v>45870</c:v>
                </c:pt>
                <c:pt idx="2">
                  <c:v>45901</c:v>
                </c:pt>
                <c:pt idx="3">
                  <c:v>45931</c:v>
                </c:pt>
                <c:pt idx="4">
                  <c:v>45962</c:v>
                </c:pt>
                <c:pt idx="5">
                  <c:v>45992</c:v>
                </c:pt>
                <c:pt idx="6">
                  <c:v>46023</c:v>
                </c:pt>
                <c:pt idx="7">
                  <c:v>46054</c:v>
                </c:pt>
                <c:pt idx="8">
                  <c:v>46082</c:v>
                </c:pt>
                <c:pt idx="9">
                  <c:v>46113</c:v>
                </c:pt>
                <c:pt idx="10">
                  <c:v>46143</c:v>
                </c:pt>
                <c:pt idx="11">
                  <c:v>46174</c:v>
                </c:pt>
              </c:numCache>
            </c:numRef>
          </c:cat>
          <c:val>
            <c:numRef>
              <c:f>'KPI 33'!$E$19:$P$19</c:f>
              <c:numCache>
                <c:formatCode>#,##0</c:formatCode>
                <c:ptCount val="12"/>
                <c:pt idx="0">
                  <c:v>2901</c:v>
                </c:pt>
                <c:pt idx="1">
                  <c:v>2919</c:v>
                </c:pt>
                <c:pt idx="2">
                  <c:v>2937</c:v>
                </c:pt>
                <c:pt idx="3">
                  <c:v>2955</c:v>
                </c:pt>
                <c:pt idx="4">
                  <c:v>2973</c:v>
                </c:pt>
                <c:pt idx="5">
                  <c:v>2991</c:v>
                </c:pt>
                <c:pt idx="6">
                  <c:v>3024</c:v>
                </c:pt>
                <c:pt idx="7">
                  <c:v>3047</c:v>
                </c:pt>
                <c:pt idx="8">
                  <c:v>3070</c:v>
                </c:pt>
                <c:pt idx="9">
                  <c:v>3088</c:v>
                </c:pt>
                <c:pt idx="10">
                  <c:v>3106</c:v>
                </c:pt>
                <c:pt idx="11">
                  <c:v>3124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DC83-4067-938C-FB5B18B4B1A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19027200"/>
        <c:axId val="119028736"/>
      </c:lineChart>
      <c:dateAx>
        <c:axId val="119027200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crossAx val="119028736"/>
        <c:crosses val="autoZero"/>
        <c:auto val="1"/>
        <c:lblOffset val="100"/>
        <c:baseTimeUnit val="months"/>
      </c:dateAx>
      <c:valAx>
        <c:axId val="119028736"/>
        <c:scaling>
          <c:orientation val="minMax"/>
        </c:scaling>
        <c:delete val="0"/>
        <c:axPos val="l"/>
        <c:majorGridlines/>
        <c:numFmt formatCode="#,##0" sourceLinked="1"/>
        <c:majorTickMark val="out"/>
        <c:minorTickMark val="none"/>
        <c:tickLblPos val="nextTo"/>
        <c:crossAx val="11902720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000000000000822" l="0.70000000000000062" r="0.70000000000000062" t="0.75000000000000822" header="0.30000000000000032" footer="0.30000000000000032"/>
    <c:pageSetup/>
  </c:printSettings>
</c:chartSpace>
</file>

<file path=xl/charts/chart4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1"/>
          <c:order val="1"/>
          <c:tx>
            <c:strRef>
              <c:f>'KPI 33'!$D$20</c:f>
              <c:strCache>
                <c:ptCount val="1"/>
                <c:pt idx="0">
                  <c:v>Actual 2025-26</c:v>
                </c:pt>
              </c:strCache>
            </c:strRef>
          </c:tx>
          <c:spPr>
            <a:solidFill>
              <a:schemeClr val="accent1"/>
            </a:solidFill>
          </c:spPr>
          <c:invertIfNegative val="0"/>
          <c:cat>
            <c:numRef>
              <c:f>'KPI 33'!$E$18:$P$18</c:f>
              <c:numCache>
                <c:formatCode>mmm\-yy</c:formatCode>
                <c:ptCount val="12"/>
                <c:pt idx="0">
                  <c:v>45839</c:v>
                </c:pt>
                <c:pt idx="1">
                  <c:v>45870</c:v>
                </c:pt>
                <c:pt idx="2">
                  <c:v>45901</c:v>
                </c:pt>
                <c:pt idx="3">
                  <c:v>45931</c:v>
                </c:pt>
                <c:pt idx="4">
                  <c:v>45962</c:v>
                </c:pt>
                <c:pt idx="5">
                  <c:v>45992</c:v>
                </c:pt>
                <c:pt idx="6">
                  <c:v>46023</c:v>
                </c:pt>
                <c:pt idx="7">
                  <c:v>46054</c:v>
                </c:pt>
                <c:pt idx="8">
                  <c:v>46082</c:v>
                </c:pt>
                <c:pt idx="9">
                  <c:v>46113</c:v>
                </c:pt>
                <c:pt idx="10">
                  <c:v>46143</c:v>
                </c:pt>
                <c:pt idx="11">
                  <c:v>46174</c:v>
                </c:pt>
              </c:numCache>
            </c:numRef>
          </c:cat>
          <c:val>
            <c:numRef>
              <c:f>'KPI 33'!$E$20:$P$20</c:f>
              <c:numCache>
                <c:formatCode>#,##0</c:formatCode>
                <c:ptCount val="12"/>
                <c:pt idx="0">
                  <c:v>2880</c:v>
                </c:pt>
                <c:pt idx="1">
                  <c:v>2920</c:v>
                </c:pt>
                <c:pt idx="2">
                  <c:v>2975</c:v>
                </c:pt>
                <c:pt idx="3">
                  <c:v>3005</c:v>
                </c:pt>
                <c:pt idx="4">
                  <c:v>3035</c:v>
                </c:pt>
                <c:pt idx="5">
                  <c:v>3073</c:v>
                </c:pt>
                <c:pt idx="6">
                  <c:v>3115</c:v>
                </c:pt>
                <c:pt idx="7">
                  <c:v>3131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F34-40AC-B21C-9CD999A9FEE5}"/>
            </c:ext>
          </c:extLst>
        </c:ser>
        <c:ser>
          <c:idx val="4"/>
          <c:order val="2"/>
          <c:tx>
            <c:strRef>
              <c:f>'KPI 33'!$D$21</c:f>
              <c:strCache>
                <c:ptCount val="1"/>
                <c:pt idx="0">
                  <c:v>Actual 2024-25</c:v>
                </c:pt>
              </c:strCache>
            </c:strRef>
          </c:tx>
          <c:spPr>
            <a:solidFill>
              <a:schemeClr val="accent3"/>
            </a:solidFill>
          </c:spPr>
          <c:invertIfNegative val="0"/>
          <c:cat>
            <c:numRef>
              <c:f>'KPI 33'!$E$18:$P$18</c:f>
              <c:numCache>
                <c:formatCode>mmm\-yy</c:formatCode>
                <c:ptCount val="12"/>
                <c:pt idx="0">
                  <c:v>45839</c:v>
                </c:pt>
                <c:pt idx="1">
                  <c:v>45870</c:v>
                </c:pt>
                <c:pt idx="2">
                  <c:v>45901</c:v>
                </c:pt>
                <c:pt idx="3">
                  <c:v>45931</c:v>
                </c:pt>
                <c:pt idx="4">
                  <c:v>45962</c:v>
                </c:pt>
                <c:pt idx="5">
                  <c:v>45992</c:v>
                </c:pt>
                <c:pt idx="6">
                  <c:v>46023</c:v>
                </c:pt>
                <c:pt idx="7">
                  <c:v>46054</c:v>
                </c:pt>
                <c:pt idx="8">
                  <c:v>46082</c:v>
                </c:pt>
                <c:pt idx="9">
                  <c:v>46113</c:v>
                </c:pt>
                <c:pt idx="10">
                  <c:v>46143</c:v>
                </c:pt>
                <c:pt idx="11">
                  <c:v>46174</c:v>
                </c:pt>
              </c:numCache>
            </c:numRef>
          </c:cat>
          <c:val>
            <c:numRef>
              <c:f>'KPI 33'!$E$21:$P$21</c:f>
              <c:numCache>
                <c:formatCode>#,##0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F34-40AC-B21C-9CD999A9FEE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19027200"/>
        <c:axId val="119028736"/>
      </c:barChart>
      <c:lineChart>
        <c:grouping val="standard"/>
        <c:varyColors val="0"/>
        <c:ser>
          <c:idx val="0"/>
          <c:order val="0"/>
          <c:tx>
            <c:strRef>
              <c:f>'KPI 33'!$D$19</c:f>
              <c:strCache>
                <c:ptCount val="1"/>
                <c:pt idx="0">
                  <c:v>Budget 2025-26</c:v>
                </c:pt>
              </c:strCache>
            </c:strRef>
          </c:tx>
          <c:spPr>
            <a:ln>
              <a:solidFill>
                <a:srgbClr val="FF0000"/>
              </a:solidFill>
            </a:ln>
          </c:spPr>
          <c:marker>
            <c:symbol val="none"/>
          </c:marker>
          <c:cat>
            <c:numRef>
              <c:f>'KPI 33'!$E$18:$P$18</c:f>
              <c:numCache>
                <c:formatCode>mmm\-yy</c:formatCode>
                <c:ptCount val="12"/>
                <c:pt idx="0">
                  <c:v>45839</c:v>
                </c:pt>
                <c:pt idx="1">
                  <c:v>45870</c:v>
                </c:pt>
                <c:pt idx="2">
                  <c:v>45901</c:v>
                </c:pt>
                <c:pt idx="3">
                  <c:v>45931</c:v>
                </c:pt>
                <c:pt idx="4">
                  <c:v>45962</c:v>
                </c:pt>
                <c:pt idx="5">
                  <c:v>45992</c:v>
                </c:pt>
                <c:pt idx="6">
                  <c:v>46023</c:v>
                </c:pt>
                <c:pt idx="7">
                  <c:v>46054</c:v>
                </c:pt>
                <c:pt idx="8">
                  <c:v>46082</c:v>
                </c:pt>
                <c:pt idx="9">
                  <c:v>46113</c:v>
                </c:pt>
                <c:pt idx="10">
                  <c:v>46143</c:v>
                </c:pt>
                <c:pt idx="11">
                  <c:v>46174</c:v>
                </c:pt>
              </c:numCache>
            </c:numRef>
          </c:cat>
          <c:val>
            <c:numRef>
              <c:f>'KPI 33'!$E$19:$P$19</c:f>
              <c:numCache>
                <c:formatCode>#,##0</c:formatCode>
                <c:ptCount val="12"/>
                <c:pt idx="0">
                  <c:v>2901</c:v>
                </c:pt>
                <c:pt idx="1">
                  <c:v>2919</c:v>
                </c:pt>
                <c:pt idx="2">
                  <c:v>2937</c:v>
                </c:pt>
                <c:pt idx="3">
                  <c:v>2955</c:v>
                </c:pt>
                <c:pt idx="4">
                  <c:v>2973</c:v>
                </c:pt>
                <c:pt idx="5">
                  <c:v>2991</c:v>
                </c:pt>
                <c:pt idx="6">
                  <c:v>3024</c:v>
                </c:pt>
                <c:pt idx="7">
                  <c:v>3047</c:v>
                </c:pt>
                <c:pt idx="8">
                  <c:v>3070</c:v>
                </c:pt>
                <c:pt idx="9">
                  <c:v>3088</c:v>
                </c:pt>
                <c:pt idx="10">
                  <c:v>3106</c:v>
                </c:pt>
                <c:pt idx="11">
                  <c:v>3124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FF34-40AC-B21C-9CD999A9FEE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19027200"/>
        <c:axId val="119028736"/>
      </c:lineChart>
      <c:dateAx>
        <c:axId val="119027200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crossAx val="119028736"/>
        <c:crosses val="autoZero"/>
        <c:auto val="1"/>
        <c:lblOffset val="100"/>
        <c:baseTimeUnit val="months"/>
      </c:dateAx>
      <c:valAx>
        <c:axId val="119028736"/>
        <c:scaling>
          <c:orientation val="minMax"/>
        </c:scaling>
        <c:delete val="0"/>
        <c:axPos val="l"/>
        <c:majorGridlines/>
        <c:numFmt formatCode="#,##0" sourceLinked="1"/>
        <c:majorTickMark val="out"/>
        <c:minorTickMark val="none"/>
        <c:tickLblPos val="nextTo"/>
        <c:crossAx val="11902720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000000000000822" l="0.70000000000000062" r="0.70000000000000062" t="0.75000000000000822" header="0.30000000000000032" footer="0.30000000000000032"/>
    <c:pageSetup/>
  </c:printSettings>
</c:chartSpace>
</file>

<file path=xl/charts/chart4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1"/>
          <c:order val="1"/>
          <c:tx>
            <c:strRef>
              <c:f>'KPI 34'!$D$20</c:f>
              <c:strCache>
                <c:ptCount val="1"/>
                <c:pt idx="0">
                  <c:v>Actual 2025-26</c:v>
                </c:pt>
              </c:strCache>
            </c:strRef>
          </c:tx>
          <c:spPr>
            <a:solidFill>
              <a:schemeClr val="accent1"/>
            </a:solidFill>
          </c:spPr>
          <c:invertIfNegative val="0"/>
          <c:cat>
            <c:numRef>
              <c:f>'KPI 34'!$E$18:$P$18</c:f>
              <c:numCache>
                <c:formatCode>mmm\-yy</c:formatCode>
                <c:ptCount val="12"/>
                <c:pt idx="0">
                  <c:v>45839</c:v>
                </c:pt>
                <c:pt idx="1">
                  <c:v>45870</c:v>
                </c:pt>
                <c:pt idx="2">
                  <c:v>45901</c:v>
                </c:pt>
                <c:pt idx="3">
                  <c:v>45931</c:v>
                </c:pt>
                <c:pt idx="4">
                  <c:v>45962</c:v>
                </c:pt>
                <c:pt idx="5">
                  <c:v>45992</c:v>
                </c:pt>
                <c:pt idx="6">
                  <c:v>46023</c:v>
                </c:pt>
                <c:pt idx="7">
                  <c:v>46054</c:v>
                </c:pt>
                <c:pt idx="8">
                  <c:v>46082</c:v>
                </c:pt>
                <c:pt idx="9">
                  <c:v>46113</c:v>
                </c:pt>
                <c:pt idx="10">
                  <c:v>46143</c:v>
                </c:pt>
                <c:pt idx="11">
                  <c:v>46174</c:v>
                </c:pt>
              </c:numCache>
            </c:numRef>
          </c:cat>
          <c:val>
            <c:numRef>
              <c:f>'KPI 34'!$E$20:$P$20</c:f>
              <c:numCache>
                <c:formatCode>#,##0</c:formatCode>
                <c:ptCount val="12"/>
                <c:pt idx="0">
                  <c:v>1154</c:v>
                </c:pt>
                <c:pt idx="1">
                  <c:v>1162</c:v>
                </c:pt>
                <c:pt idx="2">
                  <c:v>1163</c:v>
                </c:pt>
                <c:pt idx="3">
                  <c:v>1165</c:v>
                </c:pt>
                <c:pt idx="4">
                  <c:v>1166</c:v>
                </c:pt>
                <c:pt idx="5">
                  <c:v>1166</c:v>
                </c:pt>
                <c:pt idx="6">
                  <c:v>1168</c:v>
                </c:pt>
                <c:pt idx="7">
                  <c:v>1168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A02-4492-932F-1CDC37527FB7}"/>
            </c:ext>
          </c:extLst>
        </c:ser>
        <c:ser>
          <c:idx val="4"/>
          <c:order val="2"/>
          <c:tx>
            <c:strRef>
              <c:f>'KPI 34'!$D$21</c:f>
              <c:strCache>
                <c:ptCount val="1"/>
                <c:pt idx="0">
                  <c:v>Actual 2024-25</c:v>
                </c:pt>
              </c:strCache>
            </c:strRef>
          </c:tx>
          <c:spPr>
            <a:solidFill>
              <a:schemeClr val="accent3"/>
            </a:solidFill>
          </c:spPr>
          <c:invertIfNegative val="0"/>
          <c:cat>
            <c:numRef>
              <c:f>'KPI 34'!$E$18:$P$18</c:f>
              <c:numCache>
                <c:formatCode>mmm\-yy</c:formatCode>
                <c:ptCount val="12"/>
                <c:pt idx="0">
                  <c:v>45839</c:v>
                </c:pt>
                <c:pt idx="1">
                  <c:v>45870</c:v>
                </c:pt>
                <c:pt idx="2">
                  <c:v>45901</c:v>
                </c:pt>
                <c:pt idx="3">
                  <c:v>45931</c:v>
                </c:pt>
                <c:pt idx="4">
                  <c:v>45962</c:v>
                </c:pt>
                <c:pt idx="5">
                  <c:v>45992</c:v>
                </c:pt>
                <c:pt idx="6">
                  <c:v>46023</c:v>
                </c:pt>
                <c:pt idx="7">
                  <c:v>46054</c:v>
                </c:pt>
                <c:pt idx="8">
                  <c:v>46082</c:v>
                </c:pt>
                <c:pt idx="9">
                  <c:v>46113</c:v>
                </c:pt>
                <c:pt idx="10">
                  <c:v>46143</c:v>
                </c:pt>
                <c:pt idx="11">
                  <c:v>46174</c:v>
                </c:pt>
              </c:numCache>
            </c:numRef>
          </c:cat>
          <c:val>
            <c:numRef>
              <c:f>'KPI 34'!$E$21:$P$21</c:f>
              <c:numCache>
                <c:formatCode>#,##0</c:formatCode>
                <c:ptCount val="12"/>
                <c:pt idx="0">
                  <c:v>1226</c:v>
                </c:pt>
                <c:pt idx="1">
                  <c:v>1231</c:v>
                </c:pt>
                <c:pt idx="2">
                  <c:v>1138</c:v>
                </c:pt>
                <c:pt idx="3">
                  <c:v>1139</c:v>
                </c:pt>
                <c:pt idx="4">
                  <c:v>1140</c:v>
                </c:pt>
                <c:pt idx="5">
                  <c:v>1141</c:v>
                </c:pt>
                <c:pt idx="6">
                  <c:v>1143</c:v>
                </c:pt>
                <c:pt idx="7">
                  <c:v>1147</c:v>
                </c:pt>
                <c:pt idx="8">
                  <c:v>1148</c:v>
                </c:pt>
                <c:pt idx="9">
                  <c:v>1149</c:v>
                </c:pt>
                <c:pt idx="10">
                  <c:v>1151</c:v>
                </c:pt>
                <c:pt idx="11">
                  <c:v>1152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A02-4492-932F-1CDC37527FB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19233152"/>
        <c:axId val="119234944"/>
      </c:barChart>
      <c:lineChart>
        <c:grouping val="standard"/>
        <c:varyColors val="0"/>
        <c:ser>
          <c:idx val="0"/>
          <c:order val="0"/>
          <c:tx>
            <c:strRef>
              <c:f>'KPI 34'!$D$19</c:f>
              <c:strCache>
                <c:ptCount val="1"/>
                <c:pt idx="0">
                  <c:v>Budget 2025-26</c:v>
                </c:pt>
              </c:strCache>
            </c:strRef>
          </c:tx>
          <c:spPr>
            <a:ln>
              <a:solidFill>
                <a:srgbClr val="FF0000"/>
              </a:solidFill>
            </a:ln>
          </c:spPr>
          <c:marker>
            <c:symbol val="none"/>
          </c:marker>
          <c:cat>
            <c:numRef>
              <c:f>'KPI 34'!$E$18:$P$18</c:f>
              <c:numCache>
                <c:formatCode>mmm\-yy</c:formatCode>
                <c:ptCount val="12"/>
                <c:pt idx="0">
                  <c:v>45839</c:v>
                </c:pt>
                <c:pt idx="1">
                  <c:v>45870</c:v>
                </c:pt>
                <c:pt idx="2">
                  <c:v>45901</c:v>
                </c:pt>
                <c:pt idx="3">
                  <c:v>45931</c:v>
                </c:pt>
                <c:pt idx="4">
                  <c:v>45962</c:v>
                </c:pt>
                <c:pt idx="5">
                  <c:v>45992</c:v>
                </c:pt>
                <c:pt idx="6">
                  <c:v>46023</c:v>
                </c:pt>
                <c:pt idx="7">
                  <c:v>46054</c:v>
                </c:pt>
                <c:pt idx="8">
                  <c:v>46082</c:v>
                </c:pt>
                <c:pt idx="9">
                  <c:v>46113</c:v>
                </c:pt>
                <c:pt idx="10">
                  <c:v>46143</c:v>
                </c:pt>
                <c:pt idx="11">
                  <c:v>46174</c:v>
                </c:pt>
              </c:numCache>
            </c:numRef>
          </c:cat>
          <c:val>
            <c:numRef>
              <c:f>'KPI 34'!$E$19:$P$19</c:f>
              <c:numCache>
                <c:formatCode>#,##0</c:formatCode>
                <c:ptCount val="12"/>
                <c:pt idx="0">
                  <c:v>1154</c:v>
                </c:pt>
                <c:pt idx="1">
                  <c:v>1156</c:v>
                </c:pt>
                <c:pt idx="2">
                  <c:v>1158</c:v>
                </c:pt>
                <c:pt idx="3">
                  <c:v>1160</c:v>
                </c:pt>
                <c:pt idx="4">
                  <c:v>1162</c:v>
                </c:pt>
                <c:pt idx="5">
                  <c:v>1164</c:v>
                </c:pt>
                <c:pt idx="6">
                  <c:v>1166</c:v>
                </c:pt>
                <c:pt idx="7">
                  <c:v>1168</c:v>
                </c:pt>
                <c:pt idx="8">
                  <c:v>1170</c:v>
                </c:pt>
                <c:pt idx="9">
                  <c:v>1172</c:v>
                </c:pt>
                <c:pt idx="10">
                  <c:v>1174</c:v>
                </c:pt>
                <c:pt idx="11">
                  <c:v>1176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A02-4492-932F-1CDC37527FB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19233152"/>
        <c:axId val="119234944"/>
      </c:lineChart>
      <c:dateAx>
        <c:axId val="119233152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crossAx val="119234944"/>
        <c:crosses val="autoZero"/>
        <c:auto val="1"/>
        <c:lblOffset val="100"/>
        <c:baseTimeUnit val="months"/>
      </c:dateAx>
      <c:valAx>
        <c:axId val="119234944"/>
        <c:scaling>
          <c:orientation val="minMax"/>
        </c:scaling>
        <c:delete val="0"/>
        <c:axPos val="l"/>
        <c:majorGridlines/>
        <c:numFmt formatCode="#,##0" sourceLinked="1"/>
        <c:majorTickMark val="out"/>
        <c:minorTickMark val="none"/>
        <c:tickLblPos val="nextTo"/>
        <c:crossAx val="119233152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000000000000822" l="0.70000000000000062" r="0.70000000000000062" t="0.75000000000000822" header="0.30000000000000032" footer="0.30000000000000032"/>
    <c:pageSetup/>
  </c:printSettings>
</c:chartSpace>
</file>

<file path=xl/charts/chart4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1"/>
          <c:order val="1"/>
          <c:tx>
            <c:strRef>
              <c:f>'KPI 34'!$D$20</c:f>
              <c:strCache>
                <c:ptCount val="1"/>
                <c:pt idx="0">
                  <c:v>Actual 2025-26</c:v>
                </c:pt>
              </c:strCache>
            </c:strRef>
          </c:tx>
          <c:spPr>
            <a:solidFill>
              <a:schemeClr val="accent1"/>
            </a:solidFill>
          </c:spPr>
          <c:invertIfNegative val="0"/>
          <c:cat>
            <c:numRef>
              <c:f>'KPI 34'!$E$18:$P$18</c:f>
              <c:numCache>
                <c:formatCode>mmm\-yy</c:formatCode>
                <c:ptCount val="12"/>
                <c:pt idx="0">
                  <c:v>45839</c:v>
                </c:pt>
                <c:pt idx="1">
                  <c:v>45870</c:v>
                </c:pt>
                <c:pt idx="2">
                  <c:v>45901</c:v>
                </c:pt>
                <c:pt idx="3">
                  <c:v>45931</c:v>
                </c:pt>
                <c:pt idx="4">
                  <c:v>45962</c:v>
                </c:pt>
                <c:pt idx="5">
                  <c:v>45992</c:v>
                </c:pt>
                <c:pt idx="6">
                  <c:v>46023</c:v>
                </c:pt>
                <c:pt idx="7">
                  <c:v>46054</c:v>
                </c:pt>
                <c:pt idx="8">
                  <c:v>46082</c:v>
                </c:pt>
                <c:pt idx="9">
                  <c:v>46113</c:v>
                </c:pt>
                <c:pt idx="10">
                  <c:v>46143</c:v>
                </c:pt>
                <c:pt idx="11">
                  <c:v>46174</c:v>
                </c:pt>
              </c:numCache>
            </c:numRef>
          </c:cat>
          <c:val>
            <c:numRef>
              <c:f>'KPI 34'!$E$20:$P$20</c:f>
              <c:numCache>
                <c:formatCode>#,##0</c:formatCode>
                <c:ptCount val="12"/>
                <c:pt idx="0">
                  <c:v>1154</c:v>
                </c:pt>
                <c:pt idx="1">
                  <c:v>1162</c:v>
                </c:pt>
                <c:pt idx="2">
                  <c:v>1163</c:v>
                </c:pt>
                <c:pt idx="3">
                  <c:v>1165</c:v>
                </c:pt>
                <c:pt idx="4">
                  <c:v>1166</c:v>
                </c:pt>
                <c:pt idx="5">
                  <c:v>1166</c:v>
                </c:pt>
                <c:pt idx="6">
                  <c:v>1168</c:v>
                </c:pt>
                <c:pt idx="7">
                  <c:v>1168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8EC-45A7-BBC1-9D9B2654A369}"/>
            </c:ext>
          </c:extLst>
        </c:ser>
        <c:ser>
          <c:idx val="4"/>
          <c:order val="2"/>
          <c:tx>
            <c:strRef>
              <c:f>'KPI 34'!$D$21</c:f>
              <c:strCache>
                <c:ptCount val="1"/>
                <c:pt idx="0">
                  <c:v>Actual 2024-25</c:v>
                </c:pt>
              </c:strCache>
            </c:strRef>
          </c:tx>
          <c:spPr>
            <a:solidFill>
              <a:schemeClr val="accent3"/>
            </a:solidFill>
          </c:spPr>
          <c:invertIfNegative val="0"/>
          <c:cat>
            <c:numRef>
              <c:f>'KPI 34'!$E$18:$P$18</c:f>
              <c:numCache>
                <c:formatCode>mmm\-yy</c:formatCode>
                <c:ptCount val="12"/>
                <c:pt idx="0">
                  <c:v>45839</c:v>
                </c:pt>
                <c:pt idx="1">
                  <c:v>45870</c:v>
                </c:pt>
                <c:pt idx="2">
                  <c:v>45901</c:v>
                </c:pt>
                <c:pt idx="3">
                  <c:v>45931</c:v>
                </c:pt>
                <c:pt idx="4">
                  <c:v>45962</c:v>
                </c:pt>
                <c:pt idx="5">
                  <c:v>45992</c:v>
                </c:pt>
                <c:pt idx="6">
                  <c:v>46023</c:v>
                </c:pt>
                <c:pt idx="7">
                  <c:v>46054</c:v>
                </c:pt>
                <c:pt idx="8">
                  <c:v>46082</c:v>
                </c:pt>
                <c:pt idx="9">
                  <c:v>46113</c:v>
                </c:pt>
                <c:pt idx="10">
                  <c:v>46143</c:v>
                </c:pt>
                <c:pt idx="11">
                  <c:v>46174</c:v>
                </c:pt>
              </c:numCache>
            </c:numRef>
          </c:cat>
          <c:val>
            <c:numRef>
              <c:f>'KPI 34'!$E$21:$P$21</c:f>
              <c:numCache>
                <c:formatCode>#,##0</c:formatCode>
                <c:ptCount val="12"/>
                <c:pt idx="0">
                  <c:v>1226</c:v>
                </c:pt>
                <c:pt idx="1">
                  <c:v>1231</c:v>
                </c:pt>
                <c:pt idx="2">
                  <c:v>1138</c:v>
                </c:pt>
                <c:pt idx="3">
                  <c:v>1139</c:v>
                </c:pt>
                <c:pt idx="4">
                  <c:v>1140</c:v>
                </c:pt>
                <c:pt idx="5">
                  <c:v>1141</c:v>
                </c:pt>
                <c:pt idx="6">
                  <c:v>1143</c:v>
                </c:pt>
                <c:pt idx="7">
                  <c:v>1147</c:v>
                </c:pt>
                <c:pt idx="8">
                  <c:v>1148</c:v>
                </c:pt>
                <c:pt idx="9">
                  <c:v>1149</c:v>
                </c:pt>
                <c:pt idx="10">
                  <c:v>1151</c:v>
                </c:pt>
                <c:pt idx="11">
                  <c:v>1152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8EC-45A7-BBC1-9D9B2654A36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19233152"/>
        <c:axId val="119234944"/>
      </c:barChart>
      <c:lineChart>
        <c:grouping val="standard"/>
        <c:varyColors val="0"/>
        <c:ser>
          <c:idx val="0"/>
          <c:order val="0"/>
          <c:tx>
            <c:strRef>
              <c:f>'KPI 34'!$D$19</c:f>
              <c:strCache>
                <c:ptCount val="1"/>
                <c:pt idx="0">
                  <c:v>Budget 2025-26</c:v>
                </c:pt>
              </c:strCache>
            </c:strRef>
          </c:tx>
          <c:spPr>
            <a:ln>
              <a:solidFill>
                <a:srgbClr val="FF0000"/>
              </a:solidFill>
            </a:ln>
          </c:spPr>
          <c:marker>
            <c:symbol val="none"/>
          </c:marker>
          <c:cat>
            <c:numRef>
              <c:f>'KPI 34'!$E$18:$P$18</c:f>
              <c:numCache>
                <c:formatCode>mmm\-yy</c:formatCode>
                <c:ptCount val="12"/>
                <c:pt idx="0">
                  <c:v>45839</c:v>
                </c:pt>
                <c:pt idx="1">
                  <c:v>45870</c:v>
                </c:pt>
                <c:pt idx="2">
                  <c:v>45901</c:v>
                </c:pt>
                <c:pt idx="3">
                  <c:v>45931</c:v>
                </c:pt>
                <c:pt idx="4">
                  <c:v>45962</c:v>
                </c:pt>
                <c:pt idx="5">
                  <c:v>45992</c:v>
                </c:pt>
                <c:pt idx="6">
                  <c:v>46023</c:v>
                </c:pt>
                <c:pt idx="7">
                  <c:v>46054</c:v>
                </c:pt>
                <c:pt idx="8">
                  <c:v>46082</c:v>
                </c:pt>
                <c:pt idx="9">
                  <c:v>46113</c:v>
                </c:pt>
                <c:pt idx="10">
                  <c:v>46143</c:v>
                </c:pt>
                <c:pt idx="11">
                  <c:v>46174</c:v>
                </c:pt>
              </c:numCache>
            </c:numRef>
          </c:cat>
          <c:val>
            <c:numRef>
              <c:f>'KPI 34'!$E$19:$P$19</c:f>
              <c:numCache>
                <c:formatCode>#,##0</c:formatCode>
                <c:ptCount val="12"/>
                <c:pt idx="0">
                  <c:v>1154</c:v>
                </c:pt>
                <c:pt idx="1">
                  <c:v>1156</c:v>
                </c:pt>
                <c:pt idx="2">
                  <c:v>1158</c:v>
                </c:pt>
                <c:pt idx="3">
                  <c:v>1160</c:v>
                </c:pt>
                <c:pt idx="4">
                  <c:v>1162</c:v>
                </c:pt>
                <c:pt idx="5">
                  <c:v>1164</c:v>
                </c:pt>
                <c:pt idx="6">
                  <c:v>1166</c:v>
                </c:pt>
                <c:pt idx="7">
                  <c:v>1168</c:v>
                </c:pt>
                <c:pt idx="8">
                  <c:v>1170</c:v>
                </c:pt>
                <c:pt idx="9">
                  <c:v>1172</c:v>
                </c:pt>
                <c:pt idx="10">
                  <c:v>1174</c:v>
                </c:pt>
                <c:pt idx="11">
                  <c:v>1176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18EC-45A7-BBC1-9D9B2654A36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19233152"/>
        <c:axId val="119234944"/>
      </c:lineChart>
      <c:dateAx>
        <c:axId val="119233152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crossAx val="119234944"/>
        <c:crosses val="autoZero"/>
        <c:auto val="1"/>
        <c:lblOffset val="100"/>
        <c:baseTimeUnit val="months"/>
      </c:dateAx>
      <c:valAx>
        <c:axId val="119234944"/>
        <c:scaling>
          <c:orientation val="minMax"/>
        </c:scaling>
        <c:delete val="0"/>
        <c:axPos val="l"/>
        <c:majorGridlines/>
        <c:numFmt formatCode="#,##0" sourceLinked="1"/>
        <c:majorTickMark val="out"/>
        <c:minorTickMark val="none"/>
        <c:tickLblPos val="nextTo"/>
        <c:crossAx val="119233152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000000000000822" l="0.70000000000000062" r="0.70000000000000062" t="0.75000000000000822" header="0.30000000000000032" footer="0.30000000000000032"/>
    <c:pageSetup/>
  </c:printSettings>
</c:chartSpace>
</file>

<file path=xl/charts/chart4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1"/>
          <c:order val="1"/>
          <c:tx>
            <c:strRef>
              <c:f>'KPI 35'!$D$20</c:f>
              <c:strCache>
                <c:ptCount val="1"/>
                <c:pt idx="0">
                  <c:v>Actual 2025-26</c:v>
                </c:pt>
              </c:strCache>
            </c:strRef>
          </c:tx>
          <c:spPr>
            <a:solidFill>
              <a:schemeClr val="accent1"/>
            </a:solidFill>
          </c:spPr>
          <c:invertIfNegative val="0"/>
          <c:cat>
            <c:numRef>
              <c:f>'KPI 35'!$E$18:$P$18</c:f>
              <c:numCache>
                <c:formatCode>mmm\-yy</c:formatCode>
                <c:ptCount val="12"/>
                <c:pt idx="0">
                  <c:v>45839</c:v>
                </c:pt>
                <c:pt idx="1">
                  <c:v>45870</c:v>
                </c:pt>
                <c:pt idx="2">
                  <c:v>45901</c:v>
                </c:pt>
                <c:pt idx="3">
                  <c:v>45931</c:v>
                </c:pt>
                <c:pt idx="4">
                  <c:v>45962</c:v>
                </c:pt>
                <c:pt idx="5">
                  <c:v>45992</c:v>
                </c:pt>
                <c:pt idx="6">
                  <c:v>46023</c:v>
                </c:pt>
                <c:pt idx="7">
                  <c:v>46054</c:v>
                </c:pt>
                <c:pt idx="8">
                  <c:v>46082</c:v>
                </c:pt>
                <c:pt idx="9">
                  <c:v>46113</c:v>
                </c:pt>
                <c:pt idx="10">
                  <c:v>46143</c:v>
                </c:pt>
                <c:pt idx="11">
                  <c:v>46174</c:v>
                </c:pt>
              </c:numCache>
            </c:numRef>
          </c:cat>
          <c:val>
            <c:numRef>
              <c:f>'KPI 35'!$E$20:$P$20</c:f>
              <c:numCache>
                <c:formatCode>#,##0</c:formatCode>
                <c:ptCount val="12"/>
                <c:pt idx="0">
                  <c:v>1211</c:v>
                </c:pt>
                <c:pt idx="1">
                  <c:v>1265</c:v>
                </c:pt>
                <c:pt idx="2">
                  <c:v>1292</c:v>
                </c:pt>
                <c:pt idx="3">
                  <c:v>1361</c:v>
                </c:pt>
                <c:pt idx="4">
                  <c:v>1387</c:v>
                </c:pt>
                <c:pt idx="5">
                  <c:v>1447</c:v>
                </c:pt>
                <c:pt idx="6">
                  <c:v>1477</c:v>
                </c:pt>
                <c:pt idx="7">
                  <c:v>1509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7A6-45D7-A4D9-F9AF959A363B}"/>
            </c:ext>
          </c:extLst>
        </c:ser>
        <c:ser>
          <c:idx val="4"/>
          <c:order val="2"/>
          <c:tx>
            <c:strRef>
              <c:f>'KPI 35'!$D$21</c:f>
              <c:strCache>
                <c:ptCount val="1"/>
                <c:pt idx="0">
                  <c:v>Actual 2024-25</c:v>
                </c:pt>
              </c:strCache>
            </c:strRef>
          </c:tx>
          <c:spPr>
            <a:solidFill>
              <a:schemeClr val="accent3"/>
            </a:solidFill>
          </c:spPr>
          <c:invertIfNegative val="0"/>
          <c:cat>
            <c:numRef>
              <c:f>'KPI 35'!$E$18:$P$18</c:f>
              <c:numCache>
                <c:formatCode>mmm\-yy</c:formatCode>
                <c:ptCount val="12"/>
                <c:pt idx="0">
                  <c:v>45839</c:v>
                </c:pt>
                <c:pt idx="1">
                  <c:v>45870</c:v>
                </c:pt>
                <c:pt idx="2">
                  <c:v>45901</c:v>
                </c:pt>
                <c:pt idx="3">
                  <c:v>45931</c:v>
                </c:pt>
                <c:pt idx="4">
                  <c:v>45962</c:v>
                </c:pt>
                <c:pt idx="5">
                  <c:v>45992</c:v>
                </c:pt>
                <c:pt idx="6">
                  <c:v>46023</c:v>
                </c:pt>
                <c:pt idx="7">
                  <c:v>46054</c:v>
                </c:pt>
                <c:pt idx="8">
                  <c:v>46082</c:v>
                </c:pt>
                <c:pt idx="9">
                  <c:v>46113</c:v>
                </c:pt>
                <c:pt idx="10">
                  <c:v>46143</c:v>
                </c:pt>
                <c:pt idx="11">
                  <c:v>46174</c:v>
                </c:pt>
              </c:numCache>
            </c:numRef>
          </c:cat>
          <c:val>
            <c:numRef>
              <c:f>'KPI 35'!$E$21:$P$21</c:f>
              <c:numCache>
                <c:formatCode>#,##0</c:formatCode>
                <c:ptCount val="12"/>
                <c:pt idx="0">
                  <c:v>834</c:v>
                </c:pt>
                <c:pt idx="1">
                  <c:v>856</c:v>
                </c:pt>
                <c:pt idx="2">
                  <c:v>868</c:v>
                </c:pt>
                <c:pt idx="3">
                  <c:v>869</c:v>
                </c:pt>
                <c:pt idx="4">
                  <c:v>880</c:v>
                </c:pt>
                <c:pt idx="5">
                  <c:v>933</c:v>
                </c:pt>
                <c:pt idx="6">
                  <c:v>1019</c:v>
                </c:pt>
                <c:pt idx="7">
                  <c:v>1032</c:v>
                </c:pt>
                <c:pt idx="8">
                  <c:v>1044</c:v>
                </c:pt>
                <c:pt idx="9">
                  <c:v>1118</c:v>
                </c:pt>
                <c:pt idx="10">
                  <c:v>1123</c:v>
                </c:pt>
                <c:pt idx="11">
                  <c:v>1146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7A6-45D7-A4D9-F9AF959A363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19271424"/>
        <c:axId val="119272960"/>
      </c:barChart>
      <c:lineChart>
        <c:grouping val="standard"/>
        <c:varyColors val="0"/>
        <c:ser>
          <c:idx val="0"/>
          <c:order val="0"/>
          <c:tx>
            <c:strRef>
              <c:f>'KPI 35'!$D$19</c:f>
              <c:strCache>
                <c:ptCount val="1"/>
                <c:pt idx="0">
                  <c:v>Budget 2025-26</c:v>
                </c:pt>
              </c:strCache>
            </c:strRef>
          </c:tx>
          <c:spPr>
            <a:ln>
              <a:solidFill>
                <a:srgbClr val="FF0000"/>
              </a:solidFill>
            </a:ln>
          </c:spPr>
          <c:marker>
            <c:symbol val="none"/>
          </c:marker>
          <c:cat>
            <c:numRef>
              <c:f>'KPI 35'!$E$18:$P$18</c:f>
              <c:numCache>
                <c:formatCode>mmm\-yy</c:formatCode>
                <c:ptCount val="12"/>
                <c:pt idx="0">
                  <c:v>45839</c:v>
                </c:pt>
                <c:pt idx="1">
                  <c:v>45870</c:v>
                </c:pt>
                <c:pt idx="2">
                  <c:v>45901</c:v>
                </c:pt>
                <c:pt idx="3">
                  <c:v>45931</c:v>
                </c:pt>
                <c:pt idx="4">
                  <c:v>45962</c:v>
                </c:pt>
                <c:pt idx="5">
                  <c:v>45992</c:v>
                </c:pt>
                <c:pt idx="6">
                  <c:v>46023</c:v>
                </c:pt>
                <c:pt idx="7">
                  <c:v>46054</c:v>
                </c:pt>
                <c:pt idx="8">
                  <c:v>46082</c:v>
                </c:pt>
                <c:pt idx="9">
                  <c:v>46113</c:v>
                </c:pt>
                <c:pt idx="10">
                  <c:v>46143</c:v>
                </c:pt>
                <c:pt idx="11">
                  <c:v>46174</c:v>
                </c:pt>
              </c:numCache>
            </c:numRef>
          </c:cat>
          <c:val>
            <c:numRef>
              <c:f>'KPI 35'!$E$19:$P$19</c:f>
              <c:numCache>
                <c:formatCode>#,##0</c:formatCode>
                <c:ptCount val="12"/>
                <c:pt idx="0">
                  <c:v>1197</c:v>
                </c:pt>
                <c:pt idx="1">
                  <c:v>1248</c:v>
                </c:pt>
                <c:pt idx="2">
                  <c:v>1294</c:v>
                </c:pt>
                <c:pt idx="3">
                  <c:v>1365</c:v>
                </c:pt>
                <c:pt idx="4">
                  <c:v>1436</c:v>
                </c:pt>
                <c:pt idx="5">
                  <c:v>1502</c:v>
                </c:pt>
                <c:pt idx="6">
                  <c:v>1563</c:v>
                </c:pt>
                <c:pt idx="7">
                  <c:v>1624</c:v>
                </c:pt>
                <c:pt idx="8">
                  <c:v>1680</c:v>
                </c:pt>
                <c:pt idx="9">
                  <c:v>1726</c:v>
                </c:pt>
                <c:pt idx="10">
                  <c:v>1772</c:v>
                </c:pt>
                <c:pt idx="11">
                  <c:v>1818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D7A6-45D7-A4D9-F9AF959A363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19271424"/>
        <c:axId val="119272960"/>
      </c:lineChart>
      <c:dateAx>
        <c:axId val="119271424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crossAx val="119272960"/>
        <c:crosses val="autoZero"/>
        <c:auto val="1"/>
        <c:lblOffset val="100"/>
        <c:baseTimeUnit val="months"/>
      </c:dateAx>
      <c:valAx>
        <c:axId val="119272960"/>
        <c:scaling>
          <c:orientation val="minMax"/>
        </c:scaling>
        <c:delete val="0"/>
        <c:axPos val="l"/>
        <c:majorGridlines/>
        <c:numFmt formatCode="#,##0" sourceLinked="1"/>
        <c:majorTickMark val="out"/>
        <c:minorTickMark val="none"/>
        <c:tickLblPos val="nextTo"/>
        <c:crossAx val="119271424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000000000000822" l="0.70000000000000062" r="0.70000000000000062" t="0.75000000000000822" header="0.30000000000000032" footer="0.30000000000000032"/>
    <c:pageSetup/>
  </c:printSettings>
</c:chartSpace>
</file>

<file path=xl/charts/chart4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1"/>
          <c:order val="1"/>
          <c:tx>
            <c:strRef>
              <c:f>'KPI 35'!$D$20</c:f>
              <c:strCache>
                <c:ptCount val="1"/>
                <c:pt idx="0">
                  <c:v>Actual 2025-26</c:v>
                </c:pt>
              </c:strCache>
            </c:strRef>
          </c:tx>
          <c:spPr>
            <a:solidFill>
              <a:schemeClr val="accent1"/>
            </a:solidFill>
          </c:spPr>
          <c:invertIfNegative val="0"/>
          <c:cat>
            <c:numRef>
              <c:f>'KPI 35'!$E$18:$P$18</c:f>
              <c:numCache>
                <c:formatCode>mmm\-yy</c:formatCode>
                <c:ptCount val="12"/>
                <c:pt idx="0">
                  <c:v>45839</c:v>
                </c:pt>
                <c:pt idx="1">
                  <c:v>45870</c:v>
                </c:pt>
                <c:pt idx="2">
                  <c:v>45901</c:v>
                </c:pt>
                <c:pt idx="3">
                  <c:v>45931</c:v>
                </c:pt>
                <c:pt idx="4">
                  <c:v>45962</c:v>
                </c:pt>
                <c:pt idx="5">
                  <c:v>45992</c:v>
                </c:pt>
                <c:pt idx="6">
                  <c:v>46023</c:v>
                </c:pt>
                <c:pt idx="7">
                  <c:v>46054</c:v>
                </c:pt>
                <c:pt idx="8">
                  <c:v>46082</c:v>
                </c:pt>
                <c:pt idx="9">
                  <c:v>46113</c:v>
                </c:pt>
                <c:pt idx="10">
                  <c:v>46143</c:v>
                </c:pt>
                <c:pt idx="11">
                  <c:v>46174</c:v>
                </c:pt>
              </c:numCache>
            </c:numRef>
          </c:cat>
          <c:val>
            <c:numRef>
              <c:f>'KPI 35'!$E$20:$P$20</c:f>
              <c:numCache>
                <c:formatCode>#,##0</c:formatCode>
                <c:ptCount val="12"/>
                <c:pt idx="0">
                  <c:v>1211</c:v>
                </c:pt>
                <c:pt idx="1">
                  <c:v>1265</c:v>
                </c:pt>
                <c:pt idx="2">
                  <c:v>1292</c:v>
                </c:pt>
                <c:pt idx="3">
                  <c:v>1361</c:v>
                </c:pt>
                <c:pt idx="4">
                  <c:v>1387</c:v>
                </c:pt>
                <c:pt idx="5">
                  <c:v>1447</c:v>
                </c:pt>
                <c:pt idx="6">
                  <c:v>1477</c:v>
                </c:pt>
                <c:pt idx="7">
                  <c:v>1509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D7E-47FF-A4A9-62F815E13E43}"/>
            </c:ext>
          </c:extLst>
        </c:ser>
        <c:ser>
          <c:idx val="4"/>
          <c:order val="2"/>
          <c:tx>
            <c:strRef>
              <c:f>'KPI 35'!$D$21</c:f>
              <c:strCache>
                <c:ptCount val="1"/>
                <c:pt idx="0">
                  <c:v>Actual 2024-25</c:v>
                </c:pt>
              </c:strCache>
            </c:strRef>
          </c:tx>
          <c:spPr>
            <a:solidFill>
              <a:schemeClr val="accent3"/>
            </a:solidFill>
          </c:spPr>
          <c:invertIfNegative val="0"/>
          <c:cat>
            <c:numRef>
              <c:f>'KPI 35'!$E$18:$P$18</c:f>
              <c:numCache>
                <c:formatCode>mmm\-yy</c:formatCode>
                <c:ptCount val="12"/>
                <c:pt idx="0">
                  <c:v>45839</c:v>
                </c:pt>
                <c:pt idx="1">
                  <c:v>45870</c:v>
                </c:pt>
                <c:pt idx="2">
                  <c:v>45901</c:v>
                </c:pt>
                <c:pt idx="3">
                  <c:v>45931</c:v>
                </c:pt>
                <c:pt idx="4">
                  <c:v>45962</c:v>
                </c:pt>
                <c:pt idx="5">
                  <c:v>45992</c:v>
                </c:pt>
                <c:pt idx="6">
                  <c:v>46023</c:v>
                </c:pt>
                <c:pt idx="7">
                  <c:v>46054</c:v>
                </c:pt>
                <c:pt idx="8">
                  <c:v>46082</c:v>
                </c:pt>
                <c:pt idx="9">
                  <c:v>46113</c:v>
                </c:pt>
                <c:pt idx="10">
                  <c:v>46143</c:v>
                </c:pt>
                <c:pt idx="11">
                  <c:v>46174</c:v>
                </c:pt>
              </c:numCache>
            </c:numRef>
          </c:cat>
          <c:val>
            <c:numRef>
              <c:f>'KPI 35'!$E$21:$P$21</c:f>
              <c:numCache>
                <c:formatCode>#,##0</c:formatCode>
                <c:ptCount val="12"/>
                <c:pt idx="0">
                  <c:v>834</c:v>
                </c:pt>
                <c:pt idx="1">
                  <c:v>856</c:v>
                </c:pt>
                <c:pt idx="2">
                  <c:v>868</c:v>
                </c:pt>
                <c:pt idx="3">
                  <c:v>869</c:v>
                </c:pt>
                <c:pt idx="4">
                  <c:v>880</c:v>
                </c:pt>
                <c:pt idx="5">
                  <c:v>933</c:v>
                </c:pt>
                <c:pt idx="6">
                  <c:v>1019</c:v>
                </c:pt>
                <c:pt idx="7">
                  <c:v>1032</c:v>
                </c:pt>
                <c:pt idx="8">
                  <c:v>1044</c:v>
                </c:pt>
                <c:pt idx="9">
                  <c:v>1118</c:v>
                </c:pt>
                <c:pt idx="10">
                  <c:v>1123</c:v>
                </c:pt>
                <c:pt idx="11">
                  <c:v>1146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D7E-47FF-A4A9-62F815E13E4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19271424"/>
        <c:axId val="119272960"/>
      </c:barChart>
      <c:lineChart>
        <c:grouping val="standard"/>
        <c:varyColors val="0"/>
        <c:ser>
          <c:idx val="0"/>
          <c:order val="0"/>
          <c:tx>
            <c:strRef>
              <c:f>'KPI 35'!$D$19</c:f>
              <c:strCache>
                <c:ptCount val="1"/>
                <c:pt idx="0">
                  <c:v>Budget 2025-26</c:v>
                </c:pt>
              </c:strCache>
            </c:strRef>
          </c:tx>
          <c:spPr>
            <a:ln>
              <a:solidFill>
                <a:srgbClr val="FF0000"/>
              </a:solidFill>
            </a:ln>
          </c:spPr>
          <c:marker>
            <c:symbol val="none"/>
          </c:marker>
          <c:cat>
            <c:numRef>
              <c:f>'KPI 35'!$E$18:$P$18</c:f>
              <c:numCache>
                <c:formatCode>mmm\-yy</c:formatCode>
                <c:ptCount val="12"/>
                <c:pt idx="0">
                  <c:v>45839</c:v>
                </c:pt>
                <c:pt idx="1">
                  <c:v>45870</c:v>
                </c:pt>
                <c:pt idx="2">
                  <c:v>45901</c:v>
                </c:pt>
                <c:pt idx="3">
                  <c:v>45931</c:v>
                </c:pt>
                <c:pt idx="4">
                  <c:v>45962</c:v>
                </c:pt>
                <c:pt idx="5">
                  <c:v>45992</c:v>
                </c:pt>
                <c:pt idx="6">
                  <c:v>46023</c:v>
                </c:pt>
                <c:pt idx="7">
                  <c:v>46054</c:v>
                </c:pt>
                <c:pt idx="8">
                  <c:v>46082</c:v>
                </c:pt>
                <c:pt idx="9">
                  <c:v>46113</c:v>
                </c:pt>
                <c:pt idx="10">
                  <c:v>46143</c:v>
                </c:pt>
                <c:pt idx="11">
                  <c:v>46174</c:v>
                </c:pt>
              </c:numCache>
            </c:numRef>
          </c:cat>
          <c:val>
            <c:numRef>
              <c:f>'KPI 35'!$E$19:$P$19</c:f>
              <c:numCache>
                <c:formatCode>#,##0</c:formatCode>
                <c:ptCount val="12"/>
                <c:pt idx="0">
                  <c:v>1197</c:v>
                </c:pt>
                <c:pt idx="1">
                  <c:v>1248</c:v>
                </c:pt>
                <c:pt idx="2">
                  <c:v>1294</c:v>
                </c:pt>
                <c:pt idx="3">
                  <c:v>1365</c:v>
                </c:pt>
                <c:pt idx="4">
                  <c:v>1436</c:v>
                </c:pt>
                <c:pt idx="5">
                  <c:v>1502</c:v>
                </c:pt>
                <c:pt idx="6">
                  <c:v>1563</c:v>
                </c:pt>
                <c:pt idx="7">
                  <c:v>1624</c:v>
                </c:pt>
                <c:pt idx="8">
                  <c:v>1680</c:v>
                </c:pt>
                <c:pt idx="9">
                  <c:v>1726</c:v>
                </c:pt>
                <c:pt idx="10">
                  <c:v>1772</c:v>
                </c:pt>
                <c:pt idx="11">
                  <c:v>1818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4D7E-47FF-A4A9-62F815E13E4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19271424"/>
        <c:axId val="119272960"/>
      </c:lineChart>
      <c:dateAx>
        <c:axId val="119271424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crossAx val="119272960"/>
        <c:crosses val="autoZero"/>
        <c:auto val="1"/>
        <c:lblOffset val="100"/>
        <c:baseTimeUnit val="months"/>
      </c:dateAx>
      <c:valAx>
        <c:axId val="119272960"/>
        <c:scaling>
          <c:orientation val="minMax"/>
        </c:scaling>
        <c:delete val="0"/>
        <c:axPos val="l"/>
        <c:majorGridlines/>
        <c:numFmt formatCode="#,##0" sourceLinked="1"/>
        <c:majorTickMark val="out"/>
        <c:minorTickMark val="none"/>
        <c:tickLblPos val="nextTo"/>
        <c:crossAx val="119271424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000000000000822" l="0.70000000000000062" r="0.70000000000000062" t="0.75000000000000822" header="0.30000000000000032" footer="0.30000000000000032"/>
    <c:pageSetup/>
  </c:printSettings>
</c:chartSpace>
</file>

<file path=xl/charts/chart4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1"/>
          <c:order val="1"/>
          <c:tx>
            <c:strRef>
              <c:f>'KPI 36'!$D$20</c:f>
              <c:strCache>
                <c:ptCount val="1"/>
                <c:pt idx="0">
                  <c:v>Actual 2025-26</c:v>
                </c:pt>
              </c:strCache>
            </c:strRef>
          </c:tx>
          <c:spPr>
            <a:solidFill>
              <a:schemeClr val="accent1"/>
            </a:solidFill>
          </c:spPr>
          <c:invertIfNegative val="0"/>
          <c:cat>
            <c:numRef>
              <c:f>'KPI 36'!$E$18:$P$18</c:f>
              <c:numCache>
                <c:formatCode>mmm\-yy</c:formatCode>
                <c:ptCount val="12"/>
                <c:pt idx="0">
                  <c:v>45839</c:v>
                </c:pt>
                <c:pt idx="1">
                  <c:v>45870</c:v>
                </c:pt>
                <c:pt idx="2">
                  <c:v>45901</c:v>
                </c:pt>
                <c:pt idx="3">
                  <c:v>45931</c:v>
                </c:pt>
                <c:pt idx="4">
                  <c:v>45962</c:v>
                </c:pt>
                <c:pt idx="5">
                  <c:v>45992</c:v>
                </c:pt>
                <c:pt idx="6">
                  <c:v>46023</c:v>
                </c:pt>
                <c:pt idx="7">
                  <c:v>46054</c:v>
                </c:pt>
                <c:pt idx="8">
                  <c:v>46082</c:v>
                </c:pt>
                <c:pt idx="9">
                  <c:v>46113</c:v>
                </c:pt>
                <c:pt idx="10">
                  <c:v>46143</c:v>
                </c:pt>
                <c:pt idx="11">
                  <c:v>46174</c:v>
                </c:pt>
              </c:numCache>
            </c:numRef>
          </c:cat>
          <c:val>
            <c:numRef>
              <c:f>'KPI 36'!$E$20:$P$20</c:f>
              <c:numCache>
                <c:formatCode>#,##0</c:formatCode>
                <c:ptCount val="12"/>
                <c:pt idx="0">
                  <c:v>4077</c:v>
                </c:pt>
                <c:pt idx="1">
                  <c:v>4175</c:v>
                </c:pt>
                <c:pt idx="2">
                  <c:v>4240</c:v>
                </c:pt>
                <c:pt idx="3">
                  <c:v>4329</c:v>
                </c:pt>
                <c:pt idx="4">
                  <c:v>4387</c:v>
                </c:pt>
                <c:pt idx="5">
                  <c:v>4463</c:v>
                </c:pt>
                <c:pt idx="6">
                  <c:v>4537</c:v>
                </c:pt>
                <c:pt idx="7">
                  <c:v>4587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BB5-43CF-8277-0A7427A7FA7E}"/>
            </c:ext>
          </c:extLst>
        </c:ser>
        <c:ser>
          <c:idx val="4"/>
          <c:order val="2"/>
          <c:tx>
            <c:strRef>
              <c:f>'KPI 36'!$D$21</c:f>
              <c:strCache>
                <c:ptCount val="1"/>
                <c:pt idx="0">
                  <c:v>Actual 2024-25</c:v>
                </c:pt>
              </c:strCache>
            </c:strRef>
          </c:tx>
          <c:spPr>
            <a:solidFill>
              <a:schemeClr val="accent3"/>
            </a:solidFill>
          </c:spPr>
          <c:invertIfNegative val="0"/>
          <c:cat>
            <c:numRef>
              <c:f>'KPI 36'!$E$18:$P$18</c:f>
              <c:numCache>
                <c:formatCode>mmm\-yy</c:formatCode>
                <c:ptCount val="12"/>
                <c:pt idx="0">
                  <c:v>45839</c:v>
                </c:pt>
                <c:pt idx="1">
                  <c:v>45870</c:v>
                </c:pt>
                <c:pt idx="2">
                  <c:v>45901</c:v>
                </c:pt>
                <c:pt idx="3">
                  <c:v>45931</c:v>
                </c:pt>
                <c:pt idx="4">
                  <c:v>45962</c:v>
                </c:pt>
                <c:pt idx="5">
                  <c:v>45992</c:v>
                </c:pt>
                <c:pt idx="6">
                  <c:v>46023</c:v>
                </c:pt>
                <c:pt idx="7">
                  <c:v>46054</c:v>
                </c:pt>
                <c:pt idx="8">
                  <c:v>46082</c:v>
                </c:pt>
                <c:pt idx="9">
                  <c:v>46113</c:v>
                </c:pt>
                <c:pt idx="10">
                  <c:v>46143</c:v>
                </c:pt>
                <c:pt idx="11">
                  <c:v>46174</c:v>
                </c:pt>
              </c:numCache>
            </c:numRef>
          </c:cat>
          <c:val>
            <c:numRef>
              <c:f>'KPI 36'!$E$21:$P$21</c:f>
              <c:numCache>
                <c:formatCode>#,##0</c:formatCode>
                <c:ptCount val="12"/>
                <c:pt idx="0">
                  <c:v>3492</c:v>
                </c:pt>
                <c:pt idx="1">
                  <c:v>3523</c:v>
                </c:pt>
                <c:pt idx="2">
                  <c:v>3537</c:v>
                </c:pt>
                <c:pt idx="3">
                  <c:v>3540</c:v>
                </c:pt>
                <c:pt idx="4">
                  <c:v>3555</c:v>
                </c:pt>
                <c:pt idx="5">
                  <c:v>3608</c:v>
                </c:pt>
                <c:pt idx="6">
                  <c:v>3713</c:v>
                </c:pt>
                <c:pt idx="7">
                  <c:v>3749</c:v>
                </c:pt>
                <c:pt idx="8">
                  <c:v>3785</c:v>
                </c:pt>
                <c:pt idx="9">
                  <c:v>3879</c:v>
                </c:pt>
                <c:pt idx="10">
                  <c:v>3917</c:v>
                </c:pt>
                <c:pt idx="11">
                  <c:v>3964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BB5-43CF-8277-0A7427A7FA7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18883456"/>
        <c:axId val="118884992"/>
      </c:barChart>
      <c:lineChart>
        <c:grouping val="standard"/>
        <c:varyColors val="0"/>
        <c:ser>
          <c:idx val="0"/>
          <c:order val="0"/>
          <c:tx>
            <c:strRef>
              <c:f>'KPI 36'!$D$19</c:f>
              <c:strCache>
                <c:ptCount val="1"/>
                <c:pt idx="0">
                  <c:v>Budget 2025-26</c:v>
                </c:pt>
              </c:strCache>
            </c:strRef>
          </c:tx>
          <c:spPr>
            <a:ln>
              <a:solidFill>
                <a:srgbClr val="FF0000"/>
              </a:solidFill>
            </a:ln>
          </c:spPr>
          <c:marker>
            <c:symbol val="none"/>
          </c:marker>
          <c:cat>
            <c:numRef>
              <c:f>'KPI 36'!$E$18:$P$18</c:f>
              <c:numCache>
                <c:formatCode>mmm\-yy</c:formatCode>
                <c:ptCount val="12"/>
                <c:pt idx="0">
                  <c:v>45839</c:v>
                </c:pt>
                <c:pt idx="1">
                  <c:v>45870</c:v>
                </c:pt>
                <c:pt idx="2">
                  <c:v>45901</c:v>
                </c:pt>
                <c:pt idx="3">
                  <c:v>45931</c:v>
                </c:pt>
                <c:pt idx="4">
                  <c:v>45962</c:v>
                </c:pt>
                <c:pt idx="5">
                  <c:v>45992</c:v>
                </c:pt>
                <c:pt idx="6">
                  <c:v>46023</c:v>
                </c:pt>
                <c:pt idx="7">
                  <c:v>46054</c:v>
                </c:pt>
                <c:pt idx="8">
                  <c:v>46082</c:v>
                </c:pt>
                <c:pt idx="9">
                  <c:v>46113</c:v>
                </c:pt>
                <c:pt idx="10">
                  <c:v>46143</c:v>
                </c:pt>
                <c:pt idx="11">
                  <c:v>46174</c:v>
                </c:pt>
              </c:numCache>
            </c:numRef>
          </c:cat>
          <c:val>
            <c:numRef>
              <c:f>'KPI 36'!$E$19:$P$19</c:f>
              <c:numCache>
                <c:formatCode>#,##0</c:formatCode>
                <c:ptCount val="12"/>
                <c:pt idx="0">
                  <c:v>4034</c:v>
                </c:pt>
                <c:pt idx="1">
                  <c:v>4104</c:v>
                </c:pt>
                <c:pt idx="2">
                  <c:v>4181</c:v>
                </c:pt>
                <c:pt idx="3">
                  <c:v>4333</c:v>
                </c:pt>
                <c:pt idx="4">
                  <c:v>4475</c:v>
                </c:pt>
                <c:pt idx="5">
                  <c:v>4612</c:v>
                </c:pt>
                <c:pt idx="6">
                  <c:v>4739</c:v>
                </c:pt>
                <c:pt idx="7">
                  <c:v>4866</c:v>
                </c:pt>
                <c:pt idx="8">
                  <c:v>4978</c:v>
                </c:pt>
                <c:pt idx="9">
                  <c:v>5075</c:v>
                </c:pt>
                <c:pt idx="10">
                  <c:v>5172</c:v>
                </c:pt>
                <c:pt idx="11">
                  <c:v>5267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BB5-43CF-8277-0A7427A7FA7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18883456"/>
        <c:axId val="118884992"/>
      </c:lineChart>
      <c:dateAx>
        <c:axId val="118883456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crossAx val="118884992"/>
        <c:crosses val="autoZero"/>
        <c:auto val="1"/>
        <c:lblOffset val="100"/>
        <c:baseTimeUnit val="months"/>
      </c:dateAx>
      <c:valAx>
        <c:axId val="118884992"/>
        <c:scaling>
          <c:orientation val="minMax"/>
        </c:scaling>
        <c:delete val="0"/>
        <c:axPos val="l"/>
        <c:majorGridlines/>
        <c:numFmt formatCode="#,##0" sourceLinked="1"/>
        <c:majorTickMark val="out"/>
        <c:minorTickMark val="none"/>
        <c:tickLblPos val="nextTo"/>
        <c:crossAx val="118883456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000000000000822" l="0.70000000000000062" r="0.70000000000000062" t="0.75000000000000822" header="0.30000000000000032" footer="0.30000000000000032"/>
    <c:pageSetup/>
  </c:printSettings>
</c:chartSpace>
</file>

<file path=xl/charts/chart4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1"/>
          <c:order val="1"/>
          <c:tx>
            <c:strRef>
              <c:f>'KPI 36'!$D$20</c:f>
              <c:strCache>
                <c:ptCount val="1"/>
                <c:pt idx="0">
                  <c:v>Actual 2025-26</c:v>
                </c:pt>
              </c:strCache>
            </c:strRef>
          </c:tx>
          <c:spPr>
            <a:solidFill>
              <a:schemeClr val="accent1"/>
            </a:solidFill>
          </c:spPr>
          <c:invertIfNegative val="0"/>
          <c:cat>
            <c:numRef>
              <c:f>'KPI 36'!$E$18:$P$18</c:f>
              <c:numCache>
                <c:formatCode>mmm\-yy</c:formatCode>
                <c:ptCount val="12"/>
                <c:pt idx="0">
                  <c:v>45839</c:v>
                </c:pt>
                <c:pt idx="1">
                  <c:v>45870</c:v>
                </c:pt>
                <c:pt idx="2">
                  <c:v>45901</c:v>
                </c:pt>
                <c:pt idx="3">
                  <c:v>45931</c:v>
                </c:pt>
                <c:pt idx="4">
                  <c:v>45962</c:v>
                </c:pt>
                <c:pt idx="5">
                  <c:v>45992</c:v>
                </c:pt>
                <c:pt idx="6">
                  <c:v>46023</c:v>
                </c:pt>
                <c:pt idx="7">
                  <c:v>46054</c:v>
                </c:pt>
                <c:pt idx="8">
                  <c:v>46082</c:v>
                </c:pt>
                <c:pt idx="9">
                  <c:v>46113</c:v>
                </c:pt>
                <c:pt idx="10">
                  <c:v>46143</c:v>
                </c:pt>
                <c:pt idx="11">
                  <c:v>46174</c:v>
                </c:pt>
              </c:numCache>
            </c:numRef>
          </c:cat>
          <c:val>
            <c:numRef>
              <c:f>'KPI 36'!$E$20:$P$20</c:f>
              <c:numCache>
                <c:formatCode>#,##0</c:formatCode>
                <c:ptCount val="12"/>
                <c:pt idx="0">
                  <c:v>4077</c:v>
                </c:pt>
                <c:pt idx="1">
                  <c:v>4175</c:v>
                </c:pt>
                <c:pt idx="2">
                  <c:v>4240</c:v>
                </c:pt>
                <c:pt idx="3">
                  <c:v>4329</c:v>
                </c:pt>
                <c:pt idx="4">
                  <c:v>4387</c:v>
                </c:pt>
                <c:pt idx="5">
                  <c:v>4463</c:v>
                </c:pt>
                <c:pt idx="6">
                  <c:v>4537</c:v>
                </c:pt>
                <c:pt idx="7">
                  <c:v>4587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CA8-4624-B42B-C542DC09DD1B}"/>
            </c:ext>
          </c:extLst>
        </c:ser>
        <c:ser>
          <c:idx val="4"/>
          <c:order val="2"/>
          <c:tx>
            <c:strRef>
              <c:f>'KPI 36'!$D$21</c:f>
              <c:strCache>
                <c:ptCount val="1"/>
                <c:pt idx="0">
                  <c:v>Actual 2024-25</c:v>
                </c:pt>
              </c:strCache>
            </c:strRef>
          </c:tx>
          <c:spPr>
            <a:solidFill>
              <a:schemeClr val="accent3"/>
            </a:solidFill>
          </c:spPr>
          <c:invertIfNegative val="0"/>
          <c:cat>
            <c:numRef>
              <c:f>'KPI 36'!$E$18:$P$18</c:f>
              <c:numCache>
                <c:formatCode>mmm\-yy</c:formatCode>
                <c:ptCount val="12"/>
                <c:pt idx="0">
                  <c:v>45839</c:v>
                </c:pt>
                <c:pt idx="1">
                  <c:v>45870</c:v>
                </c:pt>
                <c:pt idx="2">
                  <c:v>45901</c:v>
                </c:pt>
                <c:pt idx="3">
                  <c:v>45931</c:v>
                </c:pt>
                <c:pt idx="4">
                  <c:v>45962</c:v>
                </c:pt>
                <c:pt idx="5">
                  <c:v>45992</c:v>
                </c:pt>
                <c:pt idx="6">
                  <c:v>46023</c:v>
                </c:pt>
                <c:pt idx="7">
                  <c:v>46054</c:v>
                </c:pt>
                <c:pt idx="8">
                  <c:v>46082</c:v>
                </c:pt>
                <c:pt idx="9">
                  <c:v>46113</c:v>
                </c:pt>
                <c:pt idx="10">
                  <c:v>46143</c:v>
                </c:pt>
                <c:pt idx="11">
                  <c:v>46174</c:v>
                </c:pt>
              </c:numCache>
            </c:numRef>
          </c:cat>
          <c:val>
            <c:numRef>
              <c:f>'KPI 36'!$E$21:$P$21</c:f>
              <c:numCache>
                <c:formatCode>#,##0</c:formatCode>
                <c:ptCount val="12"/>
                <c:pt idx="0">
                  <c:v>3492</c:v>
                </c:pt>
                <c:pt idx="1">
                  <c:v>3523</c:v>
                </c:pt>
                <c:pt idx="2">
                  <c:v>3537</c:v>
                </c:pt>
                <c:pt idx="3">
                  <c:v>3540</c:v>
                </c:pt>
                <c:pt idx="4">
                  <c:v>3555</c:v>
                </c:pt>
                <c:pt idx="5">
                  <c:v>3608</c:v>
                </c:pt>
                <c:pt idx="6">
                  <c:v>3713</c:v>
                </c:pt>
                <c:pt idx="7">
                  <c:v>3749</c:v>
                </c:pt>
                <c:pt idx="8">
                  <c:v>3785</c:v>
                </c:pt>
                <c:pt idx="9">
                  <c:v>3879</c:v>
                </c:pt>
                <c:pt idx="10">
                  <c:v>3917</c:v>
                </c:pt>
                <c:pt idx="11">
                  <c:v>3964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CA8-4624-B42B-C542DC09DD1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18883456"/>
        <c:axId val="118884992"/>
      </c:barChart>
      <c:lineChart>
        <c:grouping val="standard"/>
        <c:varyColors val="0"/>
        <c:ser>
          <c:idx val="0"/>
          <c:order val="0"/>
          <c:tx>
            <c:strRef>
              <c:f>'KPI 36'!$D$19</c:f>
              <c:strCache>
                <c:ptCount val="1"/>
                <c:pt idx="0">
                  <c:v>Budget 2025-26</c:v>
                </c:pt>
              </c:strCache>
            </c:strRef>
          </c:tx>
          <c:spPr>
            <a:ln>
              <a:solidFill>
                <a:srgbClr val="FF0000"/>
              </a:solidFill>
            </a:ln>
          </c:spPr>
          <c:marker>
            <c:symbol val="none"/>
          </c:marker>
          <c:cat>
            <c:numRef>
              <c:f>'KPI 36'!$E$18:$P$18</c:f>
              <c:numCache>
                <c:formatCode>mmm\-yy</c:formatCode>
                <c:ptCount val="12"/>
                <c:pt idx="0">
                  <c:v>45839</c:v>
                </c:pt>
                <c:pt idx="1">
                  <c:v>45870</c:v>
                </c:pt>
                <c:pt idx="2">
                  <c:v>45901</c:v>
                </c:pt>
                <c:pt idx="3">
                  <c:v>45931</c:v>
                </c:pt>
                <c:pt idx="4">
                  <c:v>45962</c:v>
                </c:pt>
                <c:pt idx="5">
                  <c:v>45992</c:v>
                </c:pt>
                <c:pt idx="6">
                  <c:v>46023</c:v>
                </c:pt>
                <c:pt idx="7">
                  <c:v>46054</c:v>
                </c:pt>
                <c:pt idx="8">
                  <c:v>46082</c:v>
                </c:pt>
                <c:pt idx="9">
                  <c:v>46113</c:v>
                </c:pt>
                <c:pt idx="10">
                  <c:v>46143</c:v>
                </c:pt>
                <c:pt idx="11">
                  <c:v>46174</c:v>
                </c:pt>
              </c:numCache>
            </c:numRef>
          </c:cat>
          <c:val>
            <c:numRef>
              <c:f>'KPI 36'!$E$19:$P$19</c:f>
              <c:numCache>
                <c:formatCode>#,##0</c:formatCode>
                <c:ptCount val="12"/>
                <c:pt idx="0">
                  <c:v>4034</c:v>
                </c:pt>
                <c:pt idx="1">
                  <c:v>4104</c:v>
                </c:pt>
                <c:pt idx="2">
                  <c:v>4181</c:v>
                </c:pt>
                <c:pt idx="3">
                  <c:v>4333</c:v>
                </c:pt>
                <c:pt idx="4">
                  <c:v>4475</c:v>
                </c:pt>
                <c:pt idx="5">
                  <c:v>4612</c:v>
                </c:pt>
                <c:pt idx="6">
                  <c:v>4739</c:v>
                </c:pt>
                <c:pt idx="7">
                  <c:v>4866</c:v>
                </c:pt>
                <c:pt idx="8">
                  <c:v>4978</c:v>
                </c:pt>
                <c:pt idx="9">
                  <c:v>5075</c:v>
                </c:pt>
                <c:pt idx="10">
                  <c:v>5172</c:v>
                </c:pt>
                <c:pt idx="11">
                  <c:v>5267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9CA8-4624-B42B-C542DC09DD1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18883456"/>
        <c:axId val="118884992"/>
      </c:lineChart>
      <c:dateAx>
        <c:axId val="118883456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crossAx val="118884992"/>
        <c:crosses val="autoZero"/>
        <c:auto val="1"/>
        <c:lblOffset val="100"/>
        <c:baseTimeUnit val="months"/>
      </c:dateAx>
      <c:valAx>
        <c:axId val="118884992"/>
        <c:scaling>
          <c:orientation val="minMax"/>
        </c:scaling>
        <c:delete val="0"/>
        <c:axPos val="l"/>
        <c:majorGridlines/>
        <c:numFmt formatCode="#,##0" sourceLinked="1"/>
        <c:majorTickMark val="out"/>
        <c:minorTickMark val="none"/>
        <c:tickLblPos val="nextTo"/>
        <c:crossAx val="118883456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000000000000822" l="0.70000000000000062" r="0.70000000000000062" t="0.75000000000000822" header="0.30000000000000032" footer="0.30000000000000032"/>
    <c:pageSetup/>
  </c:printSettings>
</c:chartSpace>
</file>

<file path=xl/charts/chart4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1"/>
          <c:order val="1"/>
          <c:tx>
            <c:strRef>
              <c:f>'KPI 37'!$D$20</c:f>
              <c:strCache>
                <c:ptCount val="1"/>
                <c:pt idx="0">
                  <c:v>Actual 2025-26</c:v>
                </c:pt>
              </c:strCache>
            </c:strRef>
          </c:tx>
          <c:spPr>
            <a:solidFill>
              <a:schemeClr val="accent1"/>
            </a:solidFill>
          </c:spPr>
          <c:invertIfNegative val="0"/>
          <c:cat>
            <c:numRef>
              <c:f>'KPI 37'!$E$18:$P$18</c:f>
              <c:numCache>
                <c:formatCode>mmm\-yy</c:formatCode>
                <c:ptCount val="12"/>
                <c:pt idx="0">
                  <c:v>45839</c:v>
                </c:pt>
                <c:pt idx="1">
                  <c:v>45870</c:v>
                </c:pt>
                <c:pt idx="2">
                  <c:v>45901</c:v>
                </c:pt>
                <c:pt idx="3">
                  <c:v>45931</c:v>
                </c:pt>
                <c:pt idx="4">
                  <c:v>45962</c:v>
                </c:pt>
                <c:pt idx="5">
                  <c:v>45992</c:v>
                </c:pt>
                <c:pt idx="6">
                  <c:v>46023</c:v>
                </c:pt>
                <c:pt idx="7">
                  <c:v>46054</c:v>
                </c:pt>
                <c:pt idx="8">
                  <c:v>46082</c:v>
                </c:pt>
                <c:pt idx="9">
                  <c:v>46113</c:v>
                </c:pt>
                <c:pt idx="10">
                  <c:v>46143</c:v>
                </c:pt>
                <c:pt idx="11">
                  <c:v>46174</c:v>
                </c:pt>
              </c:numCache>
            </c:numRef>
          </c:cat>
          <c:val>
            <c:numRef>
              <c:f>'KPI 37'!$E$20:$P$20</c:f>
              <c:numCache>
                <c:formatCode>#,##0</c:formatCode>
                <c:ptCount val="12"/>
                <c:pt idx="0">
                  <c:v>480</c:v>
                </c:pt>
                <c:pt idx="1">
                  <c:v>481</c:v>
                </c:pt>
                <c:pt idx="2">
                  <c:v>482</c:v>
                </c:pt>
                <c:pt idx="3">
                  <c:v>481</c:v>
                </c:pt>
                <c:pt idx="4">
                  <c:v>481</c:v>
                </c:pt>
                <c:pt idx="5">
                  <c:v>482</c:v>
                </c:pt>
                <c:pt idx="6">
                  <c:v>482</c:v>
                </c:pt>
                <c:pt idx="7">
                  <c:v>482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8D1-4972-A154-BFA1A265C0D8}"/>
            </c:ext>
          </c:extLst>
        </c:ser>
        <c:ser>
          <c:idx val="4"/>
          <c:order val="2"/>
          <c:tx>
            <c:strRef>
              <c:f>'KPI 37'!$D$21</c:f>
              <c:strCache>
                <c:ptCount val="1"/>
                <c:pt idx="0">
                  <c:v>Actual 2024-25</c:v>
                </c:pt>
              </c:strCache>
            </c:strRef>
          </c:tx>
          <c:spPr>
            <a:solidFill>
              <a:schemeClr val="accent3"/>
            </a:solidFill>
          </c:spPr>
          <c:invertIfNegative val="0"/>
          <c:cat>
            <c:numRef>
              <c:f>'KPI 37'!$E$18:$P$18</c:f>
              <c:numCache>
                <c:formatCode>mmm\-yy</c:formatCode>
                <c:ptCount val="12"/>
                <c:pt idx="0">
                  <c:v>45839</c:v>
                </c:pt>
                <c:pt idx="1">
                  <c:v>45870</c:v>
                </c:pt>
                <c:pt idx="2">
                  <c:v>45901</c:v>
                </c:pt>
                <c:pt idx="3">
                  <c:v>45931</c:v>
                </c:pt>
                <c:pt idx="4">
                  <c:v>45962</c:v>
                </c:pt>
                <c:pt idx="5">
                  <c:v>45992</c:v>
                </c:pt>
                <c:pt idx="6">
                  <c:v>46023</c:v>
                </c:pt>
                <c:pt idx="7">
                  <c:v>46054</c:v>
                </c:pt>
                <c:pt idx="8">
                  <c:v>46082</c:v>
                </c:pt>
                <c:pt idx="9">
                  <c:v>46113</c:v>
                </c:pt>
                <c:pt idx="10">
                  <c:v>46143</c:v>
                </c:pt>
                <c:pt idx="11">
                  <c:v>46174</c:v>
                </c:pt>
              </c:numCache>
            </c:numRef>
          </c:cat>
          <c:val>
            <c:numRef>
              <c:f>'KPI 37'!$E$21:$P$21</c:f>
              <c:numCache>
                <c:formatCode>#,##0</c:formatCode>
                <c:ptCount val="12"/>
                <c:pt idx="0">
                  <c:v>476</c:v>
                </c:pt>
                <c:pt idx="1">
                  <c:v>477</c:v>
                </c:pt>
                <c:pt idx="2">
                  <c:v>477</c:v>
                </c:pt>
                <c:pt idx="3">
                  <c:v>477</c:v>
                </c:pt>
                <c:pt idx="4">
                  <c:v>477</c:v>
                </c:pt>
                <c:pt idx="5">
                  <c:v>478</c:v>
                </c:pt>
                <c:pt idx="6">
                  <c:v>478</c:v>
                </c:pt>
                <c:pt idx="7">
                  <c:v>478</c:v>
                </c:pt>
                <c:pt idx="8">
                  <c:v>479</c:v>
                </c:pt>
                <c:pt idx="9">
                  <c:v>479</c:v>
                </c:pt>
                <c:pt idx="10">
                  <c:v>480</c:v>
                </c:pt>
                <c:pt idx="11">
                  <c:v>480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8D1-4972-A154-BFA1A265C0D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19318784"/>
        <c:axId val="119328768"/>
      </c:barChart>
      <c:lineChart>
        <c:grouping val="standard"/>
        <c:varyColors val="0"/>
        <c:ser>
          <c:idx val="0"/>
          <c:order val="0"/>
          <c:tx>
            <c:strRef>
              <c:f>'KPI 37'!$D$19</c:f>
              <c:strCache>
                <c:ptCount val="1"/>
                <c:pt idx="0">
                  <c:v>Budget 2025-26</c:v>
                </c:pt>
              </c:strCache>
            </c:strRef>
          </c:tx>
          <c:spPr>
            <a:ln>
              <a:solidFill>
                <a:srgbClr val="FF0000"/>
              </a:solidFill>
            </a:ln>
          </c:spPr>
          <c:marker>
            <c:symbol val="none"/>
          </c:marker>
          <c:cat>
            <c:numRef>
              <c:f>'KPI 37'!$E$18:$P$18</c:f>
              <c:numCache>
                <c:formatCode>mmm\-yy</c:formatCode>
                <c:ptCount val="12"/>
                <c:pt idx="0">
                  <c:v>45839</c:v>
                </c:pt>
                <c:pt idx="1">
                  <c:v>45870</c:v>
                </c:pt>
                <c:pt idx="2">
                  <c:v>45901</c:v>
                </c:pt>
                <c:pt idx="3">
                  <c:v>45931</c:v>
                </c:pt>
                <c:pt idx="4">
                  <c:v>45962</c:v>
                </c:pt>
                <c:pt idx="5">
                  <c:v>45992</c:v>
                </c:pt>
                <c:pt idx="6">
                  <c:v>46023</c:v>
                </c:pt>
                <c:pt idx="7">
                  <c:v>46054</c:v>
                </c:pt>
                <c:pt idx="8">
                  <c:v>46082</c:v>
                </c:pt>
                <c:pt idx="9">
                  <c:v>46113</c:v>
                </c:pt>
                <c:pt idx="10">
                  <c:v>46143</c:v>
                </c:pt>
                <c:pt idx="11">
                  <c:v>46174</c:v>
                </c:pt>
              </c:numCache>
            </c:numRef>
          </c:cat>
          <c:val>
            <c:numRef>
              <c:f>'KPI 37'!$E$19:$P$19</c:f>
              <c:numCache>
                <c:formatCode>#,##0</c:formatCode>
                <c:ptCount val="12"/>
                <c:pt idx="0">
                  <c:v>481</c:v>
                </c:pt>
                <c:pt idx="1">
                  <c:v>482</c:v>
                </c:pt>
                <c:pt idx="2">
                  <c:v>483</c:v>
                </c:pt>
                <c:pt idx="3">
                  <c:v>484</c:v>
                </c:pt>
                <c:pt idx="4">
                  <c:v>485</c:v>
                </c:pt>
                <c:pt idx="5">
                  <c:v>486</c:v>
                </c:pt>
                <c:pt idx="6">
                  <c:v>487</c:v>
                </c:pt>
                <c:pt idx="7">
                  <c:v>488</c:v>
                </c:pt>
                <c:pt idx="8">
                  <c:v>489</c:v>
                </c:pt>
                <c:pt idx="9">
                  <c:v>490</c:v>
                </c:pt>
                <c:pt idx="10">
                  <c:v>491</c:v>
                </c:pt>
                <c:pt idx="11">
                  <c:v>492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C8D1-4972-A154-BFA1A265C0D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19318784"/>
        <c:axId val="119328768"/>
      </c:lineChart>
      <c:dateAx>
        <c:axId val="119318784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crossAx val="119328768"/>
        <c:crosses val="autoZero"/>
        <c:auto val="1"/>
        <c:lblOffset val="100"/>
        <c:baseTimeUnit val="months"/>
      </c:dateAx>
      <c:valAx>
        <c:axId val="119328768"/>
        <c:scaling>
          <c:orientation val="minMax"/>
        </c:scaling>
        <c:delete val="0"/>
        <c:axPos val="l"/>
        <c:majorGridlines/>
        <c:numFmt formatCode="#,##0" sourceLinked="1"/>
        <c:majorTickMark val="out"/>
        <c:minorTickMark val="none"/>
        <c:tickLblPos val="nextTo"/>
        <c:crossAx val="119318784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000000000000822" l="0.70000000000000062" r="0.70000000000000062" t="0.75000000000000822" header="0.30000000000000032" footer="0.30000000000000032"/>
    <c:pageSetup/>
  </c:printSettings>
</c:chartSpace>
</file>

<file path=xl/charts/chart4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1"/>
          <c:order val="1"/>
          <c:tx>
            <c:strRef>
              <c:f>'KPI 38'!$D$20</c:f>
              <c:strCache>
                <c:ptCount val="1"/>
                <c:pt idx="0">
                  <c:v>Actual 2025-26</c:v>
                </c:pt>
              </c:strCache>
            </c:strRef>
          </c:tx>
          <c:spPr>
            <a:solidFill>
              <a:schemeClr val="accent1"/>
            </a:solidFill>
          </c:spPr>
          <c:invertIfNegative val="0"/>
          <c:cat>
            <c:numRef>
              <c:f>'KPI 38'!$E$18:$P$18</c:f>
              <c:numCache>
                <c:formatCode>mmm\-yy</c:formatCode>
                <c:ptCount val="12"/>
                <c:pt idx="0">
                  <c:v>45839</c:v>
                </c:pt>
                <c:pt idx="1">
                  <c:v>45870</c:v>
                </c:pt>
                <c:pt idx="2">
                  <c:v>45901</c:v>
                </c:pt>
                <c:pt idx="3">
                  <c:v>45931</c:v>
                </c:pt>
                <c:pt idx="4">
                  <c:v>45962</c:v>
                </c:pt>
                <c:pt idx="5">
                  <c:v>45992</c:v>
                </c:pt>
                <c:pt idx="6">
                  <c:v>46023</c:v>
                </c:pt>
                <c:pt idx="7">
                  <c:v>46054</c:v>
                </c:pt>
                <c:pt idx="8">
                  <c:v>46082</c:v>
                </c:pt>
                <c:pt idx="9">
                  <c:v>46113</c:v>
                </c:pt>
                <c:pt idx="10">
                  <c:v>46143</c:v>
                </c:pt>
                <c:pt idx="11">
                  <c:v>46174</c:v>
                </c:pt>
              </c:numCache>
            </c:numRef>
          </c:cat>
          <c:val>
            <c:numRef>
              <c:f>'KPI 38'!$E$20:$P$20</c:f>
              <c:numCache>
                <c:formatCode>#,##0</c:formatCode>
                <c:ptCount val="12"/>
                <c:pt idx="0">
                  <c:v>453</c:v>
                </c:pt>
                <c:pt idx="1">
                  <c:v>456</c:v>
                </c:pt>
                <c:pt idx="2">
                  <c:v>456</c:v>
                </c:pt>
                <c:pt idx="3">
                  <c:v>456</c:v>
                </c:pt>
                <c:pt idx="4">
                  <c:v>457</c:v>
                </c:pt>
                <c:pt idx="5">
                  <c:v>457</c:v>
                </c:pt>
                <c:pt idx="6">
                  <c:v>456</c:v>
                </c:pt>
                <c:pt idx="7">
                  <c:v>456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60B-451D-94CA-2D9940022500}"/>
            </c:ext>
          </c:extLst>
        </c:ser>
        <c:ser>
          <c:idx val="4"/>
          <c:order val="2"/>
          <c:tx>
            <c:strRef>
              <c:f>'KPI 38'!$D$21</c:f>
              <c:strCache>
                <c:ptCount val="1"/>
                <c:pt idx="0">
                  <c:v>Actual 2024-25</c:v>
                </c:pt>
              </c:strCache>
            </c:strRef>
          </c:tx>
          <c:spPr>
            <a:solidFill>
              <a:schemeClr val="accent3"/>
            </a:solidFill>
          </c:spPr>
          <c:invertIfNegative val="0"/>
          <c:cat>
            <c:numRef>
              <c:f>'KPI 38'!$E$18:$P$18</c:f>
              <c:numCache>
                <c:formatCode>mmm\-yy</c:formatCode>
                <c:ptCount val="12"/>
                <c:pt idx="0">
                  <c:v>45839</c:v>
                </c:pt>
                <c:pt idx="1">
                  <c:v>45870</c:v>
                </c:pt>
                <c:pt idx="2">
                  <c:v>45901</c:v>
                </c:pt>
                <c:pt idx="3">
                  <c:v>45931</c:v>
                </c:pt>
                <c:pt idx="4">
                  <c:v>45962</c:v>
                </c:pt>
                <c:pt idx="5">
                  <c:v>45992</c:v>
                </c:pt>
                <c:pt idx="6">
                  <c:v>46023</c:v>
                </c:pt>
                <c:pt idx="7">
                  <c:v>46054</c:v>
                </c:pt>
                <c:pt idx="8">
                  <c:v>46082</c:v>
                </c:pt>
                <c:pt idx="9">
                  <c:v>46113</c:v>
                </c:pt>
                <c:pt idx="10">
                  <c:v>46143</c:v>
                </c:pt>
                <c:pt idx="11">
                  <c:v>46174</c:v>
                </c:pt>
              </c:numCache>
            </c:numRef>
          </c:cat>
          <c:val>
            <c:numRef>
              <c:f>'KPI 38'!$E$21:$P$21</c:f>
              <c:numCache>
                <c:formatCode>#,##0</c:formatCode>
                <c:ptCount val="12"/>
                <c:pt idx="0">
                  <c:v>447</c:v>
                </c:pt>
                <c:pt idx="1">
                  <c:v>449</c:v>
                </c:pt>
                <c:pt idx="2">
                  <c:v>447</c:v>
                </c:pt>
                <c:pt idx="3">
                  <c:v>447</c:v>
                </c:pt>
                <c:pt idx="4">
                  <c:v>446</c:v>
                </c:pt>
                <c:pt idx="5">
                  <c:v>446</c:v>
                </c:pt>
                <c:pt idx="6">
                  <c:v>446</c:v>
                </c:pt>
                <c:pt idx="7">
                  <c:v>451</c:v>
                </c:pt>
                <c:pt idx="8">
                  <c:v>454</c:v>
                </c:pt>
                <c:pt idx="9">
                  <c:v>454</c:v>
                </c:pt>
                <c:pt idx="10">
                  <c:v>453</c:v>
                </c:pt>
                <c:pt idx="11">
                  <c:v>453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60B-451D-94CA-2D994002250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19860608"/>
        <c:axId val="120136832"/>
      </c:barChart>
      <c:lineChart>
        <c:grouping val="standard"/>
        <c:varyColors val="0"/>
        <c:ser>
          <c:idx val="0"/>
          <c:order val="0"/>
          <c:tx>
            <c:strRef>
              <c:f>'KPI 38'!$D$19</c:f>
              <c:strCache>
                <c:ptCount val="1"/>
                <c:pt idx="0">
                  <c:v>Budget 2025-26</c:v>
                </c:pt>
              </c:strCache>
            </c:strRef>
          </c:tx>
          <c:spPr>
            <a:ln>
              <a:solidFill>
                <a:srgbClr val="FF0000"/>
              </a:solidFill>
            </a:ln>
          </c:spPr>
          <c:marker>
            <c:symbol val="none"/>
          </c:marker>
          <c:cat>
            <c:numRef>
              <c:f>'KPI 38'!$E$18:$P$18</c:f>
              <c:numCache>
                <c:formatCode>mmm\-yy</c:formatCode>
                <c:ptCount val="12"/>
                <c:pt idx="0">
                  <c:v>45839</c:v>
                </c:pt>
                <c:pt idx="1">
                  <c:v>45870</c:v>
                </c:pt>
                <c:pt idx="2">
                  <c:v>45901</c:v>
                </c:pt>
                <c:pt idx="3">
                  <c:v>45931</c:v>
                </c:pt>
                <c:pt idx="4">
                  <c:v>45962</c:v>
                </c:pt>
                <c:pt idx="5">
                  <c:v>45992</c:v>
                </c:pt>
                <c:pt idx="6">
                  <c:v>46023</c:v>
                </c:pt>
                <c:pt idx="7">
                  <c:v>46054</c:v>
                </c:pt>
                <c:pt idx="8">
                  <c:v>46082</c:v>
                </c:pt>
                <c:pt idx="9">
                  <c:v>46113</c:v>
                </c:pt>
                <c:pt idx="10">
                  <c:v>46143</c:v>
                </c:pt>
                <c:pt idx="11">
                  <c:v>46174</c:v>
                </c:pt>
              </c:numCache>
            </c:numRef>
          </c:cat>
          <c:val>
            <c:numRef>
              <c:f>'KPI 38'!$E$19:$P$19</c:f>
              <c:numCache>
                <c:formatCode>#,##0</c:formatCode>
                <c:ptCount val="12"/>
                <c:pt idx="0">
                  <c:v>460</c:v>
                </c:pt>
                <c:pt idx="1">
                  <c:v>467</c:v>
                </c:pt>
                <c:pt idx="2">
                  <c:v>474</c:v>
                </c:pt>
                <c:pt idx="3">
                  <c:v>481</c:v>
                </c:pt>
                <c:pt idx="4">
                  <c:v>488</c:v>
                </c:pt>
                <c:pt idx="5">
                  <c:v>495</c:v>
                </c:pt>
                <c:pt idx="6">
                  <c:v>502</c:v>
                </c:pt>
                <c:pt idx="7">
                  <c:v>509</c:v>
                </c:pt>
                <c:pt idx="8">
                  <c:v>516</c:v>
                </c:pt>
                <c:pt idx="9">
                  <c:v>523</c:v>
                </c:pt>
                <c:pt idx="10">
                  <c:v>530</c:v>
                </c:pt>
                <c:pt idx="11">
                  <c:v>537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860B-451D-94CA-2D994002250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19860608"/>
        <c:axId val="120136832"/>
      </c:lineChart>
      <c:dateAx>
        <c:axId val="119860608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crossAx val="120136832"/>
        <c:crosses val="autoZero"/>
        <c:auto val="1"/>
        <c:lblOffset val="100"/>
        <c:baseTimeUnit val="months"/>
      </c:dateAx>
      <c:valAx>
        <c:axId val="120136832"/>
        <c:scaling>
          <c:orientation val="minMax"/>
        </c:scaling>
        <c:delete val="0"/>
        <c:axPos val="l"/>
        <c:majorGridlines/>
        <c:numFmt formatCode="#,##0" sourceLinked="1"/>
        <c:majorTickMark val="out"/>
        <c:minorTickMark val="none"/>
        <c:tickLblPos val="nextTo"/>
        <c:crossAx val="119860608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000000000000822" l="0.70000000000000062" r="0.70000000000000062" t="0.75000000000000822" header="0.30000000000000032" footer="0.30000000000000032"/>
    <c:pageSetup/>
  </c:printSettings>
</c:chartSpace>
</file>

<file path=xl/charts/chart4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1"/>
          <c:order val="1"/>
          <c:tx>
            <c:strRef>
              <c:f>'KPI 39'!$D$20</c:f>
              <c:strCache>
                <c:ptCount val="1"/>
                <c:pt idx="0">
                  <c:v>Actual 2025-26</c:v>
                </c:pt>
              </c:strCache>
            </c:strRef>
          </c:tx>
          <c:spPr>
            <a:solidFill>
              <a:schemeClr val="accent1"/>
            </a:solidFill>
          </c:spPr>
          <c:invertIfNegative val="0"/>
          <c:cat>
            <c:numRef>
              <c:f>'KPI 39'!$E$18:$P$18</c:f>
              <c:numCache>
                <c:formatCode>mmm\-yy</c:formatCode>
                <c:ptCount val="12"/>
                <c:pt idx="0">
                  <c:v>45839</c:v>
                </c:pt>
                <c:pt idx="1">
                  <c:v>45870</c:v>
                </c:pt>
                <c:pt idx="2">
                  <c:v>45901</c:v>
                </c:pt>
                <c:pt idx="3">
                  <c:v>45931</c:v>
                </c:pt>
                <c:pt idx="4">
                  <c:v>45962</c:v>
                </c:pt>
                <c:pt idx="5">
                  <c:v>45992</c:v>
                </c:pt>
                <c:pt idx="6">
                  <c:v>46023</c:v>
                </c:pt>
                <c:pt idx="7">
                  <c:v>46054</c:v>
                </c:pt>
                <c:pt idx="8">
                  <c:v>46082</c:v>
                </c:pt>
                <c:pt idx="9">
                  <c:v>46113</c:v>
                </c:pt>
                <c:pt idx="10">
                  <c:v>46143</c:v>
                </c:pt>
                <c:pt idx="11">
                  <c:v>46174</c:v>
                </c:pt>
              </c:numCache>
            </c:numRef>
          </c:cat>
          <c:val>
            <c:numRef>
              <c:f>'KPI 39'!$E$20:$P$20</c:f>
              <c:numCache>
                <c:formatCode>#,##0</c:formatCode>
                <c:ptCount val="12"/>
                <c:pt idx="0">
                  <c:v>382</c:v>
                </c:pt>
                <c:pt idx="1">
                  <c:v>384</c:v>
                </c:pt>
                <c:pt idx="2">
                  <c:v>383</c:v>
                </c:pt>
                <c:pt idx="3">
                  <c:v>383</c:v>
                </c:pt>
                <c:pt idx="4">
                  <c:v>382</c:v>
                </c:pt>
                <c:pt idx="5">
                  <c:v>382</c:v>
                </c:pt>
                <c:pt idx="6">
                  <c:v>384</c:v>
                </c:pt>
                <c:pt idx="7">
                  <c:v>384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82A-4020-BC6E-E758BC5E26D1}"/>
            </c:ext>
          </c:extLst>
        </c:ser>
        <c:ser>
          <c:idx val="4"/>
          <c:order val="2"/>
          <c:tx>
            <c:strRef>
              <c:f>'KPI 39'!$D$21</c:f>
              <c:strCache>
                <c:ptCount val="1"/>
                <c:pt idx="0">
                  <c:v>Actual 2024-25</c:v>
                </c:pt>
              </c:strCache>
            </c:strRef>
          </c:tx>
          <c:spPr>
            <a:solidFill>
              <a:schemeClr val="accent3"/>
            </a:solidFill>
          </c:spPr>
          <c:invertIfNegative val="0"/>
          <c:cat>
            <c:numRef>
              <c:f>'KPI 39'!$E$18:$P$18</c:f>
              <c:numCache>
                <c:formatCode>mmm\-yy</c:formatCode>
                <c:ptCount val="12"/>
                <c:pt idx="0">
                  <c:v>45839</c:v>
                </c:pt>
                <c:pt idx="1">
                  <c:v>45870</c:v>
                </c:pt>
                <c:pt idx="2">
                  <c:v>45901</c:v>
                </c:pt>
                <c:pt idx="3">
                  <c:v>45931</c:v>
                </c:pt>
                <c:pt idx="4">
                  <c:v>45962</c:v>
                </c:pt>
                <c:pt idx="5">
                  <c:v>45992</c:v>
                </c:pt>
                <c:pt idx="6">
                  <c:v>46023</c:v>
                </c:pt>
                <c:pt idx="7">
                  <c:v>46054</c:v>
                </c:pt>
                <c:pt idx="8">
                  <c:v>46082</c:v>
                </c:pt>
                <c:pt idx="9">
                  <c:v>46113</c:v>
                </c:pt>
                <c:pt idx="10">
                  <c:v>46143</c:v>
                </c:pt>
                <c:pt idx="11">
                  <c:v>46174</c:v>
                </c:pt>
              </c:numCache>
            </c:numRef>
          </c:cat>
          <c:val>
            <c:numRef>
              <c:f>'KPI 39'!$E$21:$P$21</c:f>
              <c:numCache>
                <c:formatCode>#,##0</c:formatCode>
                <c:ptCount val="12"/>
                <c:pt idx="0">
                  <c:v>362</c:v>
                </c:pt>
                <c:pt idx="1">
                  <c:v>366</c:v>
                </c:pt>
                <c:pt idx="2">
                  <c:v>366</c:v>
                </c:pt>
                <c:pt idx="3">
                  <c:v>366</c:v>
                </c:pt>
                <c:pt idx="4">
                  <c:v>374</c:v>
                </c:pt>
                <c:pt idx="5">
                  <c:v>374</c:v>
                </c:pt>
                <c:pt idx="6">
                  <c:v>377</c:v>
                </c:pt>
                <c:pt idx="7">
                  <c:v>379</c:v>
                </c:pt>
                <c:pt idx="8">
                  <c:v>382</c:v>
                </c:pt>
                <c:pt idx="9">
                  <c:v>383</c:v>
                </c:pt>
                <c:pt idx="10">
                  <c:v>382</c:v>
                </c:pt>
                <c:pt idx="11">
                  <c:v>382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82A-4020-BC6E-E758BC5E26D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20189696"/>
        <c:axId val="120191232"/>
      </c:barChart>
      <c:lineChart>
        <c:grouping val="standard"/>
        <c:varyColors val="0"/>
        <c:ser>
          <c:idx val="0"/>
          <c:order val="0"/>
          <c:tx>
            <c:strRef>
              <c:f>'KPI 39'!$D$19</c:f>
              <c:strCache>
                <c:ptCount val="1"/>
                <c:pt idx="0">
                  <c:v>Budget 2025-26</c:v>
                </c:pt>
              </c:strCache>
            </c:strRef>
          </c:tx>
          <c:spPr>
            <a:ln>
              <a:solidFill>
                <a:srgbClr val="FF0000"/>
              </a:solidFill>
            </a:ln>
          </c:spPr>
          <c:marker>
            <c:symbol val="none"/>
          </c:marker>
          <c:cat>
            <c:numRef>
              <c:f>'KPI 39'!$E$18:$P$18</c:f>
              <c:numCache>
                <c:formatCode>mmm\-yy</c:formatCode>
                <c:ptCount val="12"/>
                <c:pt idx="0">
                  <c:v>45839</c:v>
                </c:pt>
                <c:pt idx="1">
                  <c:v>45870</c:v>
                </c:pt>
                <c:pt idx="2">
                  <c:v>45901</c:v>
                </c:pt>
                <c:pt idx="3">
                  <c:v>45931</c:v>
                </c:pt>
                <c:pt idx="4">
                  <c:v>45962</c:v>
                </c:pt>
                <c:pt idx="5">
                  <c:v>45992</c:v>
                </c:pt>
                <c:pt idx="6">
                  <c:v>46023</c:v>
                </c:pt>
                <c:pt idx="7">
                  <c:v>46054</c:v>
                </c:pt>
                <c:pt idx="8">
                  <c:v>46082</c:v>
                </c:pt>
                <c:pt idx="9">
                  <c:v>46113</c:v>
                </c:pt>
                <c:pt idx="10">
                  <c:v>46143</c:v>
                </c:pt>
                <c:pt idx="11">
                  <c:v>46174</c:v>
                </c:pt>
              </c:numCache>
            </c:numRef>
          </c:cat>
          <c:val>
            <c:numRef>
              <c:f>'KPI 39'!$E$19:$P$19</c:f>
              <c:numCache>
                <c:formatCode>#,##0</c:formatCode>
                <c:ptCount val="12"/>
                <c:pt idx="0">
                  <c:v>386</c:v>
                </c:pt>
                <c:pt idx="1">
                  <c:v>389</c:v>
                </c:pt>
                <c:pt idx="2">
                  <c:v>392</c:v>
                </c:pt>
                <c:pt idx="3">
                  <c:v>395</c:v>
                </c:pt>
                <c:pt idx="4">
                  <c:v>398</c:v>
                </c:pt>
                <c:pt idx="5">
                  <c:v>401</c:v>
                </c:pt>
                <c:pt idx="6">
                  <c:v>404</c:v>
                </c:pt>
                <c:pt idx="7">
                  <c:v>407</c:v>
                </c:pt>
                <c:pt idx="8">
                  <c:v>410</c:v>
                </c:pt>
                <c:pt idx="9">
                  <c:v>413</c:v>
                </c:pt>
                <c:pt idx="10">
                  <c:v>416</c:v>
                </c:pt>
                <c:pt idx="11">
                  <c:v>419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F82A-4020-BC6E-E758BC5E26D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20189696"/>
        <c:axId val="120191232"/>
      </c:lineChart>
      <c:dateAx>
        <c:axId val="120189696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crossAx val="120191232"/>
        <c:crosses val="autoZero"/>
        <c:auto val="1"/>
        <c:lblOffset val="100"/>
        <c:baseTimeUnit val="months"/>
      </c:dateAx>
      <c:valAx>
        <c:axId val="120191232"/>
        <c:scaling>
          <c:orientation val="minMax"/>
        </c:scaling>
        <c:delete val="0"/>
        <c:axPos val="l"/>
        <c:majorGridlines/>
        <c:numFmt formatCode="#,##0" sourceLinked="1"/>
        <c:majorTickMark val="out"/>
        <c:minorTickMark val="none"/>
        <c:tickLblPos val="nextTo"/>
        <c:crossAx val="120189696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000000000000822" l="0.70000000000000062" r="0.70000000000000062" t="0.75000000000000822" header="0.30000000000000032" footer="0.30000000000000032"/>
    <c:pageSetup/>
  </c:printSettings>
</c:chartSpace>
</file>

<file path=xl/charts/chart5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1"/>
          <c:order val="1"/>
          <c:tx>
            <c:strRef>
              <c:f>'KPI 40'!$D$20</c:f>
              <c:strCache>
                <c:ptCount val="1"/>
                <c:pt idx="0">
                  <c:v>Actual 2025-26</c:v>
                </c:pt>
              </c:strCache>
            </c:strRef>
          </c:tx>
          <c:spPr>
            <a:solidFill>
              <a:schemeClr val="accent1"/>
            </a:solidFill>
          </c:spPr>
          <c:invertIfNegative val="0"/>
          <c:cat>
            <c:numRef>
              <c:f>'KPI 40'!$E$18:$P$18</c:f>
              <c:numCache>
                <c:formatCode>mmm\-yy</c:formatCode>
                <c:ptCount val="12"/>
                <c:pt idx="0">
                  <c:v>45839</c:v>
                </c:pt>
                <c:pt idx="1">
                  <c:v>45870</c:v>
                </c:pt>
                <c:pt idx="2">
                  <c:v>45901</c:v>
                </c:pt>
                <c:pt idx="3">
                  <c:v>45931</c:v>
                </c:pt>
                <c:pt idx="4">
                  <c:v>45962</c:v>
                </c:pt>
                <c:pt idx="5">
                  <c:v>45992</c:v>
                </c:pt>
                <c:pt idx="6">
                  <c:v>46023</c:v>
                </c:pt>
                <c:pt idx="7">
                  <c:v>46054</c:v>
                </c:pt>
                <c:pt idx="8">
                  <c:v>46082</c:v>
                </c:pt>
                <c:pt idx="9">
                  <c:v>46113</c:v>
                </c:pt>
                <c:pt idx="10">
                  <c:v>46143</c:v>
                </c:pt>
                <c:pt idx="11">
                  <c:v>46174</c:v>
                </c:pt>
              </c:numCache>
            </c:numRef>
          </c:cat>
          <c:val>
            <c:numRef>
              <c:f>'KPI 40'!$E$20:$P$20</c:f>
              <c:numCache>
                <c:formatCode>#,##0</c:formatCode>
                <c:ptCount val="12"/>
                <c:pt idx="0">
                  <c:v>604</c:v>
                </c:pt>
                <c:pt idx="1">
                  <c:v>604</c:v>
                </c:pt>
                <c:pt idx="2">
                  <c:v>604</c:v>
                </c:pt>
                <c:pt idx="3">
                  <c:v>604</c:v>
                </c:pt>
                <c:pt idx="4">
                  <c:v>604</c:v>
                </c:pt>
                <c:pt idx="5">
                  <c:v>603</c:v>
                </c:pt>
                <c:pt idx="6">
                  <c:v>604</c:v>
                </c:pt>
                <c:pt idx="7">
                  <c:v>604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207-4367-8107-08F0297348CC}"/>
            </c:ext>
          </c:extLst>
        </c:ser>
        <c:ser>
          <c:idx val="4"/>
          <c:order val="2"/>
          <c:tx>
            <c:strRef>
              <c:f>'KPI 40'!$D$21</c:f>
              <c:strCache>
                <c:ptCount val="1"/>
                <c:pt idx="0">
                  <c:v>Actual 2024-25</c:v>
                </c:pt>
              </c:strCache>
            </c:strRef>
          </c:tx>
          <c:spPr>
            <a:solidFill>
              <a:schemeClr val="accent3"/>
            </a:solidFill>
          </c:spPr>
          <c:invertIfNegative val="0"/>
          <c:cat>
            <c:numRef>
              <c:f>'KPI 40'!$E$18:$P$18</c:f>
              <c:numCache>
                <c:formatCode>mmm\-yy</c:formatCode>
                <c:ptCount val="12"/>
                <c:pt idx="0">
                  <c:v>45839</c:v>
                </c:pt>
                <c:pt idx="1">
                  <c:v>45870</c:v>
                </c:pt>
                <c:pt idx="2">
                  <c:v>45901</c:v>
                </c:pt>
                <c:pt idx="3">
                  <c:v>45931</c:v>
                </c:pt>
                <c:pt idx="4">
                  <c:v>45962</c:v>
                </c:pt>
                <c:pt idx="5">
                  <c:v>45992</c:v>
                </c:pt>
                <c:pt idx="6">
                  <c:v>46023</c:v>
                </c:pt>
                <c:pt idx="7">
                  <c:v>46054</c:v>
                </c:pt>
                <c:pt idx="8">
                  <c:v>46082</c:v>
                </c:pt>
                <c:pt idx="9">
                  <c:v>46113</c:v>
                </c:pt>
                <c:pt idx="10">
                  <c:v>46143</c:v>
                </c:pt>
                <c:pt idx="11">
                  <c:v>46174</c:v>
                </c:pt>
              </c:numCache>
            </c:numRef>
          </c:cat>
          <c:val>
            <c:numRef>
              <c:f>'KPI 40'!$E$21:$P$21</c:f>
              <c:numCache>
                <c:formatCode>#,##0</c:formatCode>
                <c:ptCount val="12"/>
                <c:pt idx="0">
                  <c:v>591</c:v>
                </c:pt>
                <c:pt idx="1">
                  <c:v>594</c:v>
                </c:pt>
                <c:pt idx="2">
                  <c:v>595</c:v>
                </c:pt>
                <c:pt idx="3">
                  <c:v>595</c:v>
                </c:pt>
                <c:pt idx="4">
                  <c:v>595</c:v>
                </c:pt>
                <c:pt idx="5">
                  <c:v>595</c:v>
                </c:pt>
                <c:pt idx="6">
                  <c:v>600</c:v>
                </c:pt>
                <c:pt idx="7">
                  <c:v>603</c:v>
                </c:pt>
                <c:pt idx="8">
                  <c:v>603</c:v>
                </c:pt>
                <c:pt idx="9">
                  <c:v>604</c:v>
                </c:pt>
                <c:pt idx="10">
                  <c:v>604</c:v>
                </c:pt>
                <c:pt idx="11">
                  <c:v>605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207-4367-8107-08F0297348C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20117120"/>
        <c:axId val="120118656"/>
      </c:barChart>
      <c:lineChart>
        <c:grouping val="standard"/>
        <c:varyColors val="0"/>
        <c:ser>
          <c:idx val="0"/>
          <c:order val="0"/>
          <c:tx>
            <c:strRef>
              <c:f>'KPI 40'!$D$19</c:f>
              <c:strCache>
                <c:ptCount val="1"/>
                <c:pt idx="0">
                  <c:v>Budget 2025-26</c:v>
                </c:pt>
              </c:strCache>
            </c:strRef>
          </c:tx>
          <c:spPr>
            <a:ln>
              <a:solidFill>
                <a:srgbClr val="FF0000"/>
              </a:solidFill>
            </a:ln>
          </c:spPr>
          <c:marker>
            <c:symbol val="none"/>
          </c:marker>
          <c:cat>
            <c:numRef>
              <c:f>'KPI 40'!$E$18:$P$18</c:f>
              <c:numCache>
                <c:formatCode>mmm\-yy</c:formatCode>
                <c:ptCount val="12"/>
                <c:pt idx="0">
                  <c:v>45839</c:v>
                </c:pt>
                <c:pt idx="1">
                  <c:v>45870</c:v>
                </c:pt>
                <c:pt idx="2">
                  <c:v>45901</c:v>
                </c:pt>
                <c:pt idx="3">
                  <c:v>45931</c:v>
                </c:pt>
                <c:pt idx="4">
                  <c:v>45962</c:v>
                </c:pt>
                <c:pt idx="5">
                  <c:v>45992</c:v>
                </c:pt>
                <c:pt idx="6">
                  <c:v>46023</c:v>
                </c:pt>
                <c:pt idx="7">
                  <c:v>46054</c:v>
                </c:pt>
                <c:pt idx="8">
                  <c:v>46082</c:v>
                </c:pt>
                <c:pt idx="9">
                  <c:v>46113</c:v>
                </c:pt>
                <c:pt idx="10">
                  <c:v>46143</c:v>
                </c:pt>
                <c:pt idx="11">
                  <c:v>46174</c:v>
                </c:pt>
              </c:numCache>
            </c:numRef>
          </c:cat>
          <c:val>
            <c:numRef>
              <c:f>'KPI 40'!$E$19:$P$19</c:f>
              <c:numCache>
                <c:formatCode>#,##0</c:formatCode>
                <c:ptCount val="12"/>
                <c:pt idx="0">
                  <c:v>606</c:v>
                </c:pt>
                <c:pt idx="1">
                  <c:v>607</c:v>
                </c:pt>
                <c:pt idx="2">
                  <c:v>608</c:v>
                </c:pt>
                <c:pt idx="3">
                  <c:v>609</c:v>
                </c:pt>
                <c:pt idx="4">
                  <c:v>610</c:v>
                </c:pt>
                <c:pt idx="5">
                  <c:v>611</c:v>
                </c:pt>
                <c:pt idx="6">
                  <c:v>612</c:v>
                </c:pt>
                <c:pt idx="7">
                  <c:v>613</c:v>
                </c:pt>
                <c:pt idx="8">
                  <c:v>614</c:v>
                </c:pt>
                <c:pt idx="9">
                  <c:v>615</c:v>
                </c:pt>
                <c:pt idx="10">
                  <c:v>616</c:v>
                </c:pt>
                <c:pt idx="11">
                  <c:v>617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8207-4367-8107-08F0297348C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20117120"/>
        <c:axId val="120118656"/>
      </c:lineChart>
      <c:dateAx>
        <c:axId val="120117120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crossAx val="120118656"/>
        <c:crosses val="autoZero"/>
        <c:auto val="1"/>
        <c:lblOffset val="100"/>
        <c:baseTimeUnit val="months"/>
      </c:dateAx>
      <c:valAx>
        <c:axId val="120118656"/>
        <c:scaling>
          <c:orientation val="minMax"/>
        </c:scaling>
        <c:delete val="0"/>
        <c:axPos val="l"/>
        <c:majorGridlines/>
        <c:numFmt formatCode="#,##0" sourceLinked="1"/>
        <c:majorTickMark val="out"/>
        <c:minorTickMark val="none"/>
        <c:tickLblPos val="nextTo"/>
        <c:crossAx val="12011712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000000000000822" l="0.70000000000000062" r="0.70000000000000062" t="0.75000000000000822" header="0.30000000000000032" footer="0.30000000000000032"/>
    <c:pageSetup/>
  </c:printSettings>
</c:chartSpace>
</file>

<file path=xl/charts/chart5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1"/>
          <c:order val="1"/>
          <c:tx>
            <c:strRef>
              <c:f>'KPI 41'!$D$20</c:f>
              <c:strCache>
                <c:ptCount val="1"/>
                <c:pt idx="0">
                  <c:v>Actual 2025-26</c:v>
                </c:pt>
              </c:strCache>
            </c:strRef>
          </c:tx>
          <c:spPr>
            <a:solidFill>
              <a:schemeClr val="accent1"/>
            </a:solidFill>
          </c:spPr>
          <c:invertIfNegative val="0"/>
          <c:cat>
            <c:numRef>
              <c:f>'KPI 41'!$E$18:$P$18</c:f>
              <c:numCache>
                <c:formatCode>mmm\-yy</c:formatCode>
                <c:ptCount val="12"/>
                <c:pt idx="0">
                  <c:v>45839</c:v>
                </c:pt>
                <c:pt idx="1">
                  <c:v>45870</c:v>
                </c:pt>
                <c:pt idx="2">
                  <c:v>45901</c:v>
                </c:pt>
                <c:pt idx="3">
                  <c:v>45931</c:v>
                </c:pt>
                <c:pt idx="4">
                  <c:v>45962</c:v>
                </c:pt>
                <c:pt idx="5">
                  <c:v>45992</c:v>
                </c:pt>
                <c:pt idx="6">
                  <c:v>46023</c:v>
                </c:pt>
                <c:pt idx="7">
                  <c:v>46054</c:v>
                </c:pt>
                <c:pt idx="8">
                  <c:v>46082</c:v>
                </c:pt>
                <c:pt idx="9">
                  <c:v>46113</c:v>
                </c:pt>
                <c:pt idx="10">
                  <c:v>46143</c:v>
                </c:pt>
                <c:pt idx="11">
                  <c:v>46174</c:v>
                </c:pt>
              </c:numCache>
            </c:numRef>
          </c:cat>
          <c:val>
            <c:numRef>
              <c:f>'KPI 41'!$E$20:$P$20</c:f>
              <c:numCache>
                <c:formatCode>#,##0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A7B-4C4F-A029-200789B32FE4}"/>
            </c:ext>
          </c:extLst>
        </c:ser>
        <c:ser>
          <c:idx val="4"/>
          <c:order val="2"/>
          <c:tx>
            <c:strRef>
              <c:f>'KPI 41'!$D$21</c:f>
              <c:strCache>
                <c:ptCount val="1"/>
                <c:pt idx="0">
                  <c:v>Actual 2024-25</c:v>
                </c:pt>
              </c:strCache>
            </c:strRef>
          </c:tx>
          <c:spPr>
            <a:solidFill>
              <a:schemeClr val="accent3"/>
            </a:solidFill>
          </c:spPr>
          <c:invertIfNegative val="0"/>
          <c:cat>
            <c:numRef>
              <c:f>'KPI 41'!$E$18:$P$18</c:f>
              <c:numCache>
                <c:formatCode>mmm\-yy</c:formatCode>
                <c:ptCount val="12"/>
                <c:pt idx="0">
                  <c:v>45839</c:v>
                </c:pt>
                <c:pt idx="1">
                  <c:v>45870</c:v>
                </c:pt>
                <c:pt idx="2">
                  <c:v>45901</c:v>
                </c:pt>
                <c:pt idx="3">
                  <c:v>45931</c:v>
                </c:pt>
                <c:pt idx="4">
                  <c:v>45962</c:v>
                </c:pt>
                <c:pt idx="5">
                  <c:v>45992</c:v>
                </c:pt>
                <c:pt idx="6">
                  <c:v>46023</c:v>
                </c:pt>
                <c:pt idx="7">
                  <c:v>46054</c:v>
                </c:pt>
                <c:pt idx="8">
                  <c:v>46082</c:v>
                </c:pt>
                <c:pt idx="9">
                  <c:v>46113</c:v>
                </c:pt>
                <c:pt idx="10">
                  <c:v>46143</c:v>
                </c:pt>
                <c:pt idx="11">
                  <c:v>46174</c:v>
                </c:pt>
              </c:numCache>
            </c:numRef>
          </c:cat>
          <c:val>
            <c:numRef>
              <c:f>'KPI 41'!$E$21:$P$21</c:f>
              <c:numCache>
                <c:formatCode>#,##0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A7B-4C4F-A029-200789B32FE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19835648"/>
        <c:axId val="119837440"/>
      </c:barChart>
      <c:lineChart>
        <c:grouping val="standard"/>
        <c:varyColors val="0"/>
        <c:ser>
          <c:idx val="0"/>
          <c:order val="0"/>
          <c:tx>
            <c:strRef>
              <c:f>'KPI 41'!$D$19</c:f>
              <c:strCache>
                <c:ptCount val="1"/>
                <c:pt idx="0">
                  <c:v>Budget 2025-26</c:v>
                </c:pt>
              </c:strCache>
            </c:strRef>
          </c:tx>
          <c:spPr>
            <a:ln>
              <a:solidFill>
                <a:srgbClr val="FF0000"/>
              </a:solidFill>
            </a:ln>
          </c:spPr>
          <c:marker>
            <c:symbol val="none"/>
          </c:marker>
          <c:cat>
            <c:numRef>
              <c:f>'KPI 41'!$E$18:$P$18</c:f>
              <c:numCache>
                <c:formatCode>mmm\-yy</c:formatCode>
                <c:ptCount val="12"/>
                <c:pt idx="0">
                  <c:v>45839</c:v>
                </c:pt>
                <c:pt idx="1">
                  <c:v>45870</c:v>
                </c:pt>
                <c:pt idx="2">
                  <c:v>45901</c:v>
                </c:pt>
                <c:pt idx="3">
                  <c:v>45931</c:v>
                </c:pt>
                <c:pt idx="4">
                  <c:v>45962</c:v>
                </c:pt>
                <c:pt idx="5">
                  <c:v>45992</c:v>
                </c:pt>
                <c:pt idx="6">
                  <c:v>46023</c:v>
                </c:pt>
                <c:pt idx="7">
                  <c:v>46054</c:v>
                </c:pt>
                <c:pt idx="8">
                  <c:v>46082</c:v>
                </c:pt>
                <c:pt idx="9">
                  <c:v>46113</c:v>
                </c:pt>
                <c:pt idx="10">
                  <c:v>46143</c:v>
                </c:pt>
                <c:pt idx="11">
                  <c:v>46174</c:v>
                </c:pt>
              </c:numCache>
            </c:numRef>
          </c:cat>
          <c:val>
            <c:numRef>
              <c:f>'KPI 41'!$E$19:$P$19</c:f>
              <c:numCache>
                <c:formatCode>#,##0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CA7B-4C4F-A029-200789B32FE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19835648"/>
        <c:axId val="119837440"/>
      </c:lineChart>
      <c:dateAx>
        <c:axId val="119835648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crossAx val="119837440"/>
        <c:crosses val="autoZero"/>
        <c:auto val="1"/>
        <c:lblOffset val="100"/>
        <c:baseTimeUnit val="months"/>
      </c:dateAx>
      <c:valAx>
        <c:axId val="119837440"/>
        <c:scaling>
          <c:orientation val="minMax"/>
        </c:scaling>
        <c:delete val="0"/>
        <c:axPos val="l"/>
        <c:majorGridlines/>
        <c:numFmt formatCode="#,##0" sourceLinked="1"/>
        <c:majorTickMark val="out"/>
        <c:minorTickMark val="none"/>
        <c:tickLblPos val="nextTo"/>
        <c:crossAx val="119835648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000000000000822" l="0.70000000000000062" r="0.70000000000000062" t="0.75000000000000822" header="0.30000000000000032" footer="0.30000000000000032"/>
    <c:pageSetup/>
  </c:printSettings>
</c:chartSpace>
</file>

<file path=xl/charts/chart5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1"/>
          <c:order val="1"/>
          <c:tx>
            <c:strRef>
              <c:f>'KPI 42'!$D$20</c:f>
              <c:strCache>
                <c:ptCount val="1"/>
                <c:pt idx="0">
                  <c:v>Actual 2025-26</c:v>
                </c:pt>
              </c:strCache>
            </c:strRef>
          </c:tx>
          <c:spPr>
            <a:solidFill>
              <a:schemeClr val="accent1"/>
            </a:solidFill>
          </c:spPr>
          <c:invertIfNegative val="0"/>
          <c:cat>
            <c:numRef>
              <c:f>'KPI 42'!$E$18:$P$18</c:f>
              <c:numCache>
                <c:formatCode>mmm\-yy</c:formatCode>
                <c:ptCount val="12"/>
                <c:pt idx="0">
                  <c:v>45839</c:v>
                </c:pt>
                <c:pt idx="1">
                  <c:v>45870</c:v>
                </c:pt>
                <c:pt idx="2">
                  <c:v>45901</c:v>
                </c:pt>
                <c:pt idx="3">
                  <c:v>45931</c:v>
                </c:pt>
                <c:pt idx="4">
                  <c:v>45962</c:v>
                </c:pt>
                <c:pt idx="5">
                  <c:v>45992</c:v>
                </c:pt>
                <c:pt idx="6">
                  <c:v>46023</c:v>
                </c:pt>
                <c:pt idx="7">
                  <c:v>46054</c:v>
                </c:pt>
                <c:pt idx="8">
                  <c:v>46082</c:v>
                </c:pt>
                <c:pt idx="9">
                  <c:v>46113</c:v>
                </c:pt>
                <c:pt idx="10">
                  <c:v>46143</c:v>
                </c:pt>
                <c:pt idx="11">
                  <c:v>46174</c:v>
                </c:pt>
              </c:numCache>
            </c:numRef>
          </c:cat>
          <c:val>
            <c:numRef>
              <c:f>'KPI 42'!$E$20:$P$20</c:f>
              <c:numCache>
                <c:formatCode>#,##0</c:formatCode>
                <c:ptCount val="12"/>
                <c:pt idx="0">
                  <c:v>2101</c:v>
                </c:pt>
                <c:pt idx="1">
                  <c:v>2107</c:v>
                </c:pt>
                <c:pt idx="2">
                  <c:v>2107</c:v>
                </c:pt>
                <c:pt idx="3">
                  <c:v>2105</c:v>
                </c:pt>
                <c:pt idx="4">
                  <c:v>2106</c:v>
                </c:pt>
                <c:pt idx="5">
                  <c:v>2109</c:v>
                </c:pt>
                <c:pt idx="6">
                  <c:v>2112</c:v>
                </c:pt>
                <c:pt idx="7">
                  <c:v>2112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AB3-4756-9168-E6A3ED04096E}"/>
            </c:ext>
          </c:extLst>
        </c:ser>
        <c:ser>
          <c:idx val="4"/>
          <c:order val="2"/>
          <c:tx>
            <c:strRef>
              <c:f>'KPI 42'!$D$21</c:f>
              <c:strCache>
                <c:ptCount val="1"/>
                <c:pt idx="0">
                  <c:v>Actual 2024-25</c:v>
                </c:pt>
              </c:strCache>
            </c:strRef>
          </c:tx>
          <c:spPr>
            <a:solidFill>
              <a:schemeClr val="accent3"/>
            </a:solidFill>
          </c:spPr>
          <c:invertIfNegative val="0"/>
          <c:cat>
            <c:numRef>
              <c:f>'KPI 42'!$E$18:$P$18</c:f>
              <c:numCache>
                <c:formatCode>mmm\-yy</c:formatCode>
                <c:ptCount val="12"/>
                <c:pt idx="0">
                  <c:v>45839</c:v>
                </c:pt>
                <c:pt idx="1">
                  <c:v>45870</c:v>
                </c:pt>
                <c:pt idx="2">
                  <c:v>45901</c:v>
                </c:pt>
                <c:pt idx="3">
                  <c:v>45931</c:v>
                </c:pt>
                <c:pt idx="4">
                  <c:v>45962</c:v>
                </c:pt>
                <c:pt idx="5">
                  <c:v>45992</c:v>
                </c:pt>
                <c:pt idx="6">
                  <c:v>46023</c:v>
                </c:pt>
                <c:pt idx="7">
                  <c:v>46054</c:v>
                </c:pt>
                <c:pt idx="8">
                  <c:v>46082</c:v>
                </c:pt>
                <c:pt idx="9">
                  <c:v>46113</c:v>
                </c:pt>
                <c:pt idx="10">
                  <c:v>46143</c:v>
                </c:pt>
                <c:pt idx="11">
                  <c:v>46174</c:v>
                </c:pt>
              </c:numCache>
            </c:numRef>
          </c:cat>
          <c:val>
            <c:numRef>
              <c:f>'KPI 42'!$E$21:$P$21</c:f>
              <c:numCache>
                <c:formatCode>#,##0</c:formatCode>
                <c:ptCount val="12"/>
                <c:pt idx="0">
                  <c:v>2060</c:v>
                </c:pt>
                <c:pt idx="1">
                  <c:v>2070</c:v>
                </c:pt>
                <c:pt idx="2">
                  <c:v>2071</c:v>
                </c:pt>
                <c:pt idx="3">
                  <c:v>2071</c:v>
                </c:pt>
                <c:pt idx="4">
                  <c:v>2078</c:v>
                </c:pt>
                <c:pt idx="5">
                  <c:v>2078</c:v>
                </c:pt>
                <c:pt idx="6">
                  <c:v>2086</c:v>
                </c:pt>
                <c:pt idx="7">
                  <c:v>2091</c:v>
                </c:pt>
                <c:pt idx="8">
                  <c:v>2100</c:v>
                </c:pt>
                <c:pt idx="9">
                  <c:v>2102</c:v>
                </c:pt>
                <c:pt idx="10">
                  <c:v>2101</c:v>
                </c:pt>
                <c:pt idx="11">
                  <c:v>2102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AB3-4756-9168-E6A3ED04096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20668544"/>
        <c:axId val="120670080"/>
      </c:barChart>
      <c:lineChart>
        <c:grouping val="standard"/>
        <c:varyColors val="0"/>
        <c:ser>
          <c:idx val="0"/>
          <c:order val="0"/>
          <c:tx>
            <c:strRef>
              <c:f>'KPI 42'!$D$19</c:f>
              <c:strCache>
                <c:ptCount val="1"/>
                <c:pt idx="0">
                  <c:v>Budget 2025-26</c:v>
                </c:pt>
              </c:strCache>
            </c:strRef>
          </c:tx>
          <c:spPr>
            <a:ln>
              <a:solidFill>
                <a:srgbClr val="FF0000"/>
              </a:solidFill>
            </a:ln>
          </c:spPr>
          <c:marker>
            <c:symbol val="none"/>
          </c:marker>
          <c:cat>
            <c:numRef>
              <c:f>'KPI 42'!$E$18:$P$18</c:f>
              <c:numCache>
                <c:formatCode>mmm\-yy</c:formatCode>
                <c:ptCount val="12"/>
                <c:pt idx="0">
                  <c:v>45839</c:v>
                </c:pt>
                <c:pt idx="1">
                  <c:v>45870</c:v>
                </c:pt>
                <c:pt idx="2">
                  <c:v>45901</c:v>
                </c:pt>
                <c:pt idx="3">
                  <c:v>45931</c:v>
                </c:pt>
                <c:pt idx="4">
                  <c:v>45962</c:v>
                </c:pt>
                <c:pt idx="5">
                  <c:v>45992</c:v>
                </c:pt>
                <c:pt idx="6">
                  <c:v>46023</c:v>
                </c:pt>
                <c:pt idx="7">
                  <c:v>46054</c:v>
                </c:pt>
                <c:pt idx="8">
                  <c:v>46082</c:v>
                </c:pt>
                <c:pt idx="9">
                  <c:v>46113</c:v>
                </c:pt>
                <c:pt idx="10">
                  <c:v>46143</c:v>
                </c:pt>
                <c:pt idx="11">
                  <c:v>46174</c:v>
                </c:pt>
              </c:numCache>
            </c:numRef>
          </c:cat>
          <c:val>
            <c:numRef>
              <c:f>'KPI 42'!$E$19:$P$19</c:f>
              <c:numCache>
                <c:formatCode>#,##0</c:formatCode>
                <c:ptCount val="12"/>
                <c:pt idx="0">
                  <c:v>2116</c:v>
                </c:pt>
                <c:pt idx="1">
                  <c:v>2129</c:v>
                </c:pt>
                <c:pt idx="2">
                  <c:v>2142</c:v>
                </c:pt>
                <c:pt idx="3">
                  <c:v>2155</c:v>
                </c:pt>
                <c:pt idx="4">
                  <c:v>2168</c:v>
                </c:pt>
                <c:pt idx="5">
                  <c:v>2181</c:v>
                </c:pt>
                <c:pt idx="6">
                  <c:v>2194</c:v>
                </c:pt>
                <c:pt idx="7">
                  <c:v>2207</c:v>
                </c:pt>
                <c:pt idx="8">
                  <c:v>2220</c:v>
                </c:pt>
                <c:pt idx="9">
                  <c:v>2233</c:v>
                </c:pt>
                <c:pt idx="10">
                  <c:v>2246</c:v>
                </c:pt>
                <c:pt idx="11">
                  <c:v>2259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CAB3-4756-9168-E6A3ED04096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20668544"/>
        <c:axId val="120670080"/>
      </c:lineChart>
      <c:dateAx>
        <c:axId val="120668544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crossAx val="120670080"/>
        <c:crosses val="autoZero"/>
        <c:auto val="1"/>
        <c:lblOffset val="100"/>
        <c:baseTimeUnit val="months"/>
      </c:dateAx>
      <c:valAx>
        <c:axId val="120670080"/>
        <c:scaling>
          <c:orientation val="minMax"/>
        </c:scaling>
        <c:delete val="0"/>
        <c:axPos val="l"/>
        <c:majorGridlines/>
        <c:numFmt formatCode="#,##0" sourceLinked="1"/>
        <c:majorTickMark val="out"/>
        <c:minorTickMark val="none"/>
        <c:tickLblPos val="nextTo"/>
        <c:crossAx val="120668544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000000000000822" l="0.70000000000000062" r="0.70000000000000062" t="0.75000000000000822" header="0.30000000000000032" footer="0.30000000000000032"/>
    <c:pageSetup/>
  </c:printSettings>
</c:chartSpace>
</file>

<file path=xl/charts/chart5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1"/>
          <c:order val="1"/>
          <c:tx>
            <c:strRef>
              <c:f>'KPI 43'!$D$20</c:f>
              <c:strCache>
                <c:ptCount val="1"/>
                <c:pt idx="0">
                  <c:v>Actual 2025-26</c:v>
                </c:pt>
              </c:strCache>
            </c:strRef>
          </c:tx>
          <c:spPr>
            <a:solidFill>
              <a:schemeClr val="accent1"/>
            </a:solidFill>
          </c:spPr>
          <c:invertIfNegative val="0"/>
          <c:cat>
            <c:numRef>
              <c:f>'KPI 43'!$E$18:$P$18</c:f>
              <c:numCache>
                <c:formatCode>mmm\-yy</c:formatCode>
                <c:ptCount val="12"/>
                <c:pt idx="0">
                  <c:v>45839</c:v>
                </c:pt>
                <c:pt idx="1">
                  <c:v>45870</c:v>
                </c:pt>
                <c:pt idx="2">
                  <c:v>45901</c:v>
                </c:pt>
                <c:pt idx="3">
                  <c:v>45931</c:v>
                </c:pt>
                <c:pt idx="4">
                  <c:v>45962</c:v>
                </c:pt>
                <c:pt idx="5">
                  <c:v>45992</c:v>
                </c:pt>
                <c:pt idx="6">
                  <c:v>46023</c:v>
                </c:pt>
                <c:pt idx="7">
                  <c:v>46054</c:v>
                </c:pt>
                <c:pt idx="8">
                  <c:v>46082</c:v>
                </c:pt>
                <c:pt idx="9">
                  <c:v>46113</c:v>
                </c:pt>
                <c:pt idx="10">
                  <c:v>46143</c:v>
                </c:pt>
                <c:pt idx="11">
                  <c:v>46174</c:v>
                </c:pt>
              </c:numCache>
            </c:numRef>
          </c:cat>
          <c:val>
            <c:numRef>
              <c:f>'KPI 43'!$E$20:$P$20</c:f>
              <c:numCache>
                <c:formatCode>#,##0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85C-4ED8-979F-EB76DE70CBAE}"/>
            </c:ext>
          </c:extLst>
        </c:ser>
        <c:ser>
          <c:idx val="4"/>
          <c:order val="2"/>
          <c:tx>
            <c:strRef>
              <c:f>'KPI 43'!$D$21</c:f>
              <c:strCache>
                <c:ptCount val="1"/>
                <c:pt idx="0">
                  <c:v>Actual 2024-25</c:v>
                </c:pt>
              </c:strCache>
            </c:strRef>
          </c:tx>
          <c:spPr>
            <a:solidFill>
              <a:schemeClr val="accent3"/>
            </a:solidFill>
          </c:spPr>
          <c:invertIfNegative val="0"/>
          <c:cat>
            <c:numRef>
              <c:f>'KPI 43'!$E$18:$P$18</c:f>
              <c:numCache>
                <c:formatCode>mmm\-yy</c:formatCode>
                <c:ptCount val="12"/>
                <c:pt idx="0">
                  <c:v>45839</c:v>
                </c:pt>
                <c:pt idx="1">
                  <c:v>45870</c:v>
                </c:pt>
                <c:pt idx="2">
                  <c:v>45901</c:v>
                </c:pt>
                <c:pt idx="3">
                  <c:v>45931</c:v>
                </c:pt>
                <c:pt idx="4">
                  <c:v>45962</c:v>
                </c:pt>
                <c:pt idx="5">
                  <c:v>45992</c:v>
                </c:pt>
                <c:pt idx="6">
                  <c:v>46023</c:v>
                </c:pt>
                <c:pt idx="7">
                  <c:v>46054</c:v>
                </c:pt>
                <c:pt idx="8">
                  <c:v>46082</c:v>
                </c:pt>
                <c:pt idx="9">
                  <c:v>46113</c:v>
                </c:pt>
                <c:pt idx="10">
                  <c:v>46143</c:v>
                </c:pt>
                <c:pt idx="11">
                  <c:v>46174</c:v>
                </c:pt>
              </c:numCache>
            </c:numRef>
          </c:cat>
          <c:val>
            <c:numRef>
              <c:f>'KPI 43'!$E$21:$P$21</c:f>
              <c:numCache>
                <c:formatCode>#,##0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85C-4ED8-979F-EB76DE70CBA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20038912"/>
        <c:axId val="120040448"/>
      </c:barChart>
      <c:lineChart>
        <c:grouping val="standard"/>
        <c:varyColors val="0"/>
        <c:ser>
          <c:idx val="0"/>
          <c:order val="0"/>
          <c:tx>
            <c:strRef>
              <c:f>'KPI 43'!$D$19</c:f>
              <c:strCache>
                <c:ptCount val="1"/>
                <c:pt idx="0">
                  <c:v>Budget 2025-26</c:v>
                </c:pt>
              </c:strCache>
            </c:strRef>
          </c:tx>
          <c:spPr>
            <a:ln>
              <a:solidFill>
                <a:srgbClr val="FF0000"/>
              </a:solidFill>
            </a:ln>
          </c:spPr>
          <c:marker>
            <c:symbol val="none"/>
          </c:marker>
          <c:cat>
            <c:numRef>
              <c:f>'KPI 43'!$E$18:$P$18</c:f>
              <c:numCache>
                <c:formatCode>mmm\-yy</c:formatCode>
                <c:ptCount val="12"/>
                <c:pt idx="0">
                  <c:v>45839</c:v>
                </c:pt>
                <c:pt idx="1">
                  <c:v>45870</c:v>
                </c:pt>
                <c:pt idx="2">
                  <c:v>45901</c:v>
                </c:pt>
                <c:pt idx="3">
                  <c:v>45931</c:v>
                </c:pt>
                <c:pt idx="4">
                  <c:v>45962</c:v>
                </c:pt>
                <c:pt idx="5">
                  <c:v>45992</c:v>
                </c:pt>
                <c:pt idx="6">
                  <c:v>46023</c:v>
                </c:pt>
                <c:pt idx="7">
                  <c:v>46054</c:v>
                </c:pt>
                <c:pt idx="8">
                  <c:v>46082</c:v>
                </c:pt>
                <c:pt idx="9">
                  <c:v>46113</c:v>
                </c:pt>
                <c:pt idx="10">
                  <c:v>46143</c:v>
                </c:pt>
                <c:pt idx="11">
                  <c:v>46174</c:v>
                </c:pt>
              </c:numCache>
            </c:numRef>
          </c:cat>
          <c:val>
            <c:numRef>
              <c:f>'KPI 43'!$E$19:$P$19</c:f>
              <c:numCache>
                <c:formatCode>#,##0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85C-4ED8-979F-EB76DE70CBA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20038912"/>
        <c:axId val="120040448"/>
      </c:lineChart>
      <c:dateAx>
        <c:axId val="120038912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crossAx val="120040448"/>
        <c:crosses val="autoZero"/>
        <c:auto val="1"/>
        <c:lblOffset val="100"/>
        <c:baseTimeUnit val="months"/>
      </c:dateAx>
      <c:valAx>
        <c:axId val="120040448"/>
        <c:scaling>
          <c:orientation val="minMax"/>
        </c:scaling>
        <c:delete val="0"/>
        <c:axPos val="l"/>
        <c:majorGridlines/>
        <c:numFmt formatCode="#,##0" sourceLinked="1"/>
        <c:majorTickMark val="out"/>
        <c:minorTickMark val="none"/>
        <c:tickLblPos val="nextTo"/>
        <c:crossAx val="120038912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000000000000822" l="0.70000000000000062" r="0.70000000000000062" t="0.75000000000000822" header="0.30000000000000032" footer="0.30000000000000032"/>
    <c:pageSetup/>
  </c:printSettings>
</c:chartSpace>
</file>

<file path=xl/charts/chart5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1"/>
          <c:order val="1"/>
          <c:tx>
            <c:strRef>
              <c:f>'KPI 44'!$D$20</c:f>
              <c:strCache>
                <c:ptCount val="1"/>
                <c:pt idx="0">
                  <c:v>Actual 2025-26</c:v>
                </c:pt>
              </c:strCache>
            </c:strRef>
          </c:tx>
          <c:spPr>
            <a:solidFill>
              <a:schemeClr val="accent1"/>
            </a:solidFill>
          </c:spPr>
          <c:invertIfNegative val="0"/>
          <c:cat>
            <c:numRef>
              <c:f>'KPI 44'!$E$18:$P$18</c:f>
              <c:numCache>
                <c:formatCode>mmm\-yy</c:formatCode>
                <c:ptCount val="12"/>
                <c:pt idx="0">
                  <c:v>45839</c:v>
                </c:pt>
                <c:pt idx="1">
                  <c:v>45870</c:v>
                </c:pt>
                <c:pt idx="2">
                  <c:v>45901</c:v>
                </c:pt>
                <c:pt idx="3">
                  <c:v>45931</c:v>
                </c:pt>
                <c:pt idx="4">
                  <c:v>45962</c:v>
                </c:pt>
                <c:pt idx="5">
                  <c:v>45992</c:v>
                </c:pt>
                <c:pt idx="6">
                  <c:v>46023</c:v>
                </c:pt>
                <c:pt idx="7">
                  <c:v>46054</c:v>
                </c:pt>
                <c:pt idx="8">
                  <c:v>46082</c:v>
                </c:pt>
                <c:pt idx="9">
                  <c:v>46113</c:v>
                </c:pt>
                <c:pt idx="10">
                  <c:v>46143</c:v>
                </c:pt>
                <c:pt idx="11">
                  <c:v>46174</c:v>
                </c:pt>
              </c:numCache>
            </c:numRef>
          </c:cat>
          <c:val>
            <c:numRef>
              <c:f>'KPI 44'!$E$20:$P$20</c:f>
              <c:numCache>
                <c:formatCode>#,##0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98A-4316-8FFE-CE221104742B}"/>
            </c:ext>
          </c:extLst>
        </c:ser>
        <c:ser>
          <c:idx val="4"/>
          <c:order val="2"/>
          <c:tx>
            <c:strRef>
              <c:f>'KPI 44'!$D$21</c:f>
              <c:strCache>
                <c:ptCount val="1"/>
                <c:pt idx="0">
                  <c:v>Actual 2024-25</c:v>
                </c:pt>
              </c:strCache>
            </c:strRef>
          </c:tx>
          <c:spPr>
            <a:solidFill>
              <a:schemeClr val="accent3"/>
            </a:solidFill>
          </c:spPr>
          <c:invertIfNegative val="0"/>
          <c:cat>
            <c:numRef>
              <c:f>'KPI 44'!$E$18:$P$18</c:f>
              <c:numCache>
                <c:formatCode>mmm\-yy</c:formatCode>
                <c:ptCount val="12"/>
                <c:pt idx="0">
                  <c:v>45839</c:v>
                </c:pt>
                <c:pt idx="1">
                  <c:v>45870</c:v>
                </c:pt>
                <c:pt idx="2">
                  <c:v>45901</c:v>
                </c:pt>
                <c:pt idx="3">
                  <c:v>45931</c:v>
                </c:pt>
                <c:pt idx="4">
                  <c:v>45962</c:v>
                </c:pt>
                <c:pt idx="5">
                  <c:v>45992</c:v>
                </c:pt>
                <c:pt idx="6">
                  <c:v>46023</c:v>
                </c:pt>
                <c:pt idx="7">
                  <c:v>46054</c:v>
                </c:pt>
                <c:pt idx="8">
                  <c:v>46082</c:v>
                </c:pt>
                <c:pt idx="9">
                  <c:v>46113</c:v>
                </c:pt>
                <c:pt idx="10">
                  <c:v>46143</c:v>
                </c:pt>
                <c:pt idx="11">
                  <c:v>46174</c:v>
                </c:pt>
              </c:numCache>
            </c:numRef>
          </c:cat>
          <c:val>
            <c:numRef>
              <c:f>'KPI 44'!$E$21:$P$21</c:f>
              <c:numCache>
                <c:formatCode>#,##0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98A-4316-8FFE-CE22110474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20515200"/>
        <c:axId val="119939456"/>
      </c:barChart>
      <c:lineChart>
        <c:grouping val="standard"/>
        <c:varyColors val="0"/>
        <c:ser>
          <c:idx val="0"/>
          <c:order val="0"/>
          <c:tx>
            <c:strRef>
              <c:f>'KPI 44'!$D$19</c:f>
              <c:strCache>
                <c:ptCount val="1"/>
                <c:pt idx="0">
                  <c:v>Budget 2025-26</c:v>
                </c:pt>
              </c:strCache>
            </c:strRef>
          </c:tx>
          <c:spPr>
            <a:ln>
              <a:solidFill>
                <a:srgbClr val="FF0000"/>
              </a:solidFill>
            </a:ln>
          </c:spPr>
          <c:marker>
            <c:symbol val="none"/>
          </c:marker>
          <c:cat>
            <c:numRef>
              <c:f>'KPI 44'!$E$18:$P$18</c:f>
              <c:numCache>
                <c:formatCode>mmm\-yy</c:formatCode>
                <c:ptCount val="12"/>
                <c:pt idx="0">
                  <c:v>45839</c:v>
                </c:pt>
                <c:pt idx="1">
                  <c:v>45870</c:v>
                </c:pt>
                <c:pt idx="2">
                  <c:v>45901</c:v>
                </c:pt>
                <c:pt idx="3">
                  <c:v>45931</c:v>
                </c:pt>
                <c:pt idx="4">
                  <c:v>45962</c:v>
                </c:pt>
                <c:pt idx="5">
                  <c:v>45992</c:v>
                </c:pt>
                <c:pt idx="6">
                  <c:v>46023</c:v>
                </c:pt>
                <c:pt idx="7">
                  <c:v>46054</c:v>
                </c:pt>
                <c:pt idx="8">
                  <c:v>46082</c:v>
                </c:pt>
                <c:pt idx="9">
                  <c:v>46113</c:v>
                </c:pt>
                <c:pt idx="10">
                  <c:v>46143</c:v>
                </c:pt>
                <c:pt idx="11">
                  <c:v>46174</c:v>
                </c:pt>
              </c:numCache>
            </c:numRef>
          </c:cat>
          <c:val>
            <c:numRef>
              <c:f>'KPI 44'!$E$19:$P$19</c:f>
              <c:numCache>
                <c:formatCode>#,##0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98A-4316-8FFE-CE22110474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20515200"/>
        <c:axId val="119939456"/>
      </c:lineChart>
      <c:dateAx>
        <c:axId val="120515200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crossAx val="119939456"/>
        <c:crosses val="autoZero"/>
        <c:auto val="1"/>
        <c:lblOffset val="100"/>
        <c:baseTimeUnit val="months"/>
      </c:dateAx>
      <c:valAx>
        <c:axId val="119939456"/>
        <c:scaling>
          <c:orientation val="minMax"/>
        </c:scaling>
        <c:delete val="0"/>
        <c:axPos val="l"/>
        <c:majorGridlines/>
        <c:numFmt formatCode="#,##0" sourceLinked="1"/>
        <c:majorTickMark val="out"/>
        <c:minorTickMark val="none"/>
        <c:tickLblPos val="nextTo"/>
        <c:crossAx val="12051520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000000000000822" l="0.70000000000000062" r="0.70000000000000062" t="0.75000000000000822" header="0.30000000000000032" footer="0.30000000000000032"/>
    <c:pageSetup/>
  </c:printSettings>
</c:chartSpace>
</file>

<file path=xl/charts/chart5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1"/>
          <c:order val="1"/>
          <c:tx>
            <c:strRef>
              <c:f>'KPI 45'!$D$20</c:f>
              <c:strCache>
                <c:ptCount val="1"/>
                <c:pt idx="0">
                  <c:v>Actual 2025-26</c:v>
                </c:pt>
              </c:strCache>
            </c:strRef>
          </c:tx>
          <c:spPr>
            <a:solidFill>
              <a:schemeClr val="accent1"/>
            </a:solidFill>
          </c:spPr>
          <c:invertIfNegative val="0"/>
          <c:cat>
            <c:numRef>
              <c:f>'KPI 45'!$E$18:$P$18</c:f>
              <c:numCache>
                <c:formatCode>mmm\-yy</c:formatCode>
                <c:ptCount val="12"/>
                <c:pt idx="0">
                  <c:v>45839</c:v>
                </c:pt>
                <c:pt idx="1">
                  <c:v>45870</c:v>
                </c:pt>
                <c:pt idx="2">
                  <c:v>45901</c:v>
                </c:pt>
                <c:pt idx="3">
                  <c:v>45931</c:v>
                </c:pt>
                <c:pt idx="4">
                  <c:v>45962</c:v>
                </c:pt>
                <c:pt idx="5">
                  <c:v>45992</c:v>
                </c:pt>
                <c:pt idx="6">
                  <c:v>46023</c:v>
                </c:pt>
                <c:pt idx="7">
                  <c:v>46054</c:v>
                </c:pt>
                <c:pt idx="8">
                  <c:v>46082</c:v>
                </c:pt>
                <c:pt idx="9">
                  <c:v>46113</c:v>
                </c:pt>
                <c:pt idx="10">
                  <c:v>46143</c:v>
                </c:pt>
                <c:pt idx="11">
                  <c:v>46174</c:v>
                </c:pt>
              </c:numCache>
            </c:numRef>
          </c:cat>
          <c:val>
            <c:numRef>
              <c:f>'KPI 45'!$E$20:$P$20</c:f>
              <c:numCache>
                <c:formatCode>#,##0</c:formatCode>
                <c:ptCount val="12"/>
                <c:pt idx="0">
                  <c:v>52</c:v>
                </c:pt>
                <c:pt idx="1">
                  <c:v>54</c:v>
                </c:pt>
                <c:pt idx="2">
                  <c:v>56</c:v>
                </c:pt>
                <c:pt idx="3">
                  <c:v>56</c:v>
                </c:pt>
                <c:pt idx="4">
                  <c:v>57</c:v>
                </c:pt>
                <c:pt idx="5">
                  <c:v>61</c:v>
                </c:pt>
                <c:pt idx="6">
                  <c:v>63</c:v>
                </c:pt>
                <c:pt idx="7">
                  <c:v>64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BCE-4B7D-83C5-3F45888432E9}"/>
            </c:ext>
          </c:extLst>
        </c:ser>
        <c:ser>
          <c:idx val="4"/>
          <c:order val="2"/>
          <c:tx>
            <c:strRef>
              <c:f>'KPI 45'!$D$21</c:f>
              <c:strCache>
                <c:ptCount val="1"/>
                <c:pt idx="0">
                  <c:v>Actual 2024-25</c:v>
                </c:pt>
              </c:strCache>
            </c:strRef>
          </c:tx>
          <c:spPr>
            <a:solidFill>
              <a:schemeClr val="accent3"/>
            </a:solidFill>
          </c:spPr>
          <c:invertIfNegative val="0"/>
          <c:cat>
            <c:numRef>
              <c:f>'KPI 45'!$E$18:$P$18</c:f>
              <c:numCache>
                <c:formatCode>mmm\-yy</c:formatCode>
                <c:ptCount val="12"/>
                <c:pt idx="0">
                  <c:v>45839</c:v>
                </c:pt>
                <c:pt idx="1">
                  <c:v>45870</c:v>
                </c:pt>
                <c:pt idx="2">
                  <c:v>45901</c:v>
                </c:pt>
                <c:pt idx="3">
                  <c:v>45931</c:v>
                </c:pt>
                <c:pt idx="4">
                  <c:v>45962</c:v>
                </c:pt>
                <c:pt idx="5">
                  <c:v>45992</c:v>
                </c:pt>
                <c:pt idx="6">
                  <c:v>46023</c:v>
                </c:pt>
                <c:pt idx="7">
                  <c:v>46054</c:v>
                </c:pt>
                <c:pt idx="8">
                  <c:v>46082</c:v>
                </c:pt>
                <c:pt idx="9">
                  <c:v>46113</c:v>
                </c:pt>
                <c:pt idx="10">
                  <c:v>46143</c:v>
                </c:pt>
                <c:pt idx="11">
                  <c:v>46174</c:v>
                </c:pt>
              </c:numCache>
            </c:numRef>
          </c:cat>
          <c:val>
            <c:numRef>
              <c:f>'KPI 45'!$E$21:$P$21</c:f>
              <c:numCache>
                <c:formatCode>#,##0</c:formatCode>
                <c:ptCount val="12"/>
                <c:pt idx="0">
                  <c:v>44</c:v>
                </c:pt>
                <c:pt idx="1">
                  <c:v>44</c:v>
                </c:pt>
                <c:pt idx="2">
                  <c:v>46</c:v>
                </c:pt>
                <c:pt idx="3">
                  <c:v>47</c:v>
                </c:pt>
                <c:pt idx="4">
                  <c:v>47</c:v>
                </c:pt>
                <c:pt idx="5">
                  <c:v>47</c:v>
                </c:pt>
                <c:pt idx="6">
                  <c:v>47</c:v>
                </c:pt>
                <c:pt idx="7">
                  <c:v>50</c:v>
                </c:pt>
                <c:pt idx="8">
                  <c:v>52</c:v>
                </c:pt>
                <c:pt idx="9">
                  <c:v>52</c:v>
                </c:pt>
                <c:pt idx="10">
                  <c:v>52</c:v>
                </c:pt>
                <c:pt idx="11">
                  <c:v>52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BCE-4B7D-83C5-3F45888432E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19984128"/>
        <c:axId val="119985664"/>
      </c:barChart>
      <c:lineChart>
        <c:grouping val="standard"/>
        <c:varyColors val="0"/>
        <c:ser>
          <c:idx val="0"/>
          <c:order val="0"/>
          <c:tx>
            <c:strRef>
              <c:f>'KPI 45'!$D$19</c:f>
              <c:strCache>
                <c:ptCount val="1"/>
                <c:pt idx="0">
                  <c:v>Budget 2025-26</c:v>
                </c:pt>
              </c:strCache>
            </c:strRef>
          </c:tx>
          <c:spPr>
            <a:ln>
              <a:solidFill>
                <a:srgbClr val="FF0000"/>
              </a:solidFill>
            </a:ln>
          </c:spPr>
          <c:marker>
            <c:symbol val="none"/>
          </c:marker>
          <c:cat>
            <c:numRef>
              <c:f>'KPI 45'!$E$18:$P$18</c:f>
              <c:numCache>
                <c:formatCode>mmm\-yy</c:formatCode>
                <c:ptCount val="12"/>
                <c:pt idx="0">
                  <c:v>45839</c:v>
                </c:pt>
                <c:pt idx="1">
                  <c:v>45870</c:v>
                </c:pt>
                <c:pt idx="2">
                  <c:v>45901</c:v>
                </c:pt>
                <c:pt idx="3">
                  <c:v>45931</c:v>
                </c:pt>
                <c:pt idx="4">
                  <c:v>45962</c:v>
                </c:pt>
                <c:pt idx="5">
                  <c:v>45992</c:v>
                </c:pt>
                <c:pt idx="6">
                  <c:v>46023</c:v>
                </c:pt>
                <c:pt idx="7">
                  <c:v>46054</c:v>
                </c:pt>
                <c:pt idx="8">
                  <c:v>46082</c:v>
                </c:pt>
                <c:pt idx="9">
                  <c:v>46113</c:v>
                </c:pt>
                <c:pt idx="10">
                  <c:v>46143</c:v>
                </c:pt>
                <c:pt idx="11">
                  <c:v>46174</c:v>
                </c:pt>
              </c:numCache>
            </c:numRef>
          </c:cat>
          <c:val>
            <c:numRef>
              <c:f>'KPI 45'!$E$19:$P$19</c:f>
              <c:numCache>
                <c:formatCode>#,##0</c:formatCode>
                <c:ptCount val="12"/>
                <c:pt idx="0">
                  <c:v>53</c:v>
                </c:pt>
                <c:pt idx="1">
                  <c:v>54</c:v>
                </c:pt>
                <c:pt idx="2">
                  <c:v>55</c:v>
                </c:pt>
                <c:pt idx="3">
                  <c:v>56</c:v>
                </c:pt>
                <c:pt idx="4">
                  <c:v>57</c:v>
                </c:pt>
                <c:pt idx="5">
                  <c:v>58</c:v>
                </c:pt>
                <c:pt idx="6">
                  <c:v>59</c:v>
                </c:pt>
                <c:pt idx="7">
                  <c:v>60</c:v>
                </c:pt>
                <c:pt idx="8">
                  <c:v>61</c:v>
                </c:pt>
                <c:pt idx="9">
                  <c:v>62</c:v>
                </c:pt>
                <c:pt idx="10">
                  <c:v>63</c:v>
                </c:pt>
                <c:pt idx="11">
                  <c:v>64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1BCE-4B7D-83C5-3F45888432E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19984128"/>
        <c:axId val="119985664"/>
      </c:lineChart>
      <c:dateAx>
        <c:axId val="119984128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crossAx val="119985664"/>
        <c:crosses val="autoZero"/>
        <c:auto val="1"/>
        <c:lblOffset val="100"/>
        <c:baseTimeUnit val="months"/>
      </c:dateAx>
      <c:valAx>
        <c:axId val="119985664"/>
        <c:scaling>
          <c:orientation val="minMax"/>
        </c:scaling>
        <c:delete val="0"/>
        <c:axPos val="l"/>
        <c:majorGridlines/>
        <c:numFmt formatCode="#,##0" sourceLinked="1"/>
        <c:majorTickMark val="out"/>
        <c:minorTickMark val="none"/>
        <c:tickLblPos val="nextTo"/>
        <c:crossAx val="119984128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000000000000822" l="0.70000000000000062" r="0.70000000000000062" t="0.75000000000000822" header="0.30000000000000032" footer="0.30000000000000032"/>
    <c:pageSetup/>
  </c:printSettings>
</c:chartSpace>
</file>

<file path=xl/charts/chart5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1"/>
          <c:order val="1"/>
          <c:tx>
            <c:strRef>
              <c:f>'KPI 46'!$D$20</c:f>
              <c:strCache>
                <c:ptCount val="1"/>
                <c:pt idx="0">
                  <c:v>Actual 2025-26</c:v>
                </c:pt>
              </c:strCache>
            </c:strRef>
          </c:tx>
          <c:spPr>
            <a:solidFill>
              <a:schemeClr val="accent1"/>
            </a:solidFill>
          </c:spPr>
          <c:invertIfNegative val="0"/>
          <c:cat>
            <c:numRef>
              <c:f>'KPI 46'!$E$18:$P$18</c:f>
              <c:numCache>
                <c:formatCode>mmm\-yy</c:formatCode>
                <c:ptCount val="12"/>
                <c:pt idx="0">
                  <c:v>45839</c:v>
                </c:pt>
                <c:pt idx="1">
                  <c:v>45870</c:v>
                </c:pt>
                <c:pt idx="2">
                  <c:v>45901</c:v>
                </c:pt>
                <c:pt idx="3">
                  <c:v>45931</c:v>
                </c:pt>
                <c:pt idx="4">
                  <c:v>45962</c:v>
                </c:pt>
                <c:pt idx="5">
                  <c:v>45992</c:v>
                </c:pt>
                <c:pt idx="6">
                  <c:v>46023</c:v>
                </c:pt>
                <c:pt idx="7">
                  <c:v>46054</c:v>
                </c:pt>
                <c:pt idx="8">
                  <c:v>46082</c:v>
                </c:pt>
                <c:pt idx="9">
                  <c:v>46113</c:v>
                </c:pt>
                <c:pt idx="10">
                  <c:v>46143</c:v>
                </c:pt>
                <c:pt idx="11">
                  <c:v>46174</c:v>
                </c:pt>
              </c:numCache>
            </c:numRef>
          </c:cat>
          <c:val>
            <c:numRef>
              <c:f>'KPI 46'!$E$20:$P$20</c:f>
              <c:numCache>
                <c:formatCode>#,##0</c:formatCode>
                <c:ptCount val="12"/>
                <c:pt idx="0">
                  <c:v>180</c:v>
                </c:pt>
                <c:pt idx="1">
                  <c:v>180</c:v>
                </c:pt>
                <c:pt idx="2">
                  <c:v>180</c:v>
                </c:pt>
                <c:pt idx="3">
                  <c:v>179</c:v>
                </c:pt>
                <c:pt idx="4">
                  <c:v>180</c:v>
                </c:pt>
                <c:pt idx="5">
                  <c:v>183</c:v>
                </c:pt>
                <c:pt idx="6">
                  <c:v>184</c:v>
                </c:pt>
                <c:pt idx="7">
                  <c:v>184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BB2-4FF4-AEE9-CEDE84639F69}"/>
            </c:ext>
          </c:extLst>
        </c:ser>
        <c:ser>
          <c:idx val="4"/>
          <c:order val="2"/>
          <c:tx>
            <c:strRef>
              <c:f>'KPI 46'!$D$21</c:f>
              <c:strCache>
                <c:ptCount val="1"/>
                <c:pt idx="0">
                  <c:v>Actual 2024-25</c:v>
                </c:pt>
              </c:strCache>
            </c:strRef>
          </c:tx>
          <c:spPr>
            <a:solidFill>
              <a:schemeClr val="accent3"/>
            </a:solidFill>
          </c:spPr>
          <c:invertIfNegative val="0"/>
          <c:cat>
            <c:numRef>
              <c:f>'KPI 46'!$E$18:$P$18</c:f>
              <c:numCache>
                <c:formatCode>mmm\-yy</c:formatCode>
                <c:ptCount val="12"/>
                <c:pt idx="0">
                  <c:v>45839</c:v>
                </c:pt>
                <c:pt idx="1">
                  <c:v>45870</c:v>
                </c:pt>
                <c:pt idx="2">
                  <c:v>45901</c:v>
                </c:pt>
                <c:pt idx="3">
                  <c:v>45931</c:v>
                </c:pt>
                <c:pt idx="4">
                  <c:v>45962</c:v>
                </c:pt>
                <c:pt idx="5">
                  <c:v>45992</c:v>
                </c:pt>
                <c:pt idx="6">
                  <c:v>46023</c:v>
                </c:pt>
                <c:pt idx="7">
                  <c:v>46054</c:v>
                </c:pt>
                <c:pt idx="8">
                  <c:v>46082</c:v>
                </c:pt>
                <c:pt idx="9">
                  <c:v>46113</c:v>
                </c:pt>
                <c:pt idx="10">
                  <c:v>46143</c:v>
                </c:pt>
                <c:pt idx="11">
                  <c:v>46174</c:v>
                </c:pt>
              </c:numCache>
            </c:numRef>
          </c:cat>
          <c:val>
            <c:numRef>
              <c:f>'KPI 46'!$E$21:$P$21</c:f>
              <c:numCache>
                <c:formatCode>#,##0</c:formatCode>
                <c:ptCount val="12"/>
                <c:pt idx="0">
                  <c:v>184</c:v>
                </c:pt>
                <c:pt idx="1">
                  <c:v>177</c:v>
                </c:pt>
                <c:pt idx="2">
                  <c:v>179</c:v>
                </c:pt>
                <c:pt idx="3">
                  <c:v>179</c:v>
                </c:pt>
                <c:pt idx="4">
                  <c:v>179</c:v>
                </c:pt>
                <c:pt idx="5">
                  <c:v>178</c:v>
                </c:pt>
                <c:pt idx="6">
                  <c:v>178</c:v>
                </c:pt>
                <c:pt idx="7">
                  <c:v>178</c:v>
                </c:pt>
                <c:pt idx="8">
                  <c:v>180</c:v>
                </c:pt>
                <c:pt idx="9">
                  <c:v>180</c:v>
                </c:pt>
                <c:pt idx="10">
                  <c:v>180</c:v>
                </c:pt>
                <c:pt idx="11">
                  <c:v>180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BB2-4FF4-AEE9-CEDE84639F6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20853632"/>
        <c:axId val="120855168"/>
      </c:barChart>
      <c:lineChart>
        <c:grouping val="standard"/>
        <c:varyColors val="0"/>
        <c:ser>
          <c:idx val="0"/>
          <c:order val="0"/>
          <c:tx>
            <c:strRef>
              <c:f>'KPI 46'!$D$19</c:f>
              <c:strCache>
                <c:ptCount val="1"/>
                <c:pt idx="0">
                  <c:v>Budget 2025-26</c:v>
                </c:pt>
              </c:strCache>
            </c:strRef>
          </c:tx>
          <c:spPr>
            <a:ln>
              <a:solidFill>
                <a:srgbClr val="FF0000"/>
              </a:solidFill>
            </a:ln>
          </c:spPr>
          <c:marker>
            <c:symbol val="none"/>
          </c:marker>
          <c:cat>
            <c:numRef>
              <c:f>'KPI 46'!$E$18:$P$18</c:f>
              <c:numCache>
                <c:formatCode>mmm\-yy</c:formatCode>
                <c:ptCount val="12"/>
                <c:pt idx="0">
                  <c:v>45839</c:v>
                </c:pt>
                <c:pt idx="1">
                  <c:v>45870</c:v>
                </c:pt>
                <c:pt idx="2">
                  <c:v>45901</c:v>
                </c:pt>
                <c:pt idx="3">
                  <c:v>45931</c:v>
                </c:pt>
                <c:pt idx="4">
                  <c:v>45962</c:v>
                </c:pt>
                <c:pt idx="5">
                  <c:v>45992</c:v>
                </c:pt>
                <c:pt idx="6">
                  <c:v>46023</c:v>
                </c:pt>
                <c:pt idx="7">
                  <c:v>46054</c:v>
                </c:pt>
                <c:pt idx="8">
                  <c:v>46082</c:v>
                </c:pt>
                <c:pt idx="9">
                  <c:v>46113</c:v>
                </c:pt>
                <c:pt idx="10">
                  <c:v>46143</c:v>
                </c:pt>
                <c:pt idx="11">
                  <c:v>46174</c:v>
                </c:pt>
              </c:numCache>
            </c:numRef>
          </c:cat>
          <c:val>
            <c:numRef>
              <c:f>'KPI 46'!$E$19:$P$19</c:f>
              <c:numCache>
                <c:formatCode>#,##0</c:formatCode>
                <c:ptCount val="12"/>
                <c:pt idx="0">
                  <c:v>181</c:v>
                </c:pt>
                <c:pt idx="1">
                  <c:v>182</c:v>
                </c:pt>
                <c:pt idx="2">
                  <c:v>183</c:v>
                </c:pt>
                <c:pt idx="3">
                  <c:v>184</c:v>
                </c:pt>
                <c:pt idx="4">
                  <c:v>185</c:v>
                </c:pt>
                <c:pt idx="5">
                  <c:v>186</c:v>
                </c:pt>
                <c:pt idx="6">
                  <c:v>187</c:v>
                </c:pt>
                <c:pt idx="7">
                  <c:v>188</c:v>
                </c:pt>
                <c:pt idx="8">
                  <c:v>189</c:v>
                </c:pt>
                <c:pt idx="9">
                  <c:v>190</c:v>
                </c:pt>
                <c:pt idx="10">
                  <c:v>191</c:v>
                </c:pt>
                <c:pt idx="11">
                  <c:v>192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2BB2-4FF4-AEE9-CEDE84639F6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20853632"/>
        <c:axId val="120855168"/>
      </c:lineChart>
      <c:dateAx>
        <c:axId val="120853632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crossAx val="120855168"/>
        <c:crosses val="autoZero"/>
        <c:auto val="1"/>
        <c:lblOffset val="100"/>
        <c:baseTimeUnit val="months"/>
      </c:dateAx>
      <c:valAx>
        <c:axId val="120855168"/>
        <c:scaling>
          <c:orientation val="minMax"/>
        </c:scaling>
        <c:delete val="0"/>
        <c:axPos val="l"/>
        <c:majorGridlines/>
        <c:numFmt formatCode="#,##0" sourceLinked="1"/>
        <c:majorTickMark val="out"/>
        <c:minorTickMark val="none"/>
        <c:tickLblPos val="nextTo"/>
        <c:crossAx val="120853632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000000000000822" l="0.70000000000000062" r="0.70000000000000062" t="0.75000000000000822" header="0.30000000000000032" footer="0.30000000000000032"/>
    <c:pageSetup/>
  </c:printSettings>
</c:chartSpace>
</file>

<file path=xl/charts/chart5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1"/>
          <c:order val="1"/>
          <c:tx>
            <c:strRef>
              <c:f>'KPI 46'!$D$20</c:f>
              <c:strCache>
                <c:ptCount val="1"/>
                <c:pt idx="0">
                  <c:v>Actual 2025-26</c:v>
                </c:pt>
              </c:strCache>
            </c:strRef>
          </c:tx>
          <c:spPr>
            <a:solidFill>
              <a:schemeClr val="accent1"/>
            </a:solidFill>
          </c:spPr>
          <c:invertIfNegative val="0"/>
          <c:cat>
            <c:numRef>
              <c:f>'KPI 46'!$E$18:$P$18</c:f>
              <c:numCache>
                <c:formatCode>mmm\-yy</c:formatCode>
                <c:ptCount val="12"/>
                <c:pt idx="0">
                  <c:v>45839</c:v>
                </c:pt>
                <c:pt idx="1">
                  <c:v>45870</c:v>
                </c:pt>
                <c:pt idx="2">
                  <c:v>45901</c:v>
                </c:pt>
                <c:pt idx="3">
                  <c:v>45931</c:v>
                </c:pt>
                <c:pt idx="4">
                  <c:v>45962</c:v>
                </c:pt>
                <c:pt idx="5">
                  <c:v>45992</c:v>
                </c:pt>
                <c:pt idx="6">
                  <c:v>46023</c:v>
                </c:pt>
                <c:pt idx="7">
                  <c:v>46054</c:v>
                </c:pt>
                <c:pt idx="8">
                  <c:v>46082</c:v>
                </c:pt>
                <c:pt idx="9">
                  <c:v>46113</c:v>
                </c:pt>
                <c:pt idx="10">
                  <c:v>46143</c:v>
                </c:pt>
                <c:pt idx="11">
                  <c:v>46174</c:v>
                </c:pt>
              </c:numCache>
            </c:numRef>
          </c:cat>
          <c:val>
            <c:numRef>
              <c:f>'KPI 46'!$E$20:$P$20</c:f>
              <c:numCache>
                <c:formatCode>#,##0</c:formatCode>
                <c:ptCount val="12"/>
                <c:pt idx="0">
                  <c:v>180</c:v>
                </c:pt>
                <c:pt idx="1">
                  <c:v>180</c:v>
                </c:pt>
                <c:pt idx="2">
                  <c:v>180</c:v>
                </c:pt>
                <c:pt idx="3">
                  <c:v>179</c:v>
                </c:pt>
                <c:pt idx="4">
                  <c:v>180</c:v>
                </c:pt>
                <c:pt idx="5">
                  <c:v>183</c:v>
                </c:pt>
                <c:pt idx="6">
                  <c:v>184</c:v>
                </c:pt>
                <c:pt idx="7">
                  <c:v>184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A8E-4B35-BC33-E67B3AE5AEE9}"/>
            </c:ext>
          </c:extLst>
        </c:ser>
        <c:ser>
          <c:idx val="4"/>
          <c:order val="2"/>
          <c:tx>
            <c:strRef>
              <c:f>'KPI 46'!$D$21</c:f>
              <c:strCache>
                <c:ptCount val="1"/>
                <c:pt idx="0">
                  <c:v>Actual 2024-25</c:v>
                </c:pt>
              </c:strCache>
            </c:strRef>
          </c:tx>
          <c:spPr>
            <a:solidFill>
              <a:schemeClr val="accent3"/>
            </a:solidFill>
          </c:spPr>
          <c:invertIfNegative val="0"/>
          <c:cat>
            <c:numRef>
              <c:f>'KPI 46'!$E$18:$P$18</c:f>
              <c:numCache>
                <c:formatCode>mmm\-yy</c:formatCode>
                <c:ptCount val="12"/>
                <c:pt idx="0">
                  <c:v>45839</c:v>
                </c:pt>
                <c:pt idx="1">
                  <c:v>45870</c:v>
                </c:pt>
                <c:pt idx="2">
                  <c:v>45901</c:v>
                </c:pt>
                <c:pt idx="3">
                  <c:v>45931</c:v>
                </c:pt>
                <c:pt idx="4">
                  <c:v>45962</c:v>
                </c:pt>
                <c:pt idx="5">
                  <c:v>45992</c:v>
                </c:pt>
                <c:pt idx="6">
                  <c:v>46023</c:v>
                </c:pt>
                <c:pt idx="7">
                  <c:v>46054</c:v>
                </c:pt>
                <c:pt idx="8">
                  <c:v>46082</c:v>
                </c:pt>
                <c:pt idx="9">
                  <c:v>46113</c:v>
                </c:pt>
                <c:pt idx="10">
                  <c:v>46143</c:v>
                </c:pt>
                <c:pt idx="11">
                  <c:v>46174</c:v>
                </c:pt>
              </c:numCache>
            </c:numRef>
          </c:cat>
          <c:val>
            <c:numRef>
              <c:f>'KPI 46'!$E$21:$P$21</c:f>
              <c:numCache>
                <c:formatCode>#,##0</c:formatCode>
                <c:ptCount val="12"/>
                <c:pt idx="0">
                  <c:v>184</c:v>
                </c:pt>
                <c:pt idx="1">
                  <c:v>177</c:v>
                </c:pt>
                <c:pt idx="2">
                  <c:v>179</c:v>
                </c:pt>
                <c:pt idx="3">
                  <c:v>179</c:v>
                </c:pt>
                <c:pt idx="4">
                  <c:v>179</c:v>
                </c:pt>
                <c:pt idx="5">
                  <c:v>178</c:v>
                </c:pt>
                <c:pt idx="6">
                  <c:v>178</c:v>
                </c:pt>
                <c:pt idx="7">
                  <c:v>178</c:v>
                </c:pt>
                <c:pt idx="8">
                  <c:v>180</c:v>
                </c:pt>
                <c:pt idx="9">
                  <c:v>180</c:v>
                </c:pt>
                <c:pt idx="10">
                  <c:v>180</c:v>
                </c:pt>
                <c:pt idx="11">
                  <c:v>180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A8E-4B35-BC33-E67B3AE5AEE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20853632"/>
        <c:axId val="120855168"/>
      </c:barChart>
      <c:lineChart>
        <c:grouping val="standard"/>
        <c:varyColors val="0"/>
        <c:ser>
          <c:idx val="0"/>
          <c:order val="0"/>
          <c:tx>
            <c:strRef>
              <c:f>'KPI 46'!$D$19</c:f>
              <c:strCache>
                <c:ptCount val="1"/>
                <c:pt idx="0">
                  <c:v>Budget 2025-26</c:v>
                </c:pt>
              </c:strCache>
            </c:strRef>
          </c:tx>
          <c:spPr>
            <a:ln>
              <a:solidFill>
                <a:srgbClr val="FF0000"/>
              </a:solidFill>
            </a:ln>
          </c:spPr>
          <c:marker>
            <c:symbol val="none"/>
          </c:marker>
          <c:cat>
            <c:numRef>
              <c:f>'KPI 46'!$E$18:$P$18</c:f>
              <c:numCache>
                <c:formatCode>mmm\-yy</c:formatCode>
                <c:ptCount val="12"/>
                <c:pt idx="0">
                  <c:v>45839</c:v>
                </c:pt>
                <c:pt idx="1">
                  <c:v>45870</c:v>
                </c:pt>
                <c:pt idx="2">
                  <c:v>45901</c:v>
                </c:pt>
                <c:pt idx="3">
                  <c:v>45931</c:v>
                </c:pt>
                <c:pt idx="4">
                  <c:v>45962</c:v>
                </c:pt>
                <c:pt idx="5">
                  <c:v>45992</c:v>
                </c:pt>
                <c:pt idx="6">
                  <c:v>46023</c:v>
                </c:pt>
                <c:pt idx="7">
                  <c:v>46054</c:v>
                </c:pt>
                <c:pt idx="8">
                  <c:v>46082</c:v>
                </c:pt>
                <c:pt idx="9">
                  <c:v>46113</c:v>
                </c:pt>
                <c:pt idx="10">
                  <c:v>46143</c:v>
                </c:pt>
                <c:pt idx="11">
                  <c:v>46174</c:v>
                </c:pt>
              </c:numCache>
            </c:numRef>
          </c:cat>
          <c:val>
            <c:numRef>
              <c:f>'KPI 46'!$E$19:$P$19</c:f>
              <c:numCache>
                <c:formatCode>#,##0</c:formatCode>
                <c:ptCount val="12"/>
                <c:pt idx="0">
                  <c:v>181</c:v>
                </c:pt>
                <c:pt idx="1">
                  <c:v>182</c:v>
                </c:pt>
                <c:pt idx="2">
                  <c:v>183</c:v>
                </c:pt>
                <c:pt idx="3">
                  <c:v>184</c:v>
                </c:pt>
                <c:pt idx="4">
                  <c:v>185</c:v>
                </c:pt>
                <c:pt idx="5">
                  <c:v>186</c:v>
                </c:pt>
                <c:pt idx="6">
                  <c:v>187</c:v>
                </c:pt>
                <c:pt idx="7">
                  <c:v>188</c:v>
                </c:pt>
                <c:pt idx="8">
                  <c:v>189</c:v>
                </c:pt>
                <c:pt idx="9">
                  <c:v>190</c:v>
                </c:pt>
                <c:pt idx="10">
                  <c:v>191</c:v>
                </c:pt>
                <c:pt idx="11">
                  <c:v>192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A8E-4B35-BC33-E67B3AE5AEE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20853632"/>
        <c:axId val="120855168"/>
      </c:lineChart>
      <c:dateAx>
        <c:axId val="120853632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crossAx val="120855168"/>
        <c:crosses val="autoZero"/>
        <c:auto val="1"/>
        <c:lblOffset val="100"/>
        <c:baseTimeUnit val="months"/>
      </c:dateAx>
      <c:valAx>
        <c:axId val="120855168"/>
        <c:scaling>
          <c:orientation val="minMax"/>
        </c:scaling>
        <c:delete val="0"/>
        <c:axPos val="l"/>
        <c:majorGridlines/>
        <c:numFmt formatCode="#,##0" sourceLinked="1"/>
        <c:majorTickMark val="out"/>
        <c:minorTickMark val="none"/>
        <c:tickLblPos val="nextTo"/>
        <c:crossAx val="120853632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000000000000822" l="0.70000000000000062" r="0.70000000000000062" t="0.75000000000000822" header="0.30000000000000032" footer="0.30000000000000032"/>
    <c:pageSetup/>
  </c:printSettings>
</c:chartSpace>
</file>

<file path=xl/charts/chart5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1"/>
          <c:order val="1"/>
          <c:tx>
            <c:strRef>
              <c:f>'KPI 47'!$D$20</c:f>
              <c:strCache>
                <c:ptCount val="1"/>
                <c:pt idx="0">
                  <c:v>Actual 2025-26</c:v>
                </c:pt>
              </c:strCache>
            </c:strRef>
          </c:tx>
          <c:spPr>
            <a:solidFill>
              <a:schemeClr val="accent1"/>
            </a:solidFill>
          </c:spPr>
          <c:invertIfNegative val="0"/>
          <c:cat>
            <c:numRef>
              <c:f>'KPI 47'!$E$18:$P$18</c:f>
              <c:numCache>
                <c:formatCode>mmm\-yy</c:formatCode>
                <c:ptCount val="12"/>
                <c:pt idx="0">
                  <c:v>45839</c:v>
                </c:pt>
                <c:pt idx="1">
                  <c:v>45870</c:v>
                </c:pt>
                <c:pt idx="2">
                  <c:v>45901</c:v>
                </c:pt>
                <c:pt idx="3">
                  <c:v>45931</c:v>
                </c:pt>
                <c:pt idx="4">
                  <c:v>45962</c:v>
                </c:pt>
                <c:pt idx="5">
                  <c:v>45992</c:v>
                </c:pt>
                <c:pt idx="6">
                  <c:v>46023</c:v>
                </c:pt>
                <c:pt idx="7">
                  <c:v>46054</c:v>
                </c:pt>
                <c:pt idx="8">
                  <c:v>46082</c:v>
                </c:pt>
                <c:pt idx="9">
                  <c:v>46113</c:v>
                </c:pt>
                <c:pt idx="10">
                  <c:v>46143</c:v>
                </c:pt>
                <c:pt idx="11">
                  <c:v>46174</c:v>
                </c:pt>
              </c:numCache>
            </c:numRef>
          </c:cat>
          <c:val>
            <c:numRef>
              <c:f>'KPI 47'!$E$20:$P$20</c:f>
              <c:numCache>
                <c:formatCode>#,##0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189-4F63-9AA3-9F9855468788}"/>
            </c:ext>
          </c:extLst>
        </c:ser>
        <c:ser>
          <c:idx val="4"/>
          <c:order val="2"/>
          <c:tx>
            <c:strRef>
              <c:f>'KPI 47'!$D$21</c:f>
              <c:strCache>
                <c:ptCount val="1"/>
                <c:pt idx="0">
                  <c:v>Actual 2024-25</c:v>
                </c:pt>
              </c:strCache>
            </c:strRef>
          </c:tx>
          <c:spPr>
            <a:solidFill>
              <a:schemeClr val="accent3"/>
            </a:solidFill>
          </c:spPr>
          <c:invertIfNegative val="0"/>
          <c:cat>
            <c:numRef>
              <c:f>'KPI 47'!$E$18:$P$18</c:f>
              <c:numCache>
                <c:formatCode>mmm\-yy</c:formatCode>
                <c:ptCount val="12"/>
                <c:pt idx="0">
                  <c:v>45839</c:v>
                </c:pt>
                <c:pt idx="1">
                  <c:v>45870</c:v>
                </c:pt>
                <c:pt idx="2">
                  <c:v>45901</c:v>
                </c:pt>
                <c:pt idx="3">
                  <c:v>45931</c:v>
                </c:pt>
                <c:pt idx="4">
                  <c:v>45962</c:v>
                </c:pt>
                <c:pt idx="5">
                  <c:v>45992</c:v>
                </c:pt>
                <c:pt idx="6">
                  <c:v>46023</c:v>
                </c:pt>
                <c:pt idx="7">
                  <c:v>46054</c:v>
                </c:pt>
                <c:pt idx="8">
                  <c:v>46082</c:v>
                </c:pt>
                <c:pt idx="9">
                  <c:v>46113</c:v>
                </c:pt>
                <c:pt idx="10">
                  <c:v>46143</c:v>
                </c:pt>
                <c:pt idx="11">
                  <c:v>46174</c:v>
                </c:pt>
              </c:numCache>
            </c:numRef>
          </c:cat>
          <c:val>
            <c:numRef>
              <c:f>'KPI 47'!$E$21:$P$21</c:f>
              <c:numCache>
                <c:formatCode>#,##0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189-4F63-9AA3-9F985546878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20883840"/>
        <c:axId val="120885632"/>
      </c:barChart>
      <c:lineChart>
        <c:grouping val="standard"/>
        <c:varyColors val="0"/>
        <c:ser>
          <c:idx val="0"/>
          <c:order val="0"/>
          <c:tx>
            <c:strRef>
              <c:f>'KPI 47'!$D$19</c:f>
              <c:strCache>
                <c:ptCount val="1"/>
                <c:pt idx="0">
                  <c:v>Budget 2025-26</c:v>
                </c:pt>
              </c:strCache>
            </c:strRef>
          </c:tx>
          <c:spPr>
            <a:ln>
              <a:solidFill>
                <a:srgbClr val="FF0000"/>
              </a:solidFill>
            </a:ln>
          </c:spPr>
          <c:marker>
            <c:symbol val="none"/>
          </c:marker>
          <c:cat>
            <c:numRef>
              <c:f>'KPI 47'!$E$18:$P$18</c:f>
              <c:numCache>
                <c:formatCode>mmm\-yy</c:formatCode>
                <c:ptCount val="12"/>
                <c:pt idx="0">
                  <c:v>45839</c:v>
                </c:pt>
                <c:pt idx="1">
                  <c:v>45870</c:v>
                </c:pt>
                <c:pt idx="2">
                  <c:v>45901</c:v>
                </c:pt>
                <c:pt idx="3">
                  <c:v>45931</c:v>
                </c:pt>
                <c:pt idx="4">
                  <c:v>45962</c:v>
                </c:pt>
                <c:pt idx="5">
                  <c:v>45992</c:v>
                </c:pt>
                <c:pt idx="6">
                  <c:v>46023</c:v>
                </c:pt>
                <c:pt idx="7">
                  <c:v>46054</c:v>
                </c:pt>
                <c:pt idx="8">
                  <c:v>46082</c:v>
                </c:pt>
                <c:pt idx="9">
                  <c:v>46113</c:v>
                </c:pt>
                <c:pt idx="10">
                  <c:v>46143</c:v>
                </c:pt>
                <c:pt idx="11">
                  <c:v>46174</c:v>
                </c:pt>
              </c:numCache>
            </c:numRef>
          </c:cat>
          <c:val>
            <c:numRef>
              <c:f>'KPI 47'!$E$19:$P$19</c:f>
              <c:numCache>
                <c:formatCode>#,##0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C189-4F63-9AA3-9F985546878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20883840"/>
        <c:axId val="120885632"/>
      </c:lineChart>
      <c:dateAx>
        <c:axId val="120883840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crossAx val="120885632"/>
        <c:crosses val="autoZero"/>
        <c:auto val="1"/>
        <c:lblOffset val="100"/>
        <c:baseTimeUnit val="months"/>
      </c:dateAx>
      <c:valAx>
        <c:axId val="120885632"/>
        <c:scaling>
          <c:orientation val="minMax"/>
        </c:scaling>
        <c:delete val="0"/>
        <c:axPos val="l"/>
        <c:majorGridlines/>
        <c:numFmt formatCode="#,##0" sourceLinked="1"/>
        <c:majorTickMark val="out"/>
        <c:minorTickMark val="none"/>
        <c:tickLblPos val="nextTo"/>
        <c:crossAx val="12088384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000000000000822" l="0.70000000000000062" r="0.70000000000000062" t="0.75000000000000822" header="0.30000000000000032" footer="0.30000000000000032"/>
    <c:pageSetup/>
  </c:printSettings>
</c:chartSpace>
</file>

<file path=xl/charts/chart5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1"/>
          <c:order val="1"/>
          <c:tx>
            <c:strRef>
              <c:f>'KPI 48'!$D$20</c:f>
              <c:strCache>
                <c:ptCount val="1"/>
                <c:pt idx="0">
                  <c:v>Actual 2025-26</c:v>
                </c:pt>
              </c:strCache>
            </c:strRef>
          </c:tx>
          <c:spPr>
            <a:solidFill>
              <a:schemeClr val="accent1"/>
            </a:solidFill>
          </c:spPr>
          <c:invertIfNegative val="0"/>
          <c:cat>
            <c:numRef>
              <c:f>'KPI 48'!$E$18:$P$18</c:f>
              <c:numCache>
                <c:formatCode>mmm\-yy</c:formatCode>
                <c:ptCount val="12"/>
                <c:pt idx="0">
                  <c:v>45839</c:v>
                </c:pt>
                <c:pt idx="1">
                  <c:v>45870</c:v>
                </c:pt>
                <c:pt idx="2">
                  <c:v>45901</c:v>
                </c:pt>
                <c:pt idx="3">
                  <c:v>45931</c:v>
                </c:pt>
                <c:pt idx="4">
                  <c:v>45962</c:v>
                </c:pt>
                <c:pt idx="5">
                  <c:v>45992</c:v>
                </c:pt>
                <c:pt idx="6">
                  <c:v>46023</c:v>
                </c:pt>
                <c:pt idx="7">
                  <c:v>46054</c:v>
                </c:pt>
                <c:pt idx="8">
                  <c:v>46082</c:v>
                </c:pt>
                <c:pt idx="9">
                  <c:v>46113</c:v>
                </c:pt>
                <c:pt idx="10">
                  <c:v>46143</c:v>
                </c:pt>
                <c:pt idx="11">
                  <c:v>46174</c:v>
                </c:pt>
              </c:numCache>
            </c:numRef>
          </c:cat>
          <c:val>
            <c:numRef>
              <c:f>'KPI 48'!$E$20:$P$20</c:f>
              <c:numCache>
                <c:formatCode>#,##0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60D-4A43-93B3-7AE8201E59A3}"/>
            </c:ext>
          </c:extLst>
        </c:ser>
        <c:ser>
          <c:idx val="4"/>
          <c:order val="2"/>
          <c:tx>
            <c:strRef>
              <c:f>'KPI 48'!$D$21</c:f>
              <c:strCache>
                <c:ptCount val="1"/>
                <c:pt idx="0">
                  <c:v>Actual 2021-22</c:v>
                </c:pt>
              </c:strCache>
            </c:strRef>
          </c:tx>
          <c:spPr>
            <a:solidFill>
              <a:schemeClr val="accent3"/>
            </a:solidFill>
          </c:spPr>
          <c:invertIfNegative val="0"/>
          <c:cat>
            <c:numRef>
              <c:f>'KPI 48'!$E$18:$P$18</c:f>
              <c:numCache>
                <c:formatCode>mmm\-yy</c:formatCode>
                <c:ptCount val="12"/>
                <c:pt idx="0">
                  <c:v>45839</c:v>
                </c:pt>
                <c:pt idx="1">
                  <c:v>45870</c:v>
                </c:pt>
                <c:pt idx="2">
                  <c:v>45901</c:v>
                </c:pt>
                <c:pt idx="3">
                  <c:v>45931</c:v>
                </c:pt>
                <c:pt idx="4">
                  <c:v>45962</c:v>
                </c:pt>
                <c:pt idx="5">
                  <c:v>45992</c:v>
                </c:pt>
                <c:pt idx="6">
                  <c:v>46023</c:v>
                </c:pt>
                <c:pt idx="7">
                  <c:v>46054</c:v>
                </c:pt>
                <c:pt idx="8">
                  <c:v>46082</c:v>
                </c:pt>
                <c:pt idx="9">
                  <c:v>46113</c:v>
                </c:pt>
                <c:pt idx="10">
                  <c:v>46143</c:v>
                </c:pt>
                <c:pt idx="11">
                  <c:v>46174</c:v>
                </c:pt>
              </c:numCache>
            </c:numRef>
          </c:cat>
          <c:val>
            <c:numRef>
              <c:f>'KPI 48'!$E$21:$P$21</c:f>
              <c:numCache>
                <c:formatCode>#,##0</c:formatCode>
                <c:ptCount val="12"/>
                <c:pt idx="0">
                  <c:v>142</c:v>
                </c:pt>
                <c:pt idx="1">
                  <c:v>144</c:v>
                </c:pt>
                <c:pt idx="2">
                  <c:v>144</c:v>
                </c:pt>
                <c:pt idx="3">
                  <c:v>150</c:v>
                </c:pt>
                <c:pt idx="4">
                  <c:v>152</c:v>
                </c:pt>
                <c:pt idx="5">
                  <c:v>151</c:v>
                </c:pt>
                <c:pt idx="6">
                  <c:v>151</c:v>
                </c:pt>
                <c:pt idx="7">
                  <c:v>152</c:v>
                </c:pt>
                <c:pt idx="8">
                  <c:v>219</c:v>
                </c:pt>
                <c:pt idx="9">
                  <c:v>219</c:v>
                </c:pt>
                <c:pt idx="10">
                  <c:v>219</c:v>
                </c:pt>
                <c:pt idx="11">
                  <c:v>219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60D-4A43-93B3-7AE8201E59A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20549376"/>
        <c:axId val="120550912"/>
      </c:barChart>
      <c:lineChart>
        <c:grouping val="standard"/>
        <c:varyColors val="0"/>
        <c:ser>
          <c:idx val="0"/>
          <c:order val="0"/>
          <c:tx>
            <c:strRef>
              <c:f>'KPI 48'!$D$19</c:f>
              <c:strCache>
                <c:ptCount val="1"/>
                <c:pt idx="0">
                  <c:v>Budget 2025-26</c:v>
                </c:pt>
              </c:strCache>
            </c:strRef>
          </c:tx>
          <c:spPr>
            <a:ln>
              <a:solidFill>
                <a:srgbClr val="FF0000"/>
              </a:solidFill>
            </a:ln>
          </c:spPr>
          <c:marker>
            <c:symbol val="none"/>
          </c:marker>
          <c:cat>
            <c:numRef>
              <c:f>'KPI 48'!$E$18:$P$18</c:f>
              <c:numCache>
                <c:formatCode>mmm\-yy</c:formatCode>
                <c:ptCount val="12"/>
                <c:pt idx="0">
                  <c:v>45839</c:v>
                </c:pt>
                <c:pt idx="1">
                  <c:v>45870</c:v>
                </c:pt>
                <c:pt idx="2">
                  <c:v>45901</c:v>
                </c:pt>
                <c:pt idx="3">
                  <c:v>45931</c:v>
                </c:pt>
                <c:pt idx="4">
                  <c:v>45962</c:v>
                </c:pt>
                <c:pt idx="5">
                  <c:v>45992</c:v>
                </c:pt>
                <c:pt idx="6">
                  <c:v>46023</c:v>
                </c:pt>
                <c:pt idx="7">
                  <c:v>46054</c:v>
                </c:pt>
                <c:pt idx="8">
                  <c:v>46082</c:v>
                </c:pt>
                <c:pt idx="9">
                  <c:v>46113</c:v>
                </c:pt>
                <c:pt idx="10">
                  <c:v>46143</c:v>
                </c:pt>
                <c:pt idx="11">
                  <c:v>46174</c:v>
                </c:pt>
              </c:numCache>
            </c:numRef>
          </c:cat>
          <c:val>
            <c:numRef>
              <c:f>'KPI 48'!$E$19:$P$19</c:f>
              <c:numCache>
                <c:formatCode>#,##0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60D-4A43-93B3-7AE8201E59A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20549376"/>
        <c:axId val="120550912"/>
      </c:lineChart>
      <c:dateAx>
        <c:axId val="120549376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crossAx val="120550912"/>
        <c:crosses val="autoZero"/>
        <c:auto val="1"/>
        <c:lblOffset val="100"/>
        <c:baseTimeUnit val="months"/>
      </c:dateAx>
      <c:valAx>
        <c:axId val="120550912"/>
        <c:scaling>
          <c:orientation val="minMax"/>
        </c:scaling>
        <c:delete val="0"/>
        <c:axPos val="l"/>
        <c:majorGridlines/>
        <c:numFmt formatCode="#,##0" sourceLinked="1"/>
        <c:majorTickMark val="out"/>
        <c:minorTickMark val="none"/>
        <c:tickLblPos val="nextTo"/>
        <c:crossAx val="120549376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000000000000822" l="0.70000000000000062" r="0.70000000000000062" t="0.75000000000000822" header="0.30000000000000032" footer="0.30000000000000032"/>
    <c:pageSetup/>
  </c:printSettings>
</c:chartSpace>
</file>

<file path=xl/charts/chart6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1"/>
          <c:order val="1"/>
          <c:tx>
            <c:strRef>
              <c:f>'KPI 49'!$D$20</c:f>
              <c:strCache>
                <c:ptCount val="1"/>
                <c:pt idx="0">
                  <c:v>Actual 2025-26</c:v>
                </c:pt>
              </c:strCache>
            </c:strRef>
          </c:tx>
          <c:spPr>
            <a:solidFill>
              <a:schemeClr val="accent1"/>
            </a:solidFill>
          </c:spPr>
          <c:invertIfNegative val="0"/>
          <c:cat>
            <c:numRef>
              <c:f>'KPI 49'!$E$18:$P$18</c:f>
              <c:numCache>
                <c:formatCode>mmm\-yy</c:formatCode>
                <c:ptCount val="12"/>
                <c:pt idx="0">
                  <c:v>45839</c:v>
                </c:pt>
                <c:pt idx="1">
                  <c:v>45870</c:v>
                </c:pt>
                <c:pt idx="2">
                  <c:v>45901</c:v>
                </c:pt>
                <c:pt idx="3">
                  <c:v>45931</c:v>
                </c:pt>
                <c:pt idx="4">
                  <c:v>45962</c:v>
                </c:pt>
                <c:pt idx="5">
                  <c:v>45992</c:v>
                </c:pt>
                <c:pt idx="6">
                  <c:v>46023</c:v>
                </c:pt>
                <c:pt idx="7">
                  <c:v>46054</c:v>
                </c:pt>
                <c:pt idx="8">
                  <c:v>46082</c:v>
                </c:pt>
                <c:pt idx="9">
                  <c:v>46113</c:v>
                </c:pt>
                <c:pt idx="10">
                  <c:v>46143</c:v>
                </c:pt>
                <c:pt idx="11">
                  <c:v>46174</c:v>
                </c:pt>
              </c:numCache>
            </c:numRef>
          </c:cat>
          <c:val>
            <c:numRef>
              <c:f>'KPI 49'!$E$20:$P$20</c:f>
              <c:numCache>
                <c:formatCode>#,##0</c:formatCode>
                <c:ptCount val="12"/>
                <c:pt idx="0">
                  <c:v>595</c:v>
                </c:pt>
                <c:pt idx="1">
                  <c:v>596</c:v>
                </c:pt>
                <c:pt idx="2">
                  <c:v>596</c:v>
                </c:pt>
                <c:pt idx="3">
                  <c:v>598</c:v>
                </c:pt>
                <c:pt idx="4">
                  <c:v>598</c:v>
                </c:pt>
                <c:pt idx="5">
                  <c:v>599</c:v>
                </c:pt>
                <c:pt idx="6">
                  <c:v>598</c:v>
                </c:pt>
                <c:pt idx="7">
                  <c:v>600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325-4FC6-96F8-41DCB3FC72DF}"/>
            </c:ext>
          </c:extLst>
        </c:ser>
        <c:ser>
          <c:idx val="4"/>
          <c:order val="2"/>
          <c:tx>
            <c:strRef>
              <c:f>'KPI 49'!$D$21</c:f>
              <c:strCache>
                <c:ptCount val="1"/>
                <c:pt idx="0">
                  <c:v>Actual 2024-25</c:v>
                </c:pt>
              </c:strCache>
            </c:strRef>
          </c:tx>
          <c:spPr>
            <a:solidFill>
              <a:schemeClr val="accent3"/>
            </a:solidFill>
          </c:spPr>
          <c:invertIfNegative val="0"/>
          <c:cat>
            <c:numRef>
              <c:f>'KPI 49'!$E$18:$P$18</c:f>
              <c:numCache>
                <c:formatCode>mmm\-yy</c:formatCode>
                <c:ptCount val="12"/>
                <c:pt idx="0">
                  <c:v>45839</c:v>
                </c:pt>
                <c:pt idx="1">
                  <c:v>45870</c:v>
                </c:pt>
                <c:pt idx="2">
                  <c:v>45901</c:v>
                </c:pt>
                <c:pt idx="3">
                  <c:v>45931</c:v>
                </c:pt>
                <c:pt idx="4">
                  <c:v>45962</c:v>
                </c:pt>
                <c:pt idx="5">
                  <c:v>45992</c:v>
                </c:pt>
                <c:pt idx="6">
                  <c:v>46023</c:v>
                </c:pt>
                <c:pt idx="7">
                  <c:v>46054</c:v>
                </c:pt>
                <c:pt idx="8">
                  <c:v>46082</c:v>
                </c:pt>
                <c:pt idx="9">
                  <c:v>46113</c:v>
                </c:pt>
                <c:pt idx="10">
                  <c:v>46143</c:v>
                </c:pt>
                <c:pt idx="11">
                  <c:v>46174</c:v>
                </c:pt>
              </c:numCache>
            </c:numRef>
          </c:cat>
          <c:val>
            <c:numRef>
              <c:f>'KPI 49'!$E$21:$P$21</c:f>
              <c:numCache>
                <c:formatCode>#,##0</c:formatCode>
                <c:ptCount val="12"/>
                <c:pt idx="0">
                  <c:v>596</c:v>
                </c:pt>
                <c:pt idx="1">
                  <c:v>598</c:v>
                </c:pt>
                <c:pt idx="2">
                  <c:v>599</c:v>
                </c:pt>
                <c:pt idx="3">
                  <c:v>600</c:v>
                </c:pt>
                <c:pt idx="4">
                  <c:v>598</c:v>
                </c:pt>
                <c:pt idx="5">
                  <c:v>598</c:v>
                </c:pt>
                <c:pt idx="6">
                  <c:v>598</c:v>
                </c:pt>
                <c:pt idx="7">
                  <c:v>599</c:v>
                </c:pt>
                <c:pt idx="8">
                  <c:v>598</c:v>
                </c:pt>
                <c:pt idx="9">
                  <c:v>598</c:v>
                </c:pt>
                <c:pt idx="10">
                  <c:v>597</c:v>
                </c:pt>
                <c:pt idx="11">
                  <c:v>596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325-4FC6-96F8-41DCB3FC72D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21664640"/>
        <c:axId val="121666176"/>
      </c:barChart>
      <c:lineChart>
        <c:grouping val="standard"/>
        <c:varyColors val="0"/>
        <c:ser>
          <c:idx val="0"/>
          <c:order val="0"/>
          <c:tx>
            <c:strRef>
              <c:f>'KPI 49'!$D$19</c:f>
              <c:strCache>
                <c:ptCount val="1"/>
                <c:pt idx="0">
                  <c:v>Budget 2025-26</c:v>
                </c:pt>
              </c:strCache>
            </c:strRef>
          </c:tx>
          <c:spPr>
            <a:ln>
              <a:solidFill>
                <a:srgbClr val="FF0000"/>
              </a:solidFill>
            </a:ln>
          </c:spPr>
          <c:marker>
            <c:symbol val="none"/>
          </c:marker>
          <c:cat>
            <c:numRef>
              <c:f>'KPI 49'!$E$18:$P$18</c:f>
              <c:numCache>
                <c:formatCode>mmm\-yy</c:formatCode>
                <c:ptCount val="12"/>
                <c:pt idx="0">
                  <c:v>45839</c:v>
                </c:pt>
                <c:pt idx="1">
                  <c:v>45870</c:v>
                </c:pt>
                <c:pt idx="2">
                  <c:v>45901</c:v>
                </c:pt>
                <c:pt idx="3">
                  <c:v>45931</c:v>
                </c:pt>
                <c:pt idx="4">
                  <c:v>45962</c:v>
                </c:pt>
                <c:pt idx="5">
                  <c:v>45992</c:v>
                </c:pt>
                <c:pt idx="6">
                  <c:v>46023</c:v>
                </c:pt>
                <c:pt idx="7">
                  <c:v>46054</c:v>
                </c:pt>
                <c:pt idx="8">
                  <c:v>46082</c:v>
                </c:pt>
                <c:pt idx="9">
                  <c:v>46113</c:v>
                </c:pt>
                <c:pt idx="10">
                  <c:v>46143</c:v>
                </c:pt>
                <c:pt idx="11">
                  <c:v>46174</c:v>
                </c:pt>
              </c:numCache>
            </c:numRef>
          </c:cat>
          <c:val>
            <c:numRef>
              <c:f>'KPI 49'!$E$19:$P$19</c:f>
              <c:numCache>
                <c:formatCode>#,##0</c:formatCode>
                <c:ptCount val="12"/>
                <c:pt idx="0">
                  <c:v>597</c:v>
                </c:pt>
                <c:pt idx="1">
                  <c:v>598</c:v>
                </c:pt>
                <c:pt idx="2">
                  <c:v>599</c:v>
                </c:pt>
                <c:pt idx="3">
                  <c:v>600</c:v>
                </c:pt>
                <c:pt idx="4">
                  <c:v>601</c:v>
                </c:pt>
                <c:pt idx="5">
                  <c:v>602</c:v>
                </c:pt>
                <c:pt idx="6">
                  <c:v>603</c:v>
                </c:pt>
                <c:pt idx="7">
                  <c:v>604</c:v>
                </c:pt>
                <c:pt idx="8">
                  <c:v>605</c:v>
                </c:pt>
                <c:pt idx="9">
                  <c:v>606</c:v>
                </c:pt>
                <c:pt idx="10">
                  <c:v>607</c:v>
                </c:pt>
                <c:pt idx="11">
                  <c:v>608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D325-4FC6-96F8-41DCB3FC72D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21664640"/>
        <c:axId val="121666176"/>
      </c:lineChart>
      <c:dateAx>
        <c:axId val="121664640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crossAx val="121666176"/>
        <c:crosses val="autoZero"/>
        <c:auto val="1"/>
        <c:lblOffset val="100"/>
        <c:baseTimeUnit val="months"/>
      </c:dateAx>
      <c:valAx>
        <c:axId val="121666176"/>
        <c:scaling>
          <c:orientation val="minMax"/>
        </c:scaling>
        <c:delete val="0"/>
        <c:axPos val="l"/>
        <c:majorGridlines/>
        <c:numFmt formatCode="#,##0" sourceLinked="1"/>
        <c:majorTickMark val="out"/>
        <c:minorTickMark val="none"/>
        <c:tickLblPos val="nextTo"/>
        <c:crossAx val="12166464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000000000000822" l="0.70000000000000062" r="0.70000000000000062" t="0.75000000000000822" header="0.30000000000000032" footer="0.30000000000000032"/>
    <c:pageSetup/>
  </c:printSettings>
</c:chartSpace>
</file>

<file path=xl/charts/chart6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1"/>
          <c:order val="1"/>
          <c:tx>
            <c:strRef>
              <c:f>'KPI 50'!$D$20</c:f>
              <c:strCache>
                <c:ptCount val="1"/>
                <c:pt idx="0">
                  <c:v>Actual 2025-26</c:v>
                </c:pt>
              </c:strCache>
            </c:strRef>
          </c:tx>
          <c:spPr>
            <a:solidFill>
              <a:schemeClr val="accent1"/>
            </a:solidFill>
          </c:spPr>
          <c:invertIfNegative val="0"/>
          <c:cat>
            <c:numRef>
              <c:f>'KPI 50'!$E$18:$P$18</c:f>
              <c:numCache>
                <c:formatCode>mmm\-yy</c:formatCode>
                <c:ptCount val="12"/>
                <c:pt idx="0">
                  <c:v>45839</c:v>
                </c:pt>
                <c:pt idx="1">
                  <c:v>45870</c:v>
                </c:pt>
                <c:pt idx="2">
                  <c:v>45901</c:v>
                </c:pt>
                <c:pt idx="3">
                  <c:v>45931</c:v>
                </c:pt>
                <c:pt idx="4">
                  <c:v>45962</c:v>
                </c:pt>
                <c:pt idx="5">
                  <c:v>45992</c:v>
                </c:pt>
                <c:pt idx="6">
                  <c:v>46023</c:v>
                </c:pt>
                <c:pt idx="7">
                  <c:v>46054</c:v>
                </c:pt>
                <c:pt idx="8">
                  <c:v>46082</c:v>
                </c:pt>
                <c:pt idx="9">
                  <c:v>46113</c:v>
                </c:pt>
                <c:pt idx="10">
                  <c:v>46143</c:v>
                </c:pt>
                <c:pt idx="11">
                  <c:v>46174</c:v>
                </c:pt>
              </c:numCache>
            </c:numRef>
          </c:cat>
          <c:val>
            <c:numRef>
              <c:f>'KPI 50'!$E$20:$P$20</c:f>
              <c:numCache>
                <c:formatCode>#,##0</c:formatCode>
                <c:ptCount val="12"/>
                <c:pt idx="0">
                  <c:v>700</c:v>
                </c:pt>
                <c:pt idx="1">
                  <c:v>702</c:v>
                </c:pt>
                <c:pt idx="2">
                  <c:v>705</c:v>
                </c:pt>
                <c:pt idx="3">
                  <c:v>705</c:v>
                </c:pt>
                <c:pt idx="4">
                  <c:v>710</c:v>
                </c:pt>
                <c:pt idx="5">
                  <c:v>709</c:v>
                </c:pt>
                <c:pt idx="6">
                  <c:v>709</c:v>
                </c:pt>
                <c:pt idx="7">
                  <c:v>716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CDA-4C97-A5E9-C3BCB9BE3B78}"/>
            </c:ext>
          </c:extLst>
        </c:ser>
        <c:ser>
          <c:idx val="4"/>
          <c:order val="2"/>
          <c:tx>
            <c:strRef>
              <c:f>'KPI 50'!$D$21</c:f>
              <c:strCache>
                <c:ptCount val="1"/>
                <c:pt idx="0">
                  <c:v>Actual 2024-25</c:v>
                </c:pt>
              </c:strCache>
            </c:strRef>
          </c:tx>
          <c:spPr>
            <a:solidFill>
              <a:schemeClr val="accent3"/>
            </a:solidFill>
          </c:spPr>
          <c:invertIfNegative val="0"/>
          <c:cat>
            <c:numRef>
              <c:f>'KPI 50'!$E$18:$P$18</c:f>
              <c:numCache>
                <c:formatCode>mmm\-yy</c:formatCode>
                <c:ptCount val="12"/>
                <c:pt idx="0">
                  <c:v>45839</c:v>
                </c:pt>
                <c:pt idx="1">
                  <c:v>45870</c:v>
                </c:pt>
                <c:pt idx="2">
                  <c:v>45901</c:v>
                </c:pt>
                <c:pt idx="3">
                  <c:v>45931</c:v>
                </c:pt>
                <c:pt idx="4">
                  <c:v>45962</c:v>
                </c:pt>
                <c:pt idx="5">
                  <c:v>45992</c:v>
                </c:pt>
                <c:pt idx="6">
                  <c:v>46023</c:v>
                </c:pt>
                <c:pt idx="7">
                  <c:v>46054</c:v>
                </c:pt>
                <c:pt idx="8">
                  <c:v>46082</c:v>
                </c:pt>
                <c:pt idx="9">
                  <c:v>46113</c:v>
                </c:pt>
                <c:pt idx="10">
                  <c:v>46143</c:v>
                </c:pt>
                <c:pt idx="11">
                  <c:v>46174</c:v>
                </c:pt>
              </c:numCache>
            </c:numRef>
          </c:cat>
          <c:val>
            <c:numRef>
              <c:f>'KPI 50'!$E$21:$P$21</c:f>
              <c:numCache>
                <c:formatCode>#,##0</c:formatCode>
                <c:ptCount val="12"/>
                <c:pt idx="0">
                  <c:v>676</c:v>
                </c:pt>
                <c:pt idx="1">
                  <c:v>676</c:v>
                </c:pt>
                <c:pt idx="2">
                  <c:v>681</c:v>
                </c:pt>
                <c:pt idx="3">
                  <c:v>680</c:v>
                </c:pt>
                <c:pt idx="4">
                  <c:v>683</c:v>
                </c:pt>
                <c:pt idx="5">
                  <c:v>683</c:v>
                </c:pt>
                <c:pt idx="6">
                  <c:v>687</c:v>
                </c:pt>
                <c:pt idx="7">
                  <c:v>692</c:v>
                </c:pt>
                <c:pt idx="8">
                  <c:v>697</c:v>
                </c:pt>
                <c:pt idx="9">
                  <c:v>697</c:v>
                </c:pt>
                <c:pt idx="10">
                  <c:v>696</c:v>
                </c:pt>
                <c:pt idx="11">
                  <c:v>700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CDA-4C97-A5E9-C3BCB9BE3B7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21723136"/>
        <c:axId val="121733120"/>
      </c:barChart>
      <c:lineChart>
        <c:grouping val="standard"/>
        <c:varyColors val="0"/>
        <c:ser>
          <c:idx val="0"/>
          <c:order val="0"/>
          <c:tx>
            <c:strRef>
              <c:f>'KPI 50'!$D$19</c:f>
              <c:strCache>
                <c:ptCount val="1"/>
                <c:pt idx="0">
                  <c:v>Budget 2025-26</c:v>
                </c:pt>
              </c:strCache>
            </c:strRef>
          </c:tx>
          <c:spPr>
            <a:ln>
              <a:solidFill>
                <a:srgbClr val="FF0000"/>
              </a:solidFill>
            </a:ln>
          </c:spPr>
          <c:marker>
            <c:symbol val="none"/>
          </c:marker>
          <c:cat>
            <c:numRef>
              <c:f>'KPI 50'!$E$18:$P$18</c:f>
              <c:numCache>
                <c:formatCode>mmm\-yy</c:formatCode>
                <c:ptCount val="12"/>
                <c:pt idx="0">
                  <c:v>45839</c:v>
                </c:pt>
                <c:pt idx="1">
                  <c:v>45870</c:v>
                </c:pt>
                <c:pt idx="2">
                  <c:v>45901</c:v>
                </c:pt>
                <c:pt idx="3">
                  <c:v>45931</c:v>
                </c:pt>
                <c:pt idx="4">
                  <c:v>45962</c:v>
                </c:pt>
                <c:pt idx="5">
                  <c:v>45992</c:v>
                </c:pt>
                <c:pt idx="6">
                  <c:v>46023</c:v>
                </c:pt>
                <c:pt idx="7">
                  <c:v>46054</c:v>
                </c:pt>
                <c:pt idx="8">
                  <c:v>46082</c:v>
                </c:pt>
                <c:pt idx="9">
                  <c:v>46113</c:v>
                </c:pt>
                <c:pt idx="10">
                  <c:v>46143</c:v>
                </c:pt>
                <c:pt idx="11">
                  <c:v>46174</c:v>
                </c:pt>
              </c:numCache>
            </c:numRef>
          </c:cat>
          <c:val>
            <c:numRef>
              <c:f>'KPI 50'!$E$19:$P$19</c:f>
              <c:numCache>
                <c:formatCode>#,##0</c:formatCode>
                <c:ptCount val="12"/>
                <c:pt idx="0">
                  <c:v>709</c:v>
                </c:pt>
                <c:pt idx="1">
                  <c:v>719</c:v>
                </c:pt>
                <c:pt idx="2">
                  <c:v>729</c:v>
                </c:pt>
                <c:pt idx="3">
                  <c:v>739</c:v>
                </c:pt>
                <c:pt idx="4">
                  <c:v>749</c:v>
                </c:pt>
                <c:pt idx="5">
                  <c:v>759</c:v>
                </c:pt>
                <c:pt idx="6">
                  <c:v>769</c:v>
                </c:pt>
                <c:pt idx="7">
                  <c:v>779</c:v>
                </c:pt>
                <c:pt idx="8">
                  <c:v>789</c:v>
                </c:pt>
                <c:pt idx="9">
                  <c:v>799</c:v>
                </c:pt>
                <c:pt idx="10">
                  <c:v>809</c:v>
                </c:pt>
                <c:pt idx="11">
                  <c:v>819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DCDA-4C97-A5E9-C3BCB9BE3B7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21723136"/>
        <c:axId val="121733120"/>
      </c:lineChart>
      <c:dateAx>
        <c:axId val="121723136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crossAx val="121733120"/>
        <c:crosses val="autoZero"/>
        <c:auto val="1"/>
        <c:lblOffset val="100"/>
        <c:baseTimeUnit val="months"/>
      </c:dateAx>
      <c:valAx>
        <c:axId val="121733120"/>
        <c:scaling>
          <c:orientation val="minMax"/>
        </c:scaling>
        <c:delete val="0"/>
        <c:axPos val="l"/>
        <c:majorGridlines/>
        <c:numFmt formatCode="#,##0" sourceLinked="1"/>
        <c:majorTickMark val="out"/>
        <c:minorTickMark val="none"/>
        <c:tickLblPos val="nextTo"/>
        <c:crossAx val="121723136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000000000000822" l="0.70000000000000062" r="0.70000000000000062" t="0.75000000000000822" header="0.30000000000000032" footer="0.30000000000000032"/>
    <c:pageSetup/>
  </c:printSettings>
</c:chartSpace>
</file>

<file path=xl/charts/chart6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1"/>
          <c:order val="1"/>
          <c:tx>
            <c:strRef>
              <c:f>'KPI 51'!$D$20</c:f>
              <c:strCache>
                <c:ptCount val="1"/>
                <c:pt idx="0">
                  <c:v>Actual 2025-26</c:v>
                </c:pt>
              </c:strCache>
            </c:strRef>
          </c:tx>
          <c:spPr>
            <a:solidFill>
              <a:schemeClr val="accent1"/>
            </a:solidFill>
          </c:spPr>
          <c:invertIfNegative val="0"/>
          <c:cat>
            <c:numRef>
              <c:f>'KPI 51'!$E$18:$P$18</c:f>
              <c:numCache>
                <c:formatCode>mmm\-yy</c:formatCode>
                <c:ptCount val="12"/>
                <c:pt idx="0">
                  <c:v>45839</c:v>
                </c:pt>
                <c:pt idx="1">
                  <c:v>45870</c:v>
                </c:pt>
                <c:pt idx="2">
                  <c:v>45901</c:v>
                </c:pt>
                <c:pt idx="3">
                  <c:v>45931</c:v>
                </c:pt>
                <c:pt idx="4">
                  <c:v>45962</c:v>
                </c:pt>
                <c:pt idx="5">
                  <c:v>45992</c:v>
                </c:pt>
                <c:pt idx="6">
                  <c:v>46023</c:v>
                </c:pt>
                <c:pt idx="7">
                  <c:v>46054</c:v>
                </c:pt>
                <c:pt idx="8">
                  <c:v>46082</c:v>
                </c:pt>
                <c:pt idx="9">
                  <c:v>46113</c:v>
                </c:pt>
                <c:pt idx="10">
                  <c:v>46143</c:v>
                </c:pt>
                <c:pt idx="11">
                  <c:v>46174</c:v>
                </c:pt>
              </c:numCache>
            </c:numRef>
          </c:cat>
          <c:val>
            <c:numRef>
              <c:f>'KPI 51'!$E$20:$P$20</c:f>
              <c:numCache>
                <c:formatCode>#,##0</c:formatCode>
                <c:ptCount val="12"/>
                <c:pt idx="0">
                  <c:v>864</c:v>
                </c:pt>
                <c:pt idx="1">
                  <c:v>864</c:v>
                </c:pt>
                <c:pt idx="2">
                  <c:v>868</c:v>
                </c:pt>
                <c:pt idx="3">
                  <c:v>868</c:v>
                </c:pt>
                <c:pt idx="4">
                  <c:v>868</c:v>
                </c:pt>
                <c:pt idx="5">
                  <c:v>868</c:v>
                </c:pt>
                <c:pt idx="6">
                  <c:v>868</c:v>
                </c:pt>
                <c:pt idx="7">
                  <c:v>870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F3D-44B4-8C2A-DCC52BA9E409}"/>
            </c:ext>
          </c:extLst>
        </c:ser>
        <c:ser>
          <c:idx val="4"/>
          <c:order val="2"/>
          <c:tx>
            <c:strRef>
              <c:f>'KPI 51'!$D$21</c:f>
              <c:strCache>
                <c:ptCount val="1"/>
                <c:pt idx="0">
                  <c:v>Actual 2024-25</c:v>
                </c:pt>
              </c:strCache>
            </c:strRef>
          </c:tx>
          <c:spPr>
            <a:solidFill>
              <a:schemeClr val="accent3"/>
            </a:solidFill>
          </c:spPr>
          <c:invertIfNegative val="0"/>
          <c:cat>
            <c:numRef>
              <c:f>'KPI 51'!$E$18:$P$18</c:f>
              <c:numCache>
                <c:formatCode>mmm\-yy</c:formatCode>
                <c:ptCount val="12"/>
                <c:pt idx="0">
                  <c:v>45839</c:v>
                </c:pt>
                <c:pt idx="1">
                  <c:v>45870</c:v>
                </c:pt>
                <c:pt idx="2">
                  <c:v>45901</c:v>
                </c:pt>
                <c:pt idx="3">
                  <c:v>45931</c:v>
                </c:pt>
                <c:pt idx="4">
                  <c:v>45962</c:v>
                </c:pt>
                <c:pt idx="5">
                  <c:v>45992</c:v>
                </c:pt>
                <c:pt idx="6">
                  <c:v>46023</c:v>
                </c:pt>
                <c:pt idx="7">
                  <c:v>46054</c:v>
                </c:pt>
                <c:pt idx="8">
                  <c:v>46082</c:v>
                </c:pt>
                <c:pt idx="9">
                  <c:v>46113</c:v>
                </c:pt>
                <c:pt idx="10">
                  <c:v>46143</c:v>
                </c:pt>
                <c:pt idx="11">
                  <c:v>46174</c:v>
                </c:pt>
              </c:numCache>
            </c:numRef>
          </c:cat>
          <c:val>
            <c:numRef>
              <c:f>'KPI 51'!$E$21:$P$21</c:f>
              <c:numCache>
                <c:formatCode>#,##0</c:formatCode>
                <c:ptCount val="12"/>
                <c:pt idx="0">
                  <c:v>844</c:v>
                </c:pt>
                <c:pt idx="1">
                  <c:v>847</c:v>
                </c:pt>
                <c:pt idx="2">
                  <c:v>851</c:v>
                </c:pt>
                <c:pt idx="3">
                  <c:v>851</c:v>
                </c:pt>
                <c:pt idx="4">
                  <c:v>853</c:v>
                </c:pt>
                <c:pt idx="5">
                  <c:v>852</c:v>
                </c:pt>
                <c:pt idx="6">
                  <c:v>852</c:v>
                </c:pt>
                <c:pt idx="7">
                  <c:v>856</c:v>
                </c:pt>
                <c:pt idx="8">
                  <c:v>859</c:v>
                </c:pt>
                <c:pt idx="9">
                  <c:v>860</c:v>
                </c:pt>
                <c:pt idx="10">
                  <c:v>862</c:v>
                </c:pt>
                <c:pt idx="11">
                  <c:v>862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F3D-44B4-8C2A-DCC52BA9E40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21757056"/>
        <c:axId val="121762944"/>
      </c:barChart>
      <c:lineChart>
        <c:grouping val="standard"/>
        <c:varyColors val="0"/>
        <c:ser>
          <c:idx val="0"/>
          <c:order val="0"/>
          <c:tx>
            <c:strRef>
              <c:f>'KPI 51'!$D$19</c:f>
              <c:strCache>
                <c:ptCount val="1"/>
                <c:pt idx="0">
                  <c:v>Budget 2025-26</c:v>
                </c:pt>
              </c:strCache>
            </c:strRef>
          </c:tx>
          <c:spPr>
            <a:ln>
              <a:solidFill>
                <a:srgbClr val="FF0000"/>
              </a:solidFill>
            </a:ln>
          </c:spPr>
          <c:marker>
            <c:symbol val="none"/>
          </c:marker>
          <c:cat>
            <c:numRef>
              <c:f>'KPI 51'!$E$18:$P$18</c:f>
              <c:numCache>
                <c:formatCode>mmm\-yy</c:formatCode>
                <c:ptCount val="12"/>
                <c:pt idx="0">
                  <c:v>45839</c:v>
                </c:pt>
                <c:pt idx="1">
                  <c:v>45870</c:v>
                </c:pt>
                <c:pt idx="2">
                  <c:v>45901</c:v>
                </c:pt>
                <c:pt idx="3">
                  <c:v>45931</c:v>
                </c:pt>
                <c:pt idx="4">
                  <c:v>45962</c:v>
                </c:pt>
                <c:pt idx="5">
                  <c:v>45992</c:v>
                </c:pt>
                <c:pt idx="6">
                  <c:v>46023</c:v>
                </c:pt>
                <c:pt idx="7">
                  <c:v>46054</c:v>
                </c:pt>
                <c:pt idx="8">
                  <c:v>46082</c:v>
                </c:pt>
                <c:pt idx="9">
                  <c:v>46113</c:v>
                </c:pt>
                <c:pt idx="10">
                  <c:v>46143</c:v>
                </c:pt>
                <c:pt idx="11">
                  <c:v>46174</c:v>
                </c:pt>
              </c:numCache>
            </c:numRef>
          </c:cat>
          <c:val>
            <c:numRef>
              <c:f>'KPI 51'!$E$19:$P$19</c:f>
              <c:numCache>
                <c:formatCode>#,##0</c:formatCode>
                <c:ptCount val="12"/>
                <c:pt idx="0">
                  <c:v>866</c:v>
                </c:pt>
                <c:pt idx="1">
                  <c:v>870</c:v>
                </c:pt>
                <c:pt idx="2">
                  <c:v>874</c:v>
                </c:pt>
                <c:pt idx="3">
                  <c:v>878</c:v>
                </c:pt>
                <c:pt idx="4">
                  <c:v>882</c:v>
                </c:pt>
                <c:pt idx="5">
                  <c:v>886</c:v>
                </c:pt>
                <c:pt idx="6">
                  <c:v>890</c:v>
                </c:pt>
                <c:pt idx="7">
                  <c:v>894</c:v>
                </c:pt>
                <c:pt idx="8">
                  <c:v>898</c:v>
                </c:pt>
                <c:pt idx="9">
                  <c:v>902</c:v>
                </c:pt>
                <c:pt idx="10">
                  <c:v>906</c:v>
                </c:pt>
                <c:pt idx="11">
                  <c:v>910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FF3D-44B4-8C2A-DCC52BA9E40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21757056"/>
        <c:axId val="121762944"/>
      </c:lineChart>
      <c:dateAx>
        <c:axId val="121757056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crossAx val="121762944"/>
        <c:crosses val="autoZero"/>
        <c:auto val="1"/>
        <c:lblOffset val="100"/>
        <c:baseTimeUnit val="months"/>
      </c:dateAx>
      <c:valAx>
        <c:axId val="121762944"/>
        <c:scaling>
          <c:orientation val="minMax"/>
        </c:scaling>
        <c:delete val="0"/>
        <c:axPos val="l"/>
        <c:majorGridlines/>
        <c:numFmt formatCode="#,##0" sourceLinked="1"/>
        <c:majorTickMark val="out"/>
        <c:minorTickMark val="none"/>
        <c:tickLblPos val="nextTo"/>
        <c:crossAx val="121757056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000000000000822" l="0.70000000000000062" r="0.70000000000000062" t="0.75000000000000822" header="0.30000000000000032" footer="0.30000000000000032"/>
    <c:pageSetup/>
  </c:printSettings>
</c:chartSpace>
</file>

<file path=xl/charts/chart6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1"/>
          <c:order val="1"/>
          <c:tx>
            <c:strRef>
              <c:f>'KPI 52'!$D$20</c:f>
              <c:strCache>
                <c:ptCount val="1"/>
                <c:pt idx="0">
                  <c:v>Actual 2025-26</c:v>
                </c:pt>
              </c:strCache>
            </c:strRef>
          </c:tx>
          <c:spPr>
            <a:solidFill>
              <a:schemeClr val="accent1"/>
            </a:solidFill>
          </c:spPr>
          <c:invertIfNegative val="0"/>
          <c:cat>
            <c:numRef>
              <c:f>'KPI 52'!$E$18:$P$18</c:f>
              <c:numCache>
                <c:formatCode>mmm\-yy</c:formatCode>
                <c:ptCount val="12"/>
                <c:pt idx="0">
                  <c:v>45839</c:v>
                </c:pt>
                <c:pt idx="1">
                  <c:v>45870</c:v>
                </c:pt>
                <c:pt idx="2">
                  <c:v>45901</c:v>
                </c:pt>
                <c:pt idx="3">
                  <c:v>45931</c:v>
                </c:pt>
                <c:pt idx="4">
                  <c:v>45962</c:v>
                </c:pt>
                <c:pt idx="5">
                  <c:v>45992</c:v>
                </c:pt>
                <c:pt idx="6">
                  <c:v>46023</c:v>
                </c:pt>
                <c:pt idx="7">
                  <c:v>46054</c:v>
                </c:pt>
                <c:pt idx="8">
                  <c:v>46082</c:v>
                </c:pt>
                <c:pt idx="9">
                  <c:v>46113</c:v>
                </c:pt>
                <c:pt idx="10">
                  <c:v>46143</c:v>
                </c:pt>
                <c:pt idx="11">
                  <c:v>46174</c:v>
                </c:pt>
              </c:numCache>
            </c:numRef>
          </c:cat>
          <c:val>
            <c:numRef>
              <c:f>'KPI 52'!$E$20:$P$20</c:f>
              <c:numCache>
                <c:formatCode>#,##0</c:formatCode>
                <c:ptCount val="12"/>
                <c:pt idx="0">
                  <c:v>836</c:v>
                </c:pt>
                <c:pt idx="1">
                  <c:v>836</c:v>
                </c:pt>
                <c:pt idx="2">
                  <c:v>837</c:v>
                </c:pt>
                <c:pt idx="3">
                  <c:v>840</c:v>
                </c:pt>
                <c:pt idx="4">
                  <c:v>840</c:v>
                </c:pt>
                <c:pt idx="5">
                  <c:v>840</c:v>
                </c:pt>
                <c:pt idx="6">
                  <c:v>840</c:v>
                </c:pt>
                <c:pt idx="7">
                  <c:v>842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191-4C34-9416-EF521E9E6702}"/>
            </c:ext>
          </c:extLst>
        </c:ser>
        <c:ser>
          <c:idx val="4"/>
          <c:order val="2"/>
          <c:tx>
            <c:strRef>
              <c:f>'KPI 52'!$D$21</c:f>
              <c:strCache>
                <c:ptCount val="1"/>
                <c:pt idx="0">
                  <c:v>Actual 2024-25</c:v>
                </c:pt>
              </c:strCache>
            </c:strRef>
          </c:tx>
          <c:spPr>
            <a:solidFill>
              <a:schemeClr val="accent3"/>
            </a:solidFill>
          </c:spPr>
          <c:invertIfNegative val="0"/>
          <c:cat>
            <c:numRef>
              <c:f>'KPI 52'!$E$18:$P$18</c:f>
              <c:numCache>
                <c:formatCode>mmm\-yy</c:formatCode>
                <c:ptCount val="12"/>
                <c:pt idx="0">
                  <c:v>45839</c:v>
                </c:pt>
                <c:pt idx="1">
                  <c:v>45870</c:v>
                </c:pt>
                <c:pt idx="2">
                  <c:v>45901</c:v>
                </c:pt>
                <c:pt idx="3">
                  <c:v>45931</c:v>
                </c:pt>
                <c:pt idx="4">
                  <c:v>45962</c:v>
                </c:pt>
                <c:pt idx="5">
                  <c:v>45992</c:v>
                </c:pt>
                <c:pt idx="6">
                  <c:v>46023</c:v>
                </c:pt>
                <c:pt idx="7">
                  <c:v>46054</c:v>
                </c:pt>
                <c:pt idx="8">
                  <c:v>46082</c:v>
                </c:pt>
                <c:pt idx="9">
                  <c:v>46113</c:v>
                </c:pt>
                <c:pt idx="10">
                  <c:v>46143</c:v>
                </c:pt>
                <c:pt idx="11">
                  <c:v>46174</c:v>
                </c:pt>
              </c:numCache>
            </c:numRef>
          </c:cat>
          <c:val>
            <c:numRef>
              <c:f>'KPI 52'!$E$21:$P$21</c:f>
              <c:numCache>
                <c:formatCode>#,##0</c:formatCode>
                <c:ptCount val="12"/>
                <c:pt idx="0">
                  <c:v>830</c:v>
                </c:pt>
                <c:pt idx="1">
                  <c:v>830</c:v>
                </c:pt>
                <c:pt idx="2">
                  <c:v>831</c:v>
                </c:pt>
                <c:pt idx="3">
                  <c:v>831</c:v>
                </c:pt>
                <c:pt idx="4">
                  <c:v>831</c:v>
                </c:pt>
                <c:pt idx="5">
                  <c:v>831</c:v>
                </c:pt>
                <c:pt idx="6">
                  <c:v>831</c:v>
                </c:pt>
                <c:pt idx="7">
                  <c:v>833</c:v>
                </c:pt>
                <c:pt idx="8">
                  <c:v>834</c:v>
                </c:pt>
                <c:pt idx="9">
                  <c:v>834</c:v>
                </c:pt>
                <c:pt idx="10">
                  <c:v>834</c:v>
                </c:pt>
                <c:pt idx="11">
                  <c:v>836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191-4C34-9416-EF521E9E670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21504512"/>
        <c:axId val="121506048"/>
      </c:barChart>
      <c:lineChart>
        <c:grouping val="standard"/>
        <c:varyColors val="0"/>
        <c:ser>
          <c:idx val="0"/>
          <c:order val="0"/>
          <c:tx>
            <c:strRef>
              <c:f>'KPI 52'!$D$19</c:f>
              <c:strCache>
                <c:ptCount val="1"/>
                <c:pt idx="0">
                  <c:v>Budget 2025-26</c:v>
                </c:pt>
              </c:strCache>
            </c:strRef>
          </c:tx>
          <c:spPr>
            <a:ln>
              <a:solidFill>
                <a:srgbClr val="FF0000"/>
              </a:solidFill>
            </a:ln>
          </c:spPr>
          <c:marker>
            <c:symbol val="none"/>
          </c:marker>
          <c:cat>
            <c:numRef>
              <c:f>'KPI 52'!$E$18:$P$18</c:f>
              <c:numCache>
                <c:formatCode>mmm\-yy</c:formatCode>
                <c:ptCount val="12"/>
                <c:pt idx="0">
                  <c:v>45839</c:v>
                </c:pt>
                <c:pt idx="1">
                  <c:v>45870</c:v>
                </c:pt>
                <c:pt idx="2">
                  <c:v>45901</c:v>
                </c:pt>
                <c:pt idx="3">
                  <c:v>45931</c:v>
                </c:pt>
                <c:pt idx="4">
                  <c:v>45962</c:v>
                </c:pt>
                <c:pt idx="5">
                  <c:v>45992</c:v>
                </c:pt>
                <c:pt idx="6">
                  <c:v>46023</c:v>
                </c:pt>
                <c:pt idx="7">
                  <c:v>46054</c:v>
                </c:pt>
                <c:pt idx="8">
                  <c:v>46082</c:v>
                </c:pt>
                <c:pt idx="9">
                  <c:v>46113</c:v>
                </c:pt>
                <c:pt idx="10">
                  <c:v>46143</c:v>
                </c:pt>
                <c:pt idx="11">
                  <c:v>46174</c:v>
                </c:pt>
              </c:numCache>
            </c:numRef>
          </c:cat>
          <c:val>
            <c:numRef>
              <c:f>'KPI 52'!$E$19:$P$19</c:f>
              <c:numCache>
                <c:formatCode>#,##0</c:formatCode>
                <c:ptCount val="12"/>
                <c:pt idx="0">
                  <c:v>837</c:v>
                </c:pt>
                <c:pt idx="1">
                  <c:v>838</c:v>
                </c:pt>
                <c:pt idx="2">
                  <c:v>839</c:v>
                </c:pt>
                <c:pt idx="3">
                  <c:v>840</c:v>
                </c:pt>
                <c:pt idx="4">
                  <c:v>841</c:v>
                </c:pt>
                <c:pt idx="5">
                  <c:v>842</c:v>
                </c:pt>
                <c:pt idx="6">
                  <c:v>843</c:v>
                </c:pt>
                <c:pt idx="7">
                  <c:v>844</c:v>
                </c:pt>
                <c:pt idx="8">
                  <c:v>845</c:v>
                </c:pt>
                <c:pt idx="9">
                  <c:v>846</c:v>
                </c:pt>
                <c:pt idx="10">
                  <c:v>847</c:v>
                </c:pt>
                <c:pt idx="11">
                  <c:v>848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0191-4C34-9416-EF521E9E670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21504512"/>
        <c:axId val="121506048"/>
      </c:lineChart>
      <c:dateAx>
        <c:axId val="121504512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crossAx val="121506048"/>
        <c:crosses val="autoZero"/>
        <c:auto val="1"/>
        <c:lblOffset val="100"/>
        <c:baseTimeUnit val="months"/>
      </c:dateAx>
      <c:valAx>
        <c:axId val="121506048"/>
        <c:scaling>
          <c:orientation val="minMax"/>
        </c:scaling>
        <c:delete val="0"/>
        <c:axPos val="l"/>
        <c:majorGridlines/>
        <c:numFmt formatCode="#,##0" sourceLinked="1"/>
        <c:majorTickMark val="out"/>
        <c:minorTickMark val="none"/>
        <c:tickLblPos val="nextTo"/>
        <c:crossAx val="121504512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000000000000822" l="0.70000000000000062" r="0.70000000000000062" t="0.75000000000000822" header="0.30000000000000032" footer="0.30000000000000032"/>
    <c:pageSetup/>
  </c:printSettings>
</c:chartSpace>
</file>

<file path=xl/charts/chart6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1"/>
          <c:order val="1"/>
          <c:tx>
            <c:strRef>
              <c:f>'KPI 53'!$D$20</c:f>
              <c:strCache>
                <c:ptCount val="1"/>
                <c:pt idx="0">
                  <c:v>Actual 2025-26</c:v>
                </c:pt>
              </c:strCache>
            </c:strRef>
          </c:tx>
          <c:spPr>
            <a:solidFill>
              <a:schemeClr val="accent1"/>
            </a:solidFill>
          </c:spPr>
          <c:invertIfNegative val="0"/>
          <c:cat>
            <c:numRef>
              <c:f>'KPI 53'!$E$18:$P$18</c:f>
              <c:numCache>
                <c:formatCode>mmm\-yy</c:formatCode>
                <c:ptCount val="12"/>
                <c:pt idx="0">
                  <c:v>45839</c:v>
                </c:pt>
                <c:pt idx="1">
                  <c:v>45870</c:v>
                </c:pt>
                <c:pt idx="2">
                  <c:v>45901</c:v>
                </c:pt>
                <c:pt idx="3">
                  <c:v>45931</c:v>
                </c:pt>
                <c:pt idx="4">
                  <c:v>45962</c:v>
                </c:pt>
                <c:pt idx="5">
                  <c:v>45992</c:v>
                </c:pt>
                <c:pt idx="6">
                  <c:v>46023</c:v>
                </c:pt>
                <c:pt idx="7">
                  <c:v>46054</c:v>
                </c:pt>
                <c:pt idx="8">
                  <c:v>46082</c:v>
                </c:pt>
                <c:pt idx="9">
                  <c:v>46113</c:v>
                </c:pt>
                <c:pt idx="10">
                  <c:v>46143</c:v>
                </c:pt>
                <c:pt idx="11">
                  <c:v>46174</c:v>
                </c:pt>
              </c:numCache>
            </c:numRef>
          </c:cat>
          <c:val>
            <c:numRef>
              <c:f>'KPI 53'!$E$20:$P$20</c:f>
              <c:numCache>
                <c:formatCode>#,##0</c:formatCode>
                <c:ptCount val="12"/>
                <c:pt idx="0">
                  <c:v>176</c:v>
                </c:pt>
                <c:pt idx="1">
                  <c:v>176</c:v>
                </c:pt>
                <c:pt idx="2">
                  <c:v>176</c:v>
                </c:pt>
                <c:pt idx="3">
                  <c:v>176</c:v>
                </c:pt>
                <c:pt idx="4">
                  <c:v>176</c:v>
                </c:pt>
                <c:pt idx="5">
                  <c:v>176</c:v>
                </c:pt>
                <c:pt idx="6">
                  <c:v>176</c:v>
                </c:pt>
                <c:pt idx="7">
                  <c:v>176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8E5-43A7-9C6E-DB1913B74BCA}"/>
            </c:ext>
          </c:extLst>
        </c:ser>
        <c:ser>
          <c:idx val="4"/>
          <c:order val="2"/>
          <c:tx>
            <c:strRef>
              <c:f>'KPI 53'!$D$21</c:f>
              <c:strCache>
                <c:ptCount val="1"/>
                <c:pt idx="0">
                  <c:v>Actual 2024-25</c:v>
                </c:pt>
              </c:strCache>
            </c:strRef>
          </c:tx>
          <c:spPr>
            <a:solidFill>
              <a:schemeClr val="accent3"/>
            </a:solidFill>
          </c:spPr>
          <c:invertIfNegative val="0"/>
          <c:cat>
            <c:numRef>
              <c:f>'KPI 53'!$E$18:$P$18</c:f>
              <c:numCache>
                <c:formatCode>mmm\-yy</c:formatCode>
                <c:ptCount val="12"/>
                <c:pt idx="0">
                  <c:v>45839</c:v>
                </c:pt>
                <c:pt idx="1">
                  <c:v>45870</c:v>
                </c:pt>
                <c:pt idx="2">
                  <c:v>45901</c:v>
                </c:pt>
                <c:pt idx="3">
                  <c:v>45931</c:v>
                </c:pt>
                <c:pt idx="4">
                  <c:v>45962</c:v>
                </c:pt>
                <c:pt idx="5">
                  <c:v>45992</c:v>
                </c:pt>
                <c:pt idx="6">
                  <c:v>46023</c:v>
                </c:pt>
                <c:pt idx="7">
                  <c:v>46054</c:v>
                </c:pt>
                <c:pt idx="8">
                  <c:v>46082</c:v>
                </c:pt>
                <c:pt idx="9">
                  <c:v>46113</c:v>
                </c:pt>
                <c:pt idx="10">
                  <c:v>46143</c:v>
                </c:pt>
                <c:pt idx="11">
                  <c:v>46174</c:v>
                </c:pt>
              </c:numCache>
            </c:numRef>
          </c:cat>
          <c:val>
            <c:numRef>
              <c:f>'KPI 53'!$E$21:$P$21</c:f>
              <c:numCache>
                <c:formatCode>#,##0</c:formatCode>
                <c:ptCount val="12"/>
                <c:pt idx="0">
                  <c:v>171</c:v>
                </c:pt>
                <c:pt idx="1">
                  <c:v>172</c:v>
                </c:pt>
                <c:pt idx="2">
                  <c:v>173</c:v>
                </c:pt>
                <c:pt idx="3">
                  <c:v>172</c:v>
                </c:pt>
                <c:pt idx="4">
                  <c:v>172</c:v>
                </c:pt>
                <c:pt idx="5">
                  <c:v>172</c:v>
                </c:pt>
                <c:pt idx="6">
                  <c:v>172</c:v>
                </c:pt>
                <c:pt idx="7">
                  <c:v>172</c:v>
                </c:pt>
                <c:pt idx="8">
                  <c:v>173</c:v>
                </c:pt>
                <c:pt idx="9">
                  <c:v>173</c:v>
                </c:pt>
                <c:pt idx="10">
                  <c:v>173</c:v>
                </c:pt>
                <c:pt idx="11">
                  <c:v>175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8E5-43A7-9C6E-DB1913B74BC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21534336"/>
        <c:axId val="121535872"/>
      </c:barChart>
      <c:lineChart>
        <c:grouping val="standard"/>
        <c:varyColors val="0"/>
        <c:ser>
          <c:idx val="0"/>
          <c:order val="0"/>
          <c:tx>
            <c:strRef>
              <c:f>'KPI 53'!$D$19</c:f>
              <c:strCache>
                <c:ptCount val="1"/>
                <c:pt idx="0">
                  <c:v>Budget 2025-26</c:v>
                </c:pt>
              </c:strCache>
            </c:strRef>
          </c:tx>
          <c:spPr>
            <a:ln>
              <a:solidFill>
                <a:srgbClr val="FF0000"/>
              </a:solidFill>
            </a:ln>
          </c:spPr>
          <c:marker>
            <c:symbol val="none"/>
          </c:marker>
          <c:cat>
            <c:numRef>
              <c:f>'KPI 53'!$E$18:$P$18</c:f>
              <c:numCache>
                <c:formatCode>mmm\-yy</c:formatCode>
                <c:ptCount val="12"/>
                <c:pt idx="0">
                  <c:v>45839</c:v>
                </c:pt>
                <c:pt idx="1">
                  <c:v>45870</c:v>
                </c:pt>
                <c:pt idx="2">
                  <c:v>45901</c:v>
                </c:pt>
                <c:pt idx="3">
                  <c:v>45931</c:v>
                </c:pt>
                <c:pt idx="4">
                  <c:v>45962</c:v>
                </c:pt>
                <c:pt idx="5">
                  <c:v>45992</c:v>
                </c:pt>
                <c:pt idx="6">
                  <c:v>46023</c:v>
                </c:pt>
                <c:pt idx="7">
                  <c:v>46054</c:v>
                </c:pt>
                <c:pt idx="8">
                  <c:v>46082</c:v>
                </c:pt>
                <c:pt idx="9">
                  <c:v>46113</c:v>
                </c:pt>
                <c:pt idx="10">
                  <c:v>46143</c:v>
                </c:pt>
                <c:pt idx="11">
                  <c:v>46174</c:v>
                </c:pt>
              </c:numCache>
            </c:numRef>
          </c:cat>
          <c:val>
            <c:numRef>
              <c:f>'KPI 53'!$E$19:$P$19</c:f>
              <c:numCache>
                <c:formatCode>#,##0</c:formatCode>
                <c:ptCount val="12"/>
                <c:pt idx="0">
                  <c:v>176</c:v>
                </c:pt>
                <c:pt idx="1">
                  <c:v>177</c:v>
                </c:pt>
                <c:pt idx="2">
                  <c:v>178</c:v>
                </c:pt>
                <c:pt idx="3">
                  <c:v>179</c:v>
                </c:pt>
                <c:pt idx="4">
                  <c:v>180</c:v>
                </c:pt>
                <c:pt idx="5">
                  <c:v>181</c:v>
                </c:pt>
                <c:pt idx="6">
                  <c:v>182</c:v>
                </c:pt>
                <c:pt idx="7">
                  <c:v>183</c:v>
                </c:pt>
                <c:pt idx="8">
                  <c:v>184</c:v>
                </c:pt>
                <c:pt idx="9">
                  <c:v>185</c:v>
                </c:pt>
                <c:pt idx="10">
                  <c:v>186</c:v>
                </c:pt>
                <c:pt idx="11">
                  <c:v>187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8E5-43A7-9C6E-DB1913B74BC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21534336"/>
        <c:axId val="121535872"/>
      </c:lineChart>
      <c:dateAx>
        <c:axId val="121534336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crossAx val="121535872"/>
        <c:crosses val="autoZero"/>
        <c:auto val="1"/>
        <c:lblOffset val="100"/>
        <c:baseTimeUnit val="months"/>
      </c:dateAx>
      <c:valAx>
        <c:axId val="121535872"/>
        <c:scaling>
          <c:orientation val="minMax"/>
        </c:scaling>
        <c:delete val="0"/>
        <c:axPos val="l"/>
        <c:majorGridlines/>
        <c:numFmt formatCode="#,##0" sourceLinked="1"/>
        <c:majorTickMark val="out"/>
        <c:minorTickMark val="none"/>
        <c:tickLblPos val="nextTo"/>
        <c:crossAx val="121534336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000000000000822" l="0.70000000000000062" r="0.70000000000000062" t="0.75000000000000822" header="0.30000000000000032" footer="0.30000000000000032"/>
    <c:pageSetup/>
  </c:printSettings>
</c:chartSpace>
</file>

<file path=xl/charts/chart6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1"/>
          <c:order val="1"/>
          <c:tx>
            <c:strRef>
              <c:f>'KPI 54'!$D$20</c:f>
              <c:strCache>
                <c:ptCount val="1"/>
                <c:pt idx="0">
                  <c:v>Actual 2025-26</c:v>
                </c:pt>
              </c:strCache>
            </c:strRef>
          </c:tx>
          <c:spPr>
            <a:solidFill>
              <a:schemeClr val="accent1"/>
            </a:solidFill>
          </c:spPr>
          <c:invertIfNegative val="0"/>
          <c:cat>
            <c:numRef>
              <c:f>'KPI 54'!$E$18:$P$18</c:f>
              <c:numCache>
                <c:formatCode>mmm\-yy</c:formatCode>
                <c:ptCount val="12"/>
                <c:pt idx="0">
                  <c:v>45839</c:v>
                </c:pt>
                <c:pt idx="1">
                  <c:v>45870</c:v>
                </c:pt>
                <c:pt idx="2">
                  <c:v>45901</c:v>
                </c:pt>
                <c:pt idx="3">
                  <c:v>45931</c:v>
                </c:pt>
                <c:pt idx="4">
                  <c:v>45962</c:v>
                </c:pt>
                <c:pt idx="5">
                  <c:v>45992</c:v>
                </c:pt>
                <c:pt idx="6">
                  <c:v>46023</c:v>
                </c:pt>
                <c:pt idx="7">
                  <c:v>46054</c:v>
                </c:pt>
                <c:pt idx="8">
                  <c:v>46082</c:v>
                </c:pt>
                <c:pt idx="9">
                  <c:v>46113</c:v>
                </c:pt>
                <c:pt idx="10">
                  <c:v>46143</c:v>
                </c:pt>
                <c:pt idx="11">
                  <c:v>46174</c:v>
                </c:pt>
              </c:numCache>
            </c:numRef>
          </c:cat>
          <c:val>
            <c:numRef>
              <c:f>'KPI 54'!$E$20:$P$20</c:f>
              <c:numCache>
                <c:formatCode>#,##0</c:formatCode>
                <c:ptCount val="12"/>
                <c:pt idx="0">
                  <c:v>4450</c:v>
                </c:pt>
                <c:pt idx="1">
                  <c:v>4461</c:v>
                </c:pt>
                <c:pt idx="2">
                  <c:v>4473</c:v>
                </c:pt>
                <c:pt idx="3">
                  <c:v>4479</c:v>
                </c:pt>
                <c:pt idx="4">
                  <c:v>4488</c:v>
                </c:pt>
                <c:pt idx="5">
                  <c:v>4491</c:v>
                </c:pt>
                <c:pt idx="6">
                  <c:v>4529</c:v>
                </c:pt>
                <c:pt idx="7">
                  <c:v>4547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2A9-4073-BDB5-F379B5918664}"/>
            </c:ext>
          </c:extLst>
        </c:ser>
        <c:ser>
          <c:idx val="4"/>
          <c:order val="2"/>
          <c:tx>
            <c:strRef>
              <c:f>'KPI 54'!$D$21</c:f>
              <c:strCache>
                <c:ptCount val="1"/>
                <c:pt idx="0">
                  <c:v>Actual 2024-25</c:v>
                </c:pt>
              </c:strCache>
            </c:strRef>
          </c:tx>
          <c:spPr>
            <a:solidFill>
              <a:schemeClr val="accent3"/>
            </a:solidFill>
          </c:spPr>
          <c:invertIfNegative val="0"/>
          <c:cat>
            <c:numRef>
              <c:f>'KPI 54'!$E$18:$P$18</c:f>
              <c:numCache>
                <c:formatCode>mmm\-yy</c:formatCode>
                <c:ptCount val="12"/>
                <c:pt idx="0">
                  <c:v>45839</c:v>
                </c:pt>
                <c:pt idx="1">
                  <c:v>45870</c:v>
                </c:pt>
                <c:pt idx="2">
                  <c:v>45901</c:v>
                </c:pt>
                <c:pt idx="3">
                  <c:v>45931</c:v>
                </c:pt>
                <c:pt idx="4">
                  <c:v>45962</c:v>
                </c:pt>
                <c:pt idx="5">
                  <c:v>45992</c:v>
                </c:pt>
                <c:pt idx="6">
                  <c:v>46023</c:v>
                </c:pt>
                <c:pt idx="7">
                  <c:v>46054</c:v>
                </c:pt>
                <c:pt idx="8">
                  <c:v>46082</c:v>
                </c:pt>
                <c:pt idx="9">
                  <c:v>46113</c:v>
                </c:pt>
                <c:pt idx="10">
                  <c:v>46143</c:v>
                </c:pt>
                <c:pt idx="11">
                  <c:v>46174</c:v>
                </c:pt>
              </c:numCache>
            </c:numRef>
          </c:cat>
          <c:val>
            <c:numRef>
              <c:f>'KPI 54'!$E$21:$P$21</c:f>
              <c:numCache>
                <c:formatCode>#,##0</c:formatCode>
                <c:ptCount val="12"/>
                <c:pt idx="0">
                  <c:v>4367</c:v>
                </c:pt>
                <c:pt idx="1">
                  <c:v>4375</c:v>
                </c:pt>
                <c:pt idx="2">
                  <c:v>4388</c:v>
                </c:pt>
                <c:pt idx="3">
                  <c:v>4390</c:v>
                </c:pt>
                <c:pt idx="4">
                  <c:v>4395</c:v>
                </c:pt>
                <c:pt idx="5">
                  <c:v>4395</c:v>
                </c:pt>
                <c:pt idx="6">
                  <c:v>4401</c:v>
                </c:pt>
                <c:pt idx="7">
                  <c:v>4418</c:v>
                </c:pt>
                <c:pt idx="8">
                  <c:v>4431</c:v>
                </c:pt>
                <c:pt idx="9">
                  <c:v>4437</c:v>
                </c:pt>
                <c:pt idx="10">
                  <c:v>4437</c:v>
                </c:pt>
                <c:pt idx="11">
                  <c:v>4445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2A9-4073-BDB5-F379B591866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22080256"/>
        <c:axId val="122196736"/>
      </c:barChart>
      <c:lineChart>
        <c:grouping val="standard"/>
        <c:varyColors val="0"/>
        <c:ser>
          <c:idx val="0"/>
          <c:order val="0"/>
          <c:tx>
            <c:strRef>
              <c:f>'KPI 54'!$D$19</c:f>
              <c:strCache>
                <c:ptCount val="1"/>
                <c:pt idx="0">
                  <c:v>Budget 2025-26</c:v>
                </c:pt>
              </c:strCache>
            </c:strRef>
          </c:tx>
          <c:spPr>
            <a:ln>
              <a:solidFill>
                <a:srgbClr val="FF0000"/>
              </a:solidFill>
            </a:ln>
          </c:spPr>
          <c:marker>
            <c:symbol val="none"/>
          </c:marker>
          <c:cat>
            <c:numRef>
              <c:f>'KPI 54'!$E$18:$P$18</c:f>
              <c:numCache>
                <c:formatCode>mmm\-yy</c:formatCode>
                <c:ptCount val="12"/>
                <c:pt idx="0">
                  <c:v>45839</c:v>
                </c:pt>
                <c:pt idx="1">
                  <c:v>45870</c:v>
                </c:pt>
                <c:pt idx="2">
                  <c:v>45901</c:v>
                </c:pt>
                <c:pt idx="3">
                  <c:v>45931</c:v>
                </c:pt>
                <c:pt idx="4">
                  <c:v>45962</c:v>
                </c:pt>
                <c:pt idx="5">
                  <c:v>45992</c:v>
                </c:pt>
                <c:pt idx="6">
                  <c:v>46023</c:v>
                </c:pt>
                <c:pt idx="7">
                  <c:v>46054</c:v>
                </c:pt>
                <c:pt idx="8">
                  <c:v>46082</c:v>
                </c:pt>
                <c:pt idx="9">
                  <c:v>46113</c:v>
                </c:pt>
                <c:pt idx="10">
                  <c:v>46143</c:v>
                </c:pt>
                <c:pt idx="11">
                  <c:v>46174</c:v>
                </c:pt>
              </c:numCache>
            </c:numRef>
          </c:cat>
          <c:val>
            <c:numRef>
              <c:f>'KPI 54'!$E$19:$P$19</c:f>
              <c:numCache>
                <c:formatCode>#,##0</c:formatCode>
                <c:ptCount val="12"/>
                <c:pt idx="0">
                  <c:v>4465</c:v>
                </c:pt>
                <c:pt idx="1">
                  <c:v>4486</c:v>
                </c:pt>
                <c:pt idx="2">
                  <c:v>4507</c:v>
                </c:pt>
                <c:pt idx="3">
                  <c:v>4528</c:v>
                </c:pt>
                <c:pt idx="4">
                  <c:v>4549</c:v>
                </c:pt>
                <c:pt idx="5">
                  <c:v>4570</c:v>
                </c:pt>
                <c:pt idx="6">
                  <c:v>4591</c:v>
                </c:pt>
                <c:pt idx="7">
                  <c:v>4612</c:v>
                </c:pt>
                <c:pt idx="8">
                  <c:v>4633</c:v>
                </c:pt>
                <c:pt idx="9">
                  <c:v>4654</c:v>
                </c:pt>
                <c:pt idx="10">
                  <c:v>4675</c:v>
                </c:pt>
                <c:pt idx="11">
                  <c:v>4696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12A9-4073-BDB5-F379B591866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22080256"/>
        <c:axId val="122196736"/>
      </c:lineChart>
      <c:dateAx>
        <c:axId val="122080256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crossAx val="122196736"/>
        <c:crosses val="autoZero"/>
        <c:auto val="1"/>
        <c:lblOffset val="100"/>
        <c:baseTimeUnit val="months"/>
      </c:dateAx>
      <c:valAx>
        <c:axId val="122196736"/>
        <c:scaling>
          <c:orientation val="minMax"/>
        </c:scaling>
        <c:delete val="0"/>
        <c:axPos val="l"/>
        <c:majorGridlines/>
        <c:numFmt formatCode="#,##0" sourceLinked="1"/>
        <c:majorTickMark val="out"/>
        <c:minorTickMark val="none"/>
        <c:tickLblPos val="nextTo"/>
        <c:crossAx val="122080256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000000000000822" l="0.70000000000000062" r="0.70000000000000062" t="0.75000000000000822" header="0.30000000000000032" footer="0.30000000000000032"/>
    <c:pageSetup/>
  </c:printSettings>
</c:chartSpace>
</file>

<file path=xl/charts/chart6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1"/>
          <c:order val="1"/>
          <c:tx>
            <c:strRef>
              <c:f>'KPI 55'!$D$20</c:f>
              <c:strCache>
                <c:ptCount val="1"/>
                <c:pt idx="0">
                  <c:v>Actual 2025-26</c:v>
                </c:pt>
              </c:strCache>
            </c:strRef>
          </c:tx>
          <c:spPr>
            <a:solidFill>
              <a:schemeClr val="accent1"/>
            </a:solidFill>
          </c:spPr>
          <c:invertIfNegative val="0"/>
          <c:cat>
            <c:numRef>
              <c:f>'KPI 55'!$E$18:$P$18</c:f>
              <c:numCache>
                <c:formatCode>mmm\-yy</c:formatCode>
                <c:ptCount val="12"/>
                <c:pt idx="0">
                  <c:v>45839</c:v>
                </c:pt>
                <c:pt idx="1">
                  <c:v>45870</c:v>
                </c:pt>
                <c:pt idx="2">
                  <c:v>45901</c:v>
                </c:pt>
                <c:pt idx="3">
                  <c:v>45931</c:v>
                </c:pt>
                <c:pt idx="4">
                  <c:v>45962</c:v>
                </c:pt>
                <c:pt idx="5">
                  <c:v>45992</c:v>
                </c:pt>
                <c:pt idx="6">
                  <c:v>46023</c:v>
                </c:pt>
                <c:pt idx="7">
                  <c:v>46054</c:v>
                </c:pt>
                <c:pt idx="8">
                  <c:v>46082</c:v>
                </c:pt>
                <c:pt idx="9">
                  <c:v>46113</c:v>
                </c:pt>
                <c:pt idx="10">
                  <c:v>46143</c:v>
                </c:pt>
                <c:pt idx="11">
                  <c:v>46174</c:v>
                </c:pt>
              </c:numCache>
            </c:numRef>
          </c:cat>
          <c:val>
            <c:numRef>
              <c:f>'KPI 55'!$E$20:$P$20</c:f>
              <c:numCache>
                <c:formatCode>#,##0</c:formatCode>
                <c:ptCount val="12"/>
                <c:pt idx="0">
                  <c:v>1600</c:v>
                </c:pt>
                <c:pt idx="1">
                  <c:v>1622</c:v>
                </c:pt>
                <c:pt idx="2">
                  <c:v>1633</c:v>
                </c:pt>
                <c:pt idx="3">
                  <c:v>1658</c:v>
                </c:pt>
                <c:pt idx="4">
                  <c:v>1670</c:v>
                </c:pt>
                <c:pt idx="5">
                  <c:v>1683</c:v>
                </c:pt>
                <c:pt idx="6">
                  <c:v>1696</c:v>
                </c:pt>
                <c:pt idx="7">
                  <c:v>1719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3E3-4608-B267-9E0A5C58A04B}"/>
            </c:ext>
          </c:extLst>
        </c:ser>
        <c:ser>
          <c:idx val="4"/>
          <c:order val="2"/>
          <c:tx>
            <c:strRef>
              <c:f>'KPI 55'!$D$21</c:f>
              <c:strCache>
                <c:ptCount val="1"/>
                <c:pt idx="0">
                  <c:v>Actual 2024-25</c:v>
                </c:pt>
              </c:strCache>
            </c:strRef>
          </c:tx>
          <c:spPr>
            <a:solidFill>
              <a:schemeClr val="accent3"/>
            </a:solidFill>
          </c:spPr>
          <c:invertIfNegative val="0"/>
          <c:cat>
            <c:numRef>
              <c:f>'KPI 55'!$E$18:$P$18</c:f>
              <c:numCache>
                <c:formatCode>mmm\-yy</c:formatCode>
                <c:ptCount val="12"/>
                <c:pt idx="0">
                  <c:v>45839</c:v>
                </c:pt>
                <c:pt idx="1">
                  <c:v>45870</c:v>
                </c:pt>
                <c:pt idx="2">
                  <c:v>45901</c:v>
                </c:pt>
                <c:pt idx="3">
                  <c:v>45931</c:v>
                </c:pt>
                <c:pt idx="4">
                  <c:v>45962</c:v>
                </c:pt>
                <c:pt idx="5">
                  <c:v>45992</c:v>
                </c:pt>
                <c:pt idx="6">
                  <c:v>46023</c:v>
                </c:pt>
                <c:pt idx="7">
                  <c:v>46054</c:v>
                </c:pt>
                <c:pt idx="8">
                  <c:v>46082</c:v>
                </c:pt>
                <c:pt idx="9">
                  <c:v>46113</c:v>
                </c:pt>
                <c:pt idx="10">
                  <c:v>46143</c:v>
                </c:pt>
                <c:pt idx="11">
                  <c:v>46174</c:v>
                </c:pt>
              </c:numCache>
            </c:numRef>
          </c:cat>
          <c:val>
            <c:numRef>
              <c:f>'KPI 55'!$E$21:$P$21</c:f>
              <c:numCache>
                <c:formatCode>#,##0</c:formatCode>
                <c:ptCount val="12"/>
                <c:pt idx="0">
                  <c:v>1522</c:v>
                </c:pt>
                <c:pt idx="1">
                  <c:v>1530</c:v>
                </c:pt>
                <c:pt idx="2">
                  <c:v>1532</c:v>
                </c:pt>
                <c:pt idx="3">
                  <c:v>1533</c:v>
                </c:pt>
                <c:pt idx="4">
                  <c:v>1535</c:v>
                </c:pt>
                <c:pt idx="5">
                  <c:v>1536</c:v>
                </c:pt>
                <c:pt idx="6">
                  <c:v>1538</c:v>
                </c:pt>
                <c:pt idx="7">
                  <c:v>1554</c:v>
                </c:pt>
                <c:pt idx="8">
                  <c:v>1559</c:v>
                </c:pt>
                <c:pt idx="9">
                  <c:v>1567</c:v>
                </c:pt>
                <c:pt idx="10">
                  <c:v>1580</c:v>
                </c:pt>
                <c:pt idx="11">
                  <c:v>1583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3E3-4608-B267-9E0A5C58A04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21479552"/>
        <c:axId val="121481088"/>
      </c:barChart>
      <c:lineChart>
        <c:grouping val="standard"/>
        <c:varyColors val="0"/>
        <c:ser>
          <c:idx val="0"/>
          <c:order val="0"/>
          <c:tx>
            <c:strRef>
              <c:f>'KPI 55'!$D$19</c:f>
              <c:strCache>
                <c:ptCount val="1"/>
                <c:pt idx="0">
                  <c:v>Budget 2025-26</c:v>
                </c:pt>
              </c:strCache>
            </c:strRef>
          </c:tx>
          <c:spPr>
            <a:ln>
              <a:solidFill>
                <a:srgbClr val="FF0000"/>
              </a:solidFill>
            </a:ln>
          </c:spPr>
          <c:marker>
            <c:symbol val="none"/>
          </c:marker>
          <c:cat>
            <c:numRef>
              <c:f>'KPI 55'!$E$18:$P$18</c:f>
              <c:numCache>
                <c:formatCode>mmm\-yy</c:formatCode>
                <c:ptCount val="12"/>
                <c:pt idx="0">
                  <c:v>45839</c:v>
                </c:pt>
                <c:pt idx="1">
                  <c:v>45870</c:v>
                </c:pt>
                <c:pt idx="2">
                  <c:v>45901</c:v>
                </c:pt>
                <c:pt idx="3">
                  <c:v>45931</c:v>
                </c:pt>
                <c:pt idx="4">
                  <c:v>45962</c:v>
                </c:pt>
                <c:pt idx="5">
                  <c:v>45992</c:v>
                </c:pt>
                <c:pt idx="6">
                  <c:v>46023</c:v>
                </c:pt>
                <c:pt idx="7">
                  <c:v>46054</c:v>
                </c:pt>
                <c:pt idx="8">
                  <c:v>46082</c:v>
                </c:pt>
                <c:pt idx="9">
                  <c:v>46113</c:v>
                </c:pt>
                <c:pt idx="10">
                  <c:v>46143</c:v>
                </c:pt>
                <c:pt idx="11">
                  <c:v>46174</c:v>
                </c:pt>
              </c:numCache>
            </c:numRef>
          </c:cat>
          <c:val>
            <c:numRef>
              <c:f>'KPI 55'!$E$19:$P$19</c:f>
              <c:numCache>
                <c:formatCode>#,##0</c:formatCode>
                <c:ptCount val="12"/>
                <c:pt idx="0">
                  <c:v>1591</c:v>
                </c:pt>
                <c:pt idx="1">
                  <c:v>1599</c:v>
                </c:pt>
                <c:pt idx="2">
                  <c:v>1619</c:v>
                </c:pt>
                <c:pt idx="3">
                  <c:v>1669</c:v>
                </c:pt>
                <c:pt idx="4">
                  <c:v>1719</c:v>
                </c:pt>
                <c:pt idx="5">
                  <c:v>1769</c:v>
                </c:pt>
                <c:pt idx="6">
                  <c:v>1814</c:v>
                </c:pt>
                <c:pt idx="7">
                  <c:v>1859</c:v>
                </c:pt>
                <c:pt idx="8">
                  <c:v>1894</c:v>
                </c:pt>
                <c:pt idx="9">
                  <c:v>1924</c:v>
                </c:pt>
                <c:pt idx="10">
                  <c:v>1954</c:v>
                </c:pt>
                <c:pt idx="11">
                  <c:v>1982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A3E3-4608-B267-9E0A5C58A04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21479552"/>
        <c:axId val="121481088"/>
      </c:lineChart>
      <c:dateAx>
        <c:axId val="121479552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crossAx val="121481088"/>
        <c:crosses val="autoZero"/>
        <c:auto val="1"/>
        <c:lblOffset val="100"/>
        <c:baseTimeUnit val="months"/>
      </c:dateAx>
      <c:valAx>
        <c:axId val="121481088"/>
        <c:scaling>
          <c:orientation val="minMax"/>
        </c:scaling>
        <c:delete val="0"/>
        <c:axPos val="l"/>
        <c:majorGridlines/>
        <c:numFmt formatCode="#,##0" sourceLinked="1"/>
        <c:majorTickMark val="out"/>
        <c:minorTickMark val="none"/>
        <c:tickLblPos val="nextTo"/>
        <c:crossAx val="121479552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000000000000822" l="0.70000000000000062" r="0.70000000000000062" t="0.75000000000000822" header="0.30000000000000032" footer="0.30000000000000032"/>
    <c:pageSetup/>
  </c:printSettings>
</c:chartSpace>
</file>

<file path=xl/charts/chart6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1"/>
          <c:order val="1"/>
          <c:tx>
            <c:strRef>
              <c:f>'KPI 56'!$D$20</c:f>
              <c:strCache>
                <c:ptCount val="1"/>
                <c:pt idx="0">
                  <c:v>Actual 2025-26</c:v>
                </c:pt>
              </c:strCache>
            </c:strRef>
          </c:tx>
          <c:spPr>
            <a:solidFill>
              <a:schemeClr val="accent1"/>
            </a:solidFill>
          </c:spPr>
          <c:invertIfNegative val="0"/>
          <c:cat>
            <c:numRef>
              <c:f>'KPI 56'!$E$18:$P$18</c:f>
              <c:numCache>
                <c:formatCode>mmm\-yy</c:formatCode>
                <c:ptCount val="12"/>
                <c:pt idx="0">
                  <c:v>45839</c:v>
                </c:pt>
                <c:pt idx="1">
                  <c:v>45870</c:v>
                </c:pt>
                <c:pt idx="2">
                  <c:v>45901</c:v>
                </c:pt>
                <c:pt idx="3">
                  <c:v>45931</c:v>
                </c:pt>
                <c:pt idx="4">
                  <c:v>45962</c:v>
                </c:pt>
                <c:pt idx="5">
                  <c:v>45992</c:v>
                </c:pt>
                <c:pt idx="6">
                  <c:v>46023</c:v>
                </c:pt>
                <c:pt idx="7">
                  <c:v>46054</c:v>
                </c:pt>
                <c:pt idx="8">
                  <c:v>46082</c:v>
                </c:pt>
                <c:pt idx="9">
                  <c:v>46113</c:v>
                </c:pt>
                <c:pt idx="10">
                  <c:v>46143</c:v>
                </c:pt>
                <c:pt idx="11">
                  <c:v>46174</c:v>
                </c:pt>
              </c:numCache>
            </c:numRef>
          </c:cat>
          <c:val>
            <c:numRef>
              <c:f>'KPI 56'!$E$20:$P$20</c:f>
              <c:numCache>
                <c:formatCode>#,##0</c:formatCode>
                <c:ptCount val="12"/>
                <c:pt idx="0">
                  <c:v>264</c:v>
                </c:pt>
                <c:pt idx="1">
                  <c:v>267</c:v>
                </c:pt>
                <c:pt idx="2">
                  <c:v>269</c:v>
                </c:pt>
                <c:pt idx="3">
                  <c:v>269</c:v>
                </c:pt>
                <c:pt idx="4">
                  <c:v>271</c:v>
                </c:pt>
                <c:pt idx="5">
                  <c:v>286</c:v>
                </c:pt>
                <c:pt idx="6">
                  <c:v>292</c:v>
                </c:pt>
                <c:pt idx="7">
                  <c:v>296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4CB-459E-9208-816F139A7A87}"/>
            </c:ext>
          </c:extLst>
        </c:ser>
        <c:ser>
          <c:idx val="4"/>
          <c:order val="2"/>
          <c:tx>
            <c:strRef>
              <c:f>'KPI 56'!$D$21</c:f>
              <c:strCache>
                <c:ptCount val="1"/>
                <c:pt idx="0">
                  <c:v>Actual 2024-25</c:v>
                </c:pt>
              </c:strCache>
            </c:strRef>
          </c:tx>
          <c:spPr>
            <a:solidFill>
              <a:schemeClr val="accent3"/>
            </a:solidFill>
          </c:spPr>
          <c:invertIfNegative val="0"/>
          <c:cat>
            <c:numRef>
              <c:f>'KPI 56'!$E$18:$P$18</c:f>
              <c:numCache>
                <c:formatCode>mmm\-yy</c:formatCode>
                <c:ptCount val="12"/>
                <c:pt idx="0">
                  <c:v>45839</c:v>
                </c:pt>
                <c:pt idx="1">
                  <c:v>45870</c:v>
                </c:pt>
                <c:pt idx="2">
                  <c:v>45901</c:v>
                </c:pt>
                <c:pt idx="3">
                  <c:v>45931</c:v>
                </c:pt>
                <c:pt idx="4">
                  <c:v>45962</c:v>
                </c:pt>
                <c:pt idx="5">
                  <c:v>45992</c:v>
                </c:pt>
                <c:pt idx="6">
                  <c:v>46023</c:v>
                </c:pt>
                <c:pt idx="7">
                  <c:v>46054</c:v>
                </c:pt>
                <c:pt idx="8">
                  <c:v>46082</c:v>
                </c:pt>
                <c:pt idx="9">
                  <c:v>46113</c:v>
                </c:pt>
                <c:pt idx="10">
                  <c:v>46143</c:v>
                </c:pt>
                <c:pt idx="11">
                  <c:v>46174</c:v>
                </c:pt>
              </c:numCache>
            </c:numRef>
          </c:cat>
          <c:val>
            <c:numRef>
              <c:f>'KPI 56'!$E$21:$P$21</c:f>
              <c:numCache>
                <c:formatCode>#,##0</c:formatCode>
                <c:ptCount val="12"/>
                <c:pt idx="0">
                  <c:v>252</c:v>
                </c:pt>
                <c:pt idx="1">
                  <c:v>254</c:v>
                </c:pt>
                <c:pt idx="2">
                  <c:v>254</c:v>
                </c:pt>
                <c:pt idx="3">
                  <c:v>255</c:v>
                </c:pt>
                <c:pt idx="4">
                  <c:v>255</c:v>
                </c:pt>
                <c:pt idx="5">
                  <c:v>255</c:v>
                </c:pt>
                <c:pt idx="6">
                  <c:v>256</c:v>
                </c:pt>
                <c:pt idx="7">
                  <c:v>256</c:v>
                </c:pt>
                <c:pt idx="8">
                  <c:v>259</c:v>
                </c:pt>
                <c:pt idx="9">
                  <c:v>260</c:v>
                </c:pt>
                <c:pt idx="10">
                  <c:v>263</c:v>
                </c:pt>
                <c:pt idx="11">
                  <c:v>264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4CB-459E-9208-816F139A7A8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22701312"/>
        <c:axId val="122702848"/>
      </c:barChart>
      <c:lineChart>
        <c:grouping val="standard"/>
        <c:varyColors val="0"/>
        <c:ser>
          <c:idx val="0"/>
          <c:order val="0"/>
          <c:tx>
            <c:strRef>
              <c:f>'KPI 56'!$D$19</c:f>
              <c:strCache>
                <c:ptCount val="1"/>
                <c:pt idx="0">
                  <c:v>Budget 2025-26</c:v>
                </c:pt>
              </c:strCache>
            </c:strRef>
          </c:tx>
          <c:spPr>
            <a:ln>
              <a:solidFill>
                <a:srgbClr val="FF0000"/>
              </a:solidFill>
            </a:ln>
          </c:spPr>
          <c:marker>
            <c:symbol val="none"/>
          </c:marker>
          <c:cat>
            <c:numRef>
              <c:f>'KPI 56'!$E$18:$P$18</c:f>
              <c:numCache>
                <c:formatCode>mmm\-yy</c:formatCode>
                <c:ptCount val="12"/>
                <c:pt idx="0">
                  <c:v>45839</c:v>
                </c:pt>
                <c:pt idx="1">
                  <c:v>45870</c:v>
                </c:pt>
                <c:pt idx="2">
                  <c:v>45901</c:v>
                </c:pt>
                <c:pt idx="3">
                  <c:v>45931</c:v>
                </c:pt>
                <c:pt idx="4">
                  <c:v>45962</c:v>
                </c:pt>
                <c:pt idx="5">
                  <c:v>45992</c:v>
                </c:pt>
                <c:pt idx="6">
                  <c:v>46023</c:v>
                </c:pt>
                <c:pt idx="7">
                  <c:v>46054</c:v>
                </c:pt>
                <c:pt idx="8">
                  <c:v>46082</c:v>
                </c:pt>
                <c:pt idx="9">
                  <c:v>46113</c:v>
                </c:pt>
                <c:pt idx="10">
                  <c:v>46143</c:v>
                </c:pt>
                <c:pt idx="11">
                  <c:v>46174</c:v>
                </c:pt>
              </c:numCache>
            </c:numRef>
          </c:cat>
          <c:val>
            <c:numRef>
              <c:f>'KPI 56'!$E$19:$P$19</c:f>
              <c:numCache>
                <c:formatCode>#,##0</c:formatCode>
                <c:ptCount val="12"/>
                <c:pt idx="0">
                  <c:v>265</c:v>
                </c:pt>
                <c:pt idx="1">
                  <c:v>266</c:v>
                </c:pt>
                <c:pt idx="2">
                  <c:v>267</c:v>
                </c:pt>
                <c:pt idx="3">
                  <c:v>288</c:v>
                </c:pt>
                <c:pt idx="4">
                  <c:v>299</c:v>
                </c:pt>
                <c:pt idx="5">
                  <c:v>310</c:v>
                </c:pt>
                <c:pt idx="6">
                  <c:v>321</c:v>
                </c:pt>
                <c:pt idx="7">
                  <c:v>332</c:v>
                </c:pt>
                <c:pt idx="8">
                  <c:v>343</c:v>
                </c:pt>
                <c:pt idx="9">
                  <c:v>354</c:v>
                </c:pt>
                <c:pt idx="10">
                  <c:v>365</c:v>
                </c:pt>
                <c:pt idx="11">
                  <c:v>376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4CB-459E-9208-816F139A7A8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22701312"/>
        <c:axId val="122702848"/>
      </c:lineChart>
      <c:dateAx>
        <c:axId val="122701312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crossAx val="122702848"/>
        <c:crosses val="autoZero"/>
        <c:auto val="1"/>
        <c:lblOffset val="100"/>
        <c:baseTimeUnit val="months"/>
      </c:dateAx>
      <c:valAx>
        <c:axId val="122702848"/>
        <c:scaling>
          <c:orientation val="minMax"/>
        </c:scaling>
        <c:delete val="0"/>
        <c:axPos val="l"/>
        <c:majorGridlines/>
        <c:numFmt formatCode="#,##0" sourceLinked="1"/>
        <c:majorTickMark val="out"/>
        <c:minorTickMark val="none"/>
        <c:tickLblPos val="nextTo"/>
        <c:crossAx val="122701312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000000000000822" l="0.70000000000000062" r="0.70000000000000062" t="0.75000000000000822" header="0.30000000000000032" footer="0.30000000000000032"/>
    <c:pageSetup/>
  </c:printSettings>
</c:chartSpace>
</file>

<file path=xl/charts/chart6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1"/>
          <c:order val="1"/>
          <c:tx>
            <c:strRef>
              <c:f>'KPI 57'!$D$20</c:f>
              <c:strCache>
                <c:ptCount val="1"/>
                <c:pt idx="0">
                  <c:v>Actual 2025-26</c:v>
                </c:pt>
              </c:strCache>
            </c:strRef>
          </c:tx>
          <c:spPr>
            <a:solidFill>
              <a:schemeClr val="accent1"/>
            </a:solidFill>
          </c:spPr>
          <c:invertIfNegative val="0"/>
          <c:cat>
            <c:numRef>
              <c:f>'KPI 57'!$E$18:$P$18</c:f>
              <c:numCache>
                <c:formatCode>mmm\-yy</c:formatCode>
                <c:ptCount val="12"/>
                <c:pt idx="0">
                  <c:v>45839</c:v>
                </c:pt>
                <c:pt idx="1">
                  <c:v>45870</c:v>
                </c:pt>
                <c:pt idx="2">
                  <c:v>45901</c:v>
                </c:pt>
                <c:pt idx="3">
                  <c:v>45931</c:v>
                </c:pt>
                <c:pt idx="4">
                  <c:v>45962</c:v>
                </c:pt>
                <c:pt idx="5">
                  <c:v>45992</c:v>
                </c:pt>
                <c:pt idx="6">
                  <c:v>46023</c:v>
                </c:pt>
                <c:pt idx="7">
                  <c:v>46054</c:v>
                </c:pt>
                <c:pt idx="8">
                  <c:v>46082</c:v>
                </c:pt>
                <c:pt idx="9">
                  <c:v>46113</c:v>
                </c:pt>
                <c:pt idx="10">
                  <c:v>46143</c:v>
                </c:pt>
                <c:pt idx="11">
                  <c:v>46174</c:v>
                </c:pt>
              </c:numCache>
            </c:numRef>
          </c:cat>
          <c:val>
            <c:numRef>
              <c:f>'KPI 57'!$E$20:$P$20</c:f>
              <c:numCache>
                <c:formatCode>#,##0</c:formatCode>
                <c:ptCount val="12"/>
                <c:pt idx="0">
                  <c:v>2715</c:v>
                </c:pt>
                <c:pt idx="1">
                  <c:v>2750</c:v>
                </c:pt>
                <c:pt idx="2">
                  <c:v>2794</c:v>
                </c:pt>
                <c:pt idx="3">
                  <c:v>2818</c:v>
                </c:pt>
                <c:pt idx="4">
                  <c:v>2835</c:v>
                </c:pt>
                <c:pt idx="5">
                  <c:v>2865</c:v>
                </c:pt>
                <c:pt idx="6">
                  <c:v>2894</c:v>
                </c:pt>
                <c:pt idx="7">
                  <c:v>2926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40B-49D7-A294-BA04275E4117}"/>
            </c:ext>
          </c:extLst>
        </c:ser>
        <c:ser>
          <c:idx val="4"/>
          <c:order val="2"/>
          <c:tx>
            <c:strRef>
              <c:f>'KPI 57'!$D$21</c:f>
              <c:strCache>
                <c:ptCount val="1"/>
                <c:pt idx="0">
                  <c:v>Actual 2024-25</c:v>
                </c:pt>
              </c:strCache>
            </c:strRef>
          </c:tx>
          <c:spPr>
            <a:solidFill>
              <a:schemeClr val="accent3"/>
            </a:solidFill>
          </c:spPr>
          <c:invertIfNegative val="0"/>
          <c:cat>
            <c:numRef>
              <c:f>'KPI 57'!$E$18:$P$18</c:f>
              <c:numCache>
                <c:formatCode>mmm\-yy</c:formatCode>
                <c:ptCount val="12"/>
                <c:pt idx="0">
                  <c:v>45839</c:v>
                </c:pt>
                <c:pt idx="1">
                  <c:v>45870</c:v>
                </c:pt>
                <c:pt idx="2">
                  <c:v>45901</c:v>
                </c:pt>
                <c:pt idx="3">
                  <c:v>45931</c:v>
                </c:pt>
                <c:pt idx="4">
                  <c:v>45962</c:v>
                </c:pt>
                <c:pt idx="5">
                  <c:v>45992</c:v>
                </c:pt>
                <c:pt idx="6">
                  <c:v>46023</c:v>
                </c:pt>
                <c:pt idx="7">
                  <c:v>46054</c:v>
                </c:pt>
                <c:pt idx="8">
                  <c:v>46082</c:v>
                </c:pt>
                <c:pt idx="9">
                  <c:v>46113</c:v>
                </c:pt>
                <c:pt idx="10">
                  <c:v>46143</c:v>
                </c:pt>
                <c:pt idx="11">
                  <c:v>46174</c:v>
                </c:pt>
              </c:numCache>
            </c:numRef>
          </c:cat>
          <c:val>
            <c:numRef>
              <c:f>'KPI 57'!$E$21:$P$21</c:f>
              <c:numCache>
                <c:formatCode>#,##0</c:formatCode>
                <c:ptCount val="12"/>
              </c:numCache>
            </c:numRef>
          </c:val>
          <c:extLst>
            <c:ext xmlns:c16="http://schemas.microsoft.com/office/drawing/2014/chart" uri="{C3380CC4-5D6E-409C-BE32-E72D297353CC}">
              <c16:uniqueId val="{00000001-F40B-49D7-A294-BA04275E411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22206848"/>
        <c:axId val="122737024"/>
      </c:barChart>
      <c:lineChart>
        <c:grouping val="standard"/>
        <c:varyColors val="0"/>
        <c:ser>
          <c:idx val="0"/>
          <c:order val="0"/>
          <c:tx>
            <c:strRef>
              <c:f>'KPI 57'!$D$19</c:f>
              <c:strCache>
                <c:ptCount val="1"/>
                <c:pt idx="0">
                  <c:v>Budget 2025-26</c:v>
                </c:pt>
              </c:strCache>
            </c:strRef>
          </c:tx>
          <c:spPr>
            <a:ln>
              <a:solidFill>
                <a:srgbClr val="FF0000"/>
              </a:solidFill>
            </a:ln>
          </c:spPr>
          <c:marker>
            <c:symbol val="none"/>
          </c:marker>
          <c:cat>
            <c:numRef>
              <c:f>'KPI 57'!$E$18:$P$18</c:f>
              <c:numCache>
                <c:formatCode>mmm\-yy</c:formatCode>
                <c:ptCount val="12"/>
                <c:pt idx="0">
                  <c:v>45839</c:v>
                </c:pt>
                <c:pt idx="1">
                  <c:v>45870</c:v>
                </c:pt>
                <c:pt idx="2">
                  <c:v>45901</c:v>
                </c:pt>
                <c:pt idx="3">
                  <c:v>45931</c:v>
                </c:pt>
                <c:pt idx="4">
                  <c:v>45962</c:v>
                </c:pt>
                <c:pt idx="5">
                  <c:v>45992</c:v>
                </c:pt>
                <c:pt idx="6">
                  <c:v>46023</c:v>
                </c:pt>
                <c:pt idx="7">
                  <c:v>46054</c:v>
                </c:pt>
                <c:pt idx="8">
                  <c:v>46082</c:v>
                </c:pt>
                <c:pt idx="9">
                  <c:v>46113</c:v>
                </c:pt>
                <c:pt idx="10">
                  <c:v>46143</c:v>
                </c:pt>
                <c:pt idx="11">
                  <c:v>46174</c:v>
                </c:pt>
              </c:numCache>
            </c:numRef>
          </c:cat>
          <c:val>
            <c:numRef>
              <c:f>'KPI 57'!$E$19:$P$19</c:f>
              <c:numCache>
                <c:formatCode>#,##0</c:formatCode>
                <c:ptCount val="12"/>
                <c:pt idx="0">
                  <c:v>2740</c:v>
                </c:pt>
                <c:pt idx="1">
                  <c:v>2758</c:v>
                </c:pt>
                <c:pt idx="2">
                  <c:v>2776</c:v>
                </c:pt>
                <c:pt idx="3">
                  <c:v>2794</c:v>
                </c:pt>
                <c:pt idx="4">
                  <c:v>2812</c:v>
                </c:pt>
                <c:pt idx="5">
                  <c:v>2830</c:v>
                </c:pt>
                <c:pt idx="6">
                  <c:v>2863</c:v>
                </c:pt>
                <c:pt idx="7">
                  <c:v>2886</c:v>
                </c:pt>
                <c:pt idx="8">
                  <c:v>2909</c:v>
                </c:pt>
                <c:pt idx="9">
                  <c:v>2927</c:v>
                </c:pt>
                <c:pt idx="10">
                  <c:v>2945</c:v>
                </c:pt>
                <c:pt idx="11">
                  <c:v>2963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F40B-49D7-A294-BA04275E411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22206848"/>
        <c:axId val="122737024"/>
      </c:lineChart>
      <c:dateAx>
        <c:axId val="122206848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crossAx val="122737024"/>
        <c:crosses val="autoZero"/>
        <c:auto val="1"/>
        <c:lblOffset val="100"/>
        <c:baseTimeUnit val="months"/>
      </c:dateAx>
      <c:valAx>
        <c:axId val="122737024"/>
        <c:scaling>
          <c:orientation val="minMax"/>
        </c:scaling>
        <c:delete val="0"/>
        <c:axPos val="l"/>
        <c:majorGridlines/>
        <c:numFmt formatCode="#,##0" sourceLinked="1"/>
        <c:majorTickMark val="out"/>
        <c:minorTickMark val="none"/>
        <c:tickLblPos val="nextTo"/>
        <c:crossAx val="122206848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000000000000822" l="0.70000000000000062" r="0.70000000000000062" t="0.75000000000000822" header="0.30000000000000032" footer="0.30000000000000032"/>
    <c:pageSetup/>
  </c:printSettings>
</c:chartSpace>
</file>

<file path=xl/charts/chart6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1"/>
          <c:order val="1"/>
          <c:tx>
            <c:strRef>
              <c:f>'KPI 57'!$D$20</c:f>
              <c:strCache>
                <c:ptCount val="1"/>
                <c:pt idx="0">
                  <c:v>Actual 2025-26</c:v>
                </c:pt>
              </c:strCache>
            </c:strRef>
          </c:tx>
          <c:spPr>
            <a:solidFill>
              <a:schemeClr val="accent1"/>
            </a:solidFill>
          </c:spPr>
          <c:invertIfNegative val="0"/>
          <c:cat>
            <c:numRef>
              <c:f>'KPI 57'!$E$18:$P$18</c:f>
              <c:numCache>
                <c:formatCode>mmm\-yy</c:formatCode>
                <c:ptCount val="12"/>
                <c:pt idx="0">
                  <c:v>45839</c:v>
                </c:pt>
                <c:pt idx="1">
                  <c:v>45870</c:v>
                </c:pt>
                <c:pt idx="2">
                  <c:v>45901</c:v>
                </c:pt>
                <c:pt idx="3">
                  <c:v>45931</c:v>
                </c:pt>
                <c:pt idx="4">
                  <c:v>45962</c:v>
                </c:pt>
                <c:pt idx="5">
                  <c:v>45992</c:v>
                </c:pt>
                <c:pt idx="6">
                  <c:v>46023</c:v>
                </c:pt>
                <c:pt idx="7">
                  <c:v>46054</c:v>
                </c:pt>
                <c:pt idx="8">
                  <c:v>46082</c:v>
                </c:pt>
                <c:pt idx="9">
                  <c:v>46113</c:v>
                </c:pt>
                <c:pt idx="10">
                  <c:v>46143</c:v>
                </c:pt>
                <c:pt idx="11">
                  <c:v>46174</c:v>
                </c:pt>
              </c:numCache>
            </c:numRef>
          </c:cat>
          <c:val>
            <c:numRef>
              <c:f>'KPI 57'!$E$20:$P$20</c:f>
              <c:numCache>
                <c:formatCode>#,##0</c:formatCode>
                <c:ptCount val="12"/>
                <c:pt idx="0">
                  <c:v>2715</c:v>
                </c:pt>
                <c:pt idx="1">
                  <c:v>2750</c:v>
                </c:pt>
                <c:pt idx="2">
                  <c:v>2794</c:v>
                </c:pt>
                <c:pt idx="3">
                  <c:v>2818</c:v>
                </c:pt>
                <c:pt idx="4">
                  <c:v>2835</c:v>
                </c:pt>
                <c:pt idx="5">
                  <c:v>2865</c:v>
                </c:pt>
                <c:pt idx="6">
                  <c:v>2894</c:v>
                </c:pt>
                <c:pt idx="7">
                  <c:v>2926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F02-40D8-87A1-4CE7548474EC}"/>
            </c:ext>
          </c:extLst>
        </c:ser>
        <c:ser>
          <c:idx val="4"/>
          <c:order val="2"/>
          <c:tx>
            <c:strRef>
              <c:f>'KPI 57'!$D$21</c:f>
              <c:strCache>
                <c:ptCount val="1"/>
                <c:pt idx="0">
                  <c:v>Actual 2024-25</c:v>
                </c:pt>
              </c:strCache>
            </c:strRef>
          </c:tx>
          <c:spPr>
            <a:solidFill>
              <a:schemeClr val="accent3"/>
            </a:solidFill>
          </c:spPr>
          <c:invertIfNegative val="0"/>
          <c:cat>
            <c:numRef>
              <c:f>'KPI 57'!$E$18:$P$18</c:f>
              <c:numCache>
                <c:formatCode>mmm\-yy</c:formatCode>
                <c:ptCount val="12"/>
                <c:pt idx="0">
                  <c:v>45839</c:v>
                </c:pt>
                <c:pt idx="1">
                  <c:v>45870</c:v>
                </c:pt>
                <c:pt idx="2">
                  <c:v>45901</c:v>
                </c:pt>
                <c:pt idx="3">
                  <c:v>45931</c:v>
                </c:pt>
                <c:pt idx="4">
                  <c:v>45962</c:v>
                </c:pt>
                <c:pt idx="5">
                  <c:v>45992</c:v>
                </c:pt>
                <c:pt idx="6">
                  <c:v>46023</c:v>
                </c:pt>
                <c:pt idx="7">
                  <c:v>46054</c:v>
                </c:pt>
                <c:pt idx="8">
                  <c:v>46082</c:v>
                </c:pt>
                <c:pt idx="9">
                  <c:v>46113</c:v>
                </c:pt>
                <c:pt idx="10">
                  <c:v>46143</c:v>
                </c:pt>
                <c:pt idx="11">
                  <c:v>46174</c:v>
                </c:pt>
              </c:numCache>
            </c:numRef>
          </c:cat>
          <c:val>
            <c:numRef>
              <c:f>'KPI 57'!$E$21:$P$21</c:f>
              <c:numCache>
                <c:formatCode>#,##0</c:formatCode>
                <c:ptCount val="12"/>
              </c:numCache>
            </c:numRef>
          </c:val>
          <c:extLst>
            <c:ext xmlns:c16="http://schemas.microsoft.com/office/drawing/2014/chart" uri="{C3380CC4-5D6E-409C-BE32-E72D297353CC}">
              <c16:uniqueId val="{00000001-6F02-40D8-87A1-4CE7548474E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22206848"/>
        <c:axId val="122737024"/>
      </c:barChart>
      <c:lineChart>
        <c:grouping val="standard"/>
        <c:varyColors val="0"/>
        <c:ser>
          <c:idx val="0"/>
          <c:order val="0"/>
          <c:tx>
            <c:strRef>
              <c:f>'KPI 57'!$D$19</c:f>
              <c:strCache>
                <c:ptCount val="1"/>
                <c:pt idx="0">
                  <c:v>Budget 2025-26</c:v>
                </c:pt>
              </c:strCache>
            </c:strRef>
          </c:tx>
          <c:spPr>
            <a:ln>
              <a:solidFill>
                <a:srgbClr val="FF0000"/>
              </a:solidFill>
            </a:ln>
          </c:spPr>
          <c:marker>
            <c:symbol val="none"/>
          </c:marker>
          <c:cat>
            <c:numRef>
              <c:f>'KPI 57'!$E$18:$P$18</c:f>
              <c:numCache>
                <c:formatCode>mmm\-yy</c:formatCode>
                <c:ptCount val="12"/>
                <c:pt idx="0">
                  <c:v>45839</c:v>
                </c:pt>
                <c:pt idx="1">
                  <c:v>45870</c:v>
                </c:pt>
                <c:pt idx="2">
                  <c:v>45901</c:v>
                </c:pt>
                <c:pt idx="3">
                  <c:v>45931</c:v>
                </c:pt>
                <c:pt idx="4">
                  <c:v>45962</c:v>
                </c:pt>
                <c:pt idx="5">
                  <c:v>45992</c:v>
                </c:pt>
                <c:pt idx="6">
                  <c:v>46023</c:v>
                </c:pt>
                <c:pt idx="7">
                  <c:v>46054</c:v>
                </c:pt>
                <c:pt idx="8">
                  <c:v>46082</c:v>
                </c:pt>
                <c:pt idx="9">
                  <c:v>46113</c:v>
                </c:pt>
                <c:pt idx="10">
                  <c:v>46143</c:v>
                </c:pt>
                <c:pt idx="11">
                  <c:v>46174</c:v>
                </c:pt>
              </c:numCache>
            </c:numRef>
          </c:cat>
          <c:val>
            <c:numRef>
              <c:f>'KPI 57'!$E$19:$P$19</c:f>
              <c:numCache>
                <c:formatCode>#,##0</c:formatCode>
                <c:ptCount val="12"/>
                <c:pt idx="0">
                  <c:v>2740</c:v>
                </c:pt>
                <c:pt idx="1">
                  <c:v>2758</c:v>
                </c:pt>
                <c:pt idx="2">
                  <c:v>2776</c:v>
                </c:pt>
                <c:pt idx="3">
                  <c:v>2794</c:v>
                </c:pt>
                <c:pt idx="4">
                  <c:v>2812</c:v>
                </c:pt>
                <c:pt idx="5">
                  <c:v>2830</c:v>
                </c:pt>
                <c:pt idx="6">
                  <c:v>2863</c:v>
                </c:pt>
                <c:pt idx="7">
                  <c:v>2886</c:v>
                </c:pt>
                <c:pt idx="8">
                  <c:v>2909</c:v>
                </c:pt>
                <c:pt idx="9">
                  <c:v>2927</c:v>
                </c:pt>
                <c:pt idx="10">
                  <c:v>2945</c:v>
                </c:pt>
                <c:pt idx="11">
                  <c:v>2963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F02-40D8-87A1-4CE7548474E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22206848"/>
        <c:axId val="122737024"/>
      </c:lineChart>
      <c:dateAx>
        <c:axId val="122206848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crossAx val="122737024"/>
        <c:crosses val="autoZero"/>
        <c:auto val="1"/>
        <c:lblOffset val="100"/>
        <c:baseTimeUnit val="months"/>
      </c:dateAx>
      <c:valAx>
        <c:axId val="122737024"/>
        <c:scaling>
          <c:orientation val="minMax"/>
        </c:scaling>
        <c:delete val="0"/>
        <c:axPos val="l"/>
        <c:majorGridlines/>
        <c:numFmt formatCode="#,##0" sourceLinked="1"/>
        <c:majorTickMark val="out"/>
        <c:minorTickMark val="none"/>
        <c:tickLblPos val="nextTo"/>
        <c:crossAx val="122206848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000000000000822" l="0.70000000000000062" r="0.70000000000000062" t="0.75000000000000822" header="0.30000000000000032" footer="0.30000000000000032"/>
    <c:pageSetup/>
  </c:printSettings>
</c:chartSpace>
</file>

<file path=xl/charts/chart7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1"/>
          <c:order val="1"/>
          <c:tx>
            <c:strRef>
              <c:f>'KPI 58'!$D$20</c:f>
              <c:strCache>
                <c:ptCount val="1"/>
                <c:pt idx="0">
                  <c:v>Actual 2025-26</c:v>
                </c:pt>
              </c:strCache>
            </c:strRef>
          </c:tx>
          <c:spPr>
            <a:solidFill>
              <a:schemeClr val="accent1"/>
            </a:solidFill>
          </c:spPr>
          <c:invertIfNegative val="0"/>
          <c:cat>
            <c:numRef>
              <c:f>'KPI 58'!$E$18:$P$18</c:f>
              <c:numCache>
                <c:formatCode>mmm\-yy</c:formatCode>
                <c:ptCount val="12"/>
                <c:pt idx="0">
                  <c:v>45839</c:v>
                </c:pt>
                <c:pt idx="1">
                  <c:v>45870</c:v>
                </c:pt>
                <c:pt idx="2">
                  <c:v>45901</c:v>
                </c:pt>
                <c:pt idx="3">
                  <c:v>45931</c:v>
                </c:pt>
                <c:pt idx="4">
                  <c:v>45962</c:v>
                </c:pt>
                <c:pt idx="5">
                  <c:v>45992</c:v>
                </c:pt>
                <c:pt idx="6">
                  <c:v>46023</c:v>
                </c:pt>
                <c:pt idx="7">
                  <c:v>46054</c:v>
                </c:pt>
                <c:pt idx="8">
                  <c:v>46082</c:v>
                </c:pt>
                <c:pt idx="9">
                  <c:v>46113</c:v>
                </c:pt>
                <c:pt idx="10">
                  <c:v>46143</c:v>
                </c:pt>
                <c:pt idx="11">
                  <c:v>46174</c:v>
                </c:pt>
              </c:numCache>
            </c:numRef>
          </c:cat>
          <c:val>
            <c:numRef>
              <c:f>'KPI 58'!$E$20:$P$20</c:f>
              <c:numCache>
                <c:formatCode>#,##0</c:formatCode>
                <c:ptCount val="12"/>
                <c:pt idx="0">
                  <c:v>984</c:v>
                </c:pt>
                <c:pt idx="1">
                  <c:v>990</c:v>
                </c:pt>
                <c:pt idx="2">
                  <c:v>993</c:v>
                </c:pt>
                <c:pt idx="3">
                  <c:v>993</c:v>
                </c:pt>
                <c:pt idx="4">
                  <c:v>996</c:v>
                </c:pt>
                <c:pt idx="5">
                  <c:v>997</c:v>
                </c:pt>
                <c:pt idx="6">
                  <c:v>999</c:v>
                </c:pt>
                <c:pt idx="7">
                  <c:v>1000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A17-4892-B278-B710195619B2}"/>
            </c:ext>
          </c:extLst>
        </c:ser>
        <c:ser>
          <c:idx val="4"/>
          <c:order val="2"/>
          <c:tx>
            <c:strRef>
              <c:f>'KPI 58'!$D$21</c:f>
              <c:strCache>
                <c:ptCount val="1"/>
                <c:pt idx="0">
                  <c:v>Actual 2024-25</c:v>
                </c:pt>
              </c:strCache>
            </c:strRef>
          </c:tx>
          <c:spPr>
            <a:solidFill>
              <a:schemeClr val="accent3"/>
            </a:solidFill>
          </c:spPr>
          <c:invertIfNegative val="0"/>
          <c:cat>
            <c:numRef>
              <c:f>'KPI 58'!$E$18:$P$18</c:f>
              <c:numCache>
                <c:formatCode>mmm\-yy</c:formatCode>
                <c:ptCount val="12"/>
                <c:pt idx="0">
                  <c:v>45839</c:v>
                </c:pt>
                <c:pt idx="1">
                  <c:v>45870</c:v>
                </c:pt>
                <c:pt idx="2">
                  <c:v>45901</c:v>
                </c:pt>
                <c:pt idx="3">
                  <c:v>45931</c:v>
                </c:pt>
                <c:pt idx="4">
                  <c:v>45962</c:v>
                </c:pt>
                <c:pt idx="5">
                  <c:v>45992</c:v>
                </c:pt>
                <c:pt idx="6">
                  <c:v>46023</c:v>
                </c:pt>
                <c:pt idx="7">
                  <c:v>46054</c:v>
                </c:pt>
                <c:pt idx="8">
                  <c:v>46082</c:v>
                </c:pt>
                <c:pt idx="9">
                  <c:v>46113</c:v>
                </c:pt>
                <c:pt idx="10">
                  <c:v>46143</c:v>
                </c:pt>
                <c:pt idx="11">
                  <c:v>46174</c:v>
                </c:pt>
              </c:numCache>
            </c:numRef>
          </c:cat>
          <c:val>
            <c:numRef>
              <c:f>'KPI 58'!$E$21:$P$21</c:f>
              <c:numCache>
                <c:formatCode>#,##0</c:formatCode>
                <c:ptCount val="12"/>
                <c:pt idx="0">
                  <c:v>1032</c:v>
                </c:pt>
                <c:pt idx="1">
                  <c:v>1034</c:v>
                </c:pt>
                <c:pt idx="2">
                  <c:v>966</c:v>
                </c:pt>
                <c:pt idx="3">
                  <c:v>969</c:v>
                </c:pt>
                <c:pt idx="4">
                  <c:v>970</c:v>
                </c:pt>
                <c:pt idx="5">
                  <c:v>971</c:v>
                </c:pt>
                <c:pt idx="6">
                  <c:v>972</c:v>
                </c:pt>
                <c:pt idx="7">
                  <c:v>977</c:v>
                </c:pt>
                <c:pt idx="8">
                  <c:v>978</c:v>
                </c:pt>
                <c:pt idx="9">
                  <c:v>981</c:v>
                </c:pt>
                <c:pt idx="10">
                  <c:v>980</c:v>
                </c:pt>
                <c:pt idx="11">
                  <c:v>981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A17-4892-B278-B710195619B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22806272"/>
        <c:axId val="122807808"/>
      </c:barChart>
      <c:lineChart>
        <c:grouping val="standard"/>
        <c:varyColors val="0"/>
        <c:ser>
          <c:idx val="0"/>
          <c:order val="0"/>
          <c:tx>
            <c:strRef>
              <c:f>'KPI 58'!$D$19</c:f>
              <c:strCache>
                <c:ptCount val="1"/>
                <c:pt idx="0">
                  <c:v>Budget 2025-26</c:v>
                </c:pt>
              </c:strCache>
            </c:strRef>
          </c:tx>
          <c:spPr>
            <a:ln>
              <a:solidFill>
                <a:srgbClr val="FF0000"/>
              </a:solidFill>
            </a:ln>
          </c:spPr>
          <c:marker>
            <c:symbol val="none"/>
          </c:marker>
          <c:cat>
            <c:numRef>
              <c:f>'KPI 58'!$E$18:$P$18</c:f>
              <c:numCache>
                <c:formatCode>mmm\-yy</c:formatCode>
                <c:ptCount val="12"/>
                <c:pt idx="0">
                  <c:v>45839</c:v>
                </c:pt>
                <c:pt idx="1">
                  <c:v>45870</c:v>
                </c:pt>
                <c:pt idx="2">
                  <c:v>45901</c:v>
                </c:pt>
                <c:pt idx="3">
                  <c:v>45931</c:v>
                </c:pt>
                <c:pt idx="4">
                  <c:v>45962</c:v>
                </c:pt>
                <c:pt idx="5">
                  <c:v>45992</c:v>
                </c:pt>
                <c:pt idx="6">
                  <c:v>46023</c:v>
                </c:pt>
                <c:pt idx="7">
                  <c:v>46054</c:v>
                </c:pt>
                <c:pt idx="8">
                  <c:v>46082</c:v>
                </c:pt>
                <c:pt idx="9">
                  <c:v>46113</c:v>
                </c:pt>
                <c:pt idx="10">
                  <c:v>46143</c:v>
                </c:pt>
                <c:pt idx="11">
                  <c:v>46174</c:v>
                </c:pt>
              </c:numCache>
            </c:numRef>
          </c:cat>
          <c:val>
            <c:numRef>
              <c:f>'KPI 58'!$E$19:$P$19</c:f>
              <c:numCache>
                <c:formatCode>#,##0</c:formatCode>
                <c:ptCount val="12"/>
                <c:pt idx="0">
                  <c:v>983</c:v>
                </c:pt>
                <c:pt idx="1">
                  <c:v>985</c:v>
                </c:pt>
                <c:pt idx="2">
                  <c:v>987</c:v>
                </c:pt>
                <c:pt idx="3">
                  <c:v>989</c:v>
                </c:pt>
                <c:pt idx="4">
                  <c:v>991</c:v>
                </c:pt>
                <c:pt idx="5">
                  <c:v>993</c:v>
                </c:pt>
                <c:pt idx="6">
                  <c:v>995</c:v>
                </c:pt>
                <c:pt idx="7">
                  <c:v>997</c:v>
                </c:pt>
                <c:pt idx="8">
                  <c:v>999</c:v>
                </c:pt>
                <c:pt idx="9">
                  <c:v>1001</c:v>
                </c:pt>
                <c:pt idx="10">
                  <c:v>1003</c:v>
                </c:pt>
                <c:pt idx="11">
                  <c:v>1005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9A17-4892-B278-B710195619B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22806272"/>
        <c:axId val="122807808"/>
      </c:lineChart>
      <c:dateAx>
        <c:axId val="122806272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crossAx val="122807808"/>
        <c:crosses val="autoZero"/>
        <c:auto val="1"/>
        <c:lblOffset val="100"/>
        <c:baseTimeUnit val="months"/>
      </c:dateAx>
      <c:valAx>
        <c:axId val="122807808"/>
        <c:scaling>
          <c:orientation val="minMax"/>
        </c:scaling>
        <c:delete val="0"/>
        <c:axPos val="l"/>
        <c:majorGridlines/>
        <c:numFmt formatCode="#,##0" sourceLinked="1"/>
        <c:majorTickMark val="out"/>
        <c:minorTickMark val="none"/>
        <c:tickLblPos val="nextTo"/>
        <c:crossAx val="122806272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000000000000822" l="0.70000000000000062" r="0.70000000000000062" t="0.75000000000000822" header="0.30000000000000032" footer="0.30000000000000032"/>
    <c:pageSetup/>
  </c:printSettings>
</c:chartSpace>
</file>

<file path=xl/charts/chart7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1"/>
          <c:order val="1"/>
          <c:tx>
            <c:strRef>
              <c:f>'KPI 58'!$D$20</c:f>
              <c:strCache>
                <c:ptCount val="1"/>
                <c:pt idx="0">
                  <c:v>Actual 2025-26</c:v>
                </c:pt>
              </c:strCache>
            </c:strRef>
          </c:tx>
          <c:spPr>
            <a:solidFill>
              <a:schemeClr val="accent1"/>
            </a:solidFill>
          </c:spPr>
          <c:invertIfNegative val="0"/>
          <c:cat>
            <c:numRef>
              <c:f>'KPI 58'!$E$18:$P$18</c:f>
              <c:numCache>
                <c:formatCode>mmm\-yy</c:formatCode>
                <c:ptCount val="12"/>
                <c:pt idx="0">
                  <c:v>45839</c:v>
                </c:pt>
                <c:pt idx="1">
                  <c:v>45870</c:v>
                </c:pt>
                <c:pt idx="2">
                  <c:v>45901</c:v>
                </c:pt>
                <c:pt idx="3">
                  <c:v>45931</c:v>
                </c:pt>
                <c:pt idx="4">
                  <c:v>45962</c:v>
                </c:pt>
                <c:pt idx="5">
                  <c:v>45992</c:v>
                </c:pt>
                <c:pt idx="6">
                  <c:v>46023</c:v>
                </c:pt>
                <c:pt idx="7">
                  <c:v>46054</c:v>
                </c:pt>
                <c:pt idx="8">
                  <c:v>46082</c:v>
                </c:pt>
                <c:pt idx="9">
                  <c:v>46113</c:v>
                </c:pt>
                <c:pt idx="10">
                  <c:v>46143</c:v>
                </c:pt>
                <c:pt idx="11">
                  <c:v>46174</c:v>
                </c:pt>
              </c:numCache>
            </c:numRef>
          </c:cat>
          <c:val>
            <c:numRef>
              <c:f>'KPI 58'!$E$20:$P$20</c:f>
              <c:numCache>
                <c:formatCode>#,##0</c:formatCode>
                <c:ptCount val="12"/>
                <c:pt idx="0">
                  <c:v>984</c:v>
                </c:pt>
                <c:pt idx="1">
                  <c:v>990</c:v>
                </c:pt>
                <c:pt idx="2">
                  <c:v>993</c:v>
                </c:pt>
                <c:pt idx="3">
                  <c:v>993</c:v>
                </c:pt>
                <c:pt idx="4">
                  <c:v>996</c:v>
                </c:pt>
                <c:pt idx="5">
                  <c:v>997</c:v>
                </c:pt>
                <c:pt idx="6">
                  <c:v>999</c:v>
                </c:pt>
                <c:pt idx="7">
                  <c:v>1000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FDF-42D5-928F-75732BAFBC08}"/>
            </c:ext>
          </c:extLst>
        </c:ser>
        <c:ser>
          <c:idx val="4"/>
          <c:order val="2"/>
          <c:tx>
            <c:strRef>
              <c:f>'KPI 58'!$D$21</c:f>
              <c:strCache>
                <c:ptCount val="1"/>
                <c:pt idx="0">
                  <c:v>Actual 2024-25</c:v>
                </c:pt>
              </c:strCache>
            </c:strRef>
          </c:tx>
          <c:spPr>
            <a:solidFill>
              <a:schemeClr val="accent3"/>
            </a:solidFill>
          </c:spPr>
          <c:invertIfNegative val="0"/>
          <c:cat>
            <c:numRef>
              <c:f>'KPI 58'!$E$18:$P$18</c:f>
              <c:numCache>
                <c:formatCode>mmm\-yy</c:formatCode>
                <c:ptCount val="12"/>
                <c:pt idx="0">
                  <c:v>45839</c:v>
                </c:pt>
                <c:pt idx="1">
                  <c:v>45870</c:v>
                </c:pt>
                <c:pt idx="2">
                  <c:v>45901</c:v>
                </c:pt>
                <c:pt idx="3">
                  <c:v>45931</c:v>
                </c:pt>
                <c:pt idx="4">
                  <c:v>45962</c:v>
                </c:pt>
                <c:pt idx="5">
                  <c:v>45992</c:v>
                </c:pt>
                <c:pt idx="6">
                  <c:v>46023</c:v>
                </c:pt>
                <c:pt idx="7">
                  <c:v>46054</c:v>
                </c:pt>
                <c:pt idx="8">
                  <c:v>46082</c:v>
                </c:pt>
                <c:pt idx="9">
                  <c:v>46113</c:v>
                </c:pt>
                <c:pt idx="10">
                  <c:v>46143</c:v>
                </c:pt>
                <c:pt idx="11">
                  <c:v>46174</c:v>
                </c:pt>
              </c:numCache>
            </c:numRef>
          </c:cat>
          <c:val>
            <c:numRef>
              <c:f>'KPI 58'!$E$21:$P$21</c:f>
              <c:numCache>
                <c:formatCode>#,##0</c:formatCode>
                <c:ptCount val="12"/>
                <c:pt idx="0">
                  <c:v>1032</c:v>
                </c:pt>
                <c:pt idx="1">
                  <c:v>1034</c:v>
                </c:pt>
                <c:pt idx="2">
                  <c:v>966</c:v>
                </c:pt>
                <c:pt idx="3">
                  <c:v>969</c:v>
                </c:pt>
                <c:pt idx="4">
                  <c:v>970</c:v>
                </c:pt>
                <c:pt idx="5">
                  <c:v>971</c:v>
                </c:pt>
                <c:pt idx="6">
                  <c:v>972</c:v>
                </c:pt>
                <c:pt idx="7">
                  <c:v>977</c:v>
                </c:pt>
                <c:pt idx="8">
                  <c:v>978</c:v>
                </c:pt>
                <c:pt idx="9">
                  <c:v>981</c:v>
                </c:pt>
                <c:pt idx="10">
                  <c:v>980</c:v>
                </c:pt>
                <c:pt idx="11">
                  <c:v>981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FDF-42D5-928F-75732BAFBC0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22806272"/>
        <c:axId val="122807808"/>
      </c:barChart>
      <c:lineChart>
        <c:grouping val="standard"/>
        <c:varyColors val="0"/>
        <c:ser>
          <c:idx val="0"/>
          <c:order val="0"/>
          <c:tx>
            <c:strRef>
              <c:f>'KPI 58'!$D$19</c:f>
              <c:strCache>
                <c:ptCount val="1"/>
                <c:pt idx="0">
                  <c:v>Budget 2025-26</c:v>
                </c:pt>
              </c:strCache>
            </c:strRef>
          </c:tx>
          <c:spPr>
            <a:ln>
              <a:solidFill>
                <a:srgbClr val="FF0000"/>
              </a:solidFill>
            </a:ln>
          </c:spPr>
          <c:marker>
            <c:symbol val="none"/>
          </c:marker>
          <c:cat>
            <c:numRef>
              <c:f>'KPI 58'!$E$18:$P$18</c:f>
              <c:numCache>
                <c:formatCode>mmm\-yy</c:formatCode>
                <c:ptCount val="12"/>
                <c:pt idx="0">
                  <c:v>45839</c:v>
                </c:pt>
                <c:pt idx="1">
                  <c:v>45870</c:v>
                </c:pt>
                <c:pt idx="2">
                  <c:v>45901</c:v>
                </c:pt>
                <c:pt idx="3">
                  <c:v>45931</c:v>
                </c:pt>
                <c:pt idx="4">
                  <c:v>45962</c:v>
                </c:pt>
                <c:pt idx="5">
                  <c:v>45992</c:v>
                </c:pt>
                <c:pt idx="6">
                  <c:v>46023</c:v>
                </c:pt>
                <c:pt idx="7">
                  <c:v>46054</c:v>
                </c:pt>
                <c:pt idx="8">
                  <c:v>46082</c:v>
                </c:pt>
                <c:pt idx="9">
                  <c:v>46113</c:v>
                </c:pt>
                <c:pt idx="10">
                  <c:v>46143</c:v>
                </c:pt>
                <c:pt idx="11">
                  <c:v>46174</c:v>
                </c:pt>
              </c:numCache>
            </c:numRef>
          </c:cat>
          <c:val>
            <c:numRef>
              <c:f>'KPI 58'!$E$19:$P$19</c:f>
              <c:numCache>
                <c:formatCode>#,##0</c:formatCode>
                <c:ptCount val="12"/>
                <c:pt idx="0">
                  <c:v>983</c:v>
                </c:pt>
                <c:pt idx="1">
                  <c:v>985</c:v>
                </c:pt>
                <c:pt idx="2">
                  <c:v>987</c:v>
                </c:pt>
                <c:pt idx="3">
                  <c:v>989</c:v>
                </c:pt>
                <c:pt idx="4">
                  <c:v>991</c:v>
                </c:pt>
                <c:pt idx="5">
                  <c:v>993</c:v>
                </c:pt>
                <c:pt idx="6">
                  <c:v>995</c:v>
                </c:pt>
                <c:pt idx="7">
                  <c:v>997</c:v>
                </c:pt>
                <c:pt idx="8">
                  <c:v>999</c:v>
                </c:pt>
                <c:pt idx="9">
                  <c:v>1001</c:v>
                </c:pt>
                <c:pt idx="10">
                  <c:v>1003</c:v>
                </c:pt>
                <c:pt idx="11">
                  <c:v>1005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DFDF-42D5-928F-75732BAFBC0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22806272"/>
        <c:axId val="122807808"/>
      </c:lineChart>
      <c:dateAx>
        <c:axId val="122806272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crossAx val="122807808"/>
        <c:crosses val="autoZero"/>
        <c:auto val="1"/>
        <c:lblOffset val="100"/>
        <c:baseTimeUnit val="months"/>
      </c:dateAx>
      <c:valAx>
        <c:axId val="122807808"/>
        <c:scaling>
          <c:orientation val="minMax"/>
        </c:scaling>
        <c:delete val="0"/>
        <c:axPos val="l"/>
        <c:majorGridlines/>
        <c:numFmt formatCode="#,##0" sourceLinked="1"/>
        <c:majorTickMark val="out"/>
        <c:minorTickMark val="none"/>
        <c:tickLblPos val="nextTo"/>
        <c:crossAx val="122806272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000000000000822" l="0.70000000000000062" r="0.70000000000000062" t="0.75000000000000822" header="0.30000000000000032" footer="0.30000000000000032"/>
    <c:pageSetup/>
  </c:printSettings>
</c:chartSpace>
</file>

<file path=xl/charts/chart7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1"/>
          <c:order val="1"/>
          <c:tx>
            <c:strRef>
              <c:f>'KPI 59'!$D$20</c:f>
              <c:strCache>
                <c:ptCount val="1"/>
                <c:pt idx="0">
                  <c:v>Actual 2025-26</c:v>
                </c:pt>
              </c:strCache>
            </c:strRef>
          </c:tx>
          <c:spPr>
            <a:solidFill>
              <a:schemeClr val="accent1"/>
            </a:solidFill>
          </c:spPr>
          <c:invertIfNegative val="0"/>
          <c:cat>
            <c:numRef>
              <c:f>'KPI 59'!$E$18:$P$18</c:f>
              <c:numCache>
                <c:formatCode>mmm\-yy</c:formatCode>
                <c:ptCount val="12"/>
                <c:pt idx="0">
                  <c:v>45839</c:v>
                </c:pt>
                <c:pt idx="1">
                  <c:v>45870</c:v>
                </c:pt>
                <c:pt idx="2">
                  <c:v>45901</c:v>
                </c:pt>
                <c:pt idx="3">
                  <c:v>45931</c:v>
                </c:pt>
                <c:pt idx="4">
                  <c:v>45962</c:v>
                </c:pt>
                <c:pt idx="5">
                  <c:v>45992</c:v>
                </c:pt>
                <c:pt idx="6">
                  <c:v>46023</c:v>
                </c:pt>
                <c:pt idx="7">
                  <c:v>46054</c:v>
                </c:pt>
                <c:pt idx="8">
                  <c:v>46082</c:v>
                </c:pt>
                <c:pt idx="9">
                  <c:v>46113</c:v>
                </c:pt>
                <c:pt idx="10">
                  <c:v>46143</c:v>
                </c:pt>
                <c:pt idx="11">
                  <c:v>46174</c:v>
                </c:pt>
              </c:numCache>
            </c:numRef>
          </c:cat>
          <c:val>
            <c:numRef>
              <c:f>'KPI 59'!$E$20:$P$20</c:f>
              <c:numCache>
                <c:formatCode>#,##0</c:formatCode>
                <c:ptCount val="12"/>
                <c:pt idx="0">
                  <c:v>735</c:v>
                </c:pt>
                <c:pt idx="1">
                  <c:v>755</c:v>
                </c:pt>
                <c:pt idx="2">
                  <c:v>798</c:v>
                </c:pt>
                <c:pt idx="3">
                  <c:v>843</c:v>
                </c:pt>
                <c:pt idx="4">
                  <c:v>874</c:v>
                </c:pt>
                <c:pt idx="5">
                  <c:v>928</c:v>
                </c:pt>
                <c:pt idx="6">
                  <c:v>955</c:v>
                </c:pt>
                <c:pt idx="7">
                  <c:v>985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184-4CBF-A88E-B959E013EF79}"/>
            </c:ext>
          </c:extLst>
        </c:ser>
        <c:ser>
          <c:idx val="4"/>
          <c:order val="2"/>
          <c:tx>
            <c:strRef>
              <c:f>'KPI 59'!$D$21</c:f>
              <c:strCache>
                <c:ptCount val="1"/>
                <c:pt idx="0">
                  <c:v>Actual 2024-25</c:v>
                </c:pt>
              </c:strCache>
            </c:strRef>
          </c:tx>
          <c:spPr>
            <a:solidFill>
              <a:schemeClr val="accent3"/>
            </a:solidFill>
          </c:spPr>
          <c:invertIfNegative val="0"/>
          <c:cat>
            <c:numRef>
              <c:f>'KPI 59'!$E$18:$P$18</c:f>
              <c:numCache>
                <c:formatCode>mmm\-yy</c:formatCode>
                <c:ptCount val="12"/>
                <c:pt idx="0">
                  <c:v>45839</c:v>
                </c:pt>
                <c:pt idx="1">
                  <c:v>45870</c:v>
                </c:pt>
                <c:pt idx="2">
                  <c:v>45901</c:v>
                </c:pt>
                <c:pt idx="3">
                  <c:v>45931</c:v>
                </c:pt>
                <c:pt idx="4">
                  <c:v>45962</c:v>
                </c:pt>
                <c:pt idx="5">
                  <c:v>45992</c:v>
                </c:pt>
                <c:pt idx="6">
                  <c:v>46023</c:v>
                </c:pt>
                <c:pt idx="7">
                  <c:v>46054</c:v>
                </c:pt>
                <c:pt idx="8">
                  <c:v>46082</c:v>
                </c:pt>
                <c:pt idx="9">
                  <c:v>46113</c:v>
                </c:pt>
                <c:pt idx="10">
                  <c:v>46143</c:v>
                </c:pt>
                <c:pt idx="11">
                  <c:v>46174</c:v>
                </c:pt>
              </c:numCache>
            </c:numRef>
          </c:cat>
          <c:val>
            <c:numRef>
              <c:f>'KPI 59'!$E$21:$P$21</c:f>
              <c:numCache>
                <c:formatCode>#,##0</c:formatCode>
                <c:ptCount val="12"/>
                <c:pt idx="0">
                  <c:v>459</c:v>
                </c:pt>
                <c:pt idx="1">
                  <c:v>466</c:v>
                </c:pt>
                <c:pt idx="2">
                  <c:v>487</c:v>
                </c:pt>
                <c:pt idx="3">
                  <c:v>489</c:v>
                </c:pt>
                <c:pt idx="4">
                  <c:v>517</c:v>
                </c:pt>
                <c:pt idx="5">
                  <c:v>550</c:v>
                </c:pt>
                <c:pt idx="6">
                  <c:v>555</c:v>
                </c:pt>
                <c:pt idx="7">
                  <c:v>593</c:v>
                </c:pt>
                <c:pt idx="8">
                  <c:v>613</c:v>
                </c:pt>
                <c:pt idx="9">
                  <c:v>641</c:v>
                </c:pt>
                <c:pt idx="10">
                  <c:v>658</c:v>
                </c:pt>
                <c:pt idx="11">
                  <c:v>681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184-4CBF-A88E-B959E013EF7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21881728"/>
        <c:axId val="121883264"/>
      </c:barChart>
      <c:lineChart>
        <c:grouping val="standard"/>
        <c:varyColors val="0"/>
        <c:ser>
          <c:idx val="0"/>
          <c:order val="0"/>
          <c:tx>
            <c:strRef>
              <c:f>'KPI 59'!$D$19</c:f>
              <c:strCache>
                <c:ptCount val="1"/>
                <c:pt idx="0">
                  <c:v>Budget 2025-26</c:v>
                </c:pt>
              </c:strCache>
            </c:strRef>
          </c:tx>
          <c:spPr>
            <a:ln>
              <a:solidFill>
                <a:srgbClr val="FF0000"/>
              </a:solidFill>
            </a:ln>
          </c:spPr>
          <c:marker>
            <c:symbol val="none"/>
          </c:marker>
          <c:cat>
            <c:numRef>
              <c:f>'KPI 59'!$E$18:$P$18</c:f>
              <c:numCache>
                <c:formatCode>mmm\-yy</c:formatCode>
                <c:ptCount val="12"/>
                <c:pt idx="0">
                  <c:v>45839</c:v>
                </c:pt>
                <c:pt idx="1">
                  <c:v>45870</c:v>
                </c:pt>
                <c:pt idx="2">
                  <c:v>45901</c:v>
                </c:pt>
                <c:pt idx="3">
                  <c:v>45931</c:v>
                </c:pt>
                <c:pt idx="4">
                  <c:v>45962</c:v>
                </c:pt>
                <c:pt idx="5">
                  <c:v>45992</c:v>
                </c:pt>
                <c:pt idx="6">
                  <c:v>46023</c:v>
                </c:pt>
                <c:pt idx="7">
                  <c:v>46054</c:v>
                </c:pt>
                <c:pt idx="8">
                  <c:v>46082</c:v>
                </c:pt>
                <c:pt idx="9">
                  <c:v>46113</c:v>
                </c:pt>
                <c:pt idx="10">
                  <c:v>46143</c:v>
                </c:pt>
                <c:pt idx="11">
                  <c:v>46174</c:v>
                </c:pt>
              </c:numCache>
            </c:numRef>
          </c:cat>
          <c:val>
            <c:numRef>
              <c:f>'KPI 59'!$E$19:$P$19</c:f>
              <c:numCache>
                <c:formatCode>#,##0</c:formatCode>
                <c:ptCount val="12"/>
                <c:pt idx="0">
                  <c:v>732</c:v>
                </c:pt>
                <c:pt idx="1">
                  <c:v>783</c:v>
                </c:pt>
                <c:pt idx="2">
                  <c:v>829</c:v>
                </c:pt>
                <c:pt idx="3">
                  <c:v>900</c:v>
                </c:pt>
                <c:pt idx="4">
                  <c:v>971</c:v>
                </c:pt>
                <c:pt idx="5">
                  <c:v>1037</c:v>
                </c:pt>
                <c:pt idx="6">
                  <c:v>1098</c:v>
                </c:pt>
                <c:pt idx="7">
                  <c:v>1159</c:v>
                </c:pt>
                <c:pt idx="8">
                  <c:v>1215</c:v>
                </c:pt>
                <c:pt idx="9">
                  <c:v>1261</c:v>
                </c:pt>
                <c:pt idx="10">
                  <c:v>1307</c:v>
                </c:pt>
                <c:pt idx="11">
                  <c:v>1353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D184-4CBF-A88E-B959E013EF7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21881728"/>
        <c:axId val="121883264"/>
      </c:lineChart>
      <c:dateAx>
        <c:axId val="121881728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crossAx val="121883264"/>
        <c:crosses val="autoZero"/>
        <c:auto val="1"/>
        <c:lblOffset val="100"/>
        <c:baseTimeUnit val="months"/>
      </c:dateAx>
      <c:valAx>
        <c:axId val="121883264"/>
        <c:scaling>
          <c:orientation val="minMax"/>
        </c:scaling>
        <c:delete val="0"/>
        <c:axPos val="l"/>
        <c:majorGridlines/>
        <c:numFmt formatCode="#,##0" sourceLinked="1"/>
        <c:majorTickMark val="out"/>
        <c:minorTickMark val="none"/>
        <c:tickLblPos val="nextTo"/>
        <c:crossAx val="121881728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000000000000822" l="0.70000000000000062" r="0.70000000000000062" t="0.75000000000000822" header="0.30000000000000032" footer="0.30000000000000032"/>
    <c:pageSetup/>
  </c:printSettings>
</c:chartSpace>
</file>

<file path=xl/charts/chart7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1"/>
          <c:order val="1"/>
          <c:tx>
            <c:strRef>
              <c:f>'KPI 59'!$D$20</c:f>
              <c:strCache>
                <c:ptCount val="1"/>
                <c:pt idx="0">
                  <c:v>Actual 2025-26</c:v>
                </c:pt>
              </c:strCache>
            </c:strRef>
          </c:tx>
          <c:spPr>
            <a:solidFill>
              <a:schemeClr val="accent1"/>
            </a:solidFill>
          </c:spPr>
          <c:invertIfNegative val="0"/>
          <c:cat>
            <c:numRef>
              <c:f>'KPI 59'!$E$18:$P$18</c:f>
              <c:numCache>
                <c:formatCode>mmm\-yy</c:formatCode>
                <c:ptCount val="12"/>
                <c:pt idx="0">
                  <c:v>45839</c:v>
                </c:pt>
                <c:pt idx="1">
                  <c:v>45870</c:v>
                </c:pt>
                <c:pt idx="2">
                  <c:v>45901</c:v>
                </c:pt>
                <c:pt idx="3">
                  <c:v>45931</c:v>
                </c:pt>
                <c:pt idx="4">
                  <c:v>45962</c:v>
                </c:pt>
                <c:pt idx="5">
                  <c:v>45992</c:v>
                </c:pt>
                <c:pt idx="6">
                  <c:v>46023</c:v>
                </c:pt>
                <c:pt idx="7">
                  <c:v>46054</c:v>
                </c:pt>
                <c:pt idx="8">
                  <c:v>46082</c:v>
                </c:pt>
                <c:pt idx="9">
                  <c:v>46113</c:v>
                </c:pt>
                <c:pt idx="10">
                  <c:v>46143</c:v>
                </c:pt>
                <c:pt idx="11">
                  <c:v>46174</c:v>
                </c:pt>
              </c:numCache>
            </c:numRef>
          </c:cat>
          <c:val>
            <c:numRef>
              <c:f>'KPI 59'!$E$20:$P$20</c:f>
              <c:numCache>
                <c:formatCode>#,##0</c:formatCode>
                <c:ptCount val="12"/>
                <c:pt idx="0">
                  <c:v>735</c:v>
                </c:pt>
                <c:pt idx="1">
                  <c:v>755</c:v>
                </c:pt>
                <c:pt idx="2">
                  <c:v>798</c:v>
                </c:pt>
                <c:pt idx="3">
                  <c:v>843</c:v>
                </c:pt>
                <c:pt idx="4">
                  <c:v>874</c:v>
                </c:pt>
                <c:pt idx="5">
                  <c:v>928</c:v>
                </c:pt>
                <c:pt idx="6">
                  <c:v>955</c:v>
                </c:pt>
                <c:pt idx="7">
                  <c:v>985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BF9-4216-8B40-3BBC437DAD97}"/>
            </c:ext>
          </c:extLst>
        </c:ser>
        <c:ser>
          <c:idx val="4"/>
          <c:order val="2"/>
          <c:tx>
            <c:strRef>
              <c:f>'KPI 59'!$D$21</c:f>
              <c:strCache>
                <c:ptCount val="1"/>
                <c:pt idx="0">
                  <c:v>Actual 2024-25</c:v>
                </c:pt>
              </c:strCache>
            </c:strRef>
          </c:tx>
          <c:spPr>
            <a:solidFill>
              <a:schemeClr val="accent3"/>
            </a:solidFill>
          </c:spPr>
          <c:invertIfNegative val="0"/>
          <c:cat>
            <c:numRef>
              <c:f>'KPI 59'!$E$18:$P$18</c:f>
              <c:numCache>
                <c:formatCode>mmm\-yy</c:formatCode>
                <c:ptCount val="12"/>
                <c:pt idx="0">
                  <c:v>45839</c:v>
                </c:pt>
                <c:pt idx="1">
                  <c:v>45870</c:v>
                </c:pt>
                <c:pt idx="2">
                  <c:v>45901</c:v>
                </c:pt>
                <c:pt idx="3">
                  <c:v>45931</c:v>
                </c:pt>
                <c:pt idx="4">
                  <c:v>45962</c:v>
                </c:pt>
                <c:pt idx="5">
                  <c:v>45992</c:v>
                </c:pt>
                <c:pt idx="6">
                  <c:v>46023</c:v>
                </c:pt>
                <c:pt idx="7">
                  <c:v>46054</c:v>
                </c:pt>
                <c:pt idx="8">
                  <c:v>46082</c:v>
                </c:pt>
                <c:pt idx="9">
                  <c:v>46113</c:v>
                </c:pt>
                <c:pt idx="10">
                  <c:v>46143</c:v>
                </c:pt>
                <c:pt idx="11">
                  <c:v>46174</c:v>
                </c:pt>
              </c:numCache>
            </c:numRef>
          </c:cat>
          <c:val>
            <c:numRef>
              <c:f>'KPI 59'!$E$21:$P$21</c:f>
              <c:numCache>
                <c:formatCode>#,##0</c:formatCode>
                <c:ptCount val="12"/>
                <c:pt idx="0">
                  <c:v>459</c:v>
                </c:pt>
                <c:pt idx="1">
                  <c:v>466</c:v>
                </c:pt>
                <c:pt idx="2">
                  <c:v>487</c:v>
                </c:pt>
                <c:pt idx="3">
                  <c:v>489</c:v>
                </c:pt>
                <c:pt idx="4">
                  <c:v>517</c:v>
                </c:pt>
                <c:pt idx="5">
                  <c:v>550</c:v>
                </c:pt>
                <c:pt idx="6">
                  <c:v>555</c:v>
                </c:pt>
                <c:pt idx="7">
                  <c:v>593</c:v>
                </c:pt>
                <c:pt idx="8">
                  <c:v>613</c:v>
                </c:pt>
                <c:pt idx="9">
                  <c:v>641</c:v>
                </c:pt>
                <c:pt idx="10">
                  <c:v>658</c:v>
                </c:pt>
                <c:pt idx="11">
                  <c:v>681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BF9-4216-8B40-3BBC437DAD9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21881728"/>
        <c:axId val="121883264"/>
      </c:barChart>
      <c:lineChart>
        <c:grouping val="standard"/>
        <c:varyColors val="0"/>
        <c:ser>
          <c:idx val="0"/>
          <c:order val="0"/>
          <c:tx>
            <c:strRef>
              <c:f>'KPI 59'!$D$19</c:f>
              <c:strCache>
                <c:ptCount val="1"/>
                <c:pt idx="0">
                  <c:v>Budget 2025-26</c:v>
                </c:pt>
              </c:strCache>
            </c:strRef>
          </c:tx>
          <c:spPr>
            <a:ln>
              <a:solidFill>
                <a:srgbClr val="FF0000"/>
              </a:solidFill>
            </a:ln>
          </c:spPr>
          <c:marker>
            <c:symbol val="none"/>
          </c:marker>
          <c:cat>
            <c:numRef>
              <c:f>'KPI 59'!$E$18:$P$18</c:f>
              <c:numCache>
                <c:formatCode>mmm\-yy</c:formatCode>
                <c:ptCount val="12"/>
                <c:pt idx="0">
                  <c:v>45839</c:v>
                </c:pt>
                <c:pt idx="1">
                  <c:v>45870</c:v>
                </c:pt>
                <c:pt idx="2">
                  <c:v>45901</c:v>
                </c:pt>
                <c:pt idx="3">
                  <c:v>45931</c:v>
                </c:pt>
                <c:pt idx="4">
                  <c:v>45962</c:v>
                </c:pt>
                <c:pt idx="5">
                  <c:v>45992</c:v>
                </c:pt>
                <c:pt idx="6">
                  <c:v>46023</c:v>
                </c:pt>
                <c:pt idx="7">
                  <c:v>46054</c:v>
                </c:pt>
                <c:pt idx="8">
                  <c:v>46082</c:v>
                </c:pt>
                <c:pt idx="9">
                  <c:v>46113</c:v>
                </c:pt>
                <c:pt idx="10">
                  <c:v>46143</c:v>
                </c:pt>
                <c:pt idx="11">
                  <c:v>46174</c:v>
                </c:pt>
              </c:numCache>
            </c:numRef>
          </c:cat>
          <c:val>
            <c:numRef>
              <c:f>'KPI 59'!$E$19:$P$19</c:f>
              <c:numCache>
                <c:formatCode>#,##0</c:formatCode>
                <c:ptCount val="12"/>
                <c:pt idx="0">
                  <c:v>732</c:v>
                </c:pt>
                <c:pt idx="1">
                  <c:v>783</c:v>
                </c:pt>
                <c:pt idx="2">
                  <c:v>829</c:v>
                </c:pt>
                <c:pt idx="3">
                  <c:v>900</c:v>
                </c:pt>
                <c:pt idx="4">
                  <c:v>971</c:v>
                </c:pt>
                <c:pt idx="5">
                  <c:v>1037</c:v>
                </c:pt>
                <c:pt idx="6">
                  <c:v>1098</c:v>
                </c:pt>
                <c:pt idx="7">
                  <c:v>1159</c:v>
                </c:pt>
                <c:pt idx="8">
                  <c:v>1215</c:v>
                </c:pt>
                <c:pt idx="9">
                  <c:v>1261</c:v>
                </c:pt>
                <c:pt idx="10">
                  <c:v>1307</c:v>
                </c:pt>
                <c:pt idx="11">
                  <c:v>1353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1BF9-4216-8B40-3BBC437DAD9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21881728"/>
        <c:axId val="121883264"/>
      </c:lineChart>
      <c:dateAx>
        <c:axId val="121881728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crossAx val="121883264"/>
        <c:crosses val="autoZero"/>
        <c:auto val="1"/>
        <c:lblOffset val="100"/>
        <c:baseTimeUnit val="months"/>
      </c:dateAx>
      <c:valAx>
        <c:axId val="121883264"/>
        <c:scaling>
          <c:orientation val="minMax"/>
        </c:scaling>
        <c:delete val="0"/>
        <c:axPos val="l"/>
        <c:majorGridlines/>
        <c:numFmt formatCode="#,##0" sourceLinked="1"/>
        <c:majorTickMark val="out"/>
        <c:minorTickMark val="none"/>
        <c:tickLblPos val="nextTo"/>
        <c:crossAx val="121881728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000000000000822" l="0.70000000000000062" r="0.70000000000000062" t="0.75000000000000822" header="0.30000000000000032" footer="0.30000000000000032"/>
    <c:pageSetup/>
  </c:printSettings>
</c:chartSpace>
</file>

<file path=xl/charts/chart7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1"/>
          <c:order val="1"/>
          <c:tx>
            <c:strRef>
              <c:f>'KPI 60'!$D$20</c:f>
              <c:strCache>
                <c:ptCount val="1"/>
                <c:pt idx="0">
                  <c:v>Actual 2025-26</c:v>
                </c:pt>
              </c:strCache>
            </c:strRef>
          </c:tx>
          <c:spPr>
            <a:solidFill>
              <a:schemeClr val="accent1"/>
            </a:solidFill>
          </c:spPr>
          <c:invertIfNegative val="0"/>
          <c:cat>
            <c:numRef>
              <c:f>'KPI 60'!$E$18:$P$18</c:f>
              <c:numCache>
                <c:formatCode>mmm\-yy</c:formatCode>
                <c:ptCount val="12"/>
                <c:pt idx="0">
                  <c:v>45839</c:v>
                </c:pt>
                <c:pt idx="1">
                  <c:v>45870</c:v>
                </c:pt>
                <c:pt idx="2">
                  <c:v>45901</c:v>
                </c:pt>
                <c:pt idx="3">
                  <c:v>45931</c:v>
                </c:pt>
                <c:pt idx="4">
                  <c:v>45962</c:v>
                </c:pt>
                <c:pt idx="5">
                  <c:v>45992</c:v>
                </c:pt>
                <c:pt idx="6">
                  <c:v>46023</c:v>
                </c:pt>
                <c:pt idx="7">
                  <c:v>46054</c:v>
                </c:pt>
                <c:pt idx="8">
                  <c:v>46082</c:v>
                </c:pt>
                <c:pt idx="9">
                  <c:v>46113</c:v>
                </c:pt>
                <c:pt idx="10">
                  <c:v>46143</c:v>
                </c:pt>
                <c:pt idx="11">
                  <c:v>46174</c:v>
                </c:pt>
              </c:numCache>
            </c:numRef>
          </c:cat>
          <c:val>
            <c:numRef>
              <c:f>'KPI 60'!$E$20:$P$20</c:f>
              <c:numCache>
                <c:formatCode>#,##0</c:formatCode>
                <c:ptCount val="12"/>
                <c:pt idx="0">
                  <c:v>3129</c:v>
                </c:pt>
                <c:pt idx="1">
                  <c:v>3190</c:v>
                </c:pt>
                <c:pt idx="2">
                  <c:v>3264</c:v>
                </c:pt>
                <c:pt idx="3">
                  <c:v>3347</c:v>
                </c:pt>
                <c:pt idx="4">
                  <c:v>3404</c:v>
                </c:pt>
                <c:pt idx="5">
                  <c:v>3491</c:v>
                </c:pt>
                <c:pt idx="6">
                  <c:v>3542</c:v>
                </c:pt>
                <c:pt idx="7">
                  <c:v>3605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C36-4EB3-8202-B58326BC139A}"/>
            </c:ext>
          </c:extLst>
        </c:ser>
        <c:ser>
          <c:idx val="4"/>
          <c:order val="2"/>
          <c:tx>
            <c:strRef>
              <c:f>'KPI 60'!$D$21</c:f>
              <c:strCache>
                <c:ptCount val="1"/>
                <c:pt idx="0">
                  <c:v>Actual 2024-25</c:v>
                </c:pt>
              </c:strCache>
            </c:strRef>
          </c:tx>
          <c:spPr>
            <a:solidFill>
              <a:schemeClr val="accent3"/>
            </a:solidFill>
          </c:spPr>
          <c:invertIfNegative val="0"/>
          <c:cat>
            <c:numRef>
              <c:f>'KPI 60'!$E$18:$P$18</c:f>
              <c:numCache>
                <c:formatCode>mmm\-yy</c:formatCode>
                <c:ptCount val="12"/>
                <c:pt idx="0">
                  <c:v>45839</c:v>
                </c:pt>
                <c:pt idx="1">
                  <c:v>45870</c:v>
                </c:pt>
                <c:pt idx="2">
                  <c:v>45901</c:v>
                </c:pt>
                <c:pt idx="3">
                  <c:v>45931</c:v>
                </c:pt>
                <c:pt idx="4">
                  <c:v>45962</c:v>
                </c:pt>
                <c:pt idx="5">
                  <c:v>45992</c:v>
                </c:pt>
                <c:pt idx="6">
                  <c:v>46023</c:v>
                </c:pt>
                <c:pt idx="7">
                  <c:v>46054</c:v>
                </c:pt>
                <c:pt idx="8">
                  <c:v>46082</c:v>
                </c:pt>
                <c:pt idx="9">
                  <c:v>46113</c:v>
                </c:pt>
                <c:pt idx="10">
                  <c:v>46143</c:v>
                </c:pt>
                <c:pt idx="11">
                  <c:v>46174</c:v>
                </c:pt>
              </c:numCache>
            </c:numRef>
          </c:cat>
          <c:val>
            <c:numRef>
              <c:f>'KPI 60'!$E$21:$P$21</c:f>
              <c:numCache>
                <c:formatCode>#,##0</c:formatCode>
                <c:ptCount val="12"/>
                <c:pt idx="0">
                  <c:v>2708</c:v>
                </c:pt>
                <c:pt idx="1">
                  <c:v>2724</c:v>
                </c:pt>
                <c:pt idx="2">
                  <c:v>2750</c:v>
                </c:pt>
                <c:pt idx="3">
                  <c:v>2755</c:v>
                </c:pt>
                <c:pt idx="4">
                  <c:v>2792</c:v>
                </c:pt>
                <c:pt idx="5">
                  <c:v>2824</c:v>
                </c:pt>
                <c:pt idx="6">
                  <c:v>2832</c:v>
                </c:pt>
                <c:pt idx="7">
                  <c:v>2892</c:v>
                </c:pt>
                <c:pt idx="8">
                  <c:v>2930</c:v>
                </c:pt>
                <c:pt idx="9">
                  <c:v>2969</c:v>
                </c:pt>
                <c:pt idx="10">
                  <c:v>3015</c:v>
                </c:pt>
                <c:pt idx="11">
                  <c:v>3047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C36-4EB3-8202-B58326BC139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19589120"/>
        <c:axId val="119590912"/>
      </c:barChart>
      <c:lineChart>
        <c:grouping val="standard"/>
        <c:varyColors val="0"/>
        <c:ser>
          <c:idx val="0"/>
          <c:order val="0"/>
          <c:tx>
            <c:strRef>
              <c:f>'KPI 60'!$D$19</c:f>
              <c:strCache>
                <c:ptCount val="1"/>
                <c:pt idx="0">
                  <c:v>Budget 2025-26</c:v>
                </c:pt>
              </c:strCache>
            </c:strRef>
          </c:tx>
          <c:spPr>
            <a:ln>
              <a:solidFill>
                <a:srgbClr val="FF0000"/>
              </a:solidFill>
            </a:ln>
          </c:spPr>
          <c:marker>
            <c:symbol val="none"/>
          </c:marker>
          <c:cat>
            <c:numRef>
              <c:f>'KPI 60'!$E$18:$P$18</c:f>
              <c:numCache>
                <c:formatCode>mmm\-yy</c:formatCode>
                <c:ptCount val="12"/>
                <c:pt idx="0">
                  <c:v>45839</c:v>
                </c:pt>
                <c:pt idx="1">
                  <c:v>45870</c:v>
                </c:pt>
                <c:pt idx="2">
                  <c:v>45901</c:v>
                </c:pt>
                <c:pt idx="3">
                  <c:v>45931</c:v>
                </c:pt>
                <c:pt idx="4">
                  <c:v>45962</c:v>
                </c:pt>
                <c:pt idx="5">
                  <c:v>45992</c:v>
                </c:pt>
                <c:pt idx="6">
                  <c:v>46023</c:v>
                </c:pt>
                <c:pt idx="7">
                  <c:v>46054</c:v>
                </c:pt>
                <c:pt idx="8">
                  <c:v>46082</c:v>
                </c:pt>
                <c:pt idx="9">
                  <c:v>46113</c:v>
                </c:pt>
                <c:pt idx="10">
                  <c:v>46143</c:v>
                </c:pt>
                <c:pt idx="11">
                  <c:v>46174</c:v>
                </c:pt>
              </c:numCache>
            </c:numRef>
          </c:cat>
          <c:val>
            <c:numRef>
              <c:f>'KPI 60'!$E$19:$P$19</c:f>
              <c:numCache>
                <c:formatCode>#,##0</c:formatCode>
                <c:ptCount val="12"/>
                <c:pt idx="0">
                  <c:v>3117</c:v>
                </c:pt>
                <c:pt idx="1">
                  <c:v>3187</c:v>
                </c:pt>
                <c:pt idx="2">
                  <c:v>3264</c:v>
                </c:pt>
                <c:pt idx="3">
                  <c:v>3416</c:v>
                </c:pt>
                <c:pt idx="4">
                  <c:v>3558</c:v>
                </c:pt>
                <c:pt idx="5">
                  <c:v>3695</c:v>
                </c:pt>
                <c:pt idx="6">
                  <c:v>3822</c:v>
                </c:pt>
                <c:pt idx="7">
                  <c:v>3949</c:v>
                </c:pt>
                <c:pt idx="8">
                  <c:v>4061</c:v>
                </c:pt>
                <c:pt idx="9">
                  <c:v>4158</c:v>
                </c:pt>
                <c:pt idx="10">
                  <c:v>4255</c:v>
                </c:pt>
                <c:pt idx="11">
                  <c:v>4350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8C36-4EB3-8202-B58326BC139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19589120"/>
        <c:axId val="119590912"/>
      </c:lineChart>
      <c:dateAx>
        <c:axId val="119589120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crossAx val="119590912"/>
        <c:crosses val="autoZero"/>
        <c:auto val="1"/>
        <c:lblOffset val="100"/>
        <c:baseTimeUnit val="months"/>
      </c:dateAx>
      <c:valAx>
        <c:axId val="119590912"/>
        <c:scaling>
          <c:orientation val="minMax"/>
        </c:scaling>
        <c:delete val="0"/>
        <c:axPos val="l"/>
        <c:majorGridlines/>
        <c:numFmt formatCode="#,##0" sourceLinked="1"/>
        <c:majorTickMark val="out"/>
        <c:minorTickMark val="none"/>
        <c:tickLblPos val="nextTo"/>
        <c:crossAx val="11958912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000000000000822" l="0.70000000000000062" r="0.70000000000000062" t="0.75000000000000822" header="0.30000000000000032" footer="0.30000000000000032"/>
    <c:pageSetup/>
  </c:printSettings>
</c:chartSpace>
</file>

<file path=xl/charts/chart7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1"/>
          <c:order val="1"/>
          <c:tx>
            <c:strRef>
              <c:f>'KPI 60'!$D$20</c:f>
              <c:strCache>
                <c:ptCount val="1"/>
                <c:pt idx="0">
                  <c:v>Actual 2025-26</c:v>
                </c:pt>
              </c:strCache>
            </c:strRef>
          </c:tx>
          <c:spPr>
            <a:solidFill>
              <a:schemeClr val="accent1"/>
            </a:solidFill>
          </c:spPr>
          <c:invertIfNegative val="0"/>
          <c:cat>
            <c:numRef>
              <c:f>'KPI 60'!$E$18:$P$18</c:f>
              <c:numCache>
                <c:formatCode>mmm\-yy</c:formatCode>
                <c:ptCount val="12"/>
                <c:pt idx="0">
                  <c:v>45839</c:v>
                </c:pt>
                <c:pt idx="1">
                  <c:v>45870</c:v>
                </c:pt>
                <c:pt idx="2">
                  <c:v>45901</c:v>
                </c:pt>
                <c:pt idx="3">
                  <c:v>45931</c:v>
                </c:pt>
                <c:pt idx="4">
                  <c:v>45962</c:v>
                </c:pt>
                <c:pt idx="5">
                  <c:v>45992</c:v>
                </c:pt>
                <c:pt idx="6">
                  <c:v>46023</c:v>
                </c:pt>
                <c:pt idx="7">
                  <c:v>46054</c:v>
                </c:pt>
                <c:pt idx="8">
                  <c:v>46082</c:v>
                </c:pt>
                <c:pt idx="9">
                  <c:v>46113</c:v>
                </c:pt>
                <c:pt idx="10">
                  <c:v>46143</c:v>
                </c:pt>
                <c:pt idx="11">
                  <c:v>46174</c:v>
                </c:pt>
              </c:numCache>
            </c:numRef>
          </c:cat>
          <c:val>
            <c:numRef>
              <c:f>'KPI 60'!$E$20:$P$20</c:f>
              <c:numCache>
                <c:formatCode>#,##0</c:formatCode>
                <c:ptCount val="12"/>
                <c:pt idx="0">
                  <c:v>3129</c:v>
                </c:pt>
                <c:pt idx="1">
                  <c:v>3190</c:v>
                </c:pt>
                <c:pt idx="2">
                  <c:v>3264</c:v>
                </c:pt>
                <c:pt idx="3">
                  <c:v>3347</c:v>
                </c:pt>
                <c:pt idx="4">
                  <c:v>3404</c:v>
                </c:pt>
                <c:pt idx="5">
                  <c:v>3491</c:v>
                </c:pt>
                <c:pt idx="6">
                  <c:v>3542</c:v>
                </c:pt>
                <c:pt idx="7">
                  <c:v>3605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DFC-4761-9022-149EF3191499}"/>
            </c:ext>
          </c:extLst>
        </c:ser>
        <c:ser>
          <c:idx val="4"/>
          <c:order val="2"/>
          <c:tx>
            <c:strRef>
              <c:f>'KPI 60'!$D$21</c:f>
              <c:strCache>
                <c:ptCount val="1"/>
                <c:pt idx="0">
                  <c:v>Actual 2024-25</c:v>
                </c:pt>
              </c:strCache>
            </c:strRef>
          </c:tx>
          <c:spPr>
            <a:solidFill>
              <a:schemeClr val="accent3"/>
            </a:solidFill>
          </c:spPr>
          <c:invertIfNegative val="0"/>
          <c:cat>
            <c:numRef>
              <c:f>'KPI 60'!$E$18:$P$18</c:f>
              <c:numCache>
                <c:formatCode>mmm\-yy</c:formatCode>
                <c:ptCount val="12"/>
                <c:pt idx="0">
                  <c:v>45839</c:v>
                </c:pt>
                <c:pt idx="1">
                  <c:v>45870</c:v>
                </c:pt>
                <c:pt idx="2">
                  <c:v>45901</c:v>
                </c:pt>
                <c:pt idx="3">
                  <c:v>45931</c:v>
                </c:pt>
                <c:pt idx="4">
                  <c:v>45962</c:v>
                </c:pt>
                <c:pt idx="5">
                  <c:v>45992</c:v>
                </c:pt>
                <c:pt idx="6">
                  <c:v>46023</c:v>
                </c:pt>
                <c:pt idx="7">
                  <c:v>46054</c:v>
                </c:pt>
                <c:pt idx="8">
                  <c:v>46082</c:v>
                </c:pt>
                <c:pt idx="9">
                  <c:v>46113</c:v>
                </c:pt>
                <c:pt idx="10">
                  <c:v>46143</c:v>
                </c:pt>
                <c:pt idx="11">
                  <c:v>46174</c:v>
                </c:pt>
              </c:numCache>
            </c:numRef>
          </c:cat>
          <c:val>
            <c:numRef>
              <c:f>'KPI 60'!$E$21:$P$21</c:f>
              <c:numCache>
                <c:formatCode>#,##0</c:formatCode>
                <c:ptCount val="12"/>
                <c:pt idx="0">
                  <c:v>2708</c:v>
                </c:pt>
                <c:pt idx="1">
                  <c:v>2724</c:v>
                </c:pt>
                <c:pt idx="2">
                  <c:v>2750</c:v>
                </c:pt>
                <c:pt idx="3">
                  <c:v>2755</c:v>
                </c:pt>
                <c:pt idx="4">
                  <c:v>2792</c:v>
                </c:pt>
                <c:pt idx="5">
                  <c:v>2824</c:v>
                </c:pt>
                <c:pt idx="6">
                  <c:v>2832</c:v>
                </c:pt>
                <c:pt idx="7">
                  <c:v>2892</c:v>
                </c:pt>
                <c:pt idx="8">
                  <c:v>2930</c:v>
                </c:pt>
                <c:pt idx="9">
                  <c:v>2969</c:v>
                </c:pt>
                <c:pt idx="10">
                  <c:v>3015</c:v>
                </c:pt>
                <c:pt idx="11">
                  <c:v>3047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DFC-4761-9022-149EF319149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19589120"/>
        <c:axId val="119590912"/>
      </c:barChart>
      <c:lineChart>
        <c:grouping val="standard"/>
        <c:varyColors val="0"/>
        <c:ser>
          <c:idx val="0"/>
          <c:order val="0"/>
          <c:tx>
            <c:strRef>
              <c:f>'KPI 60'!$D$19</c:f>
              <c:strCache>
                <c:ptCount val="1"/>
                <c:pt idx="0">
                  <c:v>Budget 2025-26</c:v>
                </c:pt>
              </c:strCache>
            </c:strRef>
          </c:tx>
          <c:spPr>
            <a:ln>
              <a:solidFill>
                <a:srgbClr val="FF0000"/>
              </a:solidFill>
            </a:ln>
          </c:spPr>
          <c:marker>
            <c:symbol val="none"/>
          </c:marker>
          <c:cat>
            <c:numRef>
              <c:f>'KPI 60'!$E$18:$P$18</c:f>
              <c:numCache>
                <c:formatCode>mmm\-yy</c:formatCode>
                <c:ptCount val="12"/>
                <c:pt idx="0">
                  <c:v>45839</c:v>
                </c:pt>
                <c:pt idx="1">
                  <c:v>45870</c:v>
                </c:pt>
                <c:pt idx="2">
                  <c:v>45901</c:v>
                </c:pt>
                <c:pt idx="3">
                  <c:v>45931</c:v>
                </c:pt>
                <c:pt idx="4">
                  <c:v>45962</c:v>
                </c:pt>
                <c:pt idx="5">
                  <c:v>45992</c:v>
                </c:pt>
                <c:pt idx="6">
                  <c:v>46023</c:v>
                </c:pt>
                <c:pt idx="7">
                  <c:v>46054</c:v>
                </c:pt>
                <c:pt idx="8">
                  <c:v>46082</c:v>
                </c:pt>
                <c:pt idx="9">
                  <c:v>46113</c:v>
                </c:pt>
                <c:pt idx="10">
                  <c:v>46143</c:v>
                </c:pt>
                <c:pt idx="11">
                  <c:v>46174</c:v>
                </c:pt>
              </c:numCache>
            </c:numRef>
          </c:cat>
          <c:val>
            <c:numRef>
              <c:f>'KPI 60'!$E$19:$P$19</c:f>
              <c:numCache>
                <c:formatCode>#,##0</c:formatCode>
                <c:ptCount val="12"/>
                <c:pt idx="0">
                  <c:v>3117</c:v>
                </c:pt>
                <c:pt idx="1">
                  <c:v>3187</c:v>
                </c:pt>
                <c:pt idx="2">
                  <c:v>3264</c:v>
                </c:pt>
                <c:pt idx="3">
                  <c:v>3416</c:v>
                </c:pt>
                <c:pt idx="4">
                  <c:v>3558</c:v>
                </c:pt>
                <c:pt idx="5">
                  <c:v>3695</c:v>
                </c:pt>
                <c:pt idx="6">
                  <c:v>3822</c:v>
                </c:pt>
                <c:pt idx="7">
                  <c:v>3949</c:v>
                </c:pt>
                <c:pt idx="8">
                  <c:v>4061</c:v>
                </c:pt>
                <c:pt idx="9">
                  <c:v>4158</c:v>
                </c:pt>
                <c:pt idx="10">
                  <c:v>4255</c:v>
                </c:pt>
                <c:pt idx="11">
                  <c:v>4350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DFC-4761-9022-149EF319149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19589120"/>
        <c:axId val="119590912"/>
      </c:lineChart>
      <c:dateAx>
        <c:axId val="119589120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crossAx val="119590912"/>
        <c:crosses val="autoZero"/>
        <c:auto val="1"/>
        <c:lblOffset val="100"/>
        <c:baseTimeUnit val="months"/>
      </c:dateAx>
      <c:valAx>
        <c:axId val="119590912"/>
        <c:scaling>
          <c:orientation val="minMax"/>
        </c:scaling>
        <c:delete val="0"/>
        <c:axPos val="l"/>
        <c:majorGridlines/>
        <c:numFmt formatCode="#,##0" sourceLinked="1"/>
        <c:majorTickMark val="out"/>
        <c:minorTickMark val="none"/>
        <c:tickLblPos val="nextTo"/>
        <c:crossAx val="11958912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000000000000822" l="0.70000000000000062" r="0.70000000000000062" t="0.75000000000000822" header="0.30000000000000032" footer="0.30000000000000032"/>
    <c:pageSetup/>
  </c:printSettings>
</c:chartSpace>
</file>

<file path=xl/charts/chart7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1"/>
          <c:order val="1"/>
          <c:tx>
            <c:strRef>
              <c:f>'KPI 61'!$D$20</c:f>
              <c:strCache>
                <c:ptCount val="1"/>
                <c:pt idx="0">
                  <c:v>Actual 2025-26</c:v>
                </c:pt>
              </c:strCache>
            </c:strRef>
          </c:tx>
          <c:spPr>
            <a:solidFill>
              <a:schemeClr val="accent1"/>
            </a:solidFill>
          </c:spPr>
          <c:invertIfNegative val="0"/>
          <c:cat>
            <c:numRef>
              <c:f>'KPI 61'!$E$18:$P$18</c:f>
              <c:numCache>
                <c:formatCode>mmm\-yy</c:formatCode>
                <c:ptCount val="12"/>
                <c:pt idx="0">
                  <c:v>45839</c:v>
                </c:pt>
                <c:pt idx="1">
                  <c:v>45870</c:v>
                </c:pt>
                <c:pt idx="2">
                  <c:v>45901</c:v>
                </c:pt>
                <c:pt idx="3">
                  <c:v>45931</c:v>
                </c:pt>
                <c:pt idx="4">
                  <c:v>45962</c:v>
                </c:pt>
                <c:pt idx="5">
                  <c:v>45992</c:v>
                </c:pt>
                <c:pt idx="6">
                  <c:v>46023</c:v>
                </c:pt>
                <c:pt idx="7">
                  <c:v>46054</c:v>
                </c:pt>
                <c:pt idx="8">
                  <c:v>46082</c:v>
                </c:pt>
                <c:pt idx="9">
                  <c:v>46113</c:v>
                </c:pt>
                <c:pt idx="10">
                  <c:v>46143</c:v>
                </c:pt>
                <c:pt idx="11">
                  <c:v>46174</c:v>
                </c:pt>
              </c:numCache>
            </c:numRef>
          </c:cat>
          <c:val>
            <c:numRef>
              <c:f>'KPI 61'!$E$20:$P$20</c:f>
              <c:numCache>
                <c:formatCode>#,##0</c:formatCode>
                <c:ptCount val="12"/>
                <c:pt idx="0">
                  <c:v>387</c:v>
                </c:pt>
                <c:pt idx="1">
                  <c:v>388</c:v>
                </c:pt>
                <c:pt idx="2">
                  <c:v>389</c:v>
                </c:pt>
                <c:pt idx="3">
                  <c:v>388</c:v>
                </c:pt>
                <c:pt idx="4">
                  <c:v>388</c:v>
                </c:pt>
                <c:pt idx="5">
                  <c:v>389</c:v>
                </c:pt>
                <c:pt idx="6">
                  <c:v>389</c:v>
                </c:pt>
                <c:pt idx="7">
                  <c:v>389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9C8-44A4-8AB0-AF2DBA35C61E}"/>
            </c:ext>
          </c:extLst>
        </c:ser>
        <c:ser>
          <c:idx val="4"/>
          <c:order val="2"/>
          <c:tx>
            <c:strRef>
              <c:f>'KPI 61'!$D$21</c:f>
              <c:strCache>
                <c:ptCount val="1"/>
                <c:pt idx="0">
                  <c:v>Actual 2024-25</c:v>
                </c:pt>
              </c:strCache>
            </c:strRef>
          </c:tx>
          <c:spPr>
            <a:solidFill>
              <a:schemeClr val="accent3"/>
            </a:solidFill>
          </c:spPr>
          <c:invertIfNegative val="0"/>
          <c:cat>
            <c:numRef>
              <c:f>'KPI 61'!$E$18:$P$18</c:f>
              <c:numCache>
                <c:formatCode>mmm\-yy</c:formatCode>
                <c:ptCount val="12"/>
                <c:pt idx="0">
                  <c:v>45839</c:v>
                </c:pt>
                <c:pt idx="1">
                  <c:v>45870</c:v>
                </c:pt>
                <c:pt idx="2">
                  <c:v>45901</c:v>
                </c:pt>
                <c:pt idx="3">
                  <c:v>45931</c:v>
                </c:pt>
                <c:pt idx="4">
                  <c:v>45962</c:v>
                </c:pt>
                <c:pt idx="5">
                  <c:v>45992</c:v>
                </c:pt>
                <c:pt idx="6">
                  <c:v>46023</c:v>
                </c:pt>
                <c:pt idx="7">
                  <c:v>46054</c:v>
                </c:pt>
                <c:pt idx="8">
                  <c:v>46082</c:v>
                </c:pt>
                <c:pt idx="9">
                  <c:v>46113</c:v>
                </c:pt>
                <c:pt idx="10">
                  <c:v>46143</c:v>
                </c:pt>
                <c:pt idx="11">
                  <c:v>46174</c:v>
                </c:pt>
              </c:numCache>
            </c:numRef>
          </c:cat>
          <c:val>
            <c:numRef>
              <c:f>'KPI 61'!$E$21:$P$21</c:f>
              <c:numCache>
                <c:formatCode>#,##0</c:formatCode>
                <c:ptCount val="12"/>
                <c:pt idx="0">
                  <c:v>389</c:v>
                </c:pt>
                <c:pt idx="1">
                  <c:v>390</c:v>
                </c:pt>
                <c:pt idx="2">
                  <c:v>389</c:v>
                </c:pt>
                <c:pt idx="3">
                  <c:v>389</c:v>
                </c:pt>
                <c:pt idx="4">
                  <c:v>389</c:v>
                </c:pt>
                <c:pt idx="5">
                  <c:v>389</c:v>
                </c:pt>
                <c:pt idx="6">
                  <c:v>388</c:v>
                </c:pt>
                <c:pt idx="7">
                  <c:v>388</c:v>
                </c:pt>
                <c:pt idx="8">
                  <c:v>387</c:v>
                </c:pt>
                <c:pt idx="9">
                  <c:v>387</c:v>
                </c:pt>
                <c:pt idx="10">
                  <c:v>388</c:v>
                </c:pt>
                <c:pt idx="11">
                  <c:v>388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9C8-44A4-8AB0-AF2DBA35C61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22867072"/>
        <c:axId val="122877056"/>
      </c:barChart>
      <c:lineChart>
        <c:grouping val="standard"/>
        <c:varyColors val="0"/>
        <c:ser>
          <c:idx val="0"/>
          <c:order val="0"/>
          <c:tx>
            <c:strRef>
              <c:f>'KPI 61'!$D$19</c:f>
              <c:strCache>
                <c:ptCount val="1"/>
                <c:pt idx="0">
                  <c:v>Budget 2025-26</c:v>
                </c:pt>
              </c:strCache>
            </c:strRef>
          </c:tx>
          <c:spPr>
            <a:ln>
              <a:solidFill>
                <a:srgbClr val="FF0000"/>
              </a:solidFill>
            </a:ln>
          </c:spPr>
          <c:marker>
            <c:symbol val="none"/>
          </c:marker>
          <c:cat>
            <c:numRef>
              <c:f>'KPI 61'!$E$18:$P$18</c:f>
              <c:numCache>
                <c:formatCode>mmm\-yy</c:formatCode>
                <c:ptCount val="12"/>
                <c:pt idx="0">
                  <c:v>45839</c:v>
                </c:pt>
                <c:pt idx="1">
                  <c:v>45870</c:v>
                </c:pt>
                <c:pt idx="2">
                  <c:v>45901</c:v>
                </c:pt>
                <c:pt idx="3">
                  <c:v>45931</c:v>
                </c:pt>
                <c:pt idx="4">
                  <c:v>45962</c:v>
                </c:pt>
                <c:pt idx="5">
                  <c:v>45992</c:v>
                </c:pt>
                <c:pt idx="6">
                  <c:v>46023</c:v>
                </c:pt>
                <c:pt idx="7">
                  <c:v>46054</c:v>
                </c:pt>
                <c:pt idx="8">
                  <c:v>46082</c:v>
                </c:pt>
                <c:pt idx="9">
                  <c:v>46113</c:v>
                </c:pt>
                <c:pt idx="10">
                  <c:v>46143</c:v>
                </c:pt>
                <c:pt idx="11">
                  <c:v>46174</c:v>
                </c:pt>
              </c:numCache>
            </c:numRef>
          </c:cat>
          <c:val>
            <c:numRef>
              <c:f>'KPI 61'!$E$19:$P$19</c:f>
              <c:numCache>
                <c:formatCode>#,##0</c:formatCode>
                <c:ptCount val="12"/>
                <c:pt idx="0">
                  <c:v>389</c:v>
                </c:pt>
                <c:pt idx="1">
                  <c:v>390</c:v>
                </c:pt>
                <c:pt idx="2">
                  <c:v>391</c:v>
                </c:pt>
                <c:pt idx="3">
                  <c:v>392</c:v>
                </c:pt>
                <c:pt idx="4">
                  <c:v>393</c:v>
                </c:pt>
                <c:pt idx="5">
                  <c:v>394</c:v>
                </c:pt>
                <c:pt idx="6">
                  <c:v>395</c:v>
                </c:pt>
                <c:pt idx="7">
                  <c:v>396</c:v>
                </c:pt>
                <c:pt idx="8">
                  <c:v>397</c:v>
                </c:pt>
                <c:pt idx="9">
                  <c:v>398</c:v>
                </c:pt>
                <c:pt idx="10">
                  <c:v>399</c:v>
                </c:pt>
                <c:pt idx="11">
                  <c:v>400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C9C8-44A4-8AB0-AF2DBA35C61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22867072"/>
        <c:axId val="122877056"/>
      </c:lineChart>
      <c:dateAx>
        <c:axId val="122867072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crossAx val="122877056"/>
        <c:crosses val="autoZero"/>
        <c:auto val="1"/>
        <c:lblOffset val="100"/>
        <c:baseTimeUnit val="months"/>
      </c:dateAx>
      <c:valAx>
        <c:axId val="122877056"/>
        <c:scaling>
          <c:orientation val="minMax"/>
        </c:scaling>
        <c:delete val="0"/>
        <c:axPos val="l"/>
        <c:majorGridlines/>
        <c:numFmt formatCode="#,##0" sourceLinked="1"/>
        <c:majorTickMark val="out"/>
        <c:minorTickMark val="none"/>
        <c:tickLblPos val="nextTo"/>
        <c:crossAx val="122867072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000000000000822" l="0.70000000000000062" r="0.70000000000000062" t="0.75000000000000822" header="0.30000000000000032" footer="0.30000000000000032"/>
    <c:pageSetup/>
  </c:printSettings>
</c:chartSpace>
</file>

<file path=xl/charts/chart7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1"/>
          <c:order val="1"/>
          <c:tx>
            <c:strRef>
              <c:f>'KPI 62'!$D$20</c:f>
              <c:strCache>
                <c:ptCount val="1"/>
                <c:pt idx="0">
                  <c:v>Actual 2025-26</c:v>
                </c:pt>
              </c:strCache>
            </c:strRef>
          </c:tx>
          <c:spPr>
            <a:solidFill>
              <a:schemeClr val="accent1"/>
            </a:solidFill>
          </c:spPr>
          <c:invertIfNegative val="0"/>
          <c:cat>
            <c:numRef>
              <c:f>'KPI 62'!$E$18:$P$18</c:f>
              <c:numCache>
                <c:formatCode>mmm\-yy</c:formatCode>
                <c:ptCount val="12"/>
                <c:pt idx="0">
                  <c:v>45839</c:v>
                </c:pt>
                <c:pt idx="1">
                  <c:v>45870</c:v>
                </c:pt>
                <c:pt idx="2">
                  <c:v>45901</c:v>
                </c:pt>
                <c:pt idx="3">
                  <c:v>45931</c:v>
                </c:pt>
                <c:pt idx="4">
                  <c:v>45962</c:v>
                </c:pt>
                <c:pt idx="5">
                  <c:v>45992</c:v>
                </c:pt>
                <c:pt idx="6">
                  <c:v>46023</c:v>
                </c:pt>
                <c:pt idx="7">
                  <c:v>46054</c:v>
                </c:pt>
                <c:pt idx="8">
                  <c:v>46082</c:v>
                </c:pt>
                <c:pt idx="9">
                  <c:v>46113</c:v>
                </c:pt>
                <c:pt idx="10">
                  <c:v>46143</c:v>
                </c:pt>
                <c:pt idx="11">
                  <c:v>46174</c:v>
                </c:pt>
              </c:numCache>
            </c:numRef>
          </c:cat>
          <c:val>
            <c:numRef>
              <c:f>'KPI 62'!$E$20:$P$20</c:f>
              <c:numCache>
                <c:formatCode>#,##0</c:formatCode>
                <c:ptCount val="12"/>
                <c:pt idx="0">
                  <c:v>390</c:v>
                </c:pt>
                <c:pt idx="1">
                  <c:v>392</c:v>
                </c:pt>
                <c:pt idx="2">
                  <c:v>392</c:v>
                </c:pt>
                <c:pt idx="3">
                  <c:v>391</c:v>
                </c:pt>
                <c:pt idx="4">
                  <c:v>392</c:v>
                </c:pt>
                <c:pt idx="5">
                  <c:v>392</c:v>
                </c:pt>
                <c:pt idx="6">
                  <c:v>392</c:v>
                </c:pt>
                <c:pt idx="7">
                  <c:v>392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883-4A29-B83A-347196AC13FF}"/>
            </c:ext>
          </c:extLst>
        </c:ser>
        <c:ser>
          <c:idx val="4"/>
          <c:order val="2"/>
          <c:tx>
            <c:strRef>
              <c:f>'KPI 62'!$D$21</c:f>
              <c:strCache>
                <c:ptCount val="1"/>
                <c:pt idx="0">
                  <c:v>Actual 2024-25</c:v>
                </c:pt>
              </c:strCache>
            </c:strRef>
          </c:tx>
          <c:spPr>
            <a:solidFill>
              <a:schemeClr val="accent3"/>
            </a:solidFill>
          </c:spPr>
          <c:invertIfNegative val="0"/>
          <c:cat>
            <c:numRef>
              <c:f>'KPI 62'!$E$18:$P$18</c:f>
              <c:numCache>
                <c:formatCode>mmm\-yy</c:formatCode>
                <c:ptCount val="12"/>
                <c:pt idx="0">
                  <c:v>45839</c:v>
                </c:pt>
                <c:pt idx="1">
                  <c:v>45870</c:v>
                </c:pt>
                <c:pt idx="2">
                  <c:v>45901</c:v>
                </c:pt>
                <c:pt idx="3">
                  <c:v>45931</c:v>
                </c:pt>
                <c:pt idx="4">
                  <c:v>45962</c:v>
                </c:pt>
                <c:pt idx="5">
                  <c:v>45992</c:v>
                </c:pt>
                <c:pt idx="6">
                  <c:v>46023</c:v>
                </c:pt>
                <c:pt idx="7">
                  <c:v>46054</c:v>
                </c:pt>
                <c:pt idx="8">
                  <c:v>46082</c:v>
                </c:pt>
                <c:pt idx="9">
                  <c:v>46113</c:v>
                </c:pt>
                <c:pt idx="10">
                  <c:v>46143</c:v>
                </c:pt>
                <c:pt idx="11">
                  <c:v>46174</c:v>
                </c:pt>
              </c:numCache>
            </c:numRef>
          </c:cat>
          <c:val>
            <c:numRef>
              <c:f>'KPI 62'!$E$21:$P$21</c:f>
              <c:numCache>
                <c:formatCode>#,##0</c:formatCode>
                <c:ptCount val="12"/>
                <c:pt idx="0">
                  <c:v>386</c:v>
                </c:pt>
                <c:pt idx="1">
                  <c:v>387</c:v>
                </c:pt>
                <c:pt idx="2">
                  <c:v>386</c:v>
                </c:pt>
                <c:pt idx="3">
                  <c:v>386</c:v>
                </c:pt>
                <c:pt idx="4">
                  <c:v>385</c:v>
                </c:pt>
                <c:pt idx="5">
                  <c:v>385</c:v>
                </c:pt>
                <c:pt idx="6">
                  <c:v>385</c:v>
                </c:pt>
                <c:pt idx="7">
                  <c:v>390</c:v>
                </c:pt>
                <c:pt idx="8">
                  <c:v>393</c:v>
                </c:pt>
                <c:pt idx="9">
                  <c:v>393</c:v>
                </c:pt>
                <c:pt idx="10">
                  <c:v>391</c:v>
                </c:pt>
                <c:pt idx="11">
                  <c:v>391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883-4A29-B83A-347196AC13F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21811712"/>
        <c:axId val="121813248"/>
      </c:barChart>
      <c:lineChart>
        <c:grouping val="standard"/>
        <c:varyColors val="0"/>
        <c:ser>
          <c:idx val="0"/>
          <c:order val="0"/>
          <c:tx>
            <c:strRef>
              <c:f>'KPI 62'!$D$19</c:f>
              <c:strCache>
                <c:ptCount val="1"/>
                <c:pt idx="0">
                  <c:v>Budget 2025-26</c:v>
                </c:pt>
              </c:strCache>
            </c:strRef>
          </c:tx>
          <c:spPr>
            <a:ln>
              <a:solidFill>
                <a:srgbClr val="FF0000"/>
              </a:solidFill>
            </a:ln>
          </c:spPr>
          <c:marker>
            <c:symbol val="none"/>
          </c:marker>
          <c:cat>
            <c:numRef>
              <c:f>'KPI 62'!$E$18:$P$18</c:f>
              <c:numCache>
                <c:formatCode>mmm\-yy</c:formatCode>
                <c:ptCount val="12"/>
                <c:pt idx="0">
                  <c:v>45839</c:v>
                </c:pt>
                <c:pt idx="1">
                  <c:v>45870</c:v>
                </c:pt>
                <c:pt idx="2">
                  <c:v>45901</c:v>
                </c:pt>
                <c:pt idx="3">
                  <c:v>45931</c:v>
                </c:pt>
                <c:pt idx="4">
                  <c:v>45962</c:v>
                </c:pt>
                <c:pt idx="5">
                  <c:v>45992</c:v>
                </c:pt>
                <c:pt idx="6">
                  <c:v>46023</c:v>
                </c:pt>
                <c:pt idx="7">
                  <c:v>46054</c:v>
                </c:pt>
                <c:pt idx="8">
                  <c:v>46082</c:v>
                </c:pt>
                <c:pt idx="9">
                  <c:v>46113</c:v>
                </c:pt>
                <c:pt idx="10">
                  <c:v>46143</c:v>
                </c:pt>
                <c:pt idx="11">
                  <c:v>46174</c:v>
                </c:pt>
              </c:numCache>
            </c:numRef>
          </c:cat>
          <c:val>
            <c:numRef>
              <c:f>'KPI 62'!$E$19:$P$19</c:f>
              <c:numCache>
                <c:formatCode>#,##0</c:formatCode>
                <c:ptCount val="12"/>
                <c:pt idx="0">
                  <c:v>398</c:v>
                </c:pt>
                <c:pt idx="1">
                  <c:v>405</c:v>
                </c:pt>
                <c:pt idx="2">
                  <c:v>412</c:v>
                </c:pt>
                <c:pt idx="3">
                  <c:v>419</c:v>
                </c:pt>
                <c:pt idx="4">
                  <c:v>426</c:v>
                </c:pt>
                <c:pt idx="5">
                  <c:v>433</c:v>
                </c:pt>
                <c:pt idx="6">
                  <c:v>440</c:v>
                </c:pt>
                <c:pt idx="7">
                  <c:v>447</c:v>
                </c:pt>
                <c:pt idx="8">
                  <c:v>454</c:v>
                </c:pt>
                <c:pt idx="9">
                  <c:v>461</c:v>
                </c:pt>
                <c:pt idx="10">
                  <c:v>468</c:v>
                </c:pt>
                <c:pt idx="11">
                  <c:v>475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4883-4A29-B83A-347196AC13F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21811712"/>
        <c:axId val="121813248"/>
      </c:lineChart>
      <c:dateAx>
        <c:axId val="121811712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crossAx val="121813248"/>
        <c:crosses val="autoZero"/>
        <c:auto val="1"/>
        <c:lblOffset val="100"/>
        <c:baseTimeUnit val="months"/>
      </c:dateAx>
      <c:valAx>
        <c:axId val="121813248"/>
        <c:scaling>
          <c:orientation val="minMax"/>
        </c:scaling>
        <c:delete val="0"/>
        <c:axPos val="l"/>
        <c:majorGridlines/>
        <c:numFmt formatCode="#,##0" sourceLinked="1"/>
        <c:majorTickMark val="out"/>
        <c:minorTickMark val="none"/>
        <c:tickLblPos val="nextTo"/>
        <c:crossAx val="121811712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000000000000822" l="0.70000000000000062" r="0.70000000000000062" t="0.75000000000000822" header="0.30000000000000032" footer="0.30000000000000032"/>
    <c:pageSetup/>
  </c:printSettings>
</c:chartSpace>
</file>

<file path=xl/charts/chart7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1"/>
          <c:order val="1"/>
          <c:tx>
            <c:strRef>
              <c:f>'KPI 63'!$D$20</c:f>
              <c:strCache>
                <c:ptCount val="1"/>
                <c:pt idx="0">
                  <c:v>Actual 2025-26</c:v>
                </c:pt>
              </c:strCache>
            </c:strRef>
          </c:tx>
          <c:spPr>
            <a:solidFill>
              <a:schemeClr val="accent1"/>
            </a:solidFill>
          </c:spPr>
          <c:invertIfNegative val="0"/>
          <c:cat>
            <c:numRef>
              <c:f>'KPI 63'!$E$18:$P$18</c:f>
              <c:numCache>
                <c:formatCode>mmm\-yy</c:formatCode>
                <c:ptCount val="12"/>
                <c:pt idx="0">
                  <c:v>45839</c:v>
                </c:pt>
                <c:pt idx="1">
                  <c:v>45870</c:v>
                </c:pt>
                <c:pt idx="2">
                  <c:v>45901</c:v>
                </c:pt>
                <c:pt idx="3">
                  <c:v>45931</c:v>
                </c:pt>
                <c:pt idx="4">
                  <c:v>45962</c:v>
                </c:pt>
                <c:pt idx="5">
                  <c:v>45992</c:v>
                </c:pt>
                <c:pt idx="6">
                  <c:v>46023</c:v>
                </c:pt>
                <c:pt idx="7">
                  <c:v>46054</c:v>
                </c:pt>
                <c:pt idx="8">
                  <c:v>46082</c:v>
                </c:pt>
                <c:pt idx="9">
                  <c:v>46113</c:v>
                </c:pt>
                <c:pt idx="10">
                  <c:v>46143</c:v>
                </c:pt>
                <c:pt idx="11">
                  <c:v>46174</c:v>
                </c:pt>
              </c:numCache>
            </c:numRef>
          </c:cat>
          <c:val>
            <c:numRef>
              <c:f>'KPI 63'!$E$20:$P$20</c:f>
              <c:numCache>
                <c:formatCode>#,##0</c:formatCode>
                <c:ptCount val="12"/>
                <c:pt idx="0">
                  <c:v>328</c:v>
                </c:pt>
                <c:pt idx="1">
                  <c:v>330</c:v>
                </c:pt>
                <c:pt idx="2">
                  <c:v>329</c:v>
                </c:pt>
                <c:pt idx="3">
                  <c:v>329</c:v>
                </c:pt>
                <c:pt idx="4">
                  <c:v>328</c:v>
                </c:pt>
                <c:pt idx="5">
                  <c:v>328</c:v>
                </c:pt>
                <c:pt idx="6">
                  <c:v>330</c:v>
                </c:pt>
                <c:pt idx="7">
                  <c:v>330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44D-4889-8568-B9496E62B5C3}"/>
            </c:ext>
          </c:extLst>
        </c:ser>
        <c:ser>
          <c:idx val="4"/>
          <c:order val="2"/>
          <c:tx>
            <c:strRef>
              <c:f>'KPI 63'!$D$21</c:f>
              <c:strCache>
                <c:ptCount val="1"/>
                <c:pt idx="0">
                  <c:v>Actual 2024-25</c:v>
                </c:pt>
              </c:strCache>
            </c:strRef>
          </c:tx>
          <c:spPr>
            <a:solidFill>
              <a:schemeClr val="accent3"/>
            </a:solidFill>
          </c:spPr>
          <c:invertIfNegative val="0"/>
          <c:cat>
            <c:numRef>
              <c:f>'KPI 63'!$E$18:$P$18</c:f>
              <c:numCache>
                <c:formatCode>mmm\-yy</c:formatCode>
                <c:ptCount val="12"/>
                <c:pt idx="0">
                  <c:v>45839</c:v>
                </c:pt>
                <c:pt idx="1">
                  <c:v>45870</c:v>
                </c:pt>
                <c:pt idx="2">
                  <c:v>45901</c:v>
                </c:pt>
                <c:pt idx="3">
                  <c:v>45931</c:v>
                </c:pt>
                <c:pt idx="4">
                  <c:v>45962</c:v>
                </c:pt>
                <c:pt idx="5">
                  <c:v>45992</c:v>
                </c:pt>
                <c:pt idx="6">
                  <c:v>46023</c:v>
                </c:pt>
                <c:pt idx="7">
                  <c:v>46054</c:v>
                </c:pt>
                <c:pt idx="8">
                  <c:v>46082</c:v>
                </c:pt>
                <c:pt idx="9">
                  <c:v>46113</c:v>
                </c:pt>
                <c:pt idx="10">
                  <c:v>46143</c:v>
                </c:pt>
                <c:pt idx="11">
                  <c:v>46174</c:v>
                </c:pt>
              </c:numCache>
            </c:numRef>
          </c:cat>
          <c:val>
            <c:numRef>
              <c:f>'KPI 63'!$E$21:$P$21</c:f>
              <c:numCache>
                <c:formatCode>#,##0</c:formatCode>
                <c:ptCount val="12"/>
                <c:pt idx="0">
                  <c:v>307</c:v>
                </c:pt>
                <c:pt idx="1">
                  <c:v>311</c:v>
                </c:pt>
                <c:pt idx="2">
                  <c:v>311</c:v>
                </c:pt>
                <c:pt idx="3">
                  <c:v>311</c:v>
                </c:pt>
                <c:pt idx="4">
                  <c:v>319</c:v>
                </c:pt>
                <c:pt idx="5">
                  <c:v>319</c:v>
                </c:pt>
                <c:pt idx="6">
                  <c:v>322</c:v>
                </c:pt>
                <c:pt idx="7">
                  <c:v>324</c:v>
                </c:pt>
                <c:pt idx="8">
                  <c:v>327</c:v>
                </c:pt>
                <c:pt idx="9">
                  <c:v>329</c:v>
                </c:pt>
                <c:pt idx="10">
                  <c:v>328</c:v>
                </c:pt>
                <c:pt idx="11">
                  <c:v>328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44D-4889-8568-B9496E62B5C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19748480"/>
        <c:axId val="119750016"/>
      </c:barChart>
      <c:lineChart>
        <c:grouping val="standard"/>
        <c:varyColors val="0"/>
        <c:ser>
          <c:idx val="0"/>
          <c:order val="0"/>
          <c:tx>
            <c:strRef>
              <c:f>'KPI 63'!$D$19</c:f>
              <c:strCache>
                <c:ptCount val="1"/>
                <c:pt idx="0">
                  <c:v>Budget 2025-26</c:v>
                </c:pt>
              </c:strCache>
            </c:strRef>
          </c:tx>
          <c:spPr>
            <a:ln>
              <a:solidFill>
                <a:srgbClr val="FF0000"/>
              </a:solidFill>
            </a:ln>
          </c:spPr>
          <c:marker>
            <c:symbol val="none"/>
          </c:marker>
          <c:cat>
            <c:numRef>
              <c:f>'KPI 63'!$E$18:$P$18</c:f>
              <c:numCache>
                <c:formatCode>mmm\-yy</c:formatCode>
                <c:ptCount val="12"/>
                <c:pt idx="0">
                  <c:v>45839</c:v>
                </c:pt>
                <c:pt idx="1">
                  <c:v>45870</c:v>
                </c:pt>
                <c:pt idx="2">
                  <c:v>45901</c:v>
                </c:pt>
                <c:pt idx="3">
                  <c:v>45931</c:v>
                </c:pt>
                <c:pt idx="4">
                  <c:v>45962</c:v>
                </c:pt>
                <c:pt idx="5">
                  <c:v>45992</c:v>
                </c:pt>
                <c:pt idx="6">
                  <c:v>46023</c:v>
                </c:pt>
                <c:pt idx="7">
                  <c:v>46054</c:v>
                </c:pt>
                <c:pt idx="8">
                  <c:v>46082</c:v>
                </c:pt>
                <c:pt idx="9">
                  <c:v>46113</c:v>
                </c:pt>
                <c:pt idx="10">
                  <c:v>46143</c:v>
                </c:pt>
                <c:pt idx="11">
                  <c:v>46174</c:v>
                </c:pt>
              </c:numCache>
            </c:numRef>
          </c:cat>
          <c:val>
            <c:numRef>
              <c:f>'KPI 63'!$E$19:$P$19</c:f>
              <c:numCache>
                <c:formatCode>#,##0</c:formatCode>
                <c:ptCount val="12"/>
                <c:pt idx="0">
                  <c:v>332</c:v>
                </c:pt>
                <c:pt idx="1">
                  <c:v>335</c:v>
                </c:pt>
                <c:pt idx="2">
                  <c:v>338</c:v>
                </c:pt>
                <c:pt idx="3">
                  <c:v>341</c:v>
                </c:pt>
                <c:pt idx="4">
                  <c:v>344</c:v>
                </c:pt>
                <c:pt idx="5">
                  <c:v>347</c:v>
                </c:pt>
                <c:pt idx="6">
                  <c:v>350</c:v>
                </c:pt>
                <c:pt idx="7">
                  <c:v>353</c:v>
                </c:pt>
                <c:pt idx="8">
                  <c:v>356</c:v>
                </c:pt>
                <c:pt idx="9">
                  <c:v>359</c:v>
                </c:pt>
                <c:pt idx="10">
                  <c:v>362</c:v>
                </c:pt>
                <c:pt idx="11">
                  <c:v>365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844D-4889-8568-B9496E62B5C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19748480"/>
        <c:axId val="119750016"/>
      </c:lineChart>
      <c:dateAx>
        <c:axId val="119748480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crossAx val="119750016"/>
        <c:crosses val="autoZero"/>
        <c:auto val="1"/>
        <c:lblOffset val="100"/>
        <c:baseTimeUnit val="months"/>
      </c:dateAx>
      <c:valAx>
        <c:axId val="119750016"/>
        <c:scaling>
          <c:orientation val="minMax"/>
        </c:scaling>
        <c:delete val="0"/>
        <c:axPos val="l"/>
        <c:majorGridlines/>
        <c:numFmt formatCode="#,##0" sourceLinked="1"/>
        <c:majorTickMark val="out"/>
        <c:minorTickMark val="none"/>
        <c:tickLblPos val="nextTo"/>
        <c:crossAx val="11974848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000000000000822" l="0.70000000000000062" r="0.70000000000000062" t="0.75000000000000822" header="0.30000000000000032" footer="0.30000000000000032"/>
    <c:pageSetup/>
  </c:printSettings>
</c:chartSpace>
</file>

<file path=xl/charts/chart7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1"/>
          <c:order val="1"/>
          <c:tx>
            <c:strRef>
              <c:f>'KPI 64'!$D$20</c:f>
              <c:strCache>
                <c:ptCount val="1"/>
                <c:pt idx="0">
                  <c:v>Actual 2025-26</c:v>
                </c:pt>
              </c:strCache>
            </c:strRef>
          </c:tx>
          <c:spPr>
            <a:solidFill>
              <a:schemeClr val="accent1"/>
            </a:solidFill>
          </c:spPr>
          <c:invertIfNegative val="0"/>
          <c:cat>
            <c:numRef>
              <c:f>'KPI 64'!$E$18:$P$18</c:f>
              <c:numCache>
                <c:formatCode>mmm\-yy</c:formatCode>
                <c:ptCount val="12"/>
                <c:pt idx="0">
                  <c:v>45839</c:v>
                </c:pt>
                <c:pt idx="1">
                  <c:v>45870</c:v>
                </c:pt>
                <c:pt idx="2">
                  <c:v>45901</c:v>
                </c:pt>
                <c:pt idx="3">
                  <c:v>45931</c:v>
                </c:pt>
                <c:pt idx="4">
                  <c:v>45962</c:v>
                </c:pt>
                <c:pt idx="5">
                  <c:v>45992</c:v>
                </c:pt>
                <c:pt idx="6">
                  <c:v>46023</c:v>
                </c:pt>
                <c:pt idx="7">
                  <c:v>46054</c:v>
                </c:pt>
                <c:pt idx="8">
                  <c:v>46082</c:v>
                </c:pt>
                <c:pt idx="9">
                  <c:v>46113</c:v>
                </c:pt>
                <c:pt idx="10">
                  <c:v>46143</c:v>
                </c:pt>
                <c:pt idx="11">
                  <c:v>46174</c:v>
                </c:pt>
              </c:numCache>
            </c:numRef>
          </c:cat>
          <c:val>
            <c:numRef>
              <c:f>'KPI 64'!$E$20:$P$20</c:f>
              <c:numCache>
                <c:formatCode>#,##0</c:formatCode>
                <c:ptCount val="12"/>
                <c:pt idx="0">
                  <c:v>518</c:v>
                </c:pt>
                <c:pt idx="1">
                  <c:v>518</c:v>
                </c:pt>
                <c:pt idx="2">
                  <c:v>518</c:v>
                </c:pt>
                <c:pt idx="3">
                  <c:v>517</c:v>
                </c:pt>
                <c:pt idx="4">
                  <c:v>517</c:v>
                </c:pt>
                <c:pt idx="5">
                  <c:v>517</c:v>
                </c:pt>
                <c:pt idx="6">
                  <c:v>518</c:v>
                </c:pt>
                <c:pt idx="7">
                  <c:v>518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C5E-479D-AADC-0F5F8C6534CC}"/>
            </c:ext>
          </c:extLst>
        </c:ser>
        <c:ser>
          <c:idx val="4"/>
          <c:order val="2"/>
          <c:tx>
            <c:strRef>
              <c:f>'KPI 64'!$D$21</c:f>
              <c:strCache>
                <c:ptCount val="1"/>
                <c:pt idx="0">
                  <c:v>Actual 2024-25</c:v>
                </c:pt>
              </c:strCache>
            </c:strRef>
          </c:tx>
          <c:spPr>
            <a:solidFill>
              <a:schemeClr val="accent3"/>
            </a:solidFill>
          </c:spPr>
          <c:invertIfNegative val="0"/>
          <c:cat>
            <c:numRef>
              <c:f>'KPI 64'!$E$18:$P$18</c:f>
              <c:numCache>
                <c:formatCode>mmm\-yy</c:formatCode>
                <c:ptCount val="12"/>
                <c:pt idx="0">
                  <c:v>45839</c:v>
                </c:pt>
                <c:pt idx="1">
                  <c:v>45870</c:v>
                </c:pt>
                <c:pt idx="2">
                  <c:v>45901</c:v>
                </c:pt>
                <c:pt idx="3">
                  <c:v>45931</c:v>
                </c:pt>
                <c:pt idx="4">
                  <c:v>45962</c:v>
                </c:pt>
                <c:pt idx="5">
                  <c:v>45992</c:v>
                </c:pt>
                <c:pt idx="6">
                  <c:v>46023</c:v>
                </c:pt>
                <c:pt idx="7">
                  <c:v>46054</c:v>
                </c:pt>
                <c:pt idx="8">
                  <c:v>46082</c:v>
                </c:pt>
                <c:pt idx="9">
                  <c:v>46113</c:v>
                </c:pt>
                <c:pt idx="10">
                  <c:v>46143</c:v>
                </c:pt>
                <c:pt idx="11">
                  <c:v>46174</c:v>
                </c:pt>
              </c:numCache>
            </c:numRef>
          </c:cat>
          <c:val>
            <c:numRef>
              <c:f>'KPI 64'!$E$21:$P$21</c:f>
              <c:numCache>
                <c:formatCode>#,##0</c:formatCode>
                <c:ptCount val="12"/>
                <c:pt idx="0">
                  <c:v>505</c:v>
                </c:pt>
                <c:pt idx="1">
                  <c:v>508</c:v>
                </c:pt>
                <c:pt idx="2">
                  <c:v>508</c:v>
                </c:pt>
                <c:pt idx="3">
                  <c:v>508</c:v>
                </c:pt>
                <c:pt idx="4">
                  <c:v>508</c:v>
                </c:pt>
                <c:pt idx="5">
                  <c:v>508</c:v>
                </c:pt>
                <c:pt idx="6">
                  <c:v>513</c:v>
                </c:pt>
                <c:pt idx="7">
                  <c:v>516</c:v>
                </c:pt>
                <c:pt idx="8">
                  <c:v>517</c:v>
                </c:pt>
                <c:pt idx="9">
                  <c:v>518</c:v>
                </c:pt>
                <c:pt idx="10">
                  <c:v>518</c:v>
                </c:pt>
                <c:pt idx="11">
                  <c:v>519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C5E-479D-AADC-0F5F8C6534C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22461184"/>
        <c:axId val="122655488"/>
      </c:barChart>
      <c:lineChart>
        <c:grouping val="standard"/>
        <c:varyColors val="0"/>
        <c:ser>
          <c:idx val="0"/>
          <c:order val="0"/>
          <c:tx>
            <c:strRef>
              <c:f>'KPI 64'!$D$19</c:f>
              <c:strCache>
                <c:ptCount val="1"/>
                <c:pt idx="0">
                  <c:v>Budget 2025-26</c:v>
                </c:pt>
              </c:strCache>
            </c:strRef>
          </c:tx>
          <c:spPr>
            <a:ln>
              <a:solidFill>
                <a:srgbClr val="FF0000"/>
              </a:solidFill>
            </a:ln>
          </c:spPr>
          <c:marker>
            <c:symbol val="none"/>
          </c:marker>
          <c:cat>
            <c:numRef>
              <c:f>'KPI 64'!$E$18:$P$18</c:f>
              <c:numCache>
                <c:formatCode>mmm\-yy</c:formatCode>
                <c:ptCount val="12"/>
                <c:pt idx="0">
                  <c:v>45839</c:v>
                </c:pt>
                <c:pt idx="1">
                  <c:v>45870</c:v>
                </c:pt>
                <c:pt idx="2">
                  <c:v>45901</c:v>
                </c:pt>
                <c:pt idx="3">
                  <c:v>45931</c:v>
                </c:pt>
                <c:pt idx="4">
                  <c:v>45962</c:v>
                </c:pt>
                <c:pt idx="5">
                  <c:v>45992</c:v>
                </c:pt>
                <c:pt idx="6">
                  <c:v>46023</c:v>
                </c:pt>
                <c:pt idx="7">
                  <c:v>46054</c:v>
                </c:pt>
                <c:pt idx="8">
                  <c:v>46082</c:v>
                </c:pt>
                <c:pt idx="9">
                  <c:v>46113</c:v>
                </c:pt>
                <c:pt idx="10">
                  <c:v>46143</c:v>
                </c:pt>
                <c:pt idx="11">
                  <c:v>46174</c:v>
                </c:pt>
              </c:numCache>
            </c:numRef>
          </c:cat>
          <c:val>
            <c:numRef>
              <c:f>'KPI 64'!$E$19:$P$19</c:f>
              <c:numCache>
                <c:formatCode>#,##0</c:formatCode>
                <c:ptCount val="12"/>
                <c:pt idx="0">
                  <c:v>520</c:v>
                </c:pt>
                <c:pt idx="1">
                  <c:v>521</c:v>
                </c:pt>
                <c:pt idx="2">
                  <c:v>522</c:v>
                </c:pt>
                <c:pt idx="3">
                  <c:v>523</c:v>
                </c:pt>
                <c:pt idx="4">
                  <c:v>524</c:v>
                </c:pt>
                <c:pt idx="5">
                  <c:v>525</c:v>
                </c:pt>
                <c:pt idx="6">
                  <c:v>526</c:v>
                </c:pt>
                <c:pt idx="7">
                  <c:v>527</c:v>
                </c:pt>
                <c:pt idx="8">
                  <c:v>528</c:v>
                </c:pt>
                <c:pt idx="9">
                  <c:v>529</c:v>
                </c:pt>
                <c:pt idx="10">
                  <c:v>530</c:v>
                </c:pt>
                <c:pt idx="11">
                  <c:v>531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BC5E-479D-AADC-0F5F8C6534C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22461184"/>
        <c:axId val="122655488"/>
      </c:lineChart>
      <c:dateAx>
        <c:axId val="122461184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crossAx val="122655488"/>
        <c:crosses val="autoZero"/>
        <c:auto val="1"/>
        <c:lblOffset val="100"/>
        <c:baseTimeUnit val="months"/>
      </c:dateAx>
      <c:valAx>
        <c:axId val="122655488"/>
        <c:scaling>
          <c:orientation val="minMax"/>
        </c:scaling>
        <c:delete val="0"/>
        <c:axPos val="l"/>
        <c:majorGridlines/>
        <c:numFmt formatCode="#,##0" sourceLinked="1"/>
        <c:majorTickMark val="out"/>
        <c:minorTickMark val="none"/>
        <c:tickLblPos val="nextTo"/>
        <c:crossAx val="122461184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000000000000822" l="0.70000000000000062" r="0.70000000000000062" t="0.75000000000000822" header="0.30000000000000032" footer="0.30000000000000032"/>
    <c:pageSetup/>
  </c:printSettings>
</c:chartSpace>
</file>

<file path=xl/charts/chart8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1"/>
          <c:order val="1"/>
          <c:tx>
            <c:strRef>
              <c:f>'KPI 65'!$D$20</c:f>
              <c:strCache>
                <c:ptCount val="1"/>
                <c:pt idx="0">
                  <c:v>Actual 2025-26</c:v>
                </c:pt>
              </c:strCache>
            </c:strRef>
          </c:tx>
          <c:spPr>
            <a:solidFill>
              <a:schemeClr val="accent1"/>
            </a:solidFill>
          </c:spPr>
          <c:invertIfNegative val="0"/>
          <c:cat>
            <c:numRef>
              <c:f>'KPI 65'!$E$18:$P$18</c:f>
              <c:numCache>
                <c:formatCode>mmm\-yy</c:formatCode>
                <c:ptCount val="12"/>
                <c:pt idx="0">
                  <c:v>45839</c:v>
                </c:pt>
                <c:pt idx="1">
                  <c:v>45870</c:v>
                </c:pt>
                <c:pt idx="2">
                  <c:v>45901</c:v>
                </c:pt>
                <c:pt idx="3">
                  <c:v>45931</c:v>
                </c:pt>
                <c:pt idx="4">
                  <c:v>45962</c:v>
                </c:pt>
                <c:pt idx="5">
                  <c:v>45992</c:v>
                </c:pt>
                <c:pt idx="6">
                  <c:v>46023</c:v>
                </c:pt>
                <c:pt idx="7">
                  <c:v>46054</c:v>
                </c:pt>
                <c:pt idx="8">
                  <c:v>46082</c:v>
                </c:pt>
                <c:pt idx="9">
                  <c:v>46113</c:v>
                </c:pt>
                <c:pt idx="10">
                  <c:v>46143</c:v>
                </c:pt>
                <c:pt idx="11">
                  <c:v>46174</c:v>
                </c:pt>
              </c:numCache>
            </c:numRef>
          </c:cat>
          <c:val>
            <c:numRef>
              <c:f>'KPI 65'!$E$20:$P$20</c:f>
              <c:numCache>
                <c:formatCode>#,##0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30B-4DF7-89F3-D9111D12A25B}"/>
            </c:ext>
          </c:extLst>
        </c:ser>
        <c:ser>
          <c:idx val="4"/>
          <c:order val="2"/>
          <c:tx>
            <c:strRef>
              <c:f>'KPI 65'!$D$21</c:f>
              <c:strCache>
                <c:ptCount val="1"/>
                <c:pt idx="0">
                  <c:v>Actual 2024-25</c:v>
                </c:pt>
              </c:strCache>
            </c:strRef>
          </c:tx>
          <c:spPr>
            <a:solidFill>
              <a:schemeClr val="accent3"/>
            </a:solidFill>
          </c:spPr>
          <c:invertIfNegative val="0"/>
          <c:cat>
            <c:numRef>
              <c:f>'KPI 65'!$E$18:$P$18</c:f>
              <c:numCache>
                <c:formatCode>mmm\-yy</c:formatCode>
                <c:ptCount val="12"/>
                <c:pt idx="0">
                  <c:v>45839</c:v>
                </c:pt>
                <c:pt idx="1">
                  <c:v>45870</c:v>
                </c:pt>
                <c:pt idx="2">
                  <c:v>45901</c:v>
                </c:pt>
                <c:pt idx="3">
                  <c:v>45931</c:v>
                </c:pt>
                <c:pt idx="4">
                  <c:v>45962</c:v>
                </c:pt>
                <c:pt idx="5">
                  <c:v>45992</c:v>
                </c:pt>
                <c:pt idx="6">
                  <c:v>46023</c:v>
                </c:pt>
                <c:pt idx="7">
                  <c:v>46054</c:v>
                </c:pt>
                <c:pt idx="8">
                  <c:v>46082</c:v>
                </c:pt>
                <c:pt idx="9">
                  <c:v>46113</c:v>
                </c:pt>
                <c:pt idx="10">
                  <c:v>46143</c:v>
                </c:pt>
                <c:pt idx="11">
                  <c:v>46174</c:v>
                </c:pt>
              </c:numCache>
            </c:numRef>
          </c:cat>
          <c:val>
            <c:numRef>
              <c:f>'KPI 65'!$E$21:$P$21</c:f>
              <c:numCache>
                <c:formatCode>#,##0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30B-4DF7-89F3-D9111D12A25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22556800"/>
        <c:axId val="122558336"/>
      </c:barChart>
      <c:lineChart>
        <c:grouping val="standard"/>
        <c:varyColors val="0"/>
        <c:ser>
          <c:idx val="0"/>
          <c:order val="0"/>
          <c:tx>
            <c:strRef>
              <c:f>'KPI 65'!$D$19</c:f>
              <c:strCache>
                <c:ptCount val="1"/>
                <c:pt idx="0">
                  <c:v>Budget 2025-26</c:v>
                </c:pt>
              </c:strCache>
            </c:strRef>
          </c:tx>
          <c:spPr>
            <a:ln>
              <a:solidFill>
                <a:srgbClr val="FF0000"/>
              </a:solidFill>
            </a:ln>
          </c:spPr>
          <c:marker>
            <c:symbol val="none"/>
          </c:marker>
          <c:cat>
            <c:numRef>
              <c:f>'KPI 65'!$E$18:$P$18</c:f>
              <c:numCache>
                <c:formatCode>mmm\-yy</c:formatCode>
                <c:ptCount val="12"/>
                <c:pt idx="0">
                  <c:v>45839</c:v>
                </c:pt>
                <c:pt idx="1">
                  <c:v>45870</c:v>
                </c:pt>
                <c:pt idx="2">
                  <c:v>45901</c:v>
                </c:pt>
                <c:pt idx="3">
                  <c:v>45931</c:v>
                </c:pt>
                <c:pt idx="4">
                  <c:v>45962</c:v>
                </c:pt>
                <c:pt idx="5">
                  <c:v>45992</c:v>
                </c:pt>
                <c:pt idx="6">
                  <c:v>46023</c:v>
                </c:pt>
                <c:pt idx="7">
                  <c:v>46054</c:v>
                </c:pt>
                <c:pt idx="8">
                  <c:v>46082</c:v>
                </c:pt>
                <c:pt idx="9">
                  <c:v>46113</c:v>
                </c:pt>
                <c:pt idx="10">
                  <c:v>46143</c:v>
                </c:pt>
                <c:pt idx="11">
                  <c:v>46174</c:v>
                </c:pt>
              </c:numCache>
            </c:numRef>
          </c:cat>
          <c:val>
            <c:numRef>
              <c:f>'KPI 65'!$E$19:$P$19</c:f>
              <c:numCache>
                <c:formatCode>#,##0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930B-4DF7-89F3-D9111D12A25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22556800"/>
        <c:axId val="122558336"/>
      </c:lineChart>
      <c:dateAx>
        <c:axId val="122556800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crossAx val="122558336"/>
        <c:crosses val="autoZero"/>
        <c:auto val="1"/>
        <c:lblOffset val="100"/>
        <c:baseTimeUnit val="months"/>
      </c:dateAx>
      <c:valAx>
        <c:axId val="122558336"/>
        <c:scaling>
          <c:orientation val="minMax"/>
        </c:scaling>
        <c:delete val="0"/>
        <c:axPos val="l"/>
        <c:majorGridlines/>
        <c:numFmt formatCode="#,##0" sourceLinked="1"/>
        <c:majorTickMark val="out"/>
        <c:minorTickMark val="none"/>
        <c:tickLblPos val="nextTo"/>
        <c:crossAx val="12255680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000000000000822" l="0.70000000000000062" r="0.70000000000000062" t="0.75000000000000822" header="0.30000000000000032" footer="0.30000000000000032"/>
    <c:pageSetup/>
  </c:printSettings>
</c:chartSpace>
</file>

<file path=xl/charts/chart8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1"/>
          <c:order val="1"/>
          <c:tx>
            <c:strRef>
              <c:f>'KPI 66'!$D$20</c:f>
              <c:strCache>
                <c:ptCount val="1"/>
                <c:pt idx="0">
                  <c:v>Actual 2025-26</c:v>
                </c:pt>
              </c:strCache>
            </c:strRef>
          </c:tx>
          <c:spPr>
            <a:solidFill>
              <a:schemeClr val="accent1"/>
            </a:solidFill>
          </c:spPr>
          <c:invertIfNegative val="0"/>
          <c:cat>
            <c:numRef>
              <c:f>'KPI 66'!$E$18:$P$18</c:f>
              <c:numCache>
                <c:formatCode>mmm\-yy</c:formatCode>
                <c:ptCount val="12"/>
                <c:pt idx="0">
                  <c:v>45839</c:v>
                </c:pt>
                <c:pt idx="1">
                  <c:v>45870</c:v>
                </c:pt>
                <c:pt idx="2">
                  <c:v>45901</c:v>
                </c:pt>
                <c:pt idx="3">
                  <c:v>45931</c:v>
                </c:pt>
                <c:pt idx="4">
                  <c:v>45962</c:v>
                </c:pt>
                <c:pt idx="5">
                  <c:v>45992</c:v>
                </c:pt>
                <c:pt idx="6">
                  <c:v>46023</c:v>
                </c:pt>
                <c:pt idx="7">
                  <c:v>46054</c:v>
                </c:pt>
                <c:pt idx="8">
                  <c:v>46082</c:v>
                </c:pt>
                <c:pt idx="9">
                  <c:v>46113</c:v>
                </c:pt>
                <c:pt idx="10">
                  <c:v>46143</c:v>
                </c:pt>
                <c:pt idx="11">
                  <c:v>46174</c:v>
                </c:pt>
              </c:numCache>
            </c:numRef>
          </c:cat>
          <c:val>
            <c:numRef>
              <c:f>'KPI 66'!$E$20:$P$20</c:f>
              <c:numCache>
                <c:formatCode>#,##0</c:formatCode>
                <c:ptCount val="12"/>
                <c:pt idx="0">
                  <c:v>1780</c:v>
                </c:pt>
                <c:pt idx="1">
                  <c:v>1785</c:v>
                </c:pt>
                <c:pt idx="2">
                  <c:v>1785</c:v>
                </c:pt>
                <c:pt idx="3">
                  <c:v>1781</c:v>
                </c:pt>
                <c:pt idx="4">
                  <c:v>1782</c:v>
                </c:pt>
                <c:pt idx="5">
                  <c:v>1786</c:v>
                </c:pt>
                <c:pt idx="6">
                  <c:v>1790</c:v>
                </c:pt>
                <c:pt idx="7">
                  <c:v>1790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19F-4748-B8E9-F49CF3522D3E}"/>
            </c:ext>
          </c:extLst>
        </c:ser>
        <c:ser>
          <c:idx val="4"/>
          <c:order val="2"/>
          <c:tx>
            <c:strRef>
              <c:f>'KPI 66'!$D$21</c:f>
              <c:strCache>
                <c:ptCount val="1"/>
                <c:pt idx="0">
                  <c:v>Actual 2024-25</c:v>
                </c:pt>
              </c:strCache>
            </c:strRef>
          </c:tx>
          <c:spPr>
            <a:solidFill>
              <a:schemeClr val="accent3"/>
            </a:solidFill>
          </c:spPr>
          <c:invertIfNegative val="0"/>
          <c:cat>
            <c:numRef>
              <c:f>'KPI 66'!$E$18:$P$18</c:f>
              <c:numCache>
                <c:formatCode>mmm\-yy</c:formatCode>
                <c:ptCount val="12"/>
                <c:pt idx="0">
                  <c:v>45839</c:v>
                </c:pt>
                <c:pt idx="1">
                  <c:v>45870</c:v>
                </c:pt>
                <c:pt idx="2">
                  <c:v>45901</c:v>
                </c:pt>
                <c:pt idx="3">
                  <c:v>45931</c:v>
                </c:pt>
                <c:pt idx="4">
                  <c:v>45962</c:v>
                </c:pt>
                <c:pt idx="5">
                  <c:v>45992</c:v>
                </c:pt>
                <c:pt idx="6">
                  <c:v>46023</c:v>
                </c:pt>
                <c:pt idx="7">
                  <c:v>46054</c:v>
                </c:pt>
                <c:pt idx="8">
                  <c:v>46082</c:v>
                </c:pt>
                <c:pt idx="9">
                  <c:v>46113</c:v>
                </c:pt>
                <c:pt idx="10">
                  <c:v>46143</c:v>
                </c:pt>
                <c:pt idx="11">
                  <c:v>46174</c:v>
                </c:pt>
              </c:numCache>
            </c:numRef>
          </c:cat>
          <c:val>
            <c:numRef>
              <c:f>'KPI 66'!$E$21:$P$21</c:f>
              <c:numCache>
                <c:formatCode>#,##0</c:formatCode>
                <c:ptCount val="12"/>
                <c:pt idx="0">
                  <c:v>1745</c:v>
                </c:pt>
                <c:pt idx="1">
                  <c:v>1754</c:v>
                </c:pt>
                <c:pt idx="2">
                  <c:v>1754</c:v>
                </c:pt>
                <c:pt idx="3">
                  <c:v>1754</c:v>
                </c:pt>
                <c:pt idx="4">
                  <c:v>1761</c:v>
                </c:pt>
                <c:pt idx="5">
                  <c:v>1760</c:v>
                </c:pt>
                <c:pt idx="6">
                  <c:v>1767</c:v>
                </c:pt>
                <c:pt idx="7">
                  <c:v>1773</c:v>
                </c:pt>
                <c:pt idx="8">
                  <c:v>1781</c:v>
                </c:pt>
                <c:pt idx="9">
                  <c:v>1785</c:v>
                </c:pt>
                <c:pt idx="10">
                  <c:v>1782</c:v>
                </c:pt>
                <c:pt idx="11">
                  <c:v>1783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19F-4748-B8E9-F49CF3522D3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22680832"/>
        <c:axId val="122682368"/>
      </c:barChart>
      <c:lineChart>
        <c:grouping val="standard"/>
        <c:varyColors val="0"/>
        <c:ser>
          <c:idx val="0"/>
          <c:order val="0"/>
          <c:tx>
            <c:strRef>
              <c:f>'KPI 66'!$D$19</c:f>
              <c:strCache>
                <c:ptCount val="1"/>
                <c:pt idx="0">
                  <c:v>Budget 2025-26</c:v>
                </c:pt>
              </c:strCache>
            </c:strRef>
          </c:tx>
          <c:spPr>
            <a:ln>
              <a:solidFill>
                <a:srgbClr val="FF0000"/>
              </a:solidFill>
            </a:ln>
          </c:spPr>
          <c:marker>
            <c:symbol val="none"/>
          </c:marker>
          <c:cat>
            <c:numRef>
              <c:f>'KPI 66'!$E$18:$P$18</c:f>
              <c:numCache>
                <c:formatCode>mmm\-yy</c:formatCode>
                <c:ptCount val="12"/>
                <c:pt idx="0">
                  <c:v>45839</c:v>
                </c:pt>
                <c:pt idx="1">
                  <c:v>45870</c:v>
                </c:pt>
                <c:pt idx="2">
                  <c:v>45901</c:v>
                </c:pt>
                <c:pt idx="3">
                  <c:v>45931</c:v>
                </c:pt>
                <c:pt idx="4">
                  <c:v>45962</c:v>
                </c:pt>
                <c:pt idx="5">
                  <c:v>45992</c:v>
                </c:pt>
                <c:pt idx="6">
                  <c:v>46023</c:v>
                </c:pt>
                <c:pt idx="7">
                  <c:v>46054</c:v>
                </c:pt>
                <c:pt idx="8">
                  <c:v>46082</c:v>
                </c:pt>
                <c:pt idx="9">
                  <c:v>46113</c:v>
                </c:pt>
                <c:pt idx="10">
                  <c:v>46143</c:v>
                </c:pt>
                <c:pt idx="11">
                  <c:v>46174</c:v>
                </c:pt>
              </c:numCache>
            </c:numRef>
          </c:cat>
          <c:val>
            <c:numRef>
              <c:f>'KPI 66'!$E$19:$P$19</c:f>
              <c:numCache>
                <c:formatCode>#,##0</c:formatCode>
                <c:ptCount val="12"/>
                <c:pt idx="0">
                  <c:v>1797</c:v>
                </c:pt>
                <c:pt idx="1">
                  <c:v>1810</c:v>
                </c:pt>
                <c:pt idx="2">
                  <c:v>1823</c:v>
                </c:pt>
                <c:pt idx="3">
                  <c:v>1836</c:v>
                </c:pt>
                <c:pt idx="4">
                  <c:v>1849</c:v>
                </c:pt>
                <c:pt idx="5">
                  <c:v>1862</c:v>
                </c:pt>
                <c:pt idx="6">
                  <c:v>1875</c:v>
                </c:pt>
                <c:pt idx="7">
                  <c:v>1888</c:v>
                </c:pt>
                <c:pt idx="8">
                  <c:v>1901</c:v>
                </c:pt>
                <c:pt idx="9">
                  <c:v>1914</c:v>
                </c:pt>
                <c:pt idx="10">
                  <c:v>1927</c:v>
                </c:pt>
                <c:pt idx="11">
                  <c:v>1940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19F-4748-B8E9-F49CF3522D3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22680832"/>
        <c:axId val="122682368"/>
      </c:lineChart>
      <c:dateAx>
        <c:axId val="122680832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crossAx val="122682368"/>
        <c:crosses val="autoZero"/>
        <c:auto val="1"/>
        <c:lblOffset val="100"/>
        <c:baseTimeUnit val="months"/>
      </c:dateAx>
      <c:valAx>
        <c:axId val="122682368"/>
        <c:scaling>
          <c:orientation val="minMax"/>
        </c:scaling>
        <c:delete val="0"/>
        <c:axPos val="l"/>
        <c:majorGridlines/>
        <c:numFmt formatCode="#,##0" sourceLinked="1"/>
        <c:majorTickMark val="out"/>
        <c:minorTickMark val="none"/>
        <c:tickLblPos val="nextTo"/>
        <c:crossAx val="122680832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000000000000822" l="0.70000000000000062" r="0.70000000000000062" t="0.75000000000000822" header="0.30000000000000032" footer="0.30000000000000032"/>
    <c:pageSetup/>
  </c:printSettings>
</c:chartSpace>
</file>

<file path=xl/charts/chart8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1"/>
          <c:order val="1"/>
          <c:tx>
            <c:strRef>
              <c:f>'KPI 67'!$D$20</c:f>
              <c:strCache>
                <c:ptCount val="1"/>
                <c:pt idx="0">
                  <c:v>Actual 2025-26</c:v>
                </c:pt>
              </c:strCache>
            </c:strRef>
          </c:tx>
          <c:spPr>
            <a:solidFill>
              <a:schemeClr val="accent1"/>
            </a:solidFill>
          </c:spPr>
          <c:invertIfNegative val="0"/>
          <c:cat>
            <c:numRef>
              <c:f>'KPI 67'!$E$18:$P$18</c:f>
              <c:numCache>
                <c:formatCode>mmm\-yy</c:formatCode>
                <c:ptCount val="12"/>
                <c:pt idx="0">
                  <c:v>45839</c:v>
                </c:pt>
                <c:pt idx="1">
                  <c:v>45870</c:v>
                </c:pt>
                <c:pt idx="2">
                  <c:v>45901</c:v>
                </c:pt>
                <c:pt idx="3">
                  <c:v>45931</c:v>
                </c:pt>
                <c:pt idx="4">
                  <c:v>45962</c:v>
                </c:pt>
                <c:pt idx="5">
                  <c:v>45992</c:v>
                </c:pt>
                <c:pt idx="6">
                  <c:v>46023</c:v>
                </c:pt>
                <c:pt idx="7">
                  <c:v>46054</c:v>
                </c:pt>
                <c:pt idx="8">
                  <c:v>46082</c:v>
                </c:pt>
                <c:pt idx="9">
                  <c:v>46113</c:v>
                </c:pt>
                <c:pt idx="10">
                  <c:v>46143</c:v>
                </c:pt>
                <c:pt idx="11">
                  <c:v>46174</c:v>
                </c:pt>
              </c:numCache>
            </c:numRef>
          </c:cat>
          <c:val>
            <c:numRef>
              <c:f>'KPI 67'!$E$20:$P$20</c:f>
              <c:numCache>
                <c:formatCode>#,##0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351-4AE9-8576-481D133E6A2F}"/>
            </c:ext>
          </c:extLst>
        </c:ser>
        <c:ser>
          <c:idx val="4"/>
          <c:order val="2"/>
          <c:tx>
            <c:strRef>
              <c:f>'KPI 67'!$D$21</c:f>
              <c:strCache>
                <c:ptCount val="1"/>
                <c:pt idx="0">
                  <c:v>Actual 2024-25</c:v>
                </c:pt>
              </c:strCache>
            </c:strRef>
          </c:tx>
          <c:spPr>
            <a:solidFill>
              <a:schemeClr val="accent3"/>
            </a:solidFill>
          </c:spPr>
          <c:invertIfNegative val="0"/>
          <c:cat>
            <c:numRef>
              <c:f>'KPI 67'!$E$18:$P$18</c:f>
              <c:numCache>
                <c:formatCode>mmm\-yy</c:formatCode>
                <c:ptCount val="12"/>
                <c:pt idx="0">
                  <c:v>45839</c:v>
                </c:pt>
                <c:pt idx="1">
                  <c:v>45870</c:v>
                </c:pt>
                <c:pt idx="2">
                  <c:v>45901</c:v>
                </c:pt>
                <c:pt idx="3">
                  <c:v>45931</c:v>
                </c:pt>
                <c:pt idx="4">
                  <c:v>45962</c:v>
                </c:pt>
                <c:pt idx="5">
                  <c:v>45992</c:v>
                </c:pt>
                <c:pt idx="6">
                  <c:v>46023</c:v>
                </c:pt>
                <c:pt idx="7">
                  <c:v>46054</c:v>
                </c:pt>
                <c:pt idx="8">
                  <c:v>46082</c:v>
                </c:pt>
                <c:pt idx="9">
                  <c:v>46113</c:v>
                </c:pt>
                <c:pt idx="10">
                  <c:v>46143</c:v>
                </c:pt>
                <c:pt idx="11">
                  <c:v>46174</c:v>
                </c:pt>
              </c:numCache>
            </c:numRef>
          </c:cat>
          <c:val>
            <c:numRef>
              <c:f>'KPI 67'!$E$21:$P$21</c:f>
              <c:numCache>
                <c:formatCode>#,##0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351-4AE9-8576-481D133E6A2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22595968"/>
        <c:axId val="123384192"/>
      </c:barChart>
      <c:lineChart>
        <c:grouping val="standard"/>
        <c:varyColors val="0"/>
        <c:ser>
          <c:idx val="0"/>
          <c:order val="0"/>
          <c:tx>
            <c:strRef>
              <c:f>'KPI 67'!$D$19</c:f>
              <c:strCache>
                <c:ptCount val="1"/>
                <c:pt idx="0">
                  <c:v>Budget 2025-26</c:v>
                </c:pt>
              </c:strCache>
            </c:strRef>
          </c:tx>
          <c:spPr>
            <a:ln>
              <a:solidFill>
                <a:srgbClr val="FF0000"/>
              </a:solidFill>
            </a:ln>
          </c:spPr>
          <c:marker>
            <c:symbol val="none"/>
          </c:marker>
          <c:cat>
            <c:numRef>
              <c:f>'KPI 67'!$E$18:$P$18</c:f>
              <c:numCache>
                <c:formatCode>mmm\-yy</c:formatCode>
                <c:ptCount val="12"/>
                <c:pt idx="0">
                  <c:v>45839</c:v>
                </c:pt>
                <c:pt idx="1">
                  <c:v>45870</c:v>
                </c:pt>
                <c:pt idx="2">
                  <c:v>45901</c:v>
                </c:pt>
                <c:pt idx="3">
                  <c:v>45931</c:v>
                </c:pt>
                <c:pt idx="4">
                  <c:v>45962</c:v>
                </c:pt>
                <c:pt idx="5">
                  <c:v>45992</c:v>
                </c:pt>
                <c:pt idx="6">
                  <c:v>46023</c:v>
                </c:pt>
                <c:pt idx="7">
                  <c:v>46054</c:v>
                </c:pt>
                <c:pt idx="8">
                  <c:v>46082</c:v>
                </c:pt>
                <c:pt idx="9">
                  <c:v>46113</c:v>
                </c:pt>
                <c:pt idx="10">
                  <c:v>46143</c:v>
                </c:pt>
                <c:pt idx="11">
                  <c:v>46174</c:v>
                </c:pt>
              </c:numCache>
            </c:numRef>
          </c:cat>
          <c:val>
            <c:numRef>
              <c:f>'KPI 67'!$E$19:$P$19</c:f>
              <c:numCache>
                <c:formatCode>#,##0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1351-4AE9-8576-481D133E6A2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22595968"/>
        <c:axId val="123384192"/>
      </c:lineChart>
      <c:dateAx>
        <c:axId val="122595968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crossAx val="123384192"/>
        <c:crosses val="autoZero"/>
        <c:auto val="1"/>
        <c:lblOffset val="100"/>
        <c:baseTimeUnit val="months"/>
      </c:dateAx>
      <c:valAx>
        <c:axId val="123384192"/>
        <c:scaling>
          <c:orientation val="minMax"/>
        </c:scaling>
        <c:delete val="0"/>
        <c:axPos val="l"/>
        <c:majorGridlines/>
        <c:numFmt formatCode="#,##0" sourceLinked="1"/>
        <c:majorTickMark val="out"/>
        <c:minorTickMark val="none"/>
        <c:tickLblPos val="nextTo"/>
        <c:crossAx val="122595968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000000000000822" l="0.70000000000000062" r="0.70000000000000062" t="0.75000000000000822" header="0.30000000000000032" footer="0.30000000000000032"/>
    <c:pageSetup/>
  </c:printSettings>
</c:chartSpace>
</file>

<file path=xl/charts/chart8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1"/>
          <c:order val="1"/>
          <c:tx>
            <c:strRef>
              <c:f>'KPI 68'!$D$20</c:f>
              <c:strCache>
                <c:ptCount val="1"/>
                <c:pt idx="0">
                  <c:v>Actual 2025-26</c:v>
                </c:pt>
              </c:strCache>
            </c:strRef>
          </c:tx>
          <c:spPr>
            <a:solidFill>
              <a:schemeClr val="accent1"/>
            </a:solidFill>
          </c:spPr>
          <c:invertIfNegative val="0"/>
          <c:cat>
            <c:numRef>
              <c:f>'KPI 68'!$E$18:$P$18</c:f>
              <c:numCache>
                <c:formatCode>mmm\-yy</c:formatCode>
                <c:ptCount val="12"/>
                <c:pt idx="0">
                  <c:v>45839</c:v>
                </c:pt>
                <c:pt idx="1">
                  <c:v>45870</c:v>
                </c:pt>
                <c:pt idx="2">
                  <c:v>45901</c:v>
                </c:pt>
                <c:pt idx="3">
                  <c:v>45931</c:v>
                </c:pt>
                <c:pt idx="4">
                  <c:v>45962</c:v>
                </c:pt>
                <c:pt idx="5">
                  <c:v>45992</c:v>
                </c:pt>
                <c:pt idx="6">
                  <c:v>46023</c:v>
                </c:pt>
                <c:pt idx="7">
                  <c:v>46054</c:v>
                </c:pt>
                <c:pt idx="8">
                  <c:v>46082</c:v>
                </c:pt>
                <c:pt idx="9">
                  <c:v>46113</c:v>
                </c:pt>
                <c:pt idx="10">
                  <c:v>46143</c:v>
                </c:pt>
                <c:pt idx="11">
                  <c:v>46174</c:v>
                </c:pt>
              </c:numCache>
            </c:numRef>
          </c:cat>
          <c:val>
            <c:numRef>
              <c:f>'KPI 68'!$E$20:$P$20</c:f>
              <c:numCache>
                <c:formatCode>#,##0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072-4452-9021-33C8B37BF471}"/>
            </c:ext>
          </c:extLst>
        </c:ser>
        <c:ser>
          <c:idx val="4"/>
          <c:order val="2"/>
          <c:tx>
            <c:strRef>
              <c:f>'KPI 68'!$D$21</c:f>
              <c:strCache>
                <c:ptCount val="1"/>
                <c:pt idx="0">
                  <c:v>Actual 2024-25</c:v>
                </c:pt>
              </c:strCache>
            </c:strRef>
          </c:tx>
          <c:spPr>
            <a:solidFill>
              <a:schemeClr val="accent3"/>
            </a:solidFill>
          </c:spPr>
          <c:invertIfNegative val="0"/>
          <c:cat>
            <c:numRef>
              <c:f>'KPI 68'!$E$18:$P$18</c:f>
              <c:numCache>
                <c:formatCode>mmm\-yy</c:formatCode>
                <c:ptCount val="12"/>
                <c:pt idx="0">
                  <c:v>45839</c:v>
                </c:pt>
                <c:pt idx="1">
                  <c:v>45870</c:v>
                </c:pt>
                <c:pt idx="2">
                  <c:v>45901</c:v>
                </c:pt>
                <c:pt idx="3">
                  <c:v>45931</c:v>
                </c:pt>
                <c:pt idx="4">
                  <c:v>45962</c:v>
                </c:pt>
                <c:pt idx="5">
                  <c:v>45992</c:v>
                </c:pt>
                <c:pt idx="6">
                  <c:v>46023</c:v>
                </c:pt>
                <c:pt idx="7">
                  <c:v>46054</c:v>
                </c:pt>
                <c:pt idx="8">
                  <c:v>46082</c:v>
                </c:pt>
                <c:pt idx="9">
                  <c:v>46113</c:v>
                </c:pt>
                <c:pt idx="10">
                  <c:v>46143</c:v>
                </c:pt>
                <c:pt idx="11">
                  <c:v>46174</c:v>
                </c:pt>
              </c:numCache>
            </c:numRef>
          </c:cat>
          <c:val>
            <c:numRef>
              <c:f>'KPI 68'!$E$21:$P$21</c:f>
              <c:numCache>
                <c:formatCode>#,##0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072-4452-9021-33C8B37BF47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23858944"/>
        <c:axId val="123860480"/>
      </c:barChart>
      <c:lineChart>
        <c:grouping val="standard"/>
        <c:varyColors val="0"/>
        <c:ser>
          <c:idx val="0"/>
          <c:order val="0"/>
          <c:tx>
            <c:strRef>
              <c:f>'KPI 68'!$D$19</c:f>
              <c:strCache>
                <c:ptCount val="1"/>
                <c:pt idx="0">
                  <c:v>Budget 2025-26</c:v>
                </c:pt>
              </c:strCache>
            </c:strRef>
          </c:tx>
          <c:spPr>
            <a:ln>
              <a:solidFill>
                <a:srgbClr val="FF0000"/>
              </a:solidFill>
            </a:ln>
          </c:spPr>
          <c:marker>
            <c:symbol val="none"/>
          </c:marker>
          <c:cat>
            <c:numRef>
              <c:f>'KPI 68'!$E$18:$P$18</c:f>
              <c:numCache>
                <c:formatCode>mmm\-yy</c:formatCode>
                <c:ptCount val="12"/>
                <c:pt idx="0">
                  <c:v>45839</c:v>
                </c:pt>
                <c:pt idx="1">
                  <c:v>45870</c:v>
                </c:pt>
                <c:pt idx="2">
                  <c:v>45901</c:v>
                </c:pt>
                <c:pt idx="3">
                  <c:v>45931</c:v>
                </c:pt>
                <c:pt idx="4">
                  <c:v>45962</c:v>
                </c:pt>
                <c:pt idx="5">
                  <c:v>45992</c:v>
                </c:pt>
                <c:pt idx="6">
                  <c:v>46023</c:v>
                </c:pt>
                <c:pt idx="7">
                  <c:v>46054</c:v>
                </c:pt>
                <c:pt idx="8">
                  <c:v>46082</c:v>
                </c:pt>
                <c:pt idx="9">
                  <c:v>46113</c:v>
                </c:pt>
                <c:pt idx="10">
                  <c:v>46143</c:v>
                </c:pt>
                <c:pt idx="11">
                  <c:v>46174</c:v>
                </c:pt>
              </c:numCache>
            </c:numRef>
          </c:cat>
          <c:val>
            <c:numRef>
              <c:f>'KPI 68'!$E$19:$P$19</c:f>
              <c:numCache>
                <c:formatCode>#,##0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072-4452-9021-33C8B37BF47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23858944"/>
        <c:axId val="123860480"/>
      </c:lineChart>
      <c:dateAx>
        <c:axId val="123858944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crossAx val="123860480"/>
        <c:crosses val="autoZero"/>
        <c:auto val="1"/>
        <c:lblOffset val="100"/>
        <c:baseTimeUnit val="months"/>
      </c:dateAx>
      <c:valAx>
        <c:axId val="123860480"/>
        <c:scaling>
          <c:orientation val="minMax"/>
        </c:scaling>
        <c:delete val="0"/>
        <c:axPos val="l"/>
        <c:majorGridlines/>
        <c:numFmt formatCode="#,##0" sourceLinked="1"/>
        <c:majorTickMark val="out"/>
        <c:minorTickMark val="none"/>
        <c:tickLblPos val="nextTo"/>
        <c:crossAx val="123858944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000000000000822" l="0.70000000000000062" r="0.70000000000000062" t="0.75000000000000822" header="0.30000000000000032" footer="0.30000000000000032"/>
    <c:pageSetup/>
  </c:printSettings>
</c:chartSpace>
</file>

<file path=xl/charts/chart8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1"/>
          <c:order val="1"/>
          <c:tx>
            <c:strRef>
              <c:f>'KPI 69'!$D$20</c:f>
              <c:strCache>
                <c:ptCount val="1"/>
                <c:pt idx="0">
                  <c:v>Actual 2025-26</c:v>
                </c:pt>
              </c:strCache>
            </c:strRef>
          </c:tx>
          <c:spPr>
            <a:solidFill>
              <a:schemeClr val="accent1"/>
            </a:solidFill>
          </c:spPr>
          <c:invertIfNegative val="0"/>
          <c:cat>
            <c:numRef>
              <c:f>'KPI 69'!$E$18:$P$18</c:f>
              <c:numCache>
                <c:formatCode>mmm\-yy</c:formatCode>
                <c:ptCount val="12"/>
                <c:pt idx="0">
                  <c:v>45839</c:v>
                </c:pt>
                <c:pt idx="1">
                  <c:v>45870</c:v>
                </c:pt>
                <c:pt idx="2">
                  <c:v>45901</c:v>
                </c:pt>
                <c:pt idx="3">
                  <c:v>45931</c:v>
                </c:pt>
                <c:pt idx="4">
                  <c:v>45962</c:v>
                </c:pt>
                <c:pt idx="5">
                  <c:v>45992</c:v>
                </c:pt>
                <c:pt idx="6">
                  <c:v>46023</c:v>
                </c:pt>
                <c:pt idx="7">
                  <c:v>46054</c:v>
                </c:pt>
                <c:pt idx="8">
                  <c:v>46082</c:v>
                </c:pt>
                <c:pt idx="9">
                  <c:v>46113</c:v>
                </c:pt>
                <c:pt idx="10">
                  <c:v>46143</c:v>
                </c:pt>
                <c:pt idx="11">
                  <c:v>46174</c:v>
                </c:pt>
              </c:numCache>
            </c:numRef>
          </c:cat>
          <c:val>
            <c:numRef>
              <c:f>'KPI 69'!$E$20:$P$20</c:f>
              <c:numCache>
                <c:formatCode>#,##0</c:formatCode>
                <c:ptCount val="12"/>
                <c:pt idx="0">
                  <c:v>50</c:v>
                </c:pt>
                <c:pt idx="1">
                  <c:v>52</c:v>
                </c:pt>
                <c:pt idx="2">
                  <c:v>54</c:v>
                </c:pt>
                <c:pt idx="3">
                  <c:v>54</c:v>
                </c:pt>
                <c:pt idx="4">
                  <c:v>54</c:v>
                </c:pt>
                <c:pt idx="5">
                  <c:v>59</c:v>
                </c:pt>
                <c:pt idx="6">
                  <c:v>61</c:v>
                </c:pt>
                <c:pt idx="7">
                  <c:v>61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DBD-43CF-AB90-2B64D4F3DB82}"/>
            </c:ext>
          </c:extLst>
        </c:ser>
        <c:ser>
          <c:idx val="4"/>
          <c:order val="2"/>
          <c:tx>
            <c:strRef>
              <c:f>'KPI 69'!$D$21</c:f>
              <c:strCache>
                <c:ptCount val="1"/>
                <c:pt idx="0">
                  <c:v>Actual 2024-25</c:v>
                </c:pt>
              </c:strCache>
            </c:strRef>
          </c:tx>
          <c:spPr>
            <a:solidFill>
              <a:schemeClr val="accent3"/>
            </a:solidFill>
          </c:spPr>
          <c:invertIfNegative val="0"/>
          <c:cat>
            <c:numRef>
              <c:f>'KPI 69'!$E$18:$P$18</c:f>
              <c:numCache>
                <c:formatCode>mmm\-yy</c:formatCode>
                <c:ptCount val="12"/>
                <c:pt idx="0">
                  <c:v>45839</c:v>
                </c:pt>
                <c:pt idx="1">
                  <c:v>45870</c:v>
                </c:pt>
                <c:pt idx="2">
                  <c:v>45901</c:v>
                </c:pt>
                <c:pt idx="3">
                  <c:v>45931</c:v>
                </c:pt>
                <c:pt idx="4">
                  <c:v>45962</c:v>
                </c:pt>
                <c:pt idx="5">
                  <c:v>45992</c:v>
                </c:pt>
                <c:pt idx="6">
                  <c:v>46023</c:v>
                </c:pt>
                <c:pt idx="7">
                  <c:v>46054</c:v>
                </c:pt>
                <c:pt idx="8">
                  <c:v>46082</c:v>
                </c:pt>
                <c:pt idx="9">
                  <c:v>46113</c:v>
                </c:pt>
                <c:pt idx="10">
                  <c:v>46143</c:v>
                </c:pt>
                <c:pt idx="11">
                  <c:v>46174</c:v>
                </c:pt>
              </c:numCache>
            </c:numRef>
          </c:cat>
          <c:val>
            <c:numRef>
              <c:f>'KPI 69'!$E$21:$P$21</c:f>
              <c:numCache>
                <c:formatCode>#,##0</c:formatCode>
                <c:ptCount val="12"/>
                <c:pt idx="0">
                  <c:v>43</c:v>
                </c:pt>
                <c:pt idx="1">
                  <c:v>43</c:v>
                </c:pt>
                <c:pt idx="2">
                  <c:v>44</c:v>
                </c:pt>
                <c:pt idx="3">
                  <c:v>45</c:v>
                </c:pt>
                <c:pt idx="4">
                  <c:v>45</c:v>
                </c:pt>
                <c:pt idx="5">
                  <c:v>45</c:v>
                </c:pt>
                <c:pt idx="6">
                  <c:v>45</c:v>
                </c:pt>
                <c:pt idx="7">
                  <c:v>48</c:v>
                </c:pt>
                <c:pt idx="8">
                  <c:v>50</c:v>
                </c:pt>
                <c:pt idx="9">
                  <c:v>50</c:v>
                </c:pt>
                <c:pt idx="10">
                  <c:v>50</c:v>
                </c:pt>
                <c:pt idx="11">
                  <c:v>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DBD-43CF-AB90-2B64D4F3DB8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22983552"/>
        <c:axId val="122985088"/>
      </c:barChart>
      <c:lineChart>
        <c:grouping val="standard"/>
        <c:varyColors val="0"/>
        <c:ser>
          <c:idx val="0"/>
          <c:order val="0"/>
          <c:tx>
            <c:strRef>
              <c:f>'KPI 69'!$D$19</c:f>
              <c:strCache>
                <c:ptCount val="1"/>
                <c:pt idx="0">
                  <c:v>Budget 2025-26</c:v>
                </c:pt>
              </c:strCache>
            </c:strRef>
          </c:tx>
          <c:spPr>
            <a:ln>
              <a:solidFill>
                <a:srgbClr val="FF0000"/>
              </a:solidFill>
            </a:ln>
          </c:spPr>
          <c:marker>
            <c:symbol val="none"/>
          </c:marker>
          <c:cat>
            <c:numRef>
              <c:f>'KPI 69'!$E$18:$P$18</c:f>
              <c:numCache>
                <c:formatCode>mmm\-yy</c:formatCode>
                <c:ptCount val="12"/>
                <c:pt idx="0">
                  <c:v>45839</c:v>
                </c:pt>
                <c:pt idx="1">
                  <c:v>45870</c:v>
                </c:pt>
                <c:pt idx="2">
                  <c:v>45901</c:v>
                </c:pt>
                <c:pt idx="3">
                  <c:v>45931</c:v>
                </c:pt>
                <c:pt idx="4">
                  <c:v>45962</c:v>
                </c:pt>
                <c:pt idx="5">
                  <c:v>45992</c:v>
                </c:pt>
                <c:pt idx="6">
                  <c:v>46023</c:v>
                </c:pt>
                <c:pt idx="7">
                  <c:v>46054</c:v>
                </c:pt>
                <c:pt idx="8">
                  <c:v>46082</c:v>
                </c:pt>
                <c:pt idx="9">
                  <c:v>46113</c:v>
                </c:pt>
                <c:pt idx="10">
                  <c:v>46143</c:v>
                </c:pt>
                <c:pt idx="11">
                  <c:v>46174</c:v>
                </c:pt>
              </c:numCache>
            </c:numRef>
          </c:cat>
          <c:val>
            <c:numRef>
              <c:f>'KPI 69'!$E$19:$P$19</c:f>
              <c:numCache>
                <c:formatCode>#,##0</c:formatCode>
                <c:ptCount val="12"/>
                <c:pt idx="0">
                  <c:v>51</c:v>
                </c:pt>
                <c:pt idx="1">
                  <c:v>52</c:v>
                </c:pt>
                <c:pt idx="2">
                  <c:v>53</c:v>
                </c:pt>
                <c:pt idx="3">
                  <c:v>54</c:v>
                </c:pt>
                <c:pt idx="4">
                  <c:v>55</c:v>
                </c:pt>
                <c:pt idx="5">
                  <c:v>56</c:v>
                </c:pt>
                <c:pt idx="6">
                  <c:v>57</c:v>
                </c:pt>
                <c:pt idx="7">
                  <c:v>58</c:v>
                </c:pt>
                <c:pt idx="8">
                  <c:v>59</c:v>
                </c:pt>
                <c:pt idx="9">
                  <c:v>60</c:v>
                </c:pt>
                <c:pt idx="10">
                  <c:v>61</c:v>
                </c:pt>
                <c:pt idx="11">
                  <c:v>62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BDBD-43CF-AB90-2B64D4F3DB8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22983552"/>
        <c:axId val="122985088"/>
      </c:lineChart>
      <c:dateAx>
        <c:axId val="122983552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crossAx val="122985088"/>
        <c:crosses val="autoZero"/>
        <c:auto val="1"/>
        <c:lblOffset val="100"/>
        <c:baseTimeUnit val="months"/>
      </c:dateAx>
      <c:valAx>
        <c:axId val="122985088"/>
        <c:scaling>
          <c:orientation val="minMax"/>
        </c:scaling>
        <c:delete val="0"/>
        <c:axPos val="l"/>
        <c:majorGridlines/>
        <c:numFmt formatCode="#,##0" sourceLinked="1"/>
        <c:majorTickMark val="out"/>
        <c:minorTickMark val="none"/>
        <c:tickLblPos val="nextTo"/>
        <c:crossAx val="122983552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000000000000822" l="0.70000000000000062" r="0.70000000000000062" t="0.75000000000000822" header="0.30000000000000032" footer="0.30000000000000032"/>
    <c:pageSetup/>
  </c:printSettings>
</c:chartSpace>
</file>

<file path=xl/charts/chart8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1"/>
          <c:order val="1"/>
          <c:tx>
            <c:strRef>
              <c:f>'KPI 70'!$D$20</c:f>
              <c:strCache>
                <c:ptCount val="1"/>
                <c:pt idx="0">
                  <c:v>Actual 2025-26</c:v>
                </c:pt>
              </c:strCache>
            </c:strRef>
          </c:tx>
          <c:spPr>
            <a:solidFill>
              <a:schemeClr val="accent1"/>
            </a:solidFill>
          </c:spPr>
          <c:invertIfNegative val="0"/>
          <c:cat>
            <c:numRef>
              <c:f>'KPI 70'!$E$18:$P$18</c:f>
              <c:numCache>
                <c:formatCode>mmm\-yy</c:formatCode>
                <c:ptCount val="12"/>
                <c:pt idx="0">
                  <c:v>45839</c:v>
                </c:pt>
                <c:pt idx="1">
                  <c:v>45870</c:v>
                </c:pt>
                <c:pt idx="2">
                  <c:v>45901</c:v>
                </c:pt>
                <c:pt idx="3">
                  <c:v>45931</c:v>
                </c:pt>
                <c:pt idx="4">
                  <c:v>45962</c:v>
                </c:pt>
                <c:pt idx="5">
                  <c:v>45992</c:v>
                </c:pt>
                <c:pt idx="6">
                  <c:v>46023</c:v>
                </c:pt>
                <c:pt idx="7">
                  <c:v>46054</c:v>
                </c:pt>
                <c:pt idx="8">
                  <c:v>46082</c:v>
                </c:pt>
                <c:pt idx="9">
                  <c:v>46113</c:v>
                </c:pt>
                <c:pt idx="10">
                  <c:v>46143</c:v>
                </c:pt>
                <c:pt idx="11">
                  <c:v>46174</c:v>
                </c:pt>
              </c:numCache>
            </c:numRef>
          </c:cat>
          <c:val>
            <c:numRef>
              <c:f>'KPI 70'!$E$20:$P$20</c:f>
              <c:numCache>
                <c:formatCode>#,##0</c:formatCode>
                <c:ptCount val="12"/>
                <c:pt idx="0">
                  <c:v>155</c:v>
                </c:pt>
                <c:pt idx="1">
                  <c:v>155</c:v>
                </c:pt>
                <c:pt idx="2">
                  <c:v>155</c:v>
                </c:pt>
                <c:pt idx="3">
                  <c:v>154</c:v>
                </c:pt>
                <c:pt idx="4">
                  <c:v>155</c:v>
                </c:pt>
                <c:pt idx="5">
                  <c:v>158</c:v>
                </c:pt>
                <c:pt idx="6">
                  <c:v>159</c:v>
                </c:pt>
                <c:pt idx="7">
                  <c:v>159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487-4CE0-8D8B-3AE4DF97828D}"/>
            </c:ext>
          </c:extLst>
        </c:ser>
        <c:ser>
          <c:idx val="4"/>
          <c:order val="2"/>
          <c:tx>
            <c:strRef>
              <c:f>'KPI 70'!$D$21</c:f>
              <c:strCache>
                <c:ptCount val="1"/>
                <c:pt idx="0">
                  <c:v>Actual 2024-25</c:v>
                </c:pt>
              </c:strCache>
            </c:strRef>
          </c:tx>
          <c:spPr>
            <a:solidFill>
              <a:schemeClr val="accent3"/>
            </a:solidFill>
          </c:spPr>
          <c:invertIfNegative val="0"/>
          <c:cat>
            <c:numRef>
              <c:f>'KPI 70'!$E$18:$P$18</c:f>
              <c:numCache>
                <c:formatCode>mmm\-yy</c:formatCode>
                <c:ptCount val="12"/>
                <c:pt idx="0">
                  <c:v>45839</c:v>
                </c:pt>
                <c:pt idx="1">
                  <c:v>45870</c:v>
                </c:pt>
                <c:pt idx="2">
                  <c:v>45901</c:v>
                </c:pt>
                <c:pt idx="3">
                  <c:v>45931</c:v>
                </c:pt>
                <c:pt idx="4">
                  <c:v>45962</c:v>
                </c:pt>
                <c:pt idx="5">
                  <c:v>45992</c:v>
                </c:pt>
                <c:pt idx="6">
                  <c:v>46023</c:v>
                </c:pt>
                <c:pt idx="7">
                  <c:v>46054</c:v>
                </c:pt>
                <c:pt idx="8">
                  <c:v>46082</c:v>
                </c:pt>
                <c:pt idx="9">
                  <c:v>46113</c:v>
                </c:pt>
                <c:pt idx="10">
                  <c:v>46143</c:v>
                </c:pt>
                <c:pt idx="11">
                  <c:v>46174</c:v>
                </c:pt>
              </c:numCache>
            </c:numRef>
          </c:cat>
          <c:val>
            <c:numRef>
              <c:f>'KPI 70'!$E$21:$P$21</c:f>
              <c:numCache>
                <c:formatCode>#,##0</c:formatCode>
                <c:ptCount val="12"/>
                <c:pt idx="0">
                  <c:v>158</c:v>
                </c:pt>
                <c:pt idx="1">
                  <c:v>152</c:v>
                </c:pt>
                <c:pt idx="2">
                  <c:v>154</c:v>
                </c:pt>
                <c:pt idx="3">
                  <c:v>154</c:v>
                </c:pt>
                <c:pt idx="4">
                  <c:v>154</c:v>
                </c:pt>
                <c:pt idx="5">
                  <c:v>153</c:v>
                </c:pt>
                <c:pt idx="6">
                  <c:v>153</c:v>
                </c:pt>
                <c:pt idx="7">
                  <c:v>153</c:v>
                </c:pt>
                <c:pt idx="8">
                  <c:v>155</c:v>
                </c:pt>
                <c:pt idx="9">
                  <c:v>156</c:v>
                </c:pt>
                <c:pt idx="10">
                  <c:v>155</c:v>
                </c:pt>
                <c:pt idx="11">
                  <c:v>155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487-4CE0-8D8B-3AE4DF97828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23181312"/>
        <c:axId val="123232256"/>
      </c:barChart>
      <c:lineChart>
        <c:grouping val="standard"/>
        <c:varyColors val="0"/>
        <c:ser>
          <c:idx val="0"/>
          <c:order val="0"/>
          <c:tx>
            <c:strRef>
              <c:f>'KPI 70'!$D$19</c:f>
              <c:strCache>
                <c:ptCount val="1"/>
                <c:pt idx="0">
                  <c:v>Budget 2025-26</c:v>
                </c:pt>
              </c:strCache>
            </c:strRef>
          </c:tx>
          <c:spPr>
            <a:ln>
              <a:solidFill>
                <a:srgbClr val="FF0000"/>
              </a:solidFill>
            </a:ln>
          </c:spPr>
          <c:marker>
            <c:symbol val="none"/>
          </c:marker>
          <c:cat>
            <c:numRef>
              <c:f>'KPI 70'!$E$18:$P$18</c:f>
              <c:numCache>
                <c:formatCode>mmm\-yy</c:formatCode>
                <c:ptCount val="12"/>
                <c:pt idx="0">
                  <c:v>45839</c:v>
                </c:pt>
                <c:pt idx="1">
                  <c:v>45870</c:v>
                </c:pt>
                <c:pt idx="2">
                  <c:v>45901</c:v>
                </c:pt>
                <c:pt idx="3">
                  <c:v>45931</c:v>
                </c:pt>
                <c:pt idx="4">
                  <c:v>45962</c:v>
                </c:pt>
                <c:pt idx="5">
                  <c:v>45992</c:v>
                </c:pt>
                <c:pt idx="6">
                  <c:v>46023</c:v>
                </c:pt>
                <c:pt idx="7">
                  <c:v>46054</c:v>
                </c:pt>
                <c:pt idx="8">
                  <c:v>46082</c:v>
                </c:pt>
                <c:pt idx="9">
                  <c:v>46113</c:v>
                </c:pt>
                <c:pt idx="10">
                  <c:v>46143</c:v>
                </c:pt>
                <c:pt idx="11">
                  <c:v>46174</c:v>
                </c:pt>
              </c:numCache>
            </c:numRef>
          </c:cat>
          <c:val>
            <c:numRef>
              <c:f>'KPI 70'!$E$19:$P$19</c:f>
              <c:numCache>
                <c:formatCode>#,##0</c:formatCode>
                <c:ptCount val="12"/>
                <c:pt idx="0">
                  <c:v>156</c:v>
                </c:pt>
                <c:pt idx="1">
                  <c:v>157</c:v>
                </c:pt>
                <c:pt idx="2">
                  <c:v>158</c:v>
                </c:pt>
                <c:pt idx="3">
                  <c:v>159</c:v>
                </c:pt>
                <c:pt idx="4">
                  <c:v>160</c:v>
                </c:pt>
                <c:pt idx="5">
                  <c:v>161</c:v>
                </c:pt>
                <c:pt idx="6">
                  <c:v>162</c:v>
                </c:pt>
                <c:pt idx="7">
                  <c:v>163</c:v>
                </c:pt>
                <c:pt idx="8">
                  <c:v>164</c:v>
                </c:pt>
                <c:pt idx="9">
                  <c:v>165</c:v>
                </c:pt>
                <c:pt idx="10">
                  <c:v>166</c:v>
                </c:pt>
                <c:pt idx="11">
                  <c:v>167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487-4CE0-8D8B-3AE4DF97828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23181312"/>
        <c:axId val="123232256"/>
      </c:lineChart>
      <c:dateAx>
        <c:axId val="123181312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crossAx val="123232256"/>
        <c:crosses val="autoZero"/>
        <c:auto val="1"/>
        <c:lblOffset val="100"/>
        <c:baseTimeUnit val="months"/>
      </c:dateAx>
      <c:valAx>
        <c:axId val="123232256"/>
        <c:scaling>
          <c:orientation val="minMax"/>
        </c:scaling>
        <c:delete val="0"/>
        <c:axPos val="l"/>
        <c:majorGridlines/>
        <c:numFmt formatCode="#,##0" sourceLinked="1"/>
        <c:majorTickMark val="out"/>
        <c:minorTickMark val="none"/>
        <c:tickLblPos val="nextTo"/>
        <c:crossAx val="123181312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000000000000822" l="0.70000000000000062" r="0.70000000000000062" t="0.75000000000000822" header="0.30000000000000032" footer="0.30000000000000032"/>
    <c:pageSetup/>
  </c:printSettings>
</c:chartSpace>
</file>

<file path=xl/charts/chart8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1"/>
          <c:order val="1"/>
          <c:tx>
            <c:strRef>
              <c:f>'KPI 70'!$D$20</c:f>
              <c:strCache>
                <c:ptCount val="1"/>
                <c:pt idx="0">
                  <c:v>Actual 2025-26</c:v>
                </c:pt>
              </c:strCache>
            </c:strRef>
          </c:tx>
          <c:spPr>
            <a:solidFill>
              <a:schemeClr val="accent1"/>
            </a:solidFill>
          </c:spPr>
          <c:invertIfNegative val="0"/>
          <c:cat>
            <c:numRef>
              <c:f>'KPI 70'!$E$18:$P$18</c:f>
              <c:numCache>
                <c:formatCode>mmm\-yy</c:formatCode>
                <c:ptCount val="12"/>
                <c:pt idx="0">
                  <c:v>45839</c:v>
                </c:pt>
                <c:pt idx="1">
                  <c:v>45870</c:v>
                </c:pt>
                <c:pt idx="2">
                  <c:v>45901</c:v>
                </c:pt>
                <c:pt idx="3">
                  <c:v>45931</c:v>
                </c:pt>
                <c:pt idx="4">
                  <c:v>45962</c:v>
                </c:pt>
                <c:pt idx="5">
                  <c:v>45992</c:v>
                </c:pt>
                <c:pt idx="6">
                  <c:v>46023</c:v>
                </c:pt>
                <c:pt idx="7">
                  <c:v>46054</c:v>
                </c:pt>
                <c:pt idx="8">
                  <c:v>46082</c:v>
                </c:pt>
                <c:pt idx="9">
                  <c:v>46113</c:v>
                </c:pt>
                <c:pt idx="10">
                  <c:v>46143</c:v>
                </c:pt>
                <c:pt idx="11">
                  <c:v>46174</c:v>
                </c:pt>
              </c:numCache>
            </c:numRef>
          </c:cat>
          <c:val>
            <c:numRef>
              <c:f>'KPI 70'!$E$20:$P$20</c:f>
              <c:numCache>
                <c:formatCode>#,##0</c:formatCode>
                <c:ptCount val="12"/>
                <c:pt idx="0">
                  <c:v>155</c:v>
                </c:pt>
                <c:pt idx="1">
                  <c:v>155</c:v>
                </c:pt>
                <c:pt idx="2">
                  <c:v>155</c:v>
                </c:pt>
                <c:pt idx="3">
                  <c:v>154</c:v>
                </c:pt>
                <c:pt idx="4">
                  <c:v>155</c:v>
                </c:pt>
                <c:pt idx="5">
                  <c:v>158</c:v>
                </c:pt>
                <c:pt idx="6">
                  <c:v>159</c:v>
                </c:pt>
                <c:pt idx="7">
                  <c:v>159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77D-4B3C-B918-4775F810DE23}"/>
            </c:ext>
          </c:extLst>
        </c:ser>
        <c:ser>
          <c:idx val="4"/>
          <c:order val="2"/>
          <c:tx>
            <c:strRef>
              <c:f>'KPI 70'!$D$21</c:f>
              <c:strCache>
                <c:ptCount val="1"/>
                <c:pt idx="0">
                  <c:v>Actual 2024-25</c:v>
                </c:pt>
              </c:strCache>
            </c:strRef>
          </c:tx>
          <c:spPr>
            <a:solidFill>
              <a:schemeClr val="accent3"/>
            </a:solidFill>
          </c:spPr>
          <c:invertIfNegative val="0"/>
          <c:cat>
            <c:numRef>
              <c:f>'KPI 70'!$E$18:$P$18</c:f>
              <c:numCache>
                <c:formatCode>mmm\-yy</c:formatCode>
                <c:ptCount val="12"/>
                <c:pt idx="0">
                  <c:v>45839</c:v>
                </c:pt>
                <c:pt idx="1">
                  <c:v>45870</c:v>
                </c:pt>
                <c:pt idx="2">
                  <c:v>45901</c:v>
                </c:pt>
                <c:pt idx="3">
                  <c:v>45931</c:v>
                </c:pt>
                <c:pt idx="4">
                  <c:v>45962</c:v>
                </c:pt>
                <c:pt idx="5">
                  <c:v>45992</c:v>
                </c:pt>
                <c:pt idx="6">
                  <c:v>46023</c:v>
                </c:pt>
                <c:pt idx="7">
                  <c:v>46054</c:v>
                </c:pt>
                <c:pt idx="8">
                  <c:v>46082</c:v>
                </c:pt>
                <c:pt idx="9">
                  <c:v>46113</c:v>
                </c:pt>
                <c:pt idx="10">
                  <c:v>46143</c:v>
                </c:pt>
                <c:pt idx="11">
                  <c:v>46174</c:v>
                </c:pt>
              </c:numCache>
            </c:numRef>
          </c:cat>
          <c:val>
            <c:numRef>
              <c:f>'KPI 70'!$E$21:$P$21</c:f>
              <c:numCache>
                <c:formatCode>#,##0</c:formatCode>
                <c:ptCount val="12"/>
                <c:pt idx="0">
                  <c:v>158</c:v>
                </c:pt>
                <c:pt idx="1">
                  <c:v>152</c:v>
                </c:pt>
                <c:pt idx="2">
                  <c:v>154</c:v>
                </c:pt>
                <c:pt idx="3">
                  <c:v>154</c:v>
                </c:pt>
                <c:pt idx="4">
                  <c:v>154</c:v>
                </c:pt>
                <c:pt idx="5">
                  <c:v>153</c:v>
                </c:pt>
                <c:pt idx="6">
                  <c:v>153</c:v>
                </c:pt>
                <c:pt idx="7">
                  <c:v>153</c:v>
                </c:pt>
                <c:pt idx="8">
                  <c:v>155</c:v>
                </c:pt>
                <c:pt idx="9">
                  <c:v>156</c:v>
                </c:pt>
                <c:pt idx="10">
                  <c:v>155</c:v>
                </c:pt>
                <c:pt idx="11">
                  <c:v>155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77D-4B3C-B918-4775F810DE2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23181312"/>
        <c:axId val="123232256"/>
      </c:barChart>
      <c:lineChart>
        <c:grouping val="standard"/>
        <c:varyColors val="0"/>
        <c:ser>
          <c:idx val="0"/>
          <c:order val="0"/>
          <c:tx>
            <c:strRef>
              <c:f>'KPI 70'!$D$19</c:f>
              <c:strCache>
                <c:ptCount val="1"/>
                <c:pt idx="0">
                  <c:v>Budget 2025-26</c:v>
                </c:pt>
              </c:strCache>
            </c:strRef>
          </c:tx>
          <c:spPr>
            <a:ln>
              <a:solidFill>
                <a:srgbClr val="FF0000"/>
              </a:solidFill>
            </a:ln>
          </c:spPr>
          <c:marker>
            <c:symbol val="none"/>
          </c:marker>
          <c:cat>
            <c:numRef>
              <c:f>'KPI 70'!$E$18:$P$18</c:f>
              <c:numCache>
                <c:formatCode>mmm\-yy</c:formatCode>
                <c:ptCount val="12"/>
                <c:pt idx="0">
                  <c:v>45839</c:v>
                </c:pt>
                <c:pt idx="1">
                  <c:v>45870</c:v>
                </c:pt>
                <c:pt idx="2">
                  <c:v>45901</c:v>
                </c:pt>
                <c:pt idx="3">
                  <c:v>45931</c:v>
                </c:pt>
                <c:pt idx="4">
                  <c:v>45962</c:v>
                </c:pt>
                <c:pt idx="5">
                  <c:v>45992</c:v>
                </c:pt>
                <c:pt idx="6">
                  <c:v>46023</c:v>
                </c:pt>
                <c:pt idx="7">
                  <c:v>46054</c:v>
                </c:pt>
                <c:pt idx="8">
                  <c:v>46082</c:v>
                </c:pt>
                <c:pt idx="9">
                  <c:v>46113</c:v>
                </c:pt>
                <c:pt idx="10">
                  <c:v>46143</c:v>
                </c:pt>
                <c:pt idx="11">
                  <c:v>46174</c:v>
                </c:pt>
              </c:numCache>
            </c:numRef>
          </c:cat>
          <c:val>
            <c:numRef>
              <c:f>'KPI 70'!$E$19:$P$19</c:f>
              <c:numCache>
                <c:formatCode>#,##0</c:formatCode>
                <c:ptCount val="12"/>
                <c:pt idx="0">
                  <c:v>156</c:v>
                </c:pt>
                <c:pt idx="1">
                  <c:v>157</c:v>
                </c:pt>
                <c:pt idx="2">
                  <c:v>158</c:v>
                </c:pt>
                <c:pt idx="3">
                  <c:v>159</c:v>
                </c:pt>
                <c:pt idx="4">
                  <c:v>160</c:v>
                </c:pt>
                <c:pt idx="5">
                  <c:v>161</c:v>
                </c:pt>
                <c:pt idx="6">
                  <c:v>162</c:v>
                </c:pt>
                <c:pt idx="7">
                  <c:v>163</c:v>
                </c:pt>
                <c:pt idx="8">
                  <c:v>164</c:v>
                </c:pt>
                <c:pt idx="9">
                  <c:v>165</c:v>
                </c:pt>
                <c:pt idx="10">
                  <c:v>166</c:v>
                </c:pt>
                <c:pt idx="11">
                  <c:v>167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C77D-4B3C-B918-4775F810DE2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23181312"/>
        <c:axId val="123232256"/>
      </c:lineChart>
      <c:dateAx>
        <c:axId val="123181312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crossAx val="123232256"/>
        <c:crosses val="autoZero"/>
        <c:auto val="1"/>
        <c:lblOffset val="100"/>
        <c:baseTimeUnit val="months"/>
      </c:dateAx>
      <c:valAx>
        <c:axId val="123232256"/>
        <c:scaling>
          <c:orientation val="minMax"/>
        </c:scaling>
        <c:delete val="0"/>
        <c:axPos val="l"/>
        <c:majorGridlines/>
        <c:numFmt formatCode="#,##0" sourceLinked="1"/>
        <c:majorTickMark val="out"/>
        <c:minorTickMark val="none"/>
        <c:tickLblPos val="nextTo"/>
        <c:crossAx val="123181312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000000000000822" l="0.70000000000000062" r="0.70000000000000062" t="0.75000000000000822" header="0.30000000000000032" footer="0.30000000000000032"/>
    <c:pageSetup/>
  </c:printSettings>
</c:chartSpace>
</file>

<file path=xl/charts/chart8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1"/>
          <c:order val="1"/>
          <c:tx>
            <c:strRef>
              <c:f>'KPI 71'!$D$20</c:f>
              <c:strCache>
                <c:ptCount val="1"/>
                <c:pt idx="0">
                  <c:v>Actual 2025-26</c:v>
                </c:pt>
              </c:strCache>
            </c:strRef>
          </c:tx>
          <c:spPr>
            <a:solidFill>
              <a:schemeClr val="accent1"/>
            </a:solidFill>
          </c:spPr>
          <c:invertIfNegative val="0"/>
          <c:cat>
            <c:numRef>
              <c:f>'KPI 71'!$E$18:$P$18</c:f>
              <c:numCache>
                <c:formatCode>mmm\-yy</c:formatCode>
                <c:ptCount val="12"/>
                <c:pt idx="0">
                  <c:v>45839</c:v>
                </c:pt>
                <c:pt idx="1">
                  <c:v>45870</c:v>
                </c:pt>
                <c:pt idx="2">
                  <c:v>45901</c:v>
                </c:pt>
                <c:pt idx="3">
                  <c:v>45931</c:v>
                </c:pt>
                <c:pt idx="4">
                  <c:v>45962</c:v>
                </c:pt>
                <c:pt idx="5">
                  <c:v>45992</c:v>
                </c:pt>
                <c:pt idx="6">
                  <c:v>46023</c:v>
                </c:pt>
                <c:pt idx="7">
                  <c:v>46054</c:v>
                </c:pt>
                <c:pt idx="8">
                  <c:v>46082</c:v>
                </c:pt>
                <c:pt idx="9">
                  <c:v>46113</c:v>
                </c:pt>
                <c:pt idx="10">
                  <c:v>46143</c:v>
                </c:pt>
                <c:pt idx="11">
                  <c:v>46174</c:v>
                </c:pt>
              </c:numCache>
            </c:numRef>
          </c:cat>
          <c:val>
            <c:numRef>
              <c:f>'KPI 71'!$E$20:$P$20</c:f>
              <c:numCache>
                <c:formatCode>#,##0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582-45E9-9246-8C5351910658}"/>
            </c:ext>
          </c:extLst>
        </c:ser>
        <c:ser>
          <c:idx val="4"/>
          <c:order val="2"/>
          <c:tx>
            <c:strRef>
              <c:f>'KPI 71'!$D$21</c:f>
              <c:strCache>
                <c:ptCount val="1"/>
                <c:pt idx="0">
                  <c:v>Actual 2024-25</c:v>
                </c:pt>
              </c:strCache>
            </c:strRef>
          </c:tx>
          <c:spPr>
            <a:solidFill>
              <a:schemeClr val="accent3"/>
            </a:solidFill>
          </c:spPr>
          <c:invertIfNegative val="0"/>
          <c:cat>
            <c:numRef>
              <c:f>'KPI 71'!$E$18:$P$18</c:f>
              <c:numCache>
                <c:formatCode>mmm\-yy</c:formatCode>
                <c:ptCount val="12"/>
                <c:pt idx="0">
                  <c:v>45839</c:v>
                </c:pt>
                <c:pt idx="1">
                  <c:v>45870</c:v>
                </c:pt>
                <c:pt idx="2">
                  <c:v>45901</c:v>
                </c:pt>
                <c:pt idx="3">
                  <c:v>45931</c:v>
                </c:pt>
                <c:pt idx="4">
                  <c:v>45962</c:v>
                </c:pt>
                <c:pt idx="5">
                  <c:v>45992</c:v>
                </c:pt>
                <c:pt idx="6">
                  <c:v>46023</c:v>
                </c:pt>
                <c:pt idx="7">
                  <c:v>46054</c:v>
                </c:pt>
                <c:pt idx="8">
                  <c:v>46082</c:v>
                </c:pt>
                <c:pt idx="9">
                  <c:v>46113</c:v>
                </c:pt>
                <c:pt idx="10">
                  <c:v>46143</c:v>
                </c:pt>
                <c:pt idx="11">
                  <c:v>46174</c:v>
                </c:pt>
              </c:numCache>
            </c:numRef>
          </c:cat>
          <c:val>
            <c:numRef>
              <c:f>'KPI 71'!$E$21:$P$21</c:f>
              <c:numCache>
                <c:formatCode>#,##0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582-45E9-9246-8C535191065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23260288"/>
        <c:axId val="123270272"/>
      </c:barChart>
      <c:lineChart>
        <c:grouping val="standard"/>
        <c:varyColors val="0"/>
        <c:ser>
          <c:idx val="0"/>
          <c:order val="0"/>
          <c:tx>
            <c:strRef>
              <c:f>'KPI 71'!$D$19</c:f>
              <c:strCache>
                <c:ptCount val="1"/>
                <c:pt idx="0">
                  <c:v>Budget 2025-26</c:v>
                </c:pt>
              </c:strCache>
            </c:strRef>
          </c:tx>
          <c:spPr>
            <a:ln>
              <a:solidFill>
                <a:srgbClr val="FF0000"/>
              </a:solidFill>
            </a:ln>
          </c:spPr>
          <c:marker>
            <c:symbol val="none"/>
          </c:marker>
          <c:cat>
            <c:numRef>
              <c:f>'KPI 71'!$E$18:$P$18</c:f>
              <c:numCache>
                <c:formatCode>mmm\-yy</c:formatCode>
                <c:ptCount val="12"/>
                <c:pt idx="0">
                  <c:v>45839</c:v>
                </c:pt>
                <c:pt idx="1">
                  <c:v>45870</c:v>
                </c:pt>
                <c:pt idx="2">
                  <c:v>45901</c:v>
                </c:pt>
                <c:pt idx="3">
                  <c:v>45931</c:v>
                </c:pt>
                <c:pt idx="4">
                  <c:v>45962</c:v>
                </c:pt>
                <c:pt idx="5">
                  <c:v>45992</c:v>
                </c:pt>
                <c:pt idx="6">
                  <c:v>46023</c:v>
                </c:pt>
                <c:pt idx="7">
                  <c:v>46054</c:v>
                </c:pt>
                <c:pt idx="8">
                  <c:v>46082</c:v>
                </c:pt>
                <c:pt idx="9">
                  <c:v>46113</c:v>
                </c:pt>
                <c:pt idx="10">
                  <c:v>46143</c:v>
                </c:pt>
                <c:pt idx="11">
                  <c:v>46174</c:v>
                </c:pt>
              </c:numCache>
            </c:numRef>
          </c:cat>
          <c:val>
            <c:numRef>
              <c:f>'KPI 71'!$E$19:$P$19</c:f>
              <c:numCache>
                <c:formatCode>#,##0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582-45E9-9246-8C535191065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23260288"/>
        <c:axId val="123270272"/>
      </c:lineChart>
      <c:dateAx>
        <c:axId val="123260288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crossAx val="123270272"/>
        <c:crosses val="autoZero"/>
        <c:auto val="1"/>
        <c:lblOffset val="100"/>
        <c:baseTimeUnit val="months"/>
      </c:dateAx>
      <c:valAx>
        <c:axId val="123270272"/>
        <c:scaling>
          <c:orientation val="minMax"/>
        </c:scaling>
        <c:delete val="0"/>
        <c:axPos val="l"/>
        <c:majorGridlines/>
        <c:numFmt formatCode="#,##0" sourceLinked="1"/>
        <c:majorTickMark val="out"/>
        <c:minorTickMark val="none"/>
        <c:tickLblPos val="nextTo"/>
        <c:crossAx val="123260288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000000000000822" l="0.70000000000000062" r="0.70000000000000062" t="0.75000000000000822" header="0.30000000000000032" footer="0.30000000000000032"/>
    <c:pageSetup/>
  </c:printSettings>
</c:chartSpace>
</file>

<file path=xl/charts/chart8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1"/>
          <c:order val="1"/>
          <c:tx>
            <c:strRef>
              <c:f>'KPI 72'!$D$20</c:f>
              <c:strCache>
                <c:ptCount val="1"/>
                <c:pt idx="0">
                  <c:v>Actual 2025-26</c:v>
                </c:pt>
              </c:strCache>
            </c:strRef>
          </c:tx>
          <c:spPr>
            <a:solidFill>
              <a:schemeClr val="accent1"/>
            </a:solidFill>
          </c:spPr>
          <c:invertIfNegative val="0"/>
          <c:cat>
            <c:numRef>
              <c:f>'KPI 72'!$E$18:$P$18</c:f>
              <c:numCache>
                <c:formatCode>mmm\-yy</c:formatCode>
                <c:ptCount val="12"/>
                <c:pt idx="0">
                  <c:v>45839</c:v>
                </c:pt>
                <c:pt idx="1">
                  <c:v>45870</c:v>
                </c:pt>
                <c:pt idx="2">
                  <c:v>45901</c:v>
                </c:pt>
                <c:pt idx="3">
                  <c:v>45931</c:v>
                </c:pt>
                <c:pt idx="4">
                  <c:v>45962</c:v>
                </c:pt>
                <c:pt idx="5">
                  <c:v>45992</c:v>
                </c:pt>
                <c:pt idx="6">
                  <c:v>46023</c:v>
                </c:pt>
                <c:pt idx="7">
                  <c:v>46054</c:v>
                </c:pt>
                <c:pt idx="8">
                  <c:v>46082</c:v>
                </c:pt>
                <c:pt idx="9">
                  <c:v>46113</c:v>
                </c:pt>
                <c:pt idx="10">
                  <c:v>46143</c:v>
                </c:pt>
                <c:pt idx="11">
                  <c:v>46174</c:v>
                </c:pt>
              </c:numCache>
            </c:numRef>
          </c:cat>
          <c:val>
            <c:numRef>
              <c:f>'KPI 72'!$E$20:$P$20</c:f>
              <c:numCache>
                <c:formatCode>#,##0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D46-4689-B870-DA5BED7E9DA5}"/>
            </c:ext>
          </c:extLst>
        </c:ser>
        <c:ser>
          <c:idx val="4"/>
          <c:order val="2"/>
          <c:tx>
            <c:strRef>
              <c:f>'KPI 72'!$D$21</c:f>
              <c:strCache>
                <c:ptCount val="1"/>
                <c:pt idx="0">
                  <c:v>Actual 2024-25</c:v>
                </c:pt>
              </c:strCache>
            </c:strRef>
          </c:tx>
          <c:spPr>
            <a:solidFill>
              <a:schemeClr val="accent3"/>
            </a:solidFill>
          </c:spPr>
          <c:invertIfNegative val="0"/>
          <c:cat>
            <c:numRef>
              <c:f>'KPI 72'!$E$18:$P$18</c:f>
              <c:numCache>
                <c:formatCode>mmm\-yy</c:formatCode>
                <c:ptCount val="12"/>
                <c:pt idx="0">
                  <c:v>45839</c:v>
                </c:pt>
                <c:pt idx="1">
                  <c:v>45870</c:v>
                </c:pt>
                <c:pt idx="2">
                  <c:v>45901</c:v>
                </c:pt>
                <c:pt idx="3">
                  <c:v>45931</c:v>
                </c:pt>
                <c:pt idx="4">
                  <c:v>45962</c:v>
                </c:pt>
                <c:pt idx="5">
                  <c:v>45992</c:v>
                </c:pt>
                <c:pt idx="6">
                  <c:v>46023</c:v>
                </c:pt>
                <c:pt idx="7">
                  <c:v>46054</c:v>
                </c:pt>
                <c:pt idx="8">
                  <c:v>46082</c:v>
                </c:pt>
                <c:pt idx="9">
                  <c:v>46113</c:v>
                </c:pt>
                <c:pt idx="10">
                  <c:v>46143</c:v>
                </c:pt>
                <c:pt idx="11">
                  <c:v>46174</c:v>
                </c:pt>
              </c:numCache>
            </c:numRef>
          </c:cat>
          <c:val>
            <c:numRef>
              <c:f>'KPI 72'!$E$21:$P$21</c:f>
              <c:numCache>
                <c:formatCode>#,##0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D46-4689-B870-DA5BED7E9DA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23634432"/>
        <c:axId val="123635968"/>
      </c:barChart>
      <c:lineChart>
        <c:grouping val="standard"/>
        <c:varyColors val="0"/>
        <c:ser>
          <c:idx val="0"/>
          <c:order val="0"/>
          <c:tx>
            <c:strRef>
              <c:f>'KPI 72'!$D$19</c:f>
              <c:strCache>
                <c:ptCount val="1"/>
                <c:pt idx="0">
                  <c:v>Budget 2025-26</c:v>
                </c:pt>
              </c:strCache>
            </c:strRef>
          </c:tx>
          <c:spPr>
            <a:ln>
              <a:solidFill>
                <a:srgbClr val="FF0000"/>
              </a:solidFill>
            </a:ln>
          </c:spPr>
          <c:marker>
            <c:symbol val="none"/>
          </c:marker>
          <c:cat>
            <c:numRef>
              <c:f>'KPI 72'!$E$18:$P$18</c:f>
              <c:numCache>
                <c:formatCode>mmm\-yy</c:formatCode>
                <c:ptCount val="12"/>
                <c:pt idx="0">
                  <c:v>45839</c:v>
                </c:pt>
                <c:pt idx="1">
                  <c:v>45870</c:v>
                </c:pt>
                <c:pt idx="2">
                  <c:v>45901</c:v>
                </c:pt>
                <c:pt idx="3">
                  <c:v>45931</c:v>
                </c:pt>
                <c:pt idx="4">
                  <c:v>45962</c:v>
                </c:pt>
                <c:pt idx="5">
                  <c:v>45992</c:v>
                </c:pt>
                <c:pt idx="6">
                  <c:v>46023</c:v>
                </c:pt>
                <c:pt idx="7">
                  <c:v>46054</c:v>
                </c:pt>
                <c:pt idx="8">
                  <c:v>46082</c:v>
                </c:pt>
                <c:pt idx="9">
                  <c:v>46113</c:v>
                </c:pt>
                <c:pt idx="10">
                  <c:v>46143</c:v>
                </c:pt>
                <c:pt idx="11">
                  <c:v>46174</c:v>
                </c:pt>
              </c:numCache>
            </c:numRef>
          </c:cat>
          <c:val>
            <c:numRef>
              <c:f>'KPI 72'!$E$19:$P$19</c:f>
              <c:numCache>
                <c:formatCode>#,##0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ED46-4689-B870-DA5BED7E9DA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23634432"/>
        <c:axId val="123635968"/>
      </c:lineChart>
      <c:dateAx>
        <c:axId val="123634432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crossAx val="123635968"/>
        <c:crosses val="autoZero"/>
        <c:auto val="1"/>
        <c:lblOffset val="100"/>
        <c:baseTimeUnit val="months"/>
      </c:dateAx>
      <c:valAx>
        <c:axId val="123635968"/>
        <c:scaling>
          <c:orientation val="minMax"/>
        </c:scaling>
        <c:delete val="0"/>
        <c:axPos val="l"/>
        <c:majorGridlines/>
        <c:numFmt formatCode="#,##0" sourceLinked="1"/>
        <c:majorTickMark val="out"/>
        <c:minorTickMark val="none"/>
        <c:tickLblPos val="nextTo"/>
        <c:crossAx val="123634432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000000000000822" l="0.70000000000000062" r="0.70000000000000062" t="0.75000000000000822" header="0.30000000000000032" footer="0.30000000000000032"/>
    <c:pageSetup/>
  </c:printSettings>
</c:chartSpace>
</file>

<file path=xl/charts/chart8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1"/>
          <c:order val="1"/>
          <c:tx>
            <c:strRef>
              <c:f>'KPI 73'!$D$20</c:f>
              <c:strCache>
                <c:ptCount val="1"/>
                <c:pt idx="0">
                  <c:v>Actual 2025-26</c:v>
                </c:pt>
              </c:strCache>
            </c:strRef>
          </c:tx>
          <c:spPr>
            <a:solidFill>
              <a:schemeClr val="accent1"/>
            </a:solidFill>
          </c:spPr>
          <c:invertIfNegative val="0"/>
          <c:cat>
            <c:numRef>
              <c:f>'KPI 73'!$E$18:$P$18</c:f>
              <c:numCache>
                <c:formatCode>mmm\-yy</c:formatCode>
                <c:ptCount val="12"/>
                <c:pt idx="0">
                  <c:v>45839</c:v>
                </c:pt>
                <c:pt idx="1">
                  <c:v>45870</c:v>
                </c:pt>
                <c:pt idx="2">
                  <c:v>45901</c:v>
                </c:pt>
                <c:pt idx="3">
                  <c:v>45931</c:v>
                </c:pt>
                <c:pt idx="4">
                  <c:v>45962</c:v>
                </c:pt>
                <c:pt idx="5">
                  <c:v>45992</c:v>
                </c:pt>
                <c:pt idx="6">
                  <c:v>46023</c:v>
                </c:pt>
                <c:pt idx="7">
                  <c:v>46054</c:v>
                </c:pt>
                <c:pt idx="8">
                  <c:v>46082</c:v>
                </c:pt>
                <c:pt idx="9">
                  <c:v>46113</c:v>
                </c:pt>
                <c:pt idx="10">
                  <c:v>46143</c:v>
                </c:pt>
                <c:pt idx="11">
                  <c:v>46174</c:v>
                </c:pt>
              </c:numCache>
            </c:numRef>
          </c:cat>
          <c:val>
            <c:numRef>
              <c:f>'KPI 73'!$E$20:$P$20</c:f>
              <c:numCache>
                <c:formatCode>#,##0</c:formatCode>
                <c:ptCount val="12"/>
                <c:pt idx="0">
                  <c:v>12317</c:v>
                </c:pt>
                <c:pt idx="1">
                  <c:v>12467</c:v>
                </c:pt>
                <c:pt idx="2">
                  <c:v>12595</c:v>
                </c:pt>
                <c:pt idx="3">
                  <c:v>12736</c:v>
                </c:pt>
                <c:pt idx="4">
                  <c:v>12830</c:v>
                </c:pt>
                <c:pt idx="5">
                  <c:v>12956</c:v>
                </c:pt>
                <c:pt idx="6">
                  <c:v>13106</c:v>
                </c:pt>
                <c:pt idx="7">
                  <c:v>13179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B99-4A02-8721-901C46F5EE0B}"/>
            </c:ext>
          </c:extLst>
        </c:ser>
        <c:ser>
          <c:idx val="4"/>
          <c:order val="2"/>
          <c:tx>
            <c:strRef>
              <c:f>'KPI 73'!$D$21</c:f>
              <c:strCache>
                <c:ptCount val="1"/>
                <c:pt idx="0">
                  <c:v>Actual 2024-25</c:v>
                </c:pt>
              </c:strCache>
            </c:strRef>
          </c:tx>
          <c:spPr>
            <a:solidFill>
              <a:schemeClr val="accent3"/>
            </a:solidFill>
          </c:spPr>
          <c:invertIfNegative val="0"/>
          <c:cat>
            <c:numRef>
              <c:f>'KPI 73'!$E$18:$P$18</c:f>
              <c:numCache>
                <c:formatCode>mmm\-yy</c:formatCode>
                <c:ptCount val="12"/>
                <c:pt idx="0">
                  <c:v>45839</c:v>
                </c:pt>
                <c:pt idx="1">
                  <c:v>45870</c:v>
                </c:pt>
                <c:pt idx="2">
                  <c:v>45901</c:v>
                </c:pt>
                <c:pt idx="3">
                  <c:v>45931</c:v>
                </c:pt>
                <c:pt idx="4">
                  <c:v>45962</c:v>
                </c:pt>
                <c:pt idx="5">
                  <c:v>45992</c:v>
                </c:pt>
                <c:pt idx="6">
                  <c:v>46023</c:v>
                </c:pt>
                <c:pt idx="7">
                  <c:v>46054</c:v>
                </c:pt>
                <c:pt idx="8">
                  <c:v>46082</c:v>
                </c:pt>
                <c:pt idx="9">
                  <c:v>46113</c:v>
                </c:pt>
                <c:pt idx="10">
                  <c:v>46143</c:v>
                </c:pt>
                <c:pt idx="11">
                  <c:v>46174</c:v>
                </c:pt>
              </c:numCache>
            </c:numRef>
          </c:cat>
          <c:val>
            <c:numRef>
              <c:f>'KPI 73'!$E$21:$P$21</c:f>
              <c:numCache>
                <c:formatCode>#,##0</c:formatCode>
                <c:ptCount val="12"/>
                <c:pt idx="0">
                  <c:v>11410</c:v>
                </c:pt>
                <c:pt idx="1">
                  <c:v>11461</c:v>
                </c:pt>
                <c:pt idx="2">
                  <c:v>11487</c:v>
                </c:pt>
                <c:pt idx="3">
                  <c:v>11494</c:v>
                </c:pt>
                <c:pt idx="4">
                  <c:v>11534</c:v>
                </c:pt>
                <c:pt idx="5">
                  <c:v>11588</c:v>
                </c:pt>
                <c:pt idx="6">
                  <c:v>11714</c:v>
                </c:pt>
                <c:pt idx="7">
                  <c:v>11796</c:v>
                </c:pt>
                <c:pt idx="8">
                  <c:v>11884</c:v>
                </c:pt>
                <c:pt idx="9">
                  <c:v>12038</c:v>
                </c:pt>
                <c:pt idx="10">
                  <c:v>12097</c:v>
                </c:pt>
                <c:pt idx="11">
                  <c:v>12181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B99-4A02-8721-901C46F5EE0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23795328"/>
        <c:axId val="123796864"/>
      </c:barChart>
      <c:lineChart>
        <c:grouping val="standard"/>
        <c:varyColors val="0"/>
        <c:ser>
          <c:idx val="0"/>
          <c:order val="0"/>
          <c:tx>
            <c:strRef>
              <c:f>'KPI 73'!$D$19</c:f>
              <c:strCache>
                <c:ptCount val="1"/>
                <c:pt idx="0">
                  <c:v>Budget 2025-26</c:v>
                </c:pt>
              </c:strCache>
            </c:strRef>
          </c:tx>
          <c:spPr>
            <a:ln>
              <a:solidFill>
                <a:srgbClr val="FF0000"/>
              </a:solidFill>
            </a:ln>
          </c:spPr>
          <c:marker>
            <c:symbol val="none"/>
          </c:marker>
          <c:cat>
            <c:numRef>
              <c:f>'KPI 73'!$E$18:$P$18</c:f>
              <c:numCache>
                <c:formatCode>mmm\-yy</c:formatCode>
                <c:ptCount val="12"/>
                <c:pt idx="0">
                  <c:v>45839</c:v>
                </c:pt>
                <c:pt idx="1">
                  <c:v>45870</c:v>
                </c:pt>
                <c:pt idx="2">
                  <c:v>45901</c:v>
                </c:pt>
                <c:pt idx="3">
                  <c:v>45931</c:v>
                </c:pt>
                <c:pt idx="4">
                  <c:v>45962</c:v>
                </c:pt>
                <c:pt idx="5">
                  <c:v>45992</c:v>
                </c:pt>
                <c:pt idx="6">
                  <c:v>46023</c:v>
                </c:pt>
                <c:pt idx="7">
                  <c:v>46054</c:v>
                </c:pt>
                <c:pt idx="8">
                  <c:v>46082</c:v>
                </c:pt>
                <c:pt idx="9">
                  <c:v>46113</c:v>
                </c:pt>
                <c:pt idx="10">
                  <c:v>46143</c:v>
                </c:pt>
                <c:pt idx="11">
                  <c:v>46174</c:v>
                </c:pt>
              </c:numCache>
            </c:numRef>
          </c:cat>
          <c:val>
            <c:numRef>
              <c:f>'KPI 73'!$E$19:$P$19</c:f>
              <c:numCache>
                <c:formatCode>#,##0</c:formatCode>
                <c:ptCount val="12"/>
                <c:pt idx="0">
                  <c:v>12347</c:v>
                </c:pt>
                <c:pt idx="1">
                  <c:v>12494</c:v>
                </c:pt>
                <c:pt idx="2">
                  <c:v>12643</c:v>
                </c:pt>
                <c:pt idx="3">
                  <c:v>12862</c:v>
                </c:pt>
                <c:pt idx="4">
                  <c:v>13071</c:v>
                </c:pt>
                <c:pt idx="5">
                  <c:v>13270</c:v>
                </c:pt>
                <c:pt idx="6">
                  <c:v>13474</c:v>
                </c:pt>
                <c:pt idx="7">
                  <c:v>13663</c:v>
                </c:pt>
                <c:pt idx="8">
                  <c:v>13837</c:v>
                </c:pt>
                <c:pt idx="9">
                  <c:v>13991</c:v>
                </c:pt>
                <c:pt idx="10">
                  <c:v>14145</c:v>
                </c:pt>
                <c:pt idx="11">
                  <c:v>14297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B99-4A02-8721-901C46F5EE0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23795328"/>
        <c:axId val="123796864"/>
      </c:lineChart>
      <c:dateAx>
        <c:axId val="123795328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crossAx val="123796864"/>
        <c:crosses val="autoZero"/>
        <c:auto val="1"/>
        <c:lblOffset val="100"/>
        <c:baseTimeUnit val="months"/>
      </c:dateAx>
      <c:valAx>
        <c:axId val="123796864"/>
        <c:scaling>
          <c:orientation val="minMax"/>
        </c:scaling>
        <c:delete val="0"/>
        <c:axPos val="l"/>
        <c:majorGridlines/>
        <c:numFmt formatCode="#,##0" sourceLinked="1"/>
        <c:majorTickMark val="out"/>
        <c:minorTickMark val="none"/>
        <c:tickLblPos val="nextTo"/>
        <c:crossAx val="123795328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000000000000822" l="0.70000000000000062" r="0.70000000000000062" t="0.75000000000000822" header="0.30000000000000032" footer="0.30000000000000032"/>
    <c:pageSetup/>
  </c:printSettings>
</c:chartSpace>
</file>

<file path=xl/charts/chart9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1"/>
          <c:order val="1"/>
          <c:tx>
            <c:strRef>
              <c:f>'KPI 73 (2)'!$D$20</c:f>
              <c:strCache>
                <c:ptCount val="1"/>
                <c:pt idx="0">
                  <c:v>Actual 2025-26</c:v>
                </c:pt>
              </c:strCache>
            </c:strRef>
          </c:tx>
          <c:spPr>
            <a:solidFill>
              <a:schemeClr val="accent1"/>
            </a:solidFill>
          </c:spPr>
          <c:invertIfNegative val="0"/>
          <c:cat>
            <c:numRef>
              <c:f>'KPI 73 (2)'!$E$18:$P$18</c:f>
              <c:numCache>
                <c:formatCode>mmm\-yy</c:formatCode>
                <c:ptCount val="12"/>
                <c:pt idx="0">
                  <c:v>45839</c:v>
                </c:pt>
                <c:pt idx="1">
                  <c:v>45870</c:v>
                </c:pt>
                <c:pt idx="2">
                  <c:v>45901</c:v>
                </c:pt>
                <c:pt idx="3">
                  <c:v>45931</c:v>
                </c:pt>
                <c:pt idx="4">
                  <c:v>45962</c:v>
                </c:pt>
                <c:pt idx="5">
                  <c:v>45992</c:v>
                </c:pt>
                <c:pt idx="6">
                  <c:v>46023</c:v>
                </c:pt>
                <c:pt idx="7">
                  <c:v>46054</c:v>
                </c:pt>
                <c:pt idx="8">
                  <c:v>46082</c:v>
                </c:pt>
                <c:pt idx="9">
                  <c:v>46113</c:v>
                </c:pt>
                <c:pt idx="10">
                  <c:v>46143</c:v>
                </c:pt>
                <c:pt idx="11">
                  <c:v>46174</c:v>
                </c:pt>
              </c:numCache>
            </c:numRef>
          </c:cat>
          <c:val>
            <c:numRef>
              <c:f>'KPI 73 (2)'!$E$20:$P$20</c:f>
              <c:numCache>
                <c:formatCode>#,##0</c:formatCode>
                <c:ptCount val="12"/>
                <c:pt idx="0">
                  <c:v>137</c:v>
                </c:pt>
                <c:pt idx="1">
                  <c:v>154</c:v>
                </c:pt>
                <c:pt idx="2">
                  <c:v>130</c:v>
                </c:pt>
                <c:pt idx="3">
                  <c:v>149</c:v>
                </c:pt>
                <c:pt idx="4">
                  <c:v>96</c:v>
                </c:pt>
                <c:pt idx="5">
                  <c:v>134</c:v>
                </c:pt>
                <c:pt idx="6">
                  <c:v>154</c:v>
                </c:pt>
                <c:pt idx="7">
                  <c:v>75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C12-431F-9748-E3CA84D06B2C}"/>
            </c:ext>
          </c:extLst>
        </c:ser>
        <c:ser>
          <c:idx val="4"/>
          <c:order val="2"/>
          <c:tx>
            <c:strRef>
              <c:f>'KPI 73 (2)'!$D$21</c:f>
              <c:strCache>
                <c:ptCount val="1"/>
                <c:pt idx="0">
                  <c:v>Actual 2024-25</c:v>
                </c:pt>
              </c:strCache>
            </c:strRef>
          </c:tx>
          <c:spPr>
            <a:solidFill>
              <a:schemeClr val="accent3"/>
            </a:solidFill>
          </c:spPr>
          <c:invertIfNegative val="0"/>
          <c:cat>
            <c:numRef>
              <c:f>'KPI 73 (2)'!$E$18:$P$18</c:f>
              <c:numCache>
                <c:formatCode>mmm\-yy</c:formatCode>
                <c:ptCount val="12"/>
                <c:pt idx="0">
                  <c:v>45839</c:v>
                </c:pt>
                <c:pt idx="1">
                  <c:v>45870</c:v>
                </c:pt>
                <c:pt idx="2">
                  <c:v>45901</c:v>
                </c:pt>
                <c:pt idx="3">
                  <c:v>45931</c:v>
                </c:pt>
                <c:pt idx="4">
                  <c:v>45962</c:v>
                </c:pt>
                <c:pt idx="5">
                  <c:v>45992</c:v>
                </c:pt>
                <c:pt idx="6">
                  <c:v>46023</c:v>
                </c:pt>
                <c:pt idx="7">
                  <c:v>46054</c:v>
                </c:pt>
                <c:pt idx="8">
                  <c:v>46082</c:v>
                </c:pt>
                <c:pt idx="9">
                  <c:v>46113</c:v>
                </c:pt>
                <c:pt idx="10">
                  <c:v>46143</c:v>
                </c:pt>
                <c:pt idx="11">
                  <c:v>46174</c:v>
                </c:pt>
              </c:numCache>
            </c:numRef>
          </c:cat>
          <c:val>
            <c:numRef>
              <c:f>'KPI 73 (2)'!$E$21:$P$21</c:f>
              <c:numCache>
                <c:formatCode>#,##0</c:formatCode>
                <c:ptCount val="12"/>
                <c:pt idx="0">
                  <c:v>78</c:v>
                </c:pt>
                <c:pt idx="1">
                  <c:v>51</c:v>
                </c:pt>
                <c:pt idx="2">
                  <c:v>26</c:v>
                </c:pt>
                <c:pt idx="3">
                  <c:v>10</c:v>
                </c:pt>
                <c:pt idx="4">
                  <c:v>39</c:v>
                </c:pt>
                <c:pt idx="5">
                  <c:v>56</c:v>
                </c:pt>
                <c:pt idx="6">
                  <c:v>129</c:v>
                </c:pt>
                <c:pt idx="7">
                  <c:v>86</c:v>
                </c:pt>
                <c:pt idx="8">
                  <c:v>90</c:v>
                </c:pt>
                <c:pt idx="9">
                  <c:v>159</c:v>
                </c:pt>
                <c:pt idx="10">
                  <c:v>59</c:v>
                </c:pt>
                <c:pt idx="11">
                  <c:v>87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C12-431F-9748-E3CA84D06B2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23755136"/>
        <c:axId val="124391808"/>
      </c:barChart>
      <c:lineChart>
        <c:grouping val="standard"/>
        <c:varyColors val="0"/>
        <c:ser>
          <c:idx val="0"/>
          <c:order val="0"/>
          <c:tx>
            <c:strRef>
              <c:f>'KPI 73 (2)'!$D$19</c:f>
              <c:strCache>
                <c:ptCount val="1"/>
                <c:pt idx="0">
                  <c:v>Budget 2025-26</c:v>
                </c:pt>
              </c:strCache>
            </c:strRef>
          </c:tx>
          <c:spPr>
            <a:ln>
              <a:solidFill>
                <a:srgbClr val="FF0000"/>
              </a:solidFill>
            </a:ln>
          </c:spPr>
          <c:marker>
            <c:symbol val="none"/>
          </c:marker>
          <c:cat>
            <c:numRef>
              <c:f>'KPI 73 (2)'!$E$18:$P$18</c:f>
              <c:numCache>
                <c:formatCode>mmm\-yy</c:formatCode>
                <c:ptCount val="12"/>
                <c:pt idx="0">
                  <c:v>45839</c:v>
                </c:pt>
                <c:pt idx="1">
                  <c:v>45870</c:v>
                </c:pt>
                <c:pt idx="2">
                  <c:v>45901</c:v>
                </c:pt>
                <c:pt idx="3">
                  <c:v>45931</c:v>
                </c:pt>
                <c:pt idx="4">
                  <c:v>45962</c:v>
                </c:pt>
                <c:pt idx="5">
                  <c:v>45992</c:v>
                </c:pt>
                <c:pt idx="6">
                  <c:v>46023</c:v>
                </c:pt>
                <c:pt idx="7">
                  <c:v>46054</c:v>
                </c:pt>
                <c:pt idx="8">
                  <c:v>46082</c:v>
                </c:pt>
                <c:pt idx="9">
                  <c:v>46113</c:v>
                </c:pt>
                <c:pt idx="10">
                  <c:v>46143</c:v>
                </c:pt>
                <c:pt idx="11">
                  <c:v>46174</c:v>
                </c:pt>
              </c:numCache>
            </c:numRef>
          </c:cat>
          <c:val>
            <c:numRef>
              <c:f>'KPI 73 (2)'!$E$19:$P$19</c:f>
              <c:numCache>
                <c:formatCode>#,##0</c:formatCode>
                <c:ptCount val="12"/>
                <c:pt idx="0">
                  <c:v>166</c:v>
                </c:pt>
                <c:pt idx="1">
                  <c:v>147</c:v>
                </c:pt>
                <c:pt idx="2">
                  <c:v>149</c:v>
                </c:pt>
                <c:pt idx="3">
                  <c:v>219</c:v>
                </c:pt>
                <c:pt idx="4">
                  <c:v>209</c:v>
                </c:pt>
                <c:pt idx="5">
                  <c:v>199</c:v>
                </c:pt>
                <c:pt idx="6">
                  <c:v>204</c:v>
                </c:pt>
                <c:pt idx="7">
                  <c:v>189</c:v>
                </c:pt>
                <c:pt idx="8">
                  <c:v>174</c:v>
                </c:pt>
                <c:pt idx="9">
                  <c:v>154</c:v>
                </c:pt>
                <c:pt idx="10">
                  <c:v>154</c:v>
                </c:pt>
                <c:pt idx="11">
                  <c:v>152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BC12-431F-9748-E3CA84D06B2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23755136"/>
        <c:axId val="124391808"/>
      </c:lineChart>
      <c:dateAx>
        <c:axId val="123755136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crossAx val="124391808"/>
        <c:crosses val="autoZero"/>
        <c:auto val="1"/>
        <c:lblOffset val="100"/>
        <c:baseTimeUnit val="months"/>
      </c:dateAx>
      <c:valAx>
        <c:axId val="124391808"/>
        <c:scaling>
          <c:orientation val="minMax"/>
        </c:scaling>
        <c:delete val="0"/>
        <c:axPos val="l"/>
        <c:majorGridlines/>
        <c:numFmt formatCode="#,##0" sourceLinked="1"/>
        <c:majorTickMark val="out"/>
        <c:minorTickMark val="none"/>
        <c:tickLblPos val="nextTo"/>
        <c:crossAx val="123755136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000000000000822" l="0.70000000000000062" r="0.70000000000000062" t="0.75000000000000822" header="0.30000000000000032" footer="0.30000000000000032"/>
    <c:pageSetup/>
  </c:printSettings>
</c:chartSpace>
</file>

<file path=xl/charts/chart9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1"/>
          <c:order val="1"/>
          <c:tx>
            <c:strRef>
              <c:f>'KPI 75 (2)'!$D$20</c:f>
              <c:strCache>
                <c:ptCount val="1"/>
                <c:pt idx="0">
                  <c:v>Actual 2025-26</c:v>
                </c:pt>
              </c:strCache>
            </c:strRef>
          </c:tx>
          <c:spPr>
            <a:solidFill>
              <a:schemeClr val="accent1"/>
            </a:solidFill>
          </c:spPr>
          <c:invertIfNegative val="0"/>
          <c:cat>
            <c:numRef>
              <c:f>'KPI 75 (2)'!$E$18:$P$18</c:f>
              <c:numCache>
                <c:formatCode>mmm\-yy</c:formatCode>
                <c:ptCount val="12"/>
                <c:pt idx="0">
                  <c:v>45839</c:v>
                </c:pt>
                <c:pt idx="1">
                  <c:v>45870</c:v>
                </c:pt>
                <c:pt idx="2">
                  <c:v>45901</c:v>
                </c:pt>
                <c:pt idx="3">
                  <c:v>45931</c:v>
                </c:pt>
                <c:pt idx="4">
                  <c:v>45962</c:v>
                </c:pt>
                <c:pt idx="5">
                  <c:v>45992</c:v>
                </c:pt>
                <c:pt idx="6">
                  <c:v>46023</c:v>
                </c:pt>
                <c:pt idx="7">
                  <c:v>46054</c:v>
                </c:pt>
                <c:pt idx="8">
                  <c:v>46082</c:v>
                </c:pt>
                <c:pt idx="9">
                  <c:v>46113</c:v>
                </c:pt>
                <c:pt idx="10">
                  <c:v>46143</c:v>
                </c:pt>
                <c:pt idx="11">
                  <c:v>46174</c:v>
                </c:pt>
              </c:numCache>
            </c:numRef>
          </c:cat>
          <c:val>
            <c:numRef>
              <c:f>'KPI 75 (2)'!$E$20:$P$20</c:f>
              <c:numCache>
                <c:formatCode>#,##0</c:formatCode>
                <c:ptCount val="12"/>
                <c:pt idx="0">
                  <c:v>0</c:v>
                </c:pt>
                <c:pt idx="1">
                  <c:v>4</c:v>
                </c:pt>
                <c:pt idx="2">
                  <c:v>4</c:v>
                </c:pt>
                <c:pt idx="3">
                  <c:v>3</c:v>
                </c:pt>
                <c:pt idx="4">
                  <c:v>5</c:v>
                </c:pt>
                <c:pt idx="5">
                  <c:v>0</c:v>
                </c:pt>
                <c:pt idx="6">
                  <c:v>4</c:v>
                </c:pt>
                <c:pt idx="7">
                  <c:v>5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BB3-4EC5-ADA1-725EF30ED390}"/>
            </c:ext>
          </c:extLst>
        </c:ser>
        <c:ser>
          <c:idx val="4"/>
          <c:order val="2"/>
          <c:tx>
            <c:strRef>
              <c:f>'KPI 75 (2)'!$D$21</c:f>
              <c:strCache>
                <c:ptCount val="1"/>
                <c:pt idx="0">
                  <c:v>Actual 2024-25</c:v>
                </c:pt>
              </c:strCache>
            </c:strRef>
          </c:tx>
          <c:spPr>
            <a:solidFill>
              <a:schemeClr val="accent3"/>
            </a:solidFill>
          </c:spPr>
          <c:invertIfNegative val="0"/>
          <c:cat>
            <c:numRef>
              <c:f>'KPI 75 (2)'!$E$18:$P$18</c:f>
              <c:numCache>
                <c:formatCode>mmm\-yy</c:formatCode>
                <c:ptCount val="12"/>
                <c:pt idx="0">
                  <c:v>45839</c:v>
                </c:pt>
                <c:pt idx="1">
                  <c:v>45870</c:v>
                </c:pt>
                <c:pt idx="2">
                  <c:v>45901</c:v>
                </c:pt>
                <c:pt idx="3">
                  <c:v>45931</c:v>
                </c:pt>
                <c:pt idx="4">
                  <c:v>45962</c:v>
                </c:pt>
                <c:pt idx="5">
                  <c:v>45992</c:v>
                </c:pt>
                <c:pt idx="6">
                  <c:v>46023</c:v>
                </c:pt>
                <c:pt idx="7">
                  <c:v>46054</c:v>
                </c:pt>
                <c:pt idx="8">
                  <c:v>46082</c:v>
                </c:pt>
                <c:pt idx="9">
                  <c:v>46113</c:v>
                </c:pt>
                <c:pt idx="10">
                  <c:v>46143</c:v>
                </c:pt>
                <c:pt idx="11">
                  <c:v>46174</c:v>
                </c:pt>
              </c:numCache>
            </c:numRef>
          </c:cat>
          <c:val>
            <c:numRef>
              <c:f>'KPI 75 (2)'!$E$21:$P$21</c:f>
              <c:numCache>
                <c:formatCode>#,##0</c:formatCode>
                <c:ptCount val="12"/>
                <c:pt idx="0">
                  <c:v>3</c:v>
                </c:pt>
                <c:pt idx="1">
                  <c:v>10</c:v>
                </c:pt>
                <c:pt idx="2">
                  <c:v>3</c:v>
                </c:pt>
                <c:pt idx="3">
                  <c:v>2</c:v>
                </c:pt>
                <c:pt idx="4">
                  <c:v>0</c:v>
                </c:pt>
                <c:pt idx="5">
                  <c:v>4</c:v>
                </c:pt>
                <c:pt idx="6">
                  <c:v>1</c:v>
                </c:pt>
                <c:pt idx="7">
                  <c:v>6</c:v>
                </c:pt>
                <c:pt idx="8">
                  <c:v>4</c:v>
                </c:pt>
                <c:pt idx="9">
                  <c:v>3</c:v>
                </c:pt>
                <c:pt idx="10">
                  <c:v>0</c:v>
                </c:pt>
                <c:pt idx="11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BB3-4EC5-ADA1-725EF30ED39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23899264"/>
        <c:axId val="123913344"/>
      </c:barChart>
      <c:lineChart>
        <c:grouping val="standard"/>
        <c:varyColors val="0"/>
        <c:ser>
          <c:idx val="0"/>
          <c:order val="0"/>
          <c:tx>
            <c:strRef>
              <c:f>'KPI 75 (2)'!$D$19</c:f>
              <c:strCache>
                <c:ptCount val="1"/>
                <c:pt idx="0">
                  <c:v>Budget 2025-26</c:v>
                </c:pt>
              </c:strCache>
            </c:strRef>
          </c:tx>
          <c:spPr>
            <a:ln>
              <a:solidFill>
                <a:srgbClr val="FF0000"/>
              </a:solidFill>
            </a:ln>
          </c:spPr>
          <c:marker>
            <c:symbol val="none"/>
          </c:marker>
          <c:cat>
            <c:numRef>
              <c:f>'KPI 75 (2)'!$E$18:$P$18</c:f>
              <c:numCache>
                <c:formatCode>mmm\-yy</c:formatCode>
                <c:ptCount val="12"/>
                <c:pt idx="0">
                  <c:v>45839</c:v>
                </c:pt>
                <c:pt idx="1">
                  <c:v>45870</c:v>
                </c:pt>
                <c:pt idx="2">
                  <c:v>45901</c:v>
                </c:pt>
                <c:pt idx="3">
                  <c:v>45931</c:v>
                </c:pt>
                <c:pt idx="4">
                  <c:v>45962</c:v>
                </c:pt>
                <c:pt idx="5">
                  <c:v>45992</c:v>
                </c:pt>
                <c:pt idx="6">
                  <c:v>46023</c:v>
                </c:pt>
                <c:pt idx="7">
                  <c:v>46054</c:v>
                </c:pt>
                <c:pt idx="8">
                  <c:v>46082</c:v>
                </c:pt>
                <c:pt idx="9">
                  <c:v>46113</c:v>
                </c:pt>
                <c:pt idx="10">
                  <c:v>46143</c:v>
                </c:pt>
                <c:pt idx="11">
                  <c:v>46174</c:v>
                </c:pt>
              </c:numCache>
            </c:numRef>
          </c:cat>
          <c:val>
            <c:numRef>
              <c:f>'KPI 75 (2)'!$E$19:$P$19</c:f>
              <c:numCache>
                <c:formatCode>#,##0</c:formatCode>
                <c:ptCount val="12"/>
                <c:pt idx="0">
                  <c:v>15</c:v>
                </c:pt>
                <c:pt idx="1">
                  <c:v>14</c:v>
                </c:pt>
                <c:pt idx="2">
                  <c:v>14</c:v>
                </c:pt>
                <c:pt idx="3">
                  <c:v>14</c:v>
                </c:pt>
                <c:pt idx="4">
                  <c:v>14</c:v>
                </c:pt>
                <c:pt idx="5">
                  <c:v>14</c:v>
                </c:pt>
                <c:pt idx="6">
                  <c:v>14</c:v>
                </c:pt>
                <c:pt idx="7">
                  <c:v>14</c:v>
                </c:pt>
                <c:pt idx="8">
                  <c:v>14</c:v>
                </c:pt>
                <c:pt idx="9">
                  <c:v>14</c:v>
                </c:pt>
                <c:pt idx="10">
                  <c:v>14</c:v>
                </c:pt>
                <c:pt idx="11">
                  <c:v>14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EBB3-4EC5-ADA1-725EF30ED39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23899264"/>
        <c:axId val="123913344"/>
      </c:lineChart>
      <c:dateAx>
        <c:axId val="123899264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crossAx val="123913344"/>
        <c:crosses val="autoZero"/>
        <c:auto val="1"/>
        <c:lblOffset val="100"/>
        <c:baseTimeUnit val="months"/>
      </c:dateAx>
      <c:valAx>
        <c:axId val="123913344"/>
        <c:scaling>
          <c:orientation val="minMax"/>
        </c:scaling>
        <c:delete val="0"/>
        <c:axPos val="l"/>
        <c:majorGridlines/>
        <c:numFmt formatCode="#,##0" sourceLinked="1"/>
        <c:majorTickMark val="out"/>
        <c:minorTickMark val="none"/>
        <c:tickLblPos val="nextTo"/>
        <c:crossAx val="123899264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000000000000822" l="0.70000000000000062" r="0.70000000000000062" t="0.75000000000000822" header="0.30000000000000032" footer="0.30000000000000032"/>
    <c:pageSetup/>
  </c:printSettings>
</c:chartSpace>
</file>

<file path=xl/charts/chart9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1"/>
          <c:order val="1"/>
          <c:tx>
            <c:strRef>
              <c:f>'KPI 74'!$D$20</c:f>
              <c:strCache>
                <c:ptCount val="1"/>
                <c:pt idx="0">
                  <c:v>Actual 2025-26</c:v>
                </c:pt>
              </c:strCache>
            </c:strRef>
          </c:tx>
          <c:spPr>
            <a:solidFill>
              <a:schemeClr val="accent1"/>
            </a:solidFill>
          </c:spPr>
          <c:invertIfNegative val="0"/>
          <c:cat>
            <c:numRef>
              <c:f>'KPI 74'!$E$18:$P$18</c:f>
              <c:numCache>
                <c:formatCode>mmm\-yy</c:formatCode>
                <c:ptCount val="12"/>
                <c:pt idx="0">
                  <c:v>45839</c:v>
                </c:pt>
                <c:pt idx="1">
                  <c:v>45870</c:v>
                </c:pt>
                <c:pt idx="2">
                  <c:v>45901</c:v>
                </c:pt>
                <c:pt idx="3">
                  <c:v>45931</c:v>
                </c:pt>
                <c:pt idx="4">
                  <c:v>45962</c:v>
                </c:pt>
                <c:pt idx="5">
                  <c:v>45992</c:v>
                </c:pt>
                <c:pt idx="6">
                  <c:v>46023</c:v>
                </c:pt>
                <c:pt idx="7">
                  <c:v>46054</c:v>
                </c:pt>
                <c:pt idx="8">
                  <c:v>46082</c:v>
                </c:pt>
                <c:pt idx="9">
                  <c:v>46113</c:v>
                </c:pt>
                <c:pt idx="10">
                  <c:v>46143</c:v>
                </c:pt>
                <c:pt idx="11">
                  <c:v>46174</c:v>
                </c:pt>
              </c:numCache>
            </c:numRef>
          </c:cat>
          <c:val>
            <c:numRef>
              <c:f>'KPI 74'!$E$20:$P$20</c:f>
              <c:numCache>
                <c:formatCode>#,##0</c:formatCode>
                <c:ptCount val="12"/>
                <c:pt idx="0">
                  <c:v>2153</c:v>
                </c:pt>
                <c:pt idx="1">
                  <c:v>2161</c:v>
                </c:pt>
                <c:pt idx="2">
                  <c:v>2163</c:v>
                </c:pt>
                <c:pt idx="3">
                  <c:v>2161</c:v>
                </c:pt>
                <c:pt idx="4">
                  <c:v>2163</c:v>
                </c:pt>
                <c:pt idx="5">
                  <c:v>2170</c:v>
                </c:pt>
                <c:pt idx="6">
                  <c:v>2175</c:v>
                </c:pt>
                <c:pt idx="7">
                  <c:v>2176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A7D-41B6-B439-4DD82B4A26AB}"/>
            </c:ext>
          </c:extLst>
        </c:ser>
        <c:ser>
          <c:idx val="4"/>
          <c:order val="2"/>
          <c:tx>
            <c:strRef>
              <c:f>'KPI 74'!$D$21</c:f>
              <c:strCache>
                <c:ptCount val="1"/>
                <c:pt idx="0">
                  <c:v>Actual 2024-25</c:v>
                </c:pt>
              </c:strCache>
            </c:strRef>
          </c:tx>
          <c:spPr>
            <a:solidFill>
              <a:schemeClr val="accent3"/>
            </a:solidFill>
          </c:spPr>
          <c:invertIfNegative val="0"/>
          <c:cat>
            <c:numRef>
              <c:f>'KPI 74'!$E$18:$P$18</c:f>
              <c:numCache>
                <c:formatCode>mmm\-yy</c:formatCode>
                <c:ptCount val="12"/>
                <c:pt idx="0">
                  <c:v>45839</c:v>
                </c:pt>
                <c:pt idx="1">
                  <c:v>45870</c:v>
                </c:pt>
                <c:pt idx="2">
                  <c:v>45901</c:v>
                </c:pt>
                <c:pt idx="3">
                  <c:v>45931</c:v>
                </c:pt>
                <c:pt idx="4">
                  <c:v>45962</c:v>
                </c:pt>
                <c:pt idx="5">
                  <c:v>45992</c:v>
                </c:pt>
                <c:pt idx="6">
                  <c:v>46023</c:v>
                </c:pt>
                <c:pt idx="7">
                  <c:v>46054</c:v>
                </c:pt>
                <c:pt idx="8">
                  <c:v>46082</c:v>
                </c:pt>
                <c:pt idx="9">
                  <c:v>46113</c:v>
                </c:pt>
                <c:pt idx="10">
                  <c:v>46143</c:v>
                </c:pt>
                <c:pt idx="11">
                  <c:v>46174</c:v>
                </c:pt>
              </c:numCache>
            </c:numRef>
          </c:cat>
          <c:val>
            <c:numRef>
              <c:f>'KPI 74'!$E$21:$P$21</c:f>
              <c:numCache>
                <c:formatCode>#,##0</c:formatCode>
                <c:ptCount val="12"/>
                <c:pt idx="0">
                  <c:v>2104</c:v>
                </c:pt>
                <c:pt idx="1">
                  <c:v>2114</c:v>
                </c:pt>
                <c:pt idx="2">
                  <c:v>2117</c:v>
                </c:pt>
                <c:pt idx="3">
                  <c:v>2118</c:v>
                </c:pt>
                <c:pt idx="4">
                  <c:v>2125</c:v>
                </c:pt>
                <c:pt idx="5">
                  <c:v>2125</c:v>
                </c:pt>
                <c:pt idx="6">
                  <c:v>2133</c:v>
                </c:pt>
                <c:pt idx="7">
                  <c:v>2141</c:v>
                </c:pt>
                <c:pt idx="8">
                  <c:v>2152</c:v>
                </c:pt>
                <c:pt idx="9">
                  <c:v>2154</c:v>
                </c:pt>
                <c:pt idx="10">
                  <c:v>2153</c:v>
                </c:pt>
                <c:pt idx="11">
                  <c:v>2154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A7D-41B6-B439-4DD82B4A26A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24433152"/>
        <c:axId val="124434688"/>
      </c:barChart>
      <c:lineChart>
        <c:grouping val="standard"/>
        <c:varyColors val="0"/>
        <c:ser>
          <c:idx val="0"/>
          <c:order val="0"/>
          <c:tx>
            <c:strRef>
              <c:f>'KPI 74'!$D$19</c:f>
              <c:strCache>
                <c:ptCount val="1"/>
                <c:pt idx="0">
                  <c:v>Budget 2025-26</c:v>
                </c:pt>
              </c:strCache>
            </c:strRef>
          </c:tx>
          <c:spPr>
            <a:ln>
              <a:solidFill>
                <a:srgbClr val="FF0000"/>
              </a:solidFill>
            </a:ln>
          </c:spPr>
          <c:marker>
            <c:symbol val="none"/>
          </c:marker>
          <c:cat>
            <c:numRef>
              <c:f>'KPI 74'!$E$18:$P$18</c:f>
              <c:numCache>
                <c:formatCode>mmm\-yy</c:formatCode>
                <c:ptCount val="12"/>
                <c:pt idx="0">
                  <c:v>45839</c:v>
                </c:pt>
                <c:pt idx="1">
                  <c:v>45870</c:v>
                </c:pt>
                <c:pt idx="2">
                  <c:v>45901</c:v>
                </c:pt>
                <c:pt idx="3">
                  <c:v>45931</c:v>
                </c:pt>
                <c:pt idx="4">
                  <c:v>45962</c:v>
                </c:pt>
                <c:pt idx="5">
                  <c:v>45992</c:v>
                </c:pt>
                <c:pt idx="6">
                  <c:v>46023</c:v>
                </c:pt>
                <c:pt idx="7">
                  <c:v>46054</c:v>
                </c:pt>
                <c:pt idx="8">
                  <c:v>46082</c:v>
                </c:pt>
                <c:pt idx="9">
                  <c:v>46113</c:v>
                </c:pt>
                <c:pt idx="10">
                  <c:v>46143</c:v>
                </c:pt>
                <c:pt idx="11">
                  <c:v>46174</c:v>
                </c:pt>
              </c:numCache>
            </c:numRef>
          </c:cat>
          <c:val>
            <c:numRef>
              <c:f>'KPI 74'!$E$19:$P$19</c:f>
              <c:numCache>
                <c:formatCode>#,##0</c:formatCode>
                <c:ptCount val="12"/>
                <c:pt idx="0">
                  <c:v>2169</c:v>
                </c:pt>
                <c:pt idx="1">
                  <c:v>2183</c:v>
                </c:pt>
                <c:pt idx="2">
                  <c:v>2197</c:v>
                </c:pt>
                <c:pt idx="3">
                  <c:v>2211</c:v>
                </c:pt>
                <c:pt idx="4">
                  <c:v>2225</c:v>
                </c:pt>
                <c:pt idx="5">
                  <c:v>2239</c:v>
                </c:pt>
                <c:pt idx="6">
                  <c:v>2253</c:v>
                </c:pt>
                <c:pt idx="7">
                  <c:v>2267</c:v>
                </c:pt>
                <c:pt idx="8">
                  <c:v>2281</c:v>
                </c:pt>
                <c:pt idx="9">
                  <c:v>2295</c:v>
                </c:pt>
                <c:pt idx="10">
                  <c:v>2309</c:v>
                </c:pt>
                <c:pt idx="11">
                  <c:v>2323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A7D-41B6-B439-4DD82B4A26A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24433152"/>
        <c:axId val="124434688"/>
      </c:lineChart>
      <c:dateAx>
        <c:axId val="124433152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crossAx val="124434688"/>
        <c:crosses val="autoZero"/>
        <c:auto val="1"/>
        <c:lblOffset val="100"/>
        <c:baseTimeUnit val="months"/>
      </c:dateAx>
      <c:valAx>
        <c:axId val="124434688"/>
        <c:scaling>
          <c:orientation val="minMax"/>
        </c:scaling>
        <c:delete val="0"/>
        <c:axPos val="l"/>
        <c:majorGridlines/>
        <c:numFmt formatCode="#,##0" sourceLinked="1"/>
        <c:majorTickMark val="out"/>
        <c:minorTickMark val="none"/>
        <c:tickLblPos val="nextTo"/>
        <c:crossAx val="124433152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000000000000822" l="0.70000000000000062" r="0.70000000000000062" t="0.75000000000000822" header="0.30000000000000032" footer="0.30000000000000032"/>
    <c:pageSetup/>
  </c:printSettings>
</c:chartSpace>
</file>

<file path=xl/charts/chart9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1"/>
          <c:order val="1"/>
          <c:tx>
            <c:strRef>
              <c:f>'KPI 75'!$D$20</c:f>
              <c:strCache>
                <c:ptCount val="1"/>
                <c:pt idx="0">
                  <c:v>Actual 2025-26</c:v>
                </c:pt>
              </c:strCache>
            </c:strRef>
          </c:tx>
          <c:spPr>
            <a:solidFill>
              <a:schemeClr val="accent1"/>
            </a:solidFill>
          </c:spPr>
          <c:invertIfNegative val="0"/>
          <c:cat>
            <c:numRef>
              <c:f>'KPI 75'!$E$18:$P$18</c:f>
              <c:numCache>
                <c:formatCode>mmm\-yy</c:formatCode>
                <c:ptCount val="12"/>
                <c:pt idx="0">
                  <c:v>45839</c:v>
                </c:pt>
                <c:pt idx="1">
                  <c:v>45870</c:v>
                </c:pt>
                <c:pt idx="2">
                  <c:v>45901</c:v>
                </c:pt>
                <c:pt idx="3">
                  <c:v>45931</c:v>
                </c:pt>
                <c:pt idx="4">
                  <c:v>45962</c:v>
                </c:pt>
                <c:pt idx="5">
                  <c:v>45992</c:v>
                </c:pt>
                <c:pt idx="6">
                  <c:v>46023</c:v>
                </c:pt>
                <c:pt idx="7">
                  <c:v>46054</c:v>
                </c:pt>
                <c:pt idx="8">
                  <c:v>46082</c:v>
                </c:pt>
                <c:pt idx="9">
                  <c:v>46113</c:v>
                </c:pt>
                <c:pt idx="10">
                  <c:v>46143</c:v>
                </c:pt>
                <c:pt idx="11">
                  <c:v>46174</c:v>
                </c:pt>
              </c:numCache>
            </c:numRef>
          </c:cat>
          <c:val>
            <c:numRef>
              <c:f>'KPI 75'!$E$20:$P$20</c:f>
              <c:numCache>
                <c:formatCode>#,##0</c:formatCode>
                <c:ptCount val="12"/>
                <c:pt idx="0">
                  <c:v>10307</c:v>
                </c:pt>
                <c:pt idx="1">
                  <c:v>10417</c:v>
                </c:pt>
                <c:pt idx="2">
                  <c:v>10547</c:v>
                </c:pt>
                <c:pt idx="3">
                  <c:v>10660</c:v>
                </c:pt>
                <c:pt idx="4">
                  <c:v>10743</c:v>
                </c:pt>
                <c:pt idx="5">
                  <c:v>10863</c:v>
                </c:pt>
                <c:pt idx="6">
                  <c:v>10982</c:v>
                </c:pt>
                <c:pt idx="7">
                  <c:v>11095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2A5-4A27-815B-4B02913E5AF3}"/>
            </c:ext>
          </c:extLst>
        </c:ser>
        <c:ser>
          <c:idx val="4"/>
          <c:order val="2"/>
          <c:tx>
            <c:strRef>
              <c:f>'KPI 75'!$D$21</c:f>
              <c:strCache>
                <c:ptCount val="1"/>
                <c:pt idx="0">
                  <c:v>Actual 2024-25</c:v>
                </c:pt>
              </c:strCache>
            </c:strRef>
          </c:tx>
          <c:spPr>
            <a:solidFill>
              <a:schemeClr val="accent3"/>
            </a:solidFill>
          </c:spPr>
          <c:invertIfNegative val="0"/>
          <c:cat>
            <c:numRef>
              <c:f>'KPI 75'!$E$18:$P$18</c:f>
              <c:numCache>
                <c:formatCode>mmm\-yy</c:formatCode>
                <c:ptCount val="12"/>
                <c:pt idx="0">
                  <c:v>45839</c:v>
                </c:pt>
                <c:pt idx="1">
                  <c:v>45870</c:v>
                </c:pt>
                <c:pt idx="2">
                  <c:v>45901</c:v>
                </c:pt>
                <c:pt idx="3">
                  <c:v>45931</c:v>
                </c:pt>
                <c:pt idx="4">
                  <c:v>45962</c:v>
                </c:pt>
                <c:pt idx="5">
                  <c:v>45992</c:v>
                </c:pt>
                <c:pt idx="6">
                  <c:v>46023</c:v>
                </c:pt>
                <c:pt idx="7">
                  <c:v>46054</c:v>
                </c:pt>
                <c:pt idx="8">
                  <c:v>46082</c:v>
                </c:pt>
                <c:pt idx="9">
                  <c:v>46113</c:v>
                </c:pt>
                <c:pt idx="10">
                  <c:v>46143</c:v>
                </c:pt>
                <c:pt idx="11">
                  <c:v>46174</c:v>
                </c:pt>
              </c:numCache>
            </c:numRef>
          </c:cat>
          <c:val>
            <c:numRef>
              <c:f>'KPI 75'!$E$21:$P$21</c:f>
              <c:numCache>
                <c:formatCode>#,##0</c:formatCode>
                <c:ptCount val="12"/>
                <c:pt idx="0">
                  <c:v>9620</c:v>
                </c:pt>
                <c:pt idx="1">
                  <c:v>9656</c:v>
                </c:pt>
                <c:pt idx="2">
                  <c:v>9702</c:v>
                </c:pt>
                <c:pt idx="3">
                  <c:v>9709</c:v>
                </c:pt>
                <c:pt idx="4">
                  <c:v>9756</c:v>
                </c:pt>
                <c:pt idx="5">
                  <c:v>9788</c:v>
                </c:pt>
                <c:pt idx="6">
                  <c:v>9804</c:v>
                </c:pt>
                <c:pt idx="7">
                  <c:v>9900</c:v>
                </c:pt>
                <c:pt idx="8">
                  <c:v>9969</c:v>
                </c:pt>
                <c:pt idx="9">
                  <c:v>10053</c:v>
                </c:pt>
                <c:pt idx="10">
                  <c:v>10138</c:v>
                </c:pt>
                <c:pt idx="11">
                  <c:v>10195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2A5-4A27-815B-4B02913E5AF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24020608"/>
        <c:axId val="124022144"/>
      </c:barChart>
      <c:lineChart>
        <c:grouping val="standard"/>
        <c:varyColors val="0"/>
        <c:ser>
          <c:idx val="0"/>
          <c:order val="0"/>
          <c:tx>
            <c:strRef>
              <c:f>'KPI 75'!$D$19</c:f>
              <c:strCache>
                <c:ptCount val="1"/>
                <c:pt idx="0">
                  <c:v>Budget 2025-26</c:v>
                </c:pt>
              </c:strCache>
            </c:strRef>
          </c:tx>
          <c:spPr>
            <a:ln>
              <a:solidFill>
                <a:srgbClr val="FF0000"/>
              </a:solidFill>
            </a:ln>
          </c:spPr>
          <c:marker>
            <c:symbol val="none"/>
          </c:marker>
          <c:cat>
            <c:numRef>
              <c:f>'KPI 75'!$E$18:$P$18</c:f>
              <c:numCache>
                <c:formatCode>mmm\-yy</c:formatCode>
                <c:ptCount val="12"/>
                <c:pt idx="0">
                  <c:v>45839</c:v>
                </c:pt>
                <c:pt idx="1">
                  <c:v>45870</c:v>
                </c:pt>
                <c:pt idx="2">
                  <c:v>45901</c:v>
                </c:pt>
                <c:pt idx="3">
                  <c:v>45931</c:v>
                </c:pt>
                <c:pt idx="4">
                  <c:v>45962</c:v>
                </c:pt>
                <c:pt idx="5">
                  <c:v>45992</c:v>
                </c:pt>
                <c:pt idx="6">
                  <c:v>46023</c:v>
                </c:pt>
                <c:pt idx="7">
                  <c:v>46054</c:v>
                </c:pt>
                <c:pt idx="8">
                  <c:v>46082</c:v>
                </c:pt>
                <c:pt idx="9">
                  <c:v>46113</c:v>
                </c:pt>
                <c:pt idx="10">
                  <c:v>46143</c:v>
                </c:pt>
                <c:pt idx="11">
                  <c:v>46174</c:v>
                </c:pt>
              </c:numCache>
            </c:numRef>
          </c:cat>
          <c:val>
            <c:numRef>
              <c:f>'KPI 75'!$E$19:$P$19</c:f>
              <c:numCache>
                <c:formatCode>#,##0</c:formatCode>
                <c:ptCount val="12"/>
                <c:pt idx="0">
                  <c:v>10373</c:v>
                </c:pt>
                <c:pt idx="1">
                  <c:v>10520</c:v>
                </c:pt>
                <c:pt idx="2">
                  <c:v>10669</c:v>
                </c:pt>
                <c:pt idx="3">
                  <c:v>10888</c:v>
                </c:pt>
                <c:pt idx="4">
                  <c:v>11097</c:v>
                </c:pt>
                <c:pt idx="5">
                  <c:v>11296</c:v>
                </c:pt>
                <c:pt idx="6">
                  <c:v>11500</c:v>
                </c:pt>
                <c:pt idx="7">
                  <c:v>11689</c:v>
                </c:pt>
                <c:pt idx="8">
                  <c:v>11863</c:v>
                </c:pt>
                <c:pt idx="9">
                  <c:v>12017</c:v>
                </c:pt>
                <c:pt idx="10">
                  <c:v>12171</c:v>
                </c:pt>
                <c:pt idx="11">
                  <c:v>12323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02A5-4A27-815B-4B02913E5AF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24020608"/>
        <c:axId val="124022144"/>
      </c:lineChart>
      <c:dateAx>
        <c:axId val="124020608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crossAx val="124022144"/>
        <c:crosses val="autoZero"/>
        <c:auto val="1"/>
        <c:lblOffset val="100"/>
        <c:baseTimeUnit val="months"/>
      </c:dateAx>
      <c:valAx>
        <c:axId val="124022144"/>
        <c:scaling>
          <c:orientation val="minMax"/>
        </c:scaling>
        <c:delete val="0"/>
        <c:axPos val="l"/>
        <c:majorGridlines/>
        <c:numFmt formatCode="#,##0" sourceLinked="1"/>
        <c:majorTickMark val="out"/>
        <c:minorTickMark val="none"/>
        <c:tickLblPos val="nextTo"/>
        <c:crossAx val="124020608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000000000000822" l="0.70000000000000062" r="0.70000000000000062" t="0.75000000000000822" header="0.30000000000000032" footer="0.30000000000000032"/>
    <c:pageSetup/>
  </c:printSettings>
</c:chartSpace>
</file>

<file path=xl/charts/chart9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1"/>
          <c:order val="1"/>
          <c:tx>
            <c:strRef>
              <c:f>'KPI 76'!$D$20</c:f>
              <c:strCache>
                <c:ptCount val="1"/>
                <c:pt idx="0">
                  <c:v>Actual 2025-26</c:v>
                </c:pt>
              </c:strCache>
            </c:strRef>
          </c:tx>
          <c:spPr>
            <a:solidFill>
              <a:schemeClr val="accent1"/>
            </a:solidFill>
          </c:spPr>
          <c:invertIfNegative val="0"/>
          <c:cat>
            <c:numRef>
              <c:f>'KPI 76'!$E$18:$P$18</c:f>
              <c:numCache>
                <c:formatCode>mmm\-yy</c:formatCode>
                <c:ptCount val="12"/>
                <c:pt idx="0">
                  <c:v>45839</c:v>
                </c:pt>
                <c:pt idx="1">
                  <c:v>45870</c:v>
                </c:pt>
                <c:pt idx="2">
                  <c:v>45901</c:v>
                </c:pt>
                <c:pt idx="3">
                  <c:v>45931</c:v>
                </c:pt>
                <c:pt idx="4">
                  <c:v>45962</c:v>
                </c:pt>
                <c:pt idx="5">
                  <c:v>45992</c:v>
                </c:pt>
                <c:pt idx="6">
                  <c:v>46023</c:v>
                </c:pt>
                <c:pt idx="7">
                  <c:v>46054</c:v>
                </c:pt>
                <c:pt idx="8">
                  <c:v>46082</c:v>
                </c:pt>
                <c:pt idx="9">
                  <c:v>46113</c:v>
                </c:pt>
                <c:pt idx="10">
                  <c:v>46143</c:v>
                </c:pt>
                <c:pt idx="11">
                  <c:v>46174</c:v>
                </c:pt>
              </c:numCache>
            </c:numRef>
          </c:cat>
          <c:val>
            <c:numRef>
              <c:f>'KPI 76'!$E$20:$P$20</c:f>
              <c:numCache>
                <c:formatCode>#,##0</c:formatCode>
                <c:ptCount val="12"/>
                <c:pt idx="0">
                  <c:v>1830</c:v>
                </c:pt>
                <c:pt idx="1">
                  <c:v>1837</c:v>
                </c:pt>
                <c:pt idx="2">
                  <c:v>1839</c:v>
                </c:pt>
                <c:pt idx="3">
                  <c:v>1835</c:v>
                </c:pt>
                <c:pt idx="4">
                  <c:v>1836</c:v>
                </c:pt>
                <c:pt idx="5">
                  <c:v>1845</c:v>
                </c:pt>
                <c:pt idx="6">
                  <c:v>1851</c:v>
                </c:pt>
                <c:pt idx="7">
                  <c:v>1851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F27-471A-B08F-C51B1523A663}"/>
            </c:ext>
          </c:extLst>
        </c:ser>
        <c:ser>
          <c:idx val="4"/>
          <c:order val="2"/>
          <c:tx>
            <c:strRef>
              <c:f>'KPI 76'!$D$21</c:f>
              <c:strCache>
                <c:ptCount val="1"/>
                <c:pt idx="0">
                  <c:v>Actual 2024-25</c:v>
                </c:pt>
              </c:strCache>
            </c:strRef>
          </c:tx>
          <c:spPr>
            <a:solidFill>
              <a:schemeClr val="accent3"/>
            </a:solidFill>
          </c:spPr>
          <c:invertIfNegative val="0"/>
          <c:cat>
            <c:numRef>
              <c:f>'KPI 76'!$E$18:$P$18</c:f>
              <c:numCache>
                <c:formatCode>mmm\-yy</c:formatCode>
                <c:ptCount val="12"/>
                <c:pt idx="0">
                  <c:v>45839</c:v>
                </c:pt>
                <c:pt idx="1">
                  <c:v>45870</c:v>
                </c:pt>
                <c:pt idx="2">
                  <c:v>45901</c:v>
                </c:pt>
                <c:pt idx="3">
                  <c:v>45931</c:v>
                </c:pt>
                <c:pt idx="4">
                  <c:v>45962</c:v>
                </c:pt>
                <c:pt idx="5">
                  <c:v>45992</c:v>
                </c:pt>
                <c:pt idx="6">
                  <c:v>46023</c:v>
                </c:pt>
                <c:pt idx="7">
                  <c:v>46054</c:v>
                </c:pt>
                <c:pt idx="8">
                  <c:v>46082</c:v>
                </c:pt>
                <c:pt idx="9">
                  <c:v>46113</c:v>
                </c:pt>
                <c:pt idx="10">
                  <c:v>46143</c:v>
                </c:pt>
                <c:pt idx="11">
                  <c:v>46174</c:v>
                </c:pt>
              </c:numCache>
            </c:numRef>
          </c:cat>
          <c:val>
            <c:numRef>
              <c:f>'KPI 76'!$E$21:$P$21</c:f>
              <c:numCache>
                <c:formatCode>#,##0</c:formatCode>
                <c:ptCount val="12"/>
                <c:pt idx="0">
                  <c:v>1788</c:v>
                </c:pt>
                <c:pt idx="1">
                  <c:v>1797</c:v>
                </c:pt>
                <c:pt idx="2">
                  <c:v>1798</c:v>
                </c:pt>
                <c:pt idx="3">
                  <c:v>1799</c:v>
                </c:pt>
                <c:pt idx="4">
                  <c:v>1806</c:v>
                </c:pt>
                <c:pt idx="5">
                  <c:v>1805</c:v>
                </c:pt>
                <c:pt idx="6">
                  <c:v>1812</c:v>
                </c:pt>
                <c:pt idx="7">
                  <c:v>1821</c:v>
                </c:pt>
                <c:pt idx="8">
                  <c:v>1831</c:v>
                </c:pt>
                <c:pt idx="9">
                  <c:v>1835</c:v>
                </c:pt>
                <c:pt idx="10">
                  <c:v>1832</c:v>
                </c:pt>
                <c:pt idx="11">
                  <c:v>1833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F27-471A-B08F-C51B1523A66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24152832"/>
        <c:axId val="124162816"/>
      </c:barChart>
      <c:lineChart>
        <c:grouping val="standard"/>
        <c:varyColors val="0"/>
        <c:ser>
          <c:idx val="0"/>
          <c:order val="0"/>
          <c:tx>
            <c:strRef>
              <c:f>'KPI 76'!$D$19</c:f>
              <c:strCache>
                <c:ptCount val="1"/>
                <c:pt idx="0">
                  <c:v>Budget 2025-26</c:v>
                </c:pt>
              </c:strCache>
            </c:strRef>
          </c:tx>
          <c:spPr>
            <a:ln>
              <a:solidFill>
                <a:srgbClr val="FF0000"/>
              </a:solidFill>
            </a:ln>
          </c:spPr>
          <c:marker>
            <c:symbol val="none"/>
          </c:marker>
          <c:cat>
            <c:numRef>
              <c:f>'KPI 76'!$E$18:$P$18</c:f>
              <c:numCache>
                <c:formatCode>mmm\-yy</c:formatCode>
                <c:ptCount val="12"/>
                <c:pt idx="0">
                  <c:v>45839</c:v>
                </c:pt>
                <c:pt idx="1">
                  <c:v>45870</c:v>
                </c:pt>
                <c:pt idx="2">
                  <c:v>45901</c:v>
                </c:pt>
                <c:pt idx="3">
                  <c:v>45931</c:v>
                </c:pt>
                <c:pt idx="4">
                  <c:v>45962</c:v>
                </c:pt>
                <c:pt idx="5">
                  <c:v>45992</c:v>
                </c:pt>
                <c:pt idx="6">
                  <c:v>46023</c:v>
                </c:pt>
                <c:pt idx="7">
                  <c:v>46054</c:v>
                </c:pt>
                <c:pt idx="8">
                  <c:v>46082</c:v>
                </c:pt>
                <c:pt idx="9">
                  <c:v>46113</c:v>
                </c:pt>
                <c:pt idx="10">
                  <c:v>46143</c:v>
                </c:pt>
                <c:pt idx="11">
                  <c:v>46174</c:v>
                </c:pt>
              </c:numCache>
            </c:numRef>
          </c:cat>
          <c:val>
            <c:numRef>
              <c:f>'KPI 76'!$E$19:$P$19</c:f>
              <c:numCache>
                <c:formatCode>#,##0</c:formatCode>
                <c:ptCount val="12"/>
                <c:pt idx="0">
                  <c:v>1848</c:v>
                </c:pt>
                <c:pt idx="1">
                  <c:v>1862</c:v>
                </c:pt>
                <c:pt idx="2">
                  <c:v>1876</c:v>
                </c:pt>
                <c:pt idx="3">
                  <c:v>1890</c:v>
                </c:pt>
                <c:pt idx="4">
                  <c:v>1904</c:v>
                </c:pt>
                <c:pt idx="5">
                  <c:v>1918</c:v>
                </c:pt>
                <c:pt idx="6">
                  <c:v>1932</c:v>
                </c:pt>
                <c:pt idx="7">
                  <c:v>1946</c:v>
                </c:pt>
                <c:pt idx="8">
                  <c:v>1960</c:v>
                </c:pt>
                <c:pt idx="9">
                  <c:v>1974</c:v>
                </c:pt>
                <c:pt idx="10">
                  <c:v>1988</c:v>
                </c:pt>
                <c:pt idx="11">
                  <c:v>2002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FF27-471A-B08F-C51B1523A66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24152832"/>
        <c:axId val="124162816"/>
      </c:lineChart>
      <c:dateAx>
        <c:axId val="124152832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crossAx val="124162816"/>
        <c:crosses val="autoZero"/>
        <c:auto val="1"/>
        <c:lblOffset val="100"/>
        <c:baseTimeUnit val="months"/>
      </c:dateAx>
      <c:valAx>
        <c:axId val="124162816"/>
        <c:scaling>
          <c:orientation val="minMax"/>
        </c:scaling>
        <c:delete val="0"/>
        <c:axPos val="l"/>
        <c:majorGridlines/>
        <c:numFmt formatCode="#,##0" sourceLinked="1"/>
        <c:majorTickMark val="out"/>
        <c:minorTickMark val="none"/>
        <c:tickLblPos val="nextTo"/>
        <c:crossAx val="124152832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000000000000822" l="0.70000000000000062" r="0.70000000000000062" t="0.75000000000000822" header="0.30000000000000032" footer="0.30000000000000032"/>
    <c:pageSetup/>
  </c:printSettings>
</c:chartSpace>
</file>

<file path=xl/charts/chart9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1"/>
          <c:order val="1"/>
          <c:tx>
            <c:strRef>
              <c:f>'KPI 77'!$D$20</c:f>
              <c:strCache>
                <c:ptCount val="1"/>
                <c:pt idx="0">
                  <c:v>Actual 2025-26</c:v>
                </c:pt>
              </c:strCache>
            </c:strRef>
          </c:tx>
          <c:spPr>
            <a:solidFill>
              <a:schemeClr val="accent1"/>
            </a:solidFill>
          </c:spPr>
          <c:invertIfNegative val="0"/>
          <c:cat>
            <c:numRef>
              <c:f>'KPI 77'!$E$18:$P$18</c:f>
              <c:numCache>
                <c:formatCode>mmm\-yy</c:formatCode>
                <c:ptCount val="12"/>
                <c:pt idx="0">
                  <c:v>45839</c:v>
                </c:pt>
                <c:pt idx="1">
                  <c:v>45870</c:v>
                </c:pt>
                <c:pt idx="2">
                  <c:v>45901</c:v>
                </c:pt>
                <c:pt idx="3">
                  <c:v>45931</c:v>
                </c:pt>
                <c:pt idx="4">
                  <c:v>45962</c:v>
                </c:pt>
                <c:pt idx="5">
                  <c:v>45992</c:v>
                </c:pt>
                <c:pt idx="6">
                  <c:v>46023</c:v>
                </c:pt>
                <c:pt idx="7">
                  <c:v>46054</c:v>
                </c:pt>
                <c:pt idx="8">
                  <c:v>46082</c:v>
                </c:pt>
                <c:pt idx="9">
                  <c:v>46113</c:v>
                </c:pt>
                <c:pt idx="10">
                  <c:v>46143</c:v>
                </c:pt>
                <c:pt idx="11">
                  <c:v>46174</c:v>
                </c:pt>
              </c:numCache>
            </c:numRef>
          </c:cat>
          <c:val>
            <c:numRef>
              <c:f>'KPI 77'!$E$20:$P$20</c:f>
              <c:numCache>
                <c:formatCode>0%</c:formatCode>
                <c:ptCount val="12"/>
                <c:pt idx="0">
                  <c:v>0.8387698686938494</c:v>
                </c:pt>
                <c:pt idx="1">
                  <c:v>0.83770850423844678</c:v>
                </c:pt>
                <c:pt idx="2">
                  <c:v>0.83927361431088221</c:v>
                </c:pt>
                <c:pt idx="3">
                  <c:v>0.83875948177485404</c:v>
                </c:pt>
                <c:pt idx="4">
                  <c:v>0.83899152938037747</c:v>
                </c:pt>
                <c:pt idx="5">
                  <c:v>0.84014280047600154</c:v>
                </c:pt>
                <c:pt idx="6">
                  <c:v>0.83980106014004319</c:v>
                </c:pt>
                <c:pt idx="7">
                  <c:v>0.84311299251058291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B82-4DE2-85ED-3B6711AEDC5E}"/>
            </c:ext>
          </c:extLst>
        </c:ser>
        <c:ser>
          <c:idx val="4"/>
          <c:order val="2"/>
          <c:tx>
            <c:strRef>
              <c:f>'KPI 77'!$D$21</c:f>
              <c:strCache>
                <c:ptCount val="1"/>
                <c:pt idx="0">
                  <c:v>Actual 2024-25</c:v>
                </c:pt>
              </c:strCache>
            </c:strRef>
          </c:tx>
          <c:spPr>
            <a:solidFill>
              <a:schemeClr val="accent3"/>
            </a:solidFill>
          </c:spPr>
          <c:invertIfNegative val="0"/>
          <c:cat>
            <c:numRef>
              <c:f>'KPI 77'!$E$18:$P$18</c:f>
              <c:numCache>
                <c:formatCode>mmm\-yy</c:formatCode>
                <c:ptCount val="12"/>
                <c:pt idx="0">
                  <c:v>45839</c:v>
                </c:pt>
                <c:pt idx="1">
                  <c:v>45870</c:v>
                </c:pt>
                <c:pt idx="2">
                  <c:v>45901</c:v>
                </c:pt>
                <c:pt idx="3">
                  <c:v>45931</c:v>
                </c:pt>
                <c:pt idx="4">
                  <c:v>45962</c:v>
                </c:pt>
                <c:pt idx="5">
                  <c:v>45992</c:v>
                </c:pt>
                <c:pt idx="6">
                  <c:v>46023</c:v>
                </c:pt>
                <c:pt idx="7">
                  <c:v>46054</c:v>
                </c:pt>
                <c:pt idx="8">
                  <c:v>46082</c:v>
                </c:pt>
                <c:pt idx="9">
                  <c:v>46113</c:v>
                </c:pt>
                <c:pt idx="10">
                  <c:v>46143</c:v>
                </c:pt>
                <c:pt idx="11">
                  <c:v>46174</c:v>
                </c:pt>
              </c:numCache>
            </c:numRef>
          </c:cat>
          <c:val>
            <c:numRef>
              <c:f>'KPI 77'!$E$21:$P$21</c:f>
              <c:numCache>
                <c:formatCode>0%</c:formatCode>
                <c:ptCount val="12"/>
                <c:pt idx="0">
                  <c:v>0.8441616101820334</c:v>
                </c:pt>
                <c:pt idx="1">
                  <c:v>0.84368324125230199</c:v>
                </c:pt>
                <c:pt idx="2">
                  <c:v>0.84533960599823577</c:v>
                </c:pt>
                <c:pt idx="3">
                  <c:v>0.84543050249779605</c:v>
                </c:pt>
                <c:pt idx="4">
                  <c:v>0.84647485174610149</c:v>
                </c:pt>
                <c:pt idx="5">
                  <c:v>0.84540217312039667</c:v>
                </c:pt>
                <c:pt idx="6">
                  <c:v>0.83888206831804724</c:v>
                </c:pt>
                <c:pt idx="7">
                  <c:v>0.84099878022529961</c:v>
                </c:pt>
                <c:pt idx="8">
                  <c:v>0.84069535480193791</c:v>
                </c:pt>
                <c:pt idx="9">
                  <c:v>0.83765501691093569</c:v>
                </c:pt>
                <c:pt idx="10">
                  <c:v>0.84</c:v>
                </c:pt>
                <c:pt idx="11">
                  <c:v>0.83906522497384028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B82-4DE2-85ED-3B6711AEDC5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24572032"/>
        <c:axId val="124573568"/>
      </c:barChart>
      <c:lineChart>
        <c:grouping val="standard"/>
        <c:varyColors val="0"/>
        <c:ser>
          <c:idx val="0"/>
          <c:order val="0"/>
          <c:tx>
            <c:strRef>
              <c:f>'KPI 77'!$D$19</c:f>
              <c:strCache>
                <c:ptCount val="1"/>
                <c:pt idx="0">
                  <c:v>Budget 2025-26</c:v>
                </c:pt>
              </c:strCache>
            </c:strRef>
          </c:tx>
          <c:spPr>
            <a:ln>
              <a:solidFill>
                <a:srgbClr val="FF0000"/>
              </a:solidFill>
            </a:ln>
          </c:spPr>
          <c:marker>
            <c:symbol val="none"/>
          </c:marker>
          <c:cat>
            <c:numRef>
              <c:f>'KPI 77'!$E$18:$P$18</c:f>
              <c:numCache>
                <c:formatCode>mmm\-yy</c:formatCode>
                <c:ptCount val="12"/>
                <c:pt idx="0">
                  <c:v>45839</c:v>
                </c:pt>
                <c:pt idx="1">
                  <c:v>45870</c:v>
                </c:pt>
                <c:pt idx="2">
                  <c:v>45901</c:v>
                </c:pt>
                <c:pt idx="3">
                  <c:v>45931</c:v>
                </c:pt>
                <c:pt idx="4">
                  <c:v>45962</c:v>
                </c:pt>
                <c:pt idx="5">
                  <c:v>45992</c:v>
                </c:pt>
                <c:pt idx="6">
                  <c:v>46023</c:v>
                </c:pt>
                <c:pt idx="7">
                  <c:v>46054</c:v>
                </c:pt>
                <c:pt idx="8">
                  <c:v>46082</c:v>
                </c:pt>
                <c:pt idx="9">
                  <c:v>46113</c:v>
                </c:pt>
                <c:pt idx="10">
                  <c:v>46143</c:v>
                </c:pt>
                <c:pt idx="11">
                  <c:v>46174</c:v>
                </c:pt>
              </c:numCache>
            </c:numRef>
          </c:cat>
          <c:val>
            <c:numRef>
              <c:f>'KPI 77'!$E$19:$P$19</c:f>
              <c:numCache>
                <c:formatCode>0%</c:formatCode>
                <c:ptCount val="12"/>
                <c:pt idx="0">
                  <c:v>0.84189859465417471</c:v>
                </c:pt>
                <c:pt idx="1">
                  <c:v>0.84363289500579142</c:v>
                </c:pt>
                <c:pt idx="2">
                  <c:v>0.8453504043126685</c:v>
                </c:pt>
                <c:pt idx="3">
                  <c:v>0.84774099383002721</c:v>
                </c:pt>
                <c:pt idx="4">
                  <c:v>0.8499607740585774</c:v>
                </c:pt>
                <c:pt idx="5">
                  <c:v>0.85202140692501127</c:v>
                </c:pt>
                <c:pt idx="6">
                  <c:v>0.8540726139759649</c:v>
                </c:pt>
                <c:pt idx="7">
                  <c:v>0.85593220338983056</c:v>
                </c:pt>
                <c:pt idx="8">
                  <c:v>0.85761260702320385</c:v>
                </c:pt>
                <c:pt idx="9">
                  <c:v>0.85908141962421714</c:v>
                </c:pt>
                <c:pt idx="10">
                  <c:v>0.86052023823994161</c:v>
                </c:pt>
                <c:pt idx="11">
                  <c:v>0.86191335740072206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B82-4DE2-85ED-3B6711AEDC5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24572032"/>
        <c:axId val="124573568"/>
      </c:lineChart>
      <c:dateAx>
        <c:axId val="124572032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crossAx val="124573568"/>
        <c:crosses val="autoZero"/>
        <c:auto val="1"/>
        <c:lblOffset val="100"/>
        <c:baseTimeUnit val="months"/>
      </c:dateAx>
      <c:valAx>
        <c:axId val="124573568"/>
        <c:scaling>
          <c:orientation val="minMax"/>
        </c:scaling>
        <c:delete val="0"/>
        <c:axPos val="l"/>
        <c:majorGridlines/>
        <c:numFmt formatCode="0%" sourceLinked="1"/>
        <c:majorTickMark val="out"/>
        <c:minorTickMark val="none"/>
        <c:tickLblPos val="nextTo"/>
        <c:crossAx val="124572032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000000000000822" l="0.70000000000000062" r="0.70000000000000062" t="0.75000000000000822" header="0.30000000000000032" footer="0.30000000000000032"/>
    <c:pageSetup/>
  </c:printSettings>
</c:chartSpace>
</file>

<file path=xl/charts/chart9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1"/>
          <c:order val="1"/>
          <c:tx>
            <c:strRef>
              <c:f>'KPI 78'!$D$20</c:f>
              <c:strCache>
                <c:ptCount val="1"/>
                <c:pt idx="0">
                  <c:v>Actual 2025-26</c:v>
                </c:pt>
              </c:strCache>
            </c:strRef>
          </c:tx>
          <c:spPr>
            <a:solidFill>
              <a:schemeClr val="accent1"/>
            </a:solidFill>
          </c:spPr>
          <c:invertIfNegative val="0"/>
          <c:cat>
            <c:numRef>
              <c:f>'KPI 78'!$E$18:$P$18</c:f>
              <c:numCache>
                <c:formatCode>mmm\-yy</c:formatCode>
                <c:ptCount val="12"/>
                <c:pt idx="0">
                  <c:v>45839</c:v>
                </c:pt>
                <c:pt idx="1">
                  <c:v>45870</c:v>
                </c:pt>
                <c:pt idx="2">
                  <c:v>45901</c:v>
                </c:pt>
                <c:pt idx="3">
                  <c:v>45931</c:v>
                </c:pt>
                <c:pt idx="4">
                  <c:v>45962</c:v>
                </c:pt>
                <c:pt idx="5">
                  <c:v>45992</c:v>
                </c:pt>
                <c:pt idx="6">
                  <c:v>46023</c:v>
                </c:pt>
                <c:pt idx="7">
                  <c:v>46054</c:v>
                </c:pt>
                <c:pt idx="8">
                  <c:v>46082</c:v>
                </c:pt>
                <c:pt idx="9">
                  <c:v>46113</c:v>
                </c:pt>
                <c:pt idx="10">
                  <c:v>46143</c:v>
                </c:pt>
                <c:pt idx="11">
                  <c:v>46174</c:v>
                </c:pt>
              </c:numCache>
            </c:numRef>
          </c:cat>
          <c:val>
            <c:numRef>
              <c:f>'KPI 78'!$E$20:$P$20</c:f>
              <c:numCache>
                <c:formatCode>0</c:formatCode>
                <c:ptCount val="12"/>
                <c:pt idx="0">
                  <c:v>12992</c:v>
                </c:pt>
                <c:pt idx="1">
                  <c:v>17788</c:v>
                </c:pt>
                <c:pt idx="2">
                  <c:v>16452</c:v>
                </c:pt>
                <c:pt idx="3">
                  <c:v>16186</c:v>
                </c:pt>
                <c:pt idx="4">
                  <c:v>13605</c:v>
                </c:pt>
                <c:pt idx="5">
                  <c:v>12217</c:v>
                </c:pt>
                <c:pt idx="6">
                  <c:v>20906</c:v>
                </c:pt>
                <c:pt idx="7">
                  <c:v>15811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07B-4BA9-AE59-026735BBEE3D}"/>
            </c:ext>
          </c:extLst>
        </c:ser>
        <c:ser>
          <c:idx val="4"/>
          <c:order val="2"/>
          <c:tx>
            <c:strRef>
              <c:f>'KPI 78'!$D$21</c:f>
              <c:strCache>
                <c:ptCount val="1"/>
                <c:pt idx="0">
                  <c:v>Actual 2024-25</c:v>
                </c:pt>
              </c:strCache>
            </c:strRef>
          </c:tx>
          <c:spPr>
            <a:solidFill>
              <a:schemeClr val="accent3"/>
            </a:solidFill>
          </c:spPr>
          <c:invertIfNegative val="0"/>
          <c:cat>
            <c:numRef>
              <c:f>'KPI 78'!$E$18:$P$18</c:f>
              <c:numCache>
                <c:formatCode>mmm\-yy</c:formatCode>
                <c:ptCount val="12"/>
                <c:pt idx="0">
                  <c:v>45839</c:v>
                </c:pt>
                <c:pt idx="1">
                  <c:v>45870</c:v>
                </c:pt>
                <c:pt idx="2">
                  <c:v>45901</c:v>
                </c:pt>
                <c:pt idx="3">
                  <c:v>45931</c:v>
                </c:pt>
                <c:pt idx="4">
                  <c:v>45962</c:v>
                </c:pt>
                <c:pt idx="5">
                  <c:v>45992</c:v>
                </c:pt>
                <c:pt idx="6">
                  <c:v>46023</c:v>
                </c:pt>
                <c:pt idx="7">
                  <c:v>46054</c:v>
                </c:pt>
                <c:pt idx="8">
                  <c:v>46082</c:v>
                </c:pt>
                <c:pt idx="9">
                  <c:v>46113</c:v>
                </c:pt>
                <c:pt idx="10">
                  <c:v>46143</c:v>
                </c:pt>
                <c:pt idx="11">
                  <c:v>46174</c:v>
                </c:pt>
              </c:numCache>
            </c:numRef>
          </c:cat>
          <c:val>
            <c:numRef>
              <c:f>'KPI 78'!$E$21:$P$21</c:f>
              <c:numCache>
                <c:formatCode>0</c:formatCode>
                <c:ptCount val="12"/>
                <c:pt idx="0">
                  <c:v>15333</c:v>
                </c:pt>
                <c:pt idx="1">
                  <c:v>18128</c:v>
                </c:pt>
                <c:pt idx="2">
                  <c:v>15348</c:v>
                </c:pt>
                <c:pt idx="3">
                  <c:v>17288</c:v>
                </c:pt>
                <c:pt idx="4">
                  <c:v>16464</c:v>
                </c:pt>
                <c:pt idx="5">
                  <c:v>11402</c:v>
                </c:pt>
                <c:pt idx="6">
                  <c:v>21639</c:v>
                </c:pt>
                <c:pt idx="7">
                  <c:v>16771</c:v>
                </c:pt>
                <c:pt idx="8">
                  <c:v>16898</c:v>
                </c:pt>
                <c:pt idx="9">
                  <c:v>14822</c:v>
                </c:pt>
                <c:pt idx="10">
                  <c:v>15647</c:v>
                </c:pt>
                <c:pt idx="11">
                  <c:v>15127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07B-4BA9-AE59-026735BBEE3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24524032"/>
        <c:axId val="124525568"/>
      </c:barChart>
      <c:lineChart>
        <c:grouping val="standard"/>
        <c:varyColors val="0"/>
        <c:ser>
          <c:idx val="0"/>
          <c:order val="0"/>
          <c:tx>
            <c:strRef>
              <c:f>'KPI 78'!$D$19</c:f>
              <c:strCache>
                <c:ptCount val="1"/>
                <c:pt idx="0">
                  <c:v>Budget 2025-26</c:v>
                </c:pt>
              </c:strCache>
            </c:strRef>
          </c:tx>
          <c:spPr>
            <a:ln>
              <a:solidFill>
                <a:srgbClr val="FF0000"/>
              </a:solidFill>
            </a:ln>
          </c:spPr>
          <c:marker>
            <c:symbol val="none"/>
          </c:marker>
          <c:cat>
            <c:numRef>
              <c:f>'KPI 78'!$E$18:$P$18</c:f>
              <c:numCache>
                <c:formatCode>mmm\-yy</c:formatCode>
                <c:ptCount val="12"/>
                <c:pt idx="0">
                  <c:v>45839</c:v>
                </c:pt>
                <c:pt idx="1">
                  <c:v>45870</c:v>
                </c:pt>
                <c:pt idx="2">
                  <c:v>45901</c:v>
                </c:pt>
                <c:pt idx="3">
                  <c:v>45931</c:v>
                </c:pt>
                <c:pt idx="4">
                  <c:v>45962</c:v>
                </c:pt>
                <c:pt idx="5">
                  <c:v>45992</c:v>
                </c:pt>
                <c:pt idx="6">
                  <c:v>46023</c:v>
                </c:pt>
                <c:pt idx="7">
                  <c:v>46054</c:v>
                </c:pt>
                <c:pt idx="8">
                  <c:v>46082</c:v>
                </c:pt>
                <c:pt idx="9">
                  <c:v>46113</c:v>
                </c:pt>
                <c:pt idx="10">
                  <c:v>46143</c:v>
                </c:pt>
                <c:pt idx="11">
                  <c:v>46174</c:v>
                </c:pt>
              </c:numCache>
            </c:numRef>
          </c:cat>
          <c:val>
            <c:numRef>
              <c:f>'KPI 78'!$E$19:$P$19</c:f>
              <c:numCache>
                <c:formatCode>0</c:formatCode>
                <c:ptCount val="12"/>
                <c:pt idx="0">
                  <c:v>16134.369786189976</c:v>
                </c:pt>
                <c:pt idx="1">
                  <c:v>16146.406239046619</c:v>
                </c:pt>
                <c:pt idx="2">
                  <c:v>16158.442691903261</c:v>
                </c:pt>
                <c:pt idx="3">
                  <c:v>16170.479144759904</c:v>
                </c:pt>
                <c:pt idx="4">
                  <c:v>16182.515597616546</c:v>
                </c:pt>
                <c:pt idx="5">
                  <c:v>16194.552050473189</c:v>
                </c:pt>
                <c:pt idx="6">
                  <c:v>16206.588503329831</c:v>
                </c:pt>
                <c:pt idx="7">
                  <c:v>16218.62495618647</c:v>
                </c:pt>
                <c:pt idx="8">
                  <c:v>16230.661409043112</c:v>
                </c:pt>
                <c:pt idx="9">
                  <c:v>16242.697861899755</c:v>
                </c:pt>
                <c:pt idx="10">
                  <c:v>16254.734314756397</c:v>
                </c:pt>
                <c:pt idx="11">
                  <c:v>16266.770767613039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D07B-4BA9-AE59-026735BBEE3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24524032"/>
        <c:axId val="124525568"/>
      </c:lineChart>
      <c:dateAx>
        <c:axId val="124524032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crossAx val="124525568"/>
        <c:crosses val="autoZero"/>
        <c:auto val="1"/>
        <c:lblOffset val="100"/>
        <c:baseTimeUnit val="months"/>
      </c:dateAx>
      <c:valAx>
        <c:axId val="124525568"/>
        <c:scaling>
          <c:orientation val="minMax"/>
        </c:scaling>
        <c:delete val="0"/>
        <c:axPos val="l"/>
        <c:majorGridlines/>
        <c:numFmt formatCode="0" sourceLinked="1"/>
        <c:majorTickMark val="out"/>
        <c:minorTickMark val="none"/>
        <c:tickLblPos val="nextTo"/>
        <c:crossAx val="124524032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000000000000822" l="0.70000000000000062" r="0.70000000000000062" t="0.75000000000000822" header="0.30000000000000032" footer="0.30000000000000032"/>
    <c:pageSetup/>
  </c:printSettings>
</c:chartSpace>
</file>

<file path=xl/charts/chart9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1"/>
          <c:order val="1"/>
          <c:tx>
            <c:strRef>
              <c:f>'KPI 79'!$D$20</c:f>
              <c:strCache>
                <c:ptCount val="1"/>
                <c:pt idx="0">
                  <c:v>Actual 2025-26</c:v>
                </c:pt>
              </c:strCache>
            </c:strRef>
          </c:tx>
          <c:spPr>
            <a:solidFill>
              <a:schemeClr val="accent1"/>
            </a:solidFill>
          </c:spPr>
          <c:invertIfNegative val="0"/>
          <c:cat>
            <c:numRef>
              <c:f>'KPI 79'!$E$18:$P$18</c:f>
              <c:numCache>
                <c:formatCode>mmm\-yy</c:formatCode>
                <c:ptCount val="12"/>
                <c:pt idx="0">
                  <c:v>45839</c:v>
                </c:pt>
                <c:pt idx="1">
                  <c:v>45870</c:v>
                </c:pt>
                <c:pt idx="2">
                  <c:v>45901</c:v>
                </c:pt>
                <c:pt idx="3">
                  <c:v>45931</c:v>
                </c:pt>
                <c:pt idx="4">
                  <c:v>45962</c:v>
                </c:pt>
                <c:pt idx="5">
                  <c:v>45992</c:v>
                </c:pt>
                <c:pt idx="6">
                  <c:v>46023</c:v>
                </c:pt>
                <c:pt idx="7">
                  <c:v>46054</c:v>
                </c:pt>
                <c:pt idx="8">
                  <c:v>46082</c:v>
                </c:pt>
                <c:pt idx="9">
                  <c:v>46113</c:v>
                </c:pt>
                <c:pt idx="10">
                  <c:v>46143</c:v>
                </c:pt>
                <c:pt idx="11">
                  <c:v>46174</c:v>
                </c:pt>
              </c:numCache>
            </c:numRef>
          </c:cat>
          <c:val>
            <c:numRef>
              <c:f>'KPI 79'!$E$20:$P$20</c:f>
              <c:numCache>
                <c:formatCode>0</c:formatCode>
                <c:ptCount val="12"/>
                <c:pt idx="0">
                  <c:v>15991</c:v>
                </c:pt>
                <c:pt idx="1">
                  <c:v>15410</c:v>
                </c:pt>
                <c:pt idx="2">
                  <c:v>13572</c:v>
                </c:pt>
                <c:pt idx="3">
                  <c:v>16565</c:v>
                </c:pt>
                <c:pt idx="4">
                  <c:v>15215</c:v>
                </c:pt>
                <c:pt idx="5">
                  <c:v>12683</c:v>
                </c:pt>
                <c:pt idx="6">
                  <c:v>20921</c:v>
                </c:pt>
                <c:pt idx="7">
                  <c:v>17374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A28-4C24-BBEE-C124182A5E29}"/>
            </c:ext>
          </c:extLst>
        </c:ser>
        <c:ser>
          <c:idx val="4"/>
          <c:order val="2"/>
          <c:tx>
            <c:strRef>
              <c:f>'KPI 79'!$D$21</c:f>
              <c:strCache>
                <c:ptCount val="1"/>
                <c:pt idx="0">
                  <c:v>Actual 2024-25</c:v>
                </c:pt>
              </c:strCache>
            </c:strRef>
          </c:tx>
          <c:spPr>
            <a:solidFill>
              <a:schemeClr val="accent3"/>
            </a:solidFill>
          </c:spPr>
          <c:invertIfNegative val="0"/>
          <c:cat>
            <c:numRef>
              <c:f>'KPI 79'!$E$18:$P$18</c:f>
              <c:numCache>
                <c:formatCode>mmm\-yy</c:formatCode>
                <c:ptCount val="12"/>
                <c:pt idx="0">
                  <c:v>45839</c:v>
                </c:pt>
                <c:pt idx="1">
                  <c:v>45870</c:v>
                </c:pt>
                <c:pt idx="2">
                  <c:v>45901</c:v>
                </c:pt>
                <c:pt idx="3">
                  <c:v>45931</c:v>
                </c:pt>
                <c:pt idx="4">
                  <c:v>45962</c:v>
                </c:pt>
                <c:pt idx="5">
                  <c:v>45992</c:v>
                </c:pt>
                <c:pt idx="6">
                  <c:v>46023</c:v>
                </c:pt>
                <c:pt idx="7">
                  <c:v>46054</c:v>
                </c:pt>
                <c:pt idx="8">
                  <c:v>46082</c:v>
                </c:pt>
                <c:pt idx="9">
                  <c:v>46113</c:v>
                </c:pt>
                <c:pt idx="10">
                  <c:v>46143</c:v>
                </c:pt>
                <c:pt idx="11">
                  <c:v>46174</c:v>
                </c:pt>
              </c:numCache>
            </c:numRef>
          </c:cat>
          <c:val>
            <c:numRef>
              <c:f>'KPI 79'!$E$21:$P$21</c:f>
              <c:numCache>
                <c:formatCode>0</c:formatCode>
                <c:ptCount val="12"/>
                <c:pt idx="0">
                  <c:v>13187</c:v>
                </c:pt>
                <c:pt idx="1">
                  <c:v>19014</c:v>
                </c:pt>
                <c:pt idx="2">
                  <c:v>14518</c:v>
                </c:pt>
                <c:pt idx="3">
                  <c:v>15348</c:v>
                </c:pt>
                <c:pt idx="4">
                  <c:v>15020</c:v>
                </c:pt>
                <c:pt idx="5">
                  <c:v>11149</c:v>
                </c:pt>
                <c:pt idx="6">
                  <c:v>18653</c:v>
                </c:pt>
                <c:pt idx="7">
                  <c:v>16512</c:v>
                </c:pt>
                <c:pt idx="8">
                  <c:v>16356</c:v>
                </c:pt>
                <c:pt idx="9">
                  <c:v>14401</c:v>
                </c:pt>
                <c:pt idx="10">
                  <c:v>18217</c:v>
                </c:pt>
                <c:pt idx="11">
                  <c:v>18443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A28-4C24-BBEE-C124182A5E2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25213312"/>
        <c:axId val="125219200"/>
      </c:barChart>
      <c:lineChart>
        <c:grouping val="standard"/>
        <c:varyColors val="0"/>
        <c:ser>
          <c:idx val="0"/>
          <c:order val="0"/>
          <c:tx>
            <c:strRef>
              <c:f>'KPI 79'!$D$19</c:f>
              <c:strCache>
                <c:ptCount val="1"/>
                <c:pt idx="0">
                  <c:v>Budget 2025-26</c:v>
                </c:pt>
              </c:strCache>
            </c:strRef>
          </c:tx>
          <c:spPr>
            <a:ln>
              <a:solidFill>
                <a:srgbClr val="FF0000"/>
              </a:solidFill>
            </a:ln>
          </c:spPr>
          <c:marker>
            <c:symbol val="none"/>
          </c:marker>
          <c:cat>
            <c:numRef>
              <c:f>'KPI 79'!$E$18:$P$18</c:f>
              <c:numCache>
                <c:formatCode>mmm\-yy</c:formatCode>
                <c:ptCount val="12"/>
                <c:pt idx="0">
                  <c:v>45839</c:v>
                </c:pt>
                <c:pt idx="1">
                  <c:v>45870</c:v>
                </c:pt>
                <c:pt idx="2">
                  <c:v>45901</c:v>
                </c:pt>
                <c:pt idx="3">
                  <c:v>45931</c:v>
                </c:pt>
                <c:pt idx="4">
                  <c:v>45962</c:v>
                </c:pt>
                <c:pt idx="5">
                  <c:v>45992</c:v>
                </c:pt>
                <c:pt idx="6">
                  <c:v>46023</c:v>
                </c:pt>
                <c:pt idx="7">
                  <c:v>46054</c:v>
                </c:pt>
                <c:pt idx="8">
                  <c:v>46082</c:v>
                </c:pt>
                <c:pt idx="9">
                  <c:v>46113</c:v>
                </c:pt>
                <c:pt idx="10">
                  <c:v>46143</c:v>
                </c:pt>
                <c:pt idx="11">
                  <c:v>46174</c:v>
                </c:pt>
              </c:numCache>
            </c:numRef>
          </c:cat>
          <c:val>
            <c:numRef>
              <c:f>'KPI 79'!$E$19:$P$19</c:f>
              <c:numCache>
                <c:formatCode>0</c:formatCode>
                <c:ptCount val="12"/>
                <c:pt idx="0">
                  <c:v>15540.334546280268</c:v>
                </c:pt>
                <c:pt idx="1">
                  <c:v>15772.885471977739</c:v>
                </c:pt>
                <c:pt idx="2">
                  <c:v>16005.436397675212</c:v>
                </c:pt>
                <c:pt idx="3">
                  <c:v>16237.987323372683</c:v>
                </c:pt>
                <c:pt idx="4">
                  <c:v>16470.538249070152</c:v>
                </c:pt>
                <c:pt idx="5">
                  <c:v>16703.089174767621</c:v>
                </c:pt>
                <c:pt idx="6">
                  <c:v>16935.640100465091</c:v>
                </c:pt>
                <c:pt idx="7">
                  <c:v>17168.19102616256</c:v>
                </c:pt>
                <c:pt idx="8">
                  <c:v>17400.741951860036</c:v>
                </c:pt>
                <c:pt idx="9">
                  <c:v>17633.292877557506</c:v>
                </c:pt>
                <c:pt idx="10">
                  <c:v>17865.843803254975</c:v>
                </c:pt>
                <c:pt idx="11">
                  <c:v>18098.394728952448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BA28-4C24-BBEE-C124182A5E2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25213312"/>
        <c:axId val="125219200"/>
      </c:lineChart>
      <c:dateAx>
        <c:axId val="125213312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crossAx val="125219200"/>
        <c:crosses val="autoZero"/>
        <c:auto val="1"/>
        <c:lblOffset val="100"/>
        <c:baseTimeUnit val="months"/>
      </c:dateAx>
      <c:valAx>
        <c:axId val="125219200"/>
        <c:scaling>
          <c:orientation val="minMax"/>
        </c:scaling>
        <c:delete val="0"/>
        <c:axPos val="l"/>
        <c:majorGridlines/>
        <c:numFmt formatCode="0" sourceLinked="1"/>
        <c:majorTickMark val="out"/>
        <c:minorTickMark val="none"/>
        <c:tickLblPos val="nextTo"/>
        <c:crossAx val="125213312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000000000000822" l="0.70000000000000062" r="0.70000000000000062" t="0.75000000000000822" header="0.30000000000000032" footer="0.30000000000000032"/>
    <c:pageSetup/>
  </c:printSettings>
</c:chartSpace>
</file>

<file path=xl/charts/chart9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1"/>
          <c:order val="1"/>
          <c:tx>
            <c:strRef>
              <c:f>'KPI 80'!$D$20</c:f>
              <c:strCache>
                <c:ptCount val="1"/>
                <c:pt idx="0">
                  <c:v>Actual 2025-26</c:v>
                </c:pt>
              </c:strCache>
            </c:strRef>
          </c:tx>
          <c:spPr>
            <a:solidFill>
              <a:schemeClr val="accent1"/>
            </a:solidFill>
          </c:spPr>
          <c:invertIfNegative val="0"/>
          <c:cat>
            <c:numRef>
              <c:f>'KPI 80'!$E$18:$P$18</c:f>
              <c:numCache>
                <c:formatCode>mmm\-yy</c:formatCode>
                <c:ptCount val="12"/>
                <c:pt idx="0">
                  <c:v>45839</c:v>
                </c:pt>
                <c:pt idx="1">
                  <c:v>45870</c:v>
                </c:pt>
                <c:pt idx="2">
                  <c:v>45901</c:v>
                </c:pt>
                <c:pt idx="3">
                  <c:v>45931</c:v>
                </c:pt>
                <c:pt idx="4">
                  <c:v>45962</c:v>
                </c:pt>
                <c:pt idx="5">
                  <c:v>45992</c:v>
                </c:pt>
                <c:pt idx="6">
                  <c:v>46023</c:v>
                </c:pt>
                <c:pt idx="7">
                  <c:v>46054</c:v>
                </c:pt>
                <c:pt idx="8">
                  <c:v>46082</c:v>
                </c:pt>
                <c:pt idx="9">
                  <c:v>46113</c:v>
                </c:pt>
                <c:pt idx="10">
                  <c:v>46143</c:v>
                </c:pt>
                <c:pt idx="11">
                  <c:v>46174</c:v>
                </c:pt>
              </c:numCache>
            </c:numRef>
          </c:cat>
          <c:val>
            <c:numRef>
              <c:f>'KPI 80'!$E$20:$P$20</c:f>
              <c:numCache>
                <c:formatCode>0</c:formatCode>
                <c:ptCount val="12"/>
                <c:pt idx="0">
                  <c:v>10344</c:v>
                </c:pt>
                <c:pt idx="1">
                  <c:v>12199</c:v>
                </c:pt>
                <c:pt idx="2">
                  <c:v>12554</c:v>
                </c:pt>
                <c:pt idx="3">
                  <c:v>12843</c:v>
                </c:pt>
                <c:pt idx="4">
                  <c:v>10930</c:v>
                </c:pt>
                <c:pt idx="5">
                  <c:v>9805</c:v>
                </c:pt>
                <c:pt idx="6">
                  <c:v>16301</c:v>
                </c:pt>
                <c:pt idx="7">
                  <c:v>12061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CDF-42B4-8C95-D68574C32600}"/>
            </c:ext>
          </c:extLst>
        </c:ser>
        <c:ser>
          <c:idx val="4"/>
          <c:order val="2"/>
          <c:tx>
            <c:strRef>
              <c:f>'KPI 80'!$D$21</c:f>
              <c:strCache>
                <c:ptCount val="1"/>
                <c:pt idx="0">
                  <c:v>Actual 2024-25</c:v>
                </c:pt>
              </c:strCache>
            </c:strRef>
          </c:tx>
          <c:spPr>
            <a:solidFill>
              <a:schemeClr val="accent3"/>
            </a:solidFill>
          </c:spPr>
          <c:invertIfNegative val="0"/>
          <c:cat>
            <c:numRef>
              <c:f>'KPI 80'!$E$18:$P$18</c:f>
              <c:numCache>
                <c:formatCode>mmm\-yy</c:formatCode>
                <c:ptCount val="12"/>
                <c:pt idx="0">
                  <c:v>45839</c:v>
                </c:pt>
                <c:pt idx="1">
                  <c:v>45870</c:v>
                </c:pt>
                <c:pt idx="2">
                  <c:v>45901</c:v>
                </c:pt>
                <c:pt idx="3">
                  <c:v>45931</c:v>
                </c:pt>
                <c:pt idx="4">
                  <c:v>45962</c:v>
                </c:pt>
                <c:pt idx="5">
                  <c:v>45992</c:v>
                </c:pt>
                <c:pt idx="6">
                  <c:v>46023</c:v>
                </c:pt>
                <c:pt idx="7">
                  <c:v>46054</c:v>
                </c:pt>
                <c:pt idx="8">
                  <c:v>46082</c:v>
                </c:pt>
                <c:pt idx="9">
                  <c:v>46113</c:v>
                </c:pt>
                <c:pt idx="10">
                  <c:v>46143</c:v>
                </c:pt>
                <c:pt idx="11">
                  <c:v>46174</c:v>
                </c:pt>
              </c:numCache>
            </c:numRef>
          </c:cat>
          <c:val>
            <c:numRef>
              <c:f>'KPI 80'!$E$21:$P$21</c:f>
              <c:numCache>
                <c:formatCode>0</c:formatCode>
                <c:ptCount val="12"/>
                <c:pt idx="0">
                  <c:v>10925</c:v>
                </c:pt>
                <c:pt idx="1">
                  <c:v>14744</c:v>
                </c:pt>
                <c:pt idx="2">
                  <c:v>12771</c:v>
                </c:pt>
                <c:pt idx="3">
                  <c:v>12933</c:v>
                </c:pt>
                <c:pt idx="4">
                  <c:v>14236</c:v>
                </c:pt>
                <c:pt idx="5">
                  <c:v>9726</c:v>
                </c:pt>
                <c:pt idx="6">
                  <c:v>16508</c:v>
                </c:pt>
                <c:pt idx="7">
                  <c:v>13532</c:v>
                </c:pt>
                <c:pt idx="8">
                  <c:v>15434</c:v>
                </c:pt>
                <c:pt idx="9">
                  <c:v>11461</c:v>
                </c:pt>
                <c:pt idx="10">
                  <c:v>12714</c:v>
                </c:pt>
                <c:pt idx="11">
                  <c:v>13254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CDF-42B4-8C95-D68574C3260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25267968"/>
        <c:axId val="125269504"/>
      </c:barChart>
      <c:lineChart>
        <c:grouping val="standard"/>
        <c:varyColors val="0"/>
        <c:ser>
          <c:idx val="0"/>
          <c:order val="0"/>
          <c:tx>
            <c:strRef>
              <c:f>'KPI 80'!$D$19</c:f>
              <c:strCache>
                <c:ptCount val="1"/>
                <c:pt idx="0">
                  <c:v>Budget 2025-26</c:v>
                </c:pt>
              </c:strCache>
            </c:strRef>
          </c:tx>
          <c:spPr>
            <a:ln>
              <a:solidFill>
                <a:srgbClr val="FF0000"/>
              </a:solidFill>
            </a:ln>
          </c:spPr>
          <c:marker>
            <c:symbol val="none"/>
          </c:marker>
          <c:cat>
            <c:numRef>
              <c:f>'KPI 80'!$E$18:$P$18</c:f>
              <c:numCache>
                <c:formatCode>mmm\-yy</c:formatCode>
                <c:ptCount val="12"/>
                <c:pt idx="0">
                  <c:v>45839</c:v>
                </c:pt>
                <c:pt idx="1">
                  <c:v>45870</c:v>
                </c:pt>
                <c:pt idx="2">
                  <c:v>45901</c:v>
                </c:pt>
                <c:pt idx="3">
                  <c:v>45931</c:v>
                </c:pt>
                <c:pt idx="4">
                  <c:v>45962</c:v>
                </c:pt>
                <c:pt idx="5">
                  <c:v>45992</c:v>
                </c:pt>
                <c:pt idx="6">
                  <c:v>46023</c:v>
                </c:pt>
                <c:pt idx="7">
                  <c:v>46054</c:v>
                </c:pt>
                <c:pt idx="8">
                  <c:v>46082</c:v>
                </c:pt>
                <c:pt idx="9">
                  <c:v>46113</c:v>
                </c:pt>
                <c:pt idx="10">
                  <c:v>46143</c:v>
                </c:pt>
                <c:pt idx="11">
                  <c:v>46174</c:v>
                </c:pt>
              </c:numCache>
            </c:numRef>
          </c:cat>
          <c:val>
            <c:numRef>
              <c:f>'KPI 80'!$E$19:$P$19</c:f>
              <c:numCache>
                <c:formatCode>0</c:formatCode>
                <c:ptCount val="12"/>
                <c:pt idx="0">
                  <c:v>13490.984942516672</c:v>
                </c:pt>
                <c:pt idx="1">
                  <c:v>13575.264656221774</c:v>
                </c:pt>
                <c:pt idx="2">
                  <c:v>13659.544369926876</c:v>
                </c:pt>
                <c:pt idx="3">
                  <c:v>13743.824083631978</c:v>
                </c:pt>
                <c:pt idx="4">
                  <c:v>13828.10379733708</c:v>
                </c:pt>
                <c:pt idx="5">
                  <c:v>13912.383511042179</c:v>
                </c:pt>
                <c:pt idx="6">
                  <c:v>13996.663224747281</c:v>
                </c:pt>
                <c:pt idx="7">
                  <c:v>14080.942938452383</c:v>
                </c:pt>
                <c:pt idx="8">
                  <c:v>14165.222652157485</c:v>
                </c:pt>
                <c:pt idx="9">
                  <c:v>14249.502365862587</c:v>
                </c:pt>
                <c:pt idx="10">
                  <c:v>14333.782079567689</c:v>
                </c:pt>
                <c:pt idx="11">
                  <c:v>14418.061793272787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0CDF-42B4-8C95-D68574C3260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25267968"/>
        <c:axId val="125269504"/>
      </c:lineChart>
      <c:dateAx>
        <c:axId val="125267968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crossAx val="125269504"/>
        <c:crosses val="autoZero"/>
        <c:auto val="1"/>
        <c:lblOffset val="100"/>
        <c:baseTimeUnit val="months"/>
      </c:dateAx>
      <c:valAx>
        <c:axId val="125269504"/>
        <c:scaling>
          <c:orientation val="minMax"/>
        </c:scaling>
        <c:delete val="0"/>
        <c:axPos val="l"/>
        <c:majorGridlines/>
        <c:numFmt formatCode="0" sourceLinked="1"/>
        <c:majorTickMark val="out"/>
        <c:minorTickMark val="none"/>
        <c:tickLblPos val="nextTo"/>
        <c:crossAx val="125267968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000000000000822" l="0.70000000000000062" r="0.70000000000000062" t="0.75000000000000822" header="0.30000000000000032" footer="0.30000000000000032"/>
    <c:pageSetup/>
  </c:printSettings>
</c:chartSpace>
</file>

<file path=xl/charts/chart9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1"/>
          <c:order val="1"/>
          <c:tx>
            <c:strRef>
              <c:f>'KPI 81'!$D$20</c:f>
              <c:strCache>
                <c:ptCount val="1"/>
                <c:pt idx="0">
                  <c:v>Actual 2025-26</c:v>
                </c:pt>
              </c:strCache>
            </c:strRef>
          </c:tx>
          <c:spPr>
            <a:solidFill>
              <a:schemeClr val="accent1"/>
            </a:solidFill>
          </c:spPr>
          <c:invertIfNegative val="0"/>
          <c:cat>
            <c:numRef>
              <c:f>'KPI 81'!$E$18:$P$18</c:f>
              <c:numCache>
                <c:formatCode>mmm\-yy</c:formatCode>
                <c:ptCount val="12"/>
                <c:pt idx="0">
                  <c:v>45839</c:v>
                </c:pt>
                <c:pt idx="1">
                  <c:v>45870</c:v>
                </c:pt>
                <c:pt idx="2">
                  <c:v>45901</c:v>
                </c:pt>
                <c:pt idx="3">
                  <c:v>45931</c:v>
                </c:pt>
                <c:pt idx="4">
                  <c:v>45962</c:v>
                </c:pt>
                <c:pt idx="5">
                  <c:v>45992</c:v>
                </c:pt>
                <c:pt idx="6">
                  <c:v>46023</c:v>
                </c:pt>
                <c:pt idx="7">
                  <c:v>46054</c:v>
                </c:pt>
                <c:pt idx="8">
                  <c:v>46082</c:v>
                </c:pt>
                <c:pt idx="9">
                  <c:v>46113</c:v>
                </c:pt>
                <c:pt idx="10">
                  <c:v>46143</c:v>
                </c:pt>
                <c:pt idx="11">
                  <c:v>46174</c:v>
                </c:pt>
              </c:numCache>
            </c:numRef>
          </c:cat>
          <c:val>
            <c:numRef>
              <c:f>'KPI 81'!$E$20:$P$20</c:f>
              <c:numCache>
                <c:formatCode>0</c:formatCode>
                <c:ptCount val="12"/>
                <c:pt idx="0">
                  <c:v>9053</c:v>
                </c:pt>
                <c:pt idx="1">
                  <c:v>10669</c:v>
                </c:pt>
                <c:pt idx="2">
                  <c:v>10732</c:v>
                </c:pt>
                <c:pt idx="3">
                  <c:v>11020</c:v>
                </c:pt>
                <c:pt idx="4">
                  <c:v>9629</c:v>
                </c:pt>
                <c:pt idx="5">
                  <c:v>7701</c:v>
                </c:pt>
                <c:pt idx="6">
                  <c:v>13327</c:v>
                </c:pt>
                <c:pt idx="7">
                  <c:v>10175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9B6-467E-A7BC-340E8C0F2697}"/>
            </c:ext>
          </c:extLst>
        </c:ser>
        <c:ser>
          <c:idx val="4"/>
          <c:order val="2"/>
          <c:tx>
            <c:strRef>
              <c:f>'KPI 81'!$D$21</c:f>
              <c:strCache>
                <c:ptCount val="1"/>
                <c:pt idx="0">
                  <c:v>Actual 2024-25</c:v>
                </c:pt>
              </c:strCache>
            </c:strRef>
          </c:tx>
          <c:spPr>
            <a:solidFill>
              <a:schemeClr val="accent3"/>
            </a:solidFill>
          </c:spPr>
          <c:invertIfNegative val="0"/>
          <c:cat>
            <c:numRef>
              <c:f>'KPI 81'!$E$18:$P$18</c:f>
              <c:numCache>
                <c:formatCode>mmm\-yy</c:formatCode>
                <c:ptCount val="12"/>
                <c:pt idx="0">
                  <c:v>45839</c:v>
                </c:pt>
                <c:pt idx="1">
                  <c:v>45870</c:v>
                </c:pt>
                <c:pt idx="2">
                  <c:v>45901</c:v>
                </c:pt>
                <c:pt idx="3">
                  <c:v>45931</c:v>
                </c:pt>
                <c:pt idx="4">
                  <c:v>45962</c:v>
                </c:pt>
                <c:pt idx="5">
                  <c:v>45992</c:v>
                </c:pt>
                <c:pt idx="6">
                  <c:v>46023</c:v>
                </c:pt>
                <c:pt idx="7">
                  <c:v>46054</c:v>
                </c:pt>
                <c:pt idx="8">
                  <c:v>46082</c:v>
                </c:pt>
                <c:pt idx="9">
                  <c:v>46113</c:v>
                </c:pt>
                <c:pt idx="10">
                  <c:v>46143</c:v>
                </c:pt>
                <c:pt idx="11">
                  <c:v>46174</c:v>
                </c:pt>
              </c:numCache>
            </c:numRef>
          </c:cat>
          <c:val>
            <c:numRef>
              <c:f>'KPI 81'!$E$21:$P$21</c:f>
              <c:numCache>
                <c:formatCode>0</c:formatCode>
                <c:ptCount val="12"/>
                <c:pt idx="0">
                  <c:v>9865</c:v>
                </c:pt>
                <c:pt idx="1">
                  <c:v>11182</c:v>
                </c:pt>
                <c:pt idx="2">
                  <c:v>9917</c:v>
                </c:pt>
                <c:pt idx="3">
                  <c:v>10893</c:v>
                </c:pt>
                <c:pt idx="4">
                  <c:v>10729</c:v>
                </c:pt>
                <c:pt idx="5">
                  <c:v>7857</c:v>
                </c:pt>
                <c:pt idx="6">
                  <c:v>13498</c:v>
                </c:pt>
                <c:pt idx="7">
                  <c:v>10409</c:v>
                </c:pt>
                <c:pt idx="8">
                  <c:v>12309</c:v>
                </c:pt>
                <c:pt idx="9">
                  <c:v>9620</c:v>
                </c:pt>
                <c:pt idx="10">
                  <c:v>10093</c:v>
                </c:pt>
                <c:pt idx="11">
                  <c:v>10844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9B6-467E-A7BC-340E8C0F269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24998784"/>
        <c:axId val="125000320"/>
      </c:barChart>
      <c:lineChart>
        <c:grouping val="standard"/>
        <c:varyColors val="0"/>
        <c:ser>
          <c:idx val="0"/>
          <c:order val="0"/>
          <c:tx>
            <c:strRef>
              <c:f>'KPI 81'!$D$19</c:f>
              <c:strCache>
                <c:ptCount val="1"/>
                <c:pt idx="0">
                  <c:v>Budget 2025-26</c:v>
                </c:pt>
              </c:strCache>
            </c:strRef>
          </c:tx>
          <c:spPr>
            <a:ln>
              <a:solidFill>
                <a:srgbClr val="FF0000"/>
              </a:solidFill>
            </a:ln>
          </c:spPr>
          <c:marker>
            <c:symbol val="none"/>
          </c:marker>
          <c:cat>
            <c:numRef>
              <c:f>'KPI 81'!$E$18:$P$18</c:f>
              <c:numCache>
                <c:formatCode>mmm\-yy</c:formatCode>
                <c:ptCount val="12"/>
                <c:pt idx="0">
                  <c:v>45839</c:v>
                </c:pt>
                <c:pt idx="1">
                  <c:v>45870</c:v>
                </c:pt>
                <c:pt idx="2">
                  <c:v>45901</c:v>
                </c:pt>
                <c:pt idx="3">
                  <c:v>45931</c:v>
                </c:pt>
                <c:pt idx="4">
                  <c:v>45962</c:v>
                </c:pt>
                <c:pt idx="5">
                  <c:v>45992</c:v>
                </c:pt>
                <c:pt idx="6">
                  <c:v>46023</c:v>
                </c:pt>
                <c:pt idx="7">
                  <c:v>46054</c:v>
                </c:pt>
                <c:pt idx="8">
                  <c:v>46082</c:v>
                </c:pt>
                <c:pt idx="9">
                  <c:v>46113</c:v>
                </c:pt>
                <c:pt idx="10">
                  <c:v>46143</c:v>
                </c:pt>
                <c:pt idx="11">
                  <c:v>46174</c:v>
                </c:pt>
              </c:numCache>
            </c:numRef>
          </c:cat>
          <c:val>
            <c:numRef>
              <c:f>'KPI 81'!$E$19:$P$19</c:f>
              <c:numCache>
                <c:formatCode>0</c:formatCode>
                <c:ptCount val="12"/>
                <c:pt idx="0">
                  <c:v>10726.763520129374</c:v>
                </c:pt>
                <c:pt idx="1">
                  <c:v>10741.844290307705</c:v>
                </c:pt>
                <c:pt idx="2">
                  <c:v>10756.925060486035</c:v>
                </c:pt>
                <c:pt idx="3">
                  <c:v>10772.005830664366</c:v>
                </c:pt>
                <c:pt idx="4">
                  <c:v>10787.086600842696</c:v>
                </c:pt>
                <c:pt idx="5">
                  <c:v>10802.167371021029</c:v>
                </c:pt>
                <c:pt idx="6">
                  <c:v>10817.248141199361</c:v>
                </c:pt>
                <c:pt idx="7">
                  <c:v>10832.328911377692</c:v>
                </c:pt>
                <c:pt idx="8">
                  <c:v>10847.409681556022</c:v>
                </c:pt>
                <c:pt idx="9">
                  <c:v>10862.490451734353</c:v>
                </c:pt>
                <c:pt idx="10">
                  <c:v>10877.571221912684</c:v>
                </c:pt>
                <c:pt idx="11">
                  <c:v>10892.651992091016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E9B6-467E-A7BC-340E8C0F269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24998784"/>
        <c:axId val="125000320"/>
      </c:lineChart>
      <c:dateAx>
        <c:axId val="124998784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crossAx val="125000320"/>
        <c:crosses val="autoZero"/>
        <c:auto val="1"/>
        <c:lblOffset val="100"/>
        <c:baseTimeUnit val="months"/>
      </c:dateAx>
      <c:valAx>
        <c:axId val="125000320"/>
        <c:scaling>
          <c:orientation val="minMax"/>
        </c:scaling>
        <c:delete val="0"/>
        <c:axPos val="l"/>
        <c:majorGridlines/>
        <c:numFmt formatCode="0" sourceLinked="1"/>
        <c:majorTickMark val="out"/>
        <c:minorTickMark val="none"/>
        <c:tickLblPos val="nextTo"/>
        <c:crossAx val="124998784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000000000000822" l="0.70000000000000062" r="0.70000000000000062" t="0.75000000000000822" header="0.30000000000000032" footer="0.30000000000000032"/>
    <c:pageSetup/>
  </c:printSettings>
</c:chartSpace>
</file>

<file path=xl/charts/chart10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1"/>
          <c:order val="1"/>
          <c:tx>
            <c:strRef>
              <c:f>'KPI 82'!$D$20</c:f>
              <c:strCache>
                <c:ptCount val="1"/>
                <c:pt idx="0">
                  <c:v>Actual 2025-26</c:v>
                </c:pt>
              </c:strCache>
            </c:strRef>
          </c:tx>
          <c:spPr>
            <a:solidFill>
              <a:schemeClr val="accent1"/>
            </a:solidFill>
          </c:spPr>
          <c:invertIfNegative val="0"/>
          <c:cat>
            <c:numRef>
              <c:f>'KPI 82'!$E$18:$P$18</c:f>
              <c:numCache>
                <c:formatCode>mmm\-yy</c:formatCode>
                <c:ptCount val="12"/>
                <c:pt idx="0">
                  <c:v>45839</c:v>
                </c:pt>
                <c:pt idx="1">
                  <c:v>45870</c:v>
                </c:pt>
                <c:pt idx="2">
                  <c:v>45901</c:v>
                </c:pt>
                <c:pt idx="3">
                  <c:v>45931</c:v>
                </c:pt>
                <c:pt idx="4">
                  <c:v>45962</c:v>
                </c:pt>
                <c:pt idx="5">
                  <c:v>45992</c:v>
                </c:pt>
                <c:pt idx="6">
                  <c:v>46023</c:v>
                </c:pt>
                <c:pt idx="7">
                  <c:v>46054</c:v>
                </c:pt>
                <c:pt idx="8">
                  <c:v>46082</c:v>
                </c:pt>
                <c:pt idx="9">
                  <c:v>46113</c:v>
                </c:pt>
                <c:pt idx="10">
                  <c:v>46143</c:v>
                </c:pt>
                <c:pt idx="11">
                  <c:v>46174</c:v>
                </c:pt>
              </c:numCache>
            </c:numRef>
          </c:cat>
          <c:val>
            <c:numRef>
              <c:f>'KPI 82'!$E$20:$P$20</c:f>
              <c:numCache>
                <c:formatCode>0</c:formatCode>
                <c:ptCount val="12"/>
                <c:pt idx="0">
                  <c:v>1822</c:v>
                </c:pt>
                <c:pt idx="1">
                  <c:v>1673</c:v>
                </c:pt>
                <c:pt idx="2">
                  <c:v>1626</c:v>
                </c:pt>
                <c:pt idx="3">
                  <c:v>1739</c:v>
                </c:pt>
                <c:pt idx="4">
                  <c:v>652</c:v>
                </c:pt>
                <c:pt idx="5">
                  <c:v>1172</c:v>
                </c:pt>
                <c:pt idx="6">
                  <c:v>1766</c:v>
                </c:pt>
                <c:pt idx="7">
                  <c:v>1575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BB0-4345-BA24-60F3AD8E332F}"/>
            </c:ext>
          </c:extLst>
        </c:ser>
        <c:ser>
          <c:idx val="4"/>
          <c:order val="2"/>
          <c:tx>
            <c:strRef>
              <c:f>'KPI 82'!$D$21</c:f>
              <c:strCache>
                <c:ptCount val="1"/>
                <c:pt idx="0">
                  <c:v>Actual 2024-25</c:v>
                </c:pt>
              </c:strCache>
            </c:strRef>
          </c:tx>
          <c:spPr>
            <a:solidFill>
              <a:schemeClr val="accent3"/>
            </a:solidFill>
          </c:spPr>
          <c:invertIfNegative val="0"/>
          <c:cat>
            <c:numRef>
              <c:f>'KPI 82'!$E$18:$P$18</c:f>
              <c:numCache>
                <c:formatCode>mmm\-yy</c:formatCode>
                <c:ptCount val="12"/>
                <c:pt idx="0">
                  <c:v>45839</c:v>
                </c:pt>
                <c:pt idx="1">
                  <c:v>45870</c:v>
                </c:pt>
                <c:pt idx="2">
                  <c:v>45901</c:v>
                </c:pt>
                <c:pt idx="3">
                  <c:v>45931</c:v>
                </c:pt>
                <c:pt idx="4">
                  <c:v>45962</c:v>
                </c:pt>
                <c:pt idx="5">
                  <c:v>45992</c:v>
                </c:pt>
                <c:pt idx="6">
                  <c:v>46023</c:v>
                </c:pt>
                <c:pt idx="7">
                  <c:v>46054</c:v>
                </c:pt>
                <c:pt idx="8">
                  <c:v>46082</c:v>
                </c:pt>
                <c:pt idx="9">
                  <c:v>46113</c:v>
                </c:pt>
                <c:pt idx="10">
                  <c:v>46143</c:v>
                </c:pt>
                <c:pt idx="11">
                  <c:v>46174</c:v>
                </c:pt>
              </c:numCache>
            </c:numRef>
          </c:cat>
          <c:val>
            <c:numRef>
              <c:f>'KPI 82'!$E$21:$P$21</c:f>
              <c:numCache>
                <c:formatCode>0</c:formatCode>
                <c:ptCount val="12"/>
                <c:pt idx="0">
                  <c:v>1669</c:v>
                </c:pt>
                <c:pt idx="1">
                  <c:v>2107</c:v>
                </c:pt>
                <c:pt idx="2">
                  <c:v>1833</c:v>
                </c:pt>
                <c:pt idx="3">
                  <c:v>1662</c:v>
                </c:pt>
                <c:pt idx="4">
                  <c:v>1795</c:v>
                </c:pt>
                <c:pt idx="5">
                  <c:v>1023</c:v>
                </c:pt>
                <c:pt idx="6">
                  <c:v>2526</c:v>
                </c:pt>
                <c:pt idx="7">
                  <c:v>1808</c:v>
                </c:pt>
                <c:pt idx="8">
                  <c:v>2118</c:v>
                </c:pt>
                <c:pt idx="9">
                  <c:v>1486</c:v>
                </c:pt>
                <c:pt idx="10">
                  <c:v>1589</c:v>
                </c:pt>
                <c:pt idx="11">
                  <c:v>2031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BB0-4345-BA24-60F3AD8E332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25061376"/>
        <c:axId val="125071360"/>
      </c:barChart>
      <c:lineChart>
        <c:grouping val="standard"/>
        <c:varyColors val="0"/>
        <c:ser>
          <c:idx val="0"/>
          <c:order val="0"/>
          <c:tx>
            <c:strRef>
              <c:f>'KPI 82'!$D$19</c:f>
              <c:strCache>
                <c:ptCount val="1"/>
                <c:pt idx="0">
                  <c:v>Budget 2025-26</c:v>
                </c:pt>
              </c:strCache>
            </c:strRef>
          </c:tx>
          <c:spPr>
            <a:ln>
              <a:solidFill>
                <a:srgbClr val="FF0000"/>
              </a:solidFill>
            </a:ln>
          </c:spPr>
          <c:marker>
            <c:symbol val="none"/>
          </c:marker>
          <c:cat>
            <c:numRef>
              <c:f>'KPI 82'!$E$18:$P$18</c:f>
              <c:numCache>
                <c:formatCode>mmm\-yy</c:formatCode>
                <c:ptCount val="12"/>
                <c:pt idx="0">
                  <c:v>45839</c:v>
                </c:pt>
                <c:pt idx="1">
                  <c:v>45870</c:v>
                </c:pt>
                <c:pt idx="2">
                  <c:v>45901</c:v>
                </c:pt>
                <c:pt idx="3">
                  <c:v>45931</c:v>
                </c:pt>
                <c:pt idx="4">
                  <c:v>45962</c:v>
                </c:pt>
                <c:pt idx="5">
                  <c:v>45992</c:v>
                </c:pt>
                <c:pt idx="6">
                  <c:v>46023</c:v>
                </c:pt>
                <c:pt idx="7">
                  <c:v>46054</c:v>
                </c:pt>
                <c:pt idx="8">
                  <c:v>46082</c:v>
                </c:pt>
                <c:pt idx="9">
                  <c:v>46113</c:v>
                </c:pt>
                <c:pt idx="10">
                  <c:v>46143</c:v>
                </c:pt>
                <c:pt idx="11">
                  <c:v>46174</c:v>
                </c:pt>
              </c:numCache>
            </c:numRef>
          </c:cat>
          <c:val>
            <c:numRef>
              <c:f>'KPI 82'!$E$19:$P$19</c:f>
              <c:numCache>
                <c:formatCode>0</c:formatCode>
                <c:ptCount val="12"/>
                <c:pt idx="0">
                  <c:v>1799.1930442637758</c:v>
                </c:pt>
                <c:pt idx="1">
                  <c:v>1809.0471770551037</c:v>
                </c:pt>
                <c:pt idx="2">
                  <c:v>1818.9013098464316</c:v>
                </c:pt>
                <c:pt idx="3">
                  <c:v>1828.7554426377596</c:v>
                </c:pt>
                <c:pt idx="4">
                  <c:v>1838.6095754290875</c:v>
                </c:pt>
                <c:pt idx="5">
                  <c:v>1848.4637082204154</c:v>
                </c:pt>
                <c:pt idx="6">
                  <c:v>1858.3178410117434</c:v>
                </c:pt>
                <c:pt idx="7">
                  <c:v>1868.1719738030713</c:v>
                </c:pt>
                <c:pt idx="8">
                  <c:v>1878.0261065943992</c:v>
                </c:pt>
                <c:pt idx="9">
                  <c:v>1887.8802393857272</c:v>
                </c:pt>
                <c:pt idx="10">
                  <c:v>1897.7343721770551</c:v>
                </c:pt>
                <c:pt idx="11">
                  <c:v>1907.5885049683829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ABB0-4345-BA24-60F3AD8E332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25061376"/>
        <c:axId val="125071360"/>
      </c:lineChart>
      <c:dateAx>
        <c:axId val="125061376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crossAx val="125071360"/>
        <c:crosses val="autoZero"/>
        <c:auto val="1"/>
        <c:lblOffset val="100"/>
        <c:baseTimeUnit val="months"/>
      </c:dateAx>
      <c:valAx>
        <c:axId val="125071360"/>
        <c:scaling>
          <c:orientation val="minMax"/>
        </c:scaling>
        <c:delete val="0"/>
        <c:axPos val="l"/>
        <c:majorGridlines/>
        <c:numFmt formatCode="0" sourceLinked="1"/>
        <c:majorTickMark val="out"/>
        <c:minorTickMark val="none"/>
        <c:tickLblPos val="nextTo"/>
        <c:crossAx val="125061376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000000000000822" l="0.70000000000000062" r="0.70000000000000062" t="0.75000000000000822" header="0.30000000000000032" footer="0.30000000000000032"/>
    <c:pageSetup/>
  </c:printSettings>
</c:chartSpace>
</file>

<file path=xl/charts/chart10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1"/>
          <c:order val="1"/>
          <c:tx>
            <c:strRef>
              <c:f>'KPI 83'!$D$20</c:f>
              <c:strCache>
                <c:ptCount val="1"/>
                <c:pt idx="0">
                  <c:v>Actual 2025-26</c:v>
                </c:pt>
              </c:strCache>
            </c:strRef>
          </c:tx>
          <c:spPr>
            <a:solidFill>
              <a:schemeClr val="accent1"/>
            </a:solidFill>
          </c:spPr>
          <c:invertIfNegative val="0"/>
          <c:cat>
            <c:numRef>
              <c:f>'KPI 83'!$E$18:$P$18</c:f>
              <c:numCache>
                <c:formatCode>mmm\-yy</c:formatCode>
                <c:ptCount val="12"/>
                <c:pt idx="0">
                  <c:v>45839</c:v>
                </c:pt>
                <c:pt idx="1">
                  <c:v>45870</c:v>
                </c:pt>
                <c:pt idx="2">
                  <c:v>45901</c:v>
                </c:pt>
                <c:pt idx="3">
                  <c:v>45931</c:v>
                </c:pt>
                <c:pt idx="4">
                  <c:v>45962</c:v>
                </c:pt>
                <c:pt idx="5">
                  <c:v>45992</c:v>
                </c:pt>
                <c:pt idx="6">
                  <c:v>46023</c:v>
                </c:pt>
                <c:pt idx="7">
                  <c:v>46054</c:v>
                </c:pt>
                <c:pt idx="8">
                  <c:v>46082</c:v>
                </c:pt>
                <c:pt idx="9">
                  <c:v>46113</c:v>
                </c:pt>
                <c:pt idx="10">
                  <c:v>46143</c:v>
                </c:pt>
                <c:pt idx="11">
                  <c:v>46174</c:v>
                </c:pt>
              </c:numCache>
            </c:numRef>
          </c:cat>
          <c:val>
            <c:numRef>
              <c:f>'KPI 83'!$E$20:$P$20</c:f>
              <c:numCache>
                <c:formatCode>0</c:formatCode>
                <c:ptCount val="12"/>
                <c:pt idx="0">
                  <c:v>72362</c:v>
                </c:pt>
                <c:pt idx="1">
                  <c:v>84589</c:v>
                </c:pt>
                <c:pt idx="2">
                  <c:v>79590</c:v>
                </c:pt>
                <c:pt idx="3">
                  <c:v>86302</c:v>
                </c:pt>
                <c:pt idx="4">
                  <c:v>71945</c:v>
                </c:pt>
                <c:pt idx="5">
                  <c:v>63233</c:v>
                </c:pt>
                <c:pt idx="6">
                  <c:v>105898</c:v>
                </c:pt>
                <c:pt idx="7">
                  <c:v>83599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DC4-4891-A0AC-1C286E62B934}"/>
            </c:ext>
          </c:extLst>
        </c:ser>
        <c:ser>
          <c:idx val="4"/>
          <c:order val="2"/>
          <c:tx>
            <c:strRef>
              <c:f>'KPI 83'!$D$21</c:f>
              <c:strCache>
                <c:ptCount val="1"/>
                <c:pt idx="0">
                  <c:v>Actual 2024-25</c:v>
                </c:pt>
              </c:strCache>
            </c:strRef>
          </c:tx>
          <c:spPr>
            <a:solidFill>
              <a:schemeClr val="accent3"/>
            </a:solidFill>
          </c:spPr>
          <c:invertIfNegative val="0"/>
          <c:cat>
            <c:numRef>
              <c:f>'KPI 83'!$E$18:$P$18</c:f>
              <c:numCache>
                <c:formatCode>mmm\-yy</c:formatCode>
                <c:ptCount val="12"/>
                <c:pt idx="0">
                  <c:v>45839</c:v>
                </c:pt>
                <c:pt idx="1">
                  <c:v>45870</c:v>
                </c:pt>
                <c:pt idx="2">
                  <c:v>45901</c:v>
                </c:pt>
                <c:pt idx="3">
                  <c:v>45931</c:v>
                </c:pt>
                <c:pt idx="4">
                  <c:v>45962</c:v>
                </c:pt>
                <c:pt idx="5">
                  <c:v>45992</c:v>
                </c:pt>
                <c:pt idx="6">
                  <c:v>46023</c:v>
                </c:pt>
                <c:pt idx="7">
                  <c:v>46054</c:v>
                </c:pt>
                <c:pt idx="8">
                  <c:v>46082</c:v>
                </c:pt>
                <c:pt idx="9">
                  <c:v>46113</c:v>
                </c:pt>
                <c:pt idx="10">
                  <c:v>46143</c:v>
                </c:pt>
                <c:pt idx="11">
                  <c:v>46174</c:v>
                </c:pt>
              </c:numCache>
            </c:numRef>
          </c:cat>
          <c:val>
            <c:numRef>
              <c:f>'KPI 83'!$E$21:$P$21</c:f>
              <c:numCache>
                <c:formatCode>0</c:formatCode>
                <c:ptCount val="12"/>
                <c:pt idx="0">
                  <c:v>73301</c:v>
                </c:pt>
                <c:pt idx="1">
                  <c:v>93670</c:v>
                </c:pt>
                <c:pt idx="2">
                  <c:v>81216</c:v>
                </c:pt>
                <c:pt idx="3">
                  <c:v>82720</c:v>
                </c:pt>
                <c:pt idx="4">
                  <c:v>87303</c:v>
                </c:pt>
                <c:pt idx="5">
                  <c:v>59040</c:v>
                </c:pt>
                <c:pt idx="6">
                  <c:v>102175</c:v>
                </c:pt>
                <c:pt idx="7">
                  <c:v>87484</c:v>
                </c:pt>
                <c:pt idx="8">
                  <c:v>93536</c:v>
                </c:pt>
                <c:pt idx="9">
                  <c:v>71595</c:v>
                </c:pt>
                <c:pt idx="10">
                  <c:v>83166</c:v>
                </c:pt>
                <c:pt idx="11">
                  <c:v>86204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DC4-4891-A0AC-1C286E62B93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25619584"/>
        <c:axId val="125621376"/>
      </c:barChart>
      <c:lineChart>
        <c:grouping val="standard"/>
        <c:varyColors val="0"/>
        <c:ser>
          <c:idx val="0"/>
          <c:order val="0"/>
          <c:tx>
            <c:strRef>
              <c:f>'KPI 83'!$D$19</c:f>
              <c:strCache>
                <c:ptCount val="1"/>
                <c:pt idx="0">
                  <c:v>Budget 2025-26</c:v>
                </c:pt>
              </c:strCache>
            </c:strRef>
          </c:tx>
          <c:spPr>
            <a:ln>
              <a:solidFill>
                <a:srgbClr val="FF0000"/>
              </a:solidFill>
            </a:ln>
          </c:spPr>
          <c:marker>
            <c:symbol val="none"/>
          </c:marker>
          <c:cat>
            <c:numRef>
              <c:f>'KPI 83'!$E$18:$P$18</c:f>
              <c:numCache>
                <c:formatCode>mmm\-yy</c:formatCode>
                <c:ptCount val="12"/>
                <c:pt idx="0">
                  <c:v>45839</c:v>
                </c:pt>
                <c:pt idx="1">
                  <c:v>45870</c:v>
                </c:pt>
                <c:pt idx="2">
                  <c:v>45901</c:v>
                </c:pt>
                <c:pt idx="3">
                  <c:v>45931</c:v>
                </c:pt>
                <c:pt idx="4">
                  <c:v>45962</c:v>
                </c:pt>
                <c:pt idx="5">
                  <c:v>45992</c:v>
                </c:pt>
                <c:pt idx="6">
                  <c:v>46023</c:v>
                </c:pt>
                <c:pt idx="7">
                  <c:v>46054</c:v>
                </c:pt>
                <c:pt idx="8">
                  <c:v>46082</c:v>
                </c:pt>
                <c:pt idx="9">
                  <c:v>46113</c:v>
                </c:pt>
                <c:pt idx="10">
                  <c:v>46143</c:v>
                </c:pt>
                <c:pt idx="11">
                  <c:v>46174</c:v>
                </c:pt>
              </c:numCache>
            </c:numRef>
          </c:cat>
          <c:val>
            <c:numRef>
              <c:f>'KPI 83'!$E$19:$P$19</c:f>
              <c:numCache>
                <c:formatCode>0</c:formatCode>
                <c:ptCount val="12"/>
                <c:pt idx="0">
                  <c:v>84480.117330274152</c:v>
                </c:pt>
                <c:pt idx="1">
                  <c:v>84961.979550497796</c:v>
                </c:pt>
                <c:pt idx="2">
                  <c:v>85443.841770721439</c:v>
                </c:pt>
                <c:pt idx="3">
                  <c:v>85925.703990945069</c:v>
                </c:pt>
                <c:pt idx="4">
                  <c:v>86407.566211168698</c:v>
                </c:pt>
                <c:pt idx="5">
                  <c:v>86889.428431392327</c:v>
                </c:pt>
                <c:pt idx="6">
                  <c:v>87371.290651615956</c:v>
                </c:pt>
                <c:pt idx="7">
                  <c:v>87853.152871839586</c:v>
                </c:pt>
                <c:pt idx="8">
                  <c:v>88335.015092063215</c:v>
                </c:pt>
                <c:pt idx="9">
                  <c:v>88816.877312286844</c:v>
                </c:pt>
                <c:pt idx="10">
                  <c:v>89298.739532510459</c:v>
                </c:pt>
                <c:pt idx="11">
                  <c:v>89780.601752734117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1DC4-4891-A0AC-1C286E62B93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25619584"/>
        <c:axId val="125621376"/>
      </c:lineChart>
      <c:dateAx>
        <c:axId val="125619584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crossAx val="125621376"/>
        <c:crosses val="autoZero"/>
        <c:auto val="1"/>
        <c:lblOffset val="100"/>
        <c:baseTimeUnit val="months"/>
      </c:dateAx>
      <c:valAx>
        <c:axId val="125621376"/>
        <c:scaling>
          <c:orientation val="minMax"/>
        </c:scaling>
        <c:delete val="0"/>
        <c:axPos val="l"/>
        <c:majorGridlines/>
        <c:numFmt formatCode="0" sourceLinked="1"/>
        <c:majorTickMark val="out"/>
        <c:minorTickMark val="none"/>
        <c:tickLblPos val="nextTo"/>
        <c:crossAx val="125619584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000000000000822" l="0.70000000000000062" r="0.70000000000000062" t="0.75000000000000822" header="0.30000000000000032" footer="0.30000000000000032"/>
    <c:pageSetup/>
  </c:printSettings>
</c:chartSpace>
</file>

<file path=xl/charts/chart10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1"/>
          <c:order val="1"/>
          <c:tx>
            <c:strRef>
              <c:f>'KPI 84'!$D$20</c:f>
              <c:strCache>
                <c:ptCount val="1"/>
                <c:pt idx="0">
                  <c:v>Actual 2025-26</c:v>
                </c:pt>
              </c:strCache>
            </c:strRef>
          </c:tx>
          <c:spPr>
            <a:solidFill>
              <a:schemeClr val="accent1"/>
            </a:solidFill>
          </c:spPr>
          <c:invertIfNegative val="0"/>
          <c:cat>
            <c:numRef>
              <c:f>'KPI 84'!$E$18:$P$18</c:f>
              <c:numCache>
                <c:formatCode>mmm\-yy</c:formatCode>
                <c:ptCount val="12"/>
                <c:pt idx="0">
                  <c:v>45839</c:v>
                </c:pt>
                <c:pt idx="1">
                  <c:v>45870</c:v>
                </c:pt>
                <c:pt idx="2">
                  <c:v>45901</c:v>
                </c:pt>
                <c:pt idx="3">
                  <c:v>45931</c:v>
                </c:pt>
                <c:pt idx="4">
                  <c:v>45962</c:v>
                </c:pt>
                <c:pt idx="5">
                  <c:v>45992</c:v>
                </c:pt>
                <c:pt idx="6">
                  <c:v>46023</c:v>
                </c:pt>
                <c:pt idx="7">
                  <c:v>46054</c:v>
                </c:pt>
                <c:pt idx="8">
                  <c:v>46082</c:v>
                </c:pt>
                <c:pt idx="9">
                  <c:v>46113</c:v>
                </c:pt>
                <c:pt idx="10">
                  <c:v>46143</c:v>
                </c:pt>
                <c:pt idx="11">
                  <c:v>46174</c:v>
                </c:pt>
              </c:numCache>
            </c:numRef>
          </c:cat>
          <c:val>
            <c:numRef>
              <c:f>'KPI 84'!$E$20:$P$20</c:f>
              <c:numCache>
                <c:formatCode>0</c:formatCode>
                <c:ptCount val="12"/>
                <c:pt idx="0">
                  <c:v>21124</c:v>
                </c:pt>
                <c:pt idx="1">
                  <c:v>28413</c:v>
                </c:pt>
                <c:pt idx="2">
                  <c:v>21139</c:v>
                </c:pt>
                <c:pt idx="3">
                  <c:v>27997</c:v>
                </c:pt>
                <c:pt idx="4">
                  <c:v>19635</c:v>
                </c:pt>
                <c:pt idx="5">
                  <c:v>22759</c:v>
                </c:pt>
                <c:pt idx="6">
                  <c:v>32803</c:v>
                </c:pt>
                <c:pt idx="7">
                  <c:v>26800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16E-4D02-8B6E-608D98527986}"/>
            </c:ext>
          </c:extLst>
        </c:ser>
        <c:ser>
          <c:idx val="4"/>
          <c:order val="2"/>
          <c:tx>
            <c:strRef>
              <c:f>'KPI 84'!$D$21</c:f>
              <c:strCache>
                <c:ptCount val="1"/>
                <c:pt idx="0">
                  <c:v>Actual 2024-25</c:v>
                </c:pt>
              </c:strCache>
            </c:strRef>
          </c:tx>
          <c:spPr>
            <a:solidFill>
              <a:schemeClr val="accent3"/>
            </a:solidFill>
          </c:spPr>
          <c:invertIfNegative val="0"/>
          <c:cat>
            <c:numRef>
              <c:f>'KPI 84'!$E$18:$P$18</c:f>
              <c:numCache>
                <c:formatCode>mmm\-yy</c:formatCode>
                <c:ptCount val="12"/>
                <c:pt idx="0">
                  <c:v>45839</c:v>
                </c:pt>
                <c:pt idx="1">
                  <c:v>45870</c:v>
                </c:pt>
                <c:pt idx="2">
                  <c:v>45901</c:v>
                </c:pt>
                <c:pt idx="3">
                  <c:v>45931</c:v>
                </c:pt>
                <c:pt idx="4">
                  <c:v>45962</c:v>
                </c:pt>
                <c:pt idx="5">
                  <c:v>45992</c:v>
                </c:pt>
                <c:pt idx="6">
                  <c:v>46023</c:v>
                </c:pt>
                <c:pt idx="7">
                  <c:v>46054</c:v>
                </c:pt>
                <c:pt idx="8">
                  <c:v>46082</c:v>
                </c:pt>
                <c:pt idx="9">
                  <c:v>46113</c:v>
                </c:pt>
                <c:pt idx="10">
                  <c:v>46143</c:v>
                </c:pt>
                <c:pt idx="11">
                  <c:v>46174</c:v>
                </c:pt>
              </c:numCache>
            </c:numRef>
          </c:cat>
          <c:val>
            <c:numRef>
              <c:f>'KPI 84'!$E$21:$P$21</c:f>
              <c:numCache>
                <c:formatCode>0</c:formatCode>
                <c:ptCount val="12"/>
                <c:pt idx="0">
                  <c:v>26728</c:v>
                </c:pt>
                <c:pt idx="1">
                  <c:v>24225</c:v>
                </c:pt>
                <c:pt idx="2">
                  <c:v>27311</c:v>
                </c:pt>
                <c:pt idx="3">
                  <c:v>26535</c:v>
                </c:pt>
                <c:pt idx="4">
                  <c:v>30367</c:v>
                </c:pt>
                <c:pt idx="5">
                  <c:v>18026</c:v>
                </c:pt>
                <c:pt idx="6">
                  <c:v>31140</c:v>
                </c:pt>
                <c:pt idx="7">
                  <c:v>28691</c:v>
                </c:pt>
                <c:pt idx="8">
                  <c:v>26588</c:v>
                </c:pt>
                <c:pt idx="9">
                  <c:v>22538</c:v>
                </c:pt>
                <c:pt idx="10">
                  <c:v>23286</c:v>
                </c:pt>
                <c:pt idx="11">
                  <c:v>28109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16E-4D02-8B6E-608D9852798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25944576"/>
        <c:axId val="125946112"/>
      </c:barChart>
      <c:lineChart>
        <c:grouping val="standard"/>
        <c:varyColors val="0"/>
        <c:ser>
          <c:idx val="0"/>
          <c:order val="0"/>
          <c:tx>
            <c:strRef>
              <c:f>'KPI 84'!$D$19</c:f>
              <c:strCache>
                <c:ptCount val="1"/>
                <c:pt idx="0">
                  <c:v>Budget 2025-26</c:v>
                </c:pt>
              </c:strCache>
            </c:strRef>
          </c:tx>
          <c:spPr>
            <a:ln>
              <a:solidFill>
                <a:srgbClr val="FF0000"/>
              </a:solidFill>
            </a:ln>
          </c:spPr>
          <c:marker>
            <c:symbol val="none"/>
          </c:marker>
          <c:cat>
            <c:numRef>
              <c:f>'KPI 84'!$E$18:$P$18</c:f>
              <c:numCache>
                <c:formatCode>mmm\-yy</c:formatCode>
                <c:ptCount val="12"/>
                <c:pt idx="0">
                  <c:v>45839</c:v>
                </c:pt>
                <c:pt idx="1">
                  <c:v>45870</c:v>
                </c:pt>
                <c:pt idx="2">
                  <c:v>45901</c:v>
                </c:pt>
                <c:pt idx="3">
                  <c:v>45931</c:v>
                </c:pt>
                <c:pt idx="4">
                  <c:v>45962</c:v>
                </c:pt>
                <c:pt idx="5">
                  <c:v>45992</c:v>
                </c:pt>
                <c:pt idx="6">
                  <c:v>46023</c:v>
                </c:pt>
                <c:pt idx="7">
                  <c:v>46054</c:v>
                </c:pt>
                <c:pt idx="8">
                  <c:v>46082</c:v>
                </c:pt>
                <c:pt idx="9">
                  <c:v>46113</c:v>
                </c:pt>
                <c:pt idx="10">
                  <c:v>46143</c:v>
                </c:pt>
                <c:pt idx="11">
                  <c:v>46174</c:v>
                </c:pt>
              </c:numCache>
            </c:numRef>
          </c:cat>
          <c:val>
            <c:numRef>
              <c:f>'KPI 84'!$E$19:$P$19</c:f>
              <c:numCache>
                <c:formatCode>0</c:formatCode>
                <c:ptCount val="12"/>
                <c:pt idx="0">
                  <c:v>26743.803240712103</c:v>
                </c:pt>
                <c:pt idx="1">
                  <c:v>26870.671175652296</c:v>
                </c:pt>
                <c:pt idx="2">
                  <c:v>27176.885064189766</c:v>
                </c:pt>
                <c:pt idx="3">
                  <c:v>27975.287631972518</c:v>
                </c:pt>
                <c:pt idx="4">
                  <c:v>28773.69019975527</c:v>
                </c:pt>
                <c:pt idx="5">
                  <c:v>29572.092767538026</c:v>
                </c:pt>
                <c:pt idx="6">
                  <c:v>30288.463888779897</c:v>
                </c:pt>
                <c:pt idx="7">
                  <c:v>31004.835010021769</c:v>
                </c:pt>
                <c:pt idx="8">
                  <c:v>31571.751169932581</c:v>
                </c:pt>
                <c:pt idx="9">
                  <c:v>32056.635883302512</c:v>
                </c:pt>
                <c:pt idx="10">
                  <c:v>32541.520596672442</c:v>
                </c:pt>
                <c:pt idx="11">
                  <c:v>32996.514317776164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16E-4D02-8B6E-608D9852798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25944576"/>
        <c:axId val="125946112"/>
      </c:lineChart>
      <c:dateAx>
        <c:axId val="125944576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crossAx val="125946112"/>
        <c:crosses val="autoZero"/>
        <c:auto val="1"/>
        <c:lblOffset val="100"/>
        <c:baseTimeUnit val="months"/>
      </c:dateAx>
      <c:valAx>
        <c:axId val="125946112"/>
        <c:scaling>
          <c:orientation val="minMax"/>
        </c:scaling>
        <c:delete val="0"/>
        <c:axPos val="l"/>
        <c:majorGridlines/>
        <c:numFmt formatCode="0" sourceLinked="1"/>
        <c:majorTickMark val="out"/>
        <c:minorTickMark val="none"/>
        <c:tickLblPos val="nextTo"/>
        <c:crossAx val="125944576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000000000000822" l="0.70000000000000062" r="0.70000000000000062" t="0.75000000000000822" header="0.30000000000000032" footer="0.30000000000000032"/>
    <c:pageSetup/>
  </c:printSettings>
</c:chartSpace>
</file>

<file path=xl/charts/chart10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1"/>
          <c:order val="1"/>
          <c:tx>
            <c:strRef>
              <c:f>'KPI 85'!$D$20</c:f>
              <c:strCache>
                <c:ptCount val="1"/>
                <c:pt idx="0">
                  <c:v>Actual 2025-26</c:v>
                </c:pt>
              </c:strCache>
            </c:strRef>
          </c:tx>
          <c:spPr>
            <a:solidFill>
              <a:schemeClr val="accent1"/>
            </a:solidFill>
          </c:spPr>
          <c:invertIfNegative val="0"/>
          <c:cat>
            <c:numRef>
              <c:f>'KPI 85'!$E$18:$P$18</c:f>
              <c:numCache>
                <c:formatCode>mmm\-yy</c:formatCode>
                <c:ptCount val="12"/>
                <c:pt idx="0">
                  <c:v>45839</c:v>
                </c:pt>
                <c:pt idx="1">
                  <c:v>45870</c:v>
                </c:pt>
                <c:pt idx="2">
                  <c:v>45901</c:v>
                </c:pt>
                <c:pt idx="3">
                  <c:v>45931</c:v>
                </c:pt>
                <c:pt idx="4">
                  <c:v>45962</c:v>
                </c:pt>
                <c:pt idx="5">
                  <c:v>45992</c:v>
                </c:pt>
                <c:pt idx="6">
                  <c:v>46023</c:v>
                </c:pt>
                <c:pt idx="7">
                  <c:v>46054</c:v>
                </c:pt>
                <c:pt idx="8">
                  <c:v>46082</c:v>
                </c:pt>
                <c:pt idx="9">
                  <c:v>46113</c:v>
                </c:pt>
                <c:pt idx="10">
                  <c:v>46143</c:v>
                </c:pt>
                <c:pt idx="11">
                  <c:v>46174</c:v>
                </c:pt>
              </c:numCache>
            </c:numRef>
          </c:cat>
          <c:val>
            <c:numRef>
              <c:f>'KPI 85'!$E$20:$P$20</c:f>
              <c:numCache>
                <c:formatCode>0</c:formatCode>
                <c:ptCount val="12"/>
                <c:pt idx="0">
                  <c:v>5788</c:v>
                </c:pt>
                <c:pt idx="1">
                  <c:v>6705</c:v>
                </c:pt>
                <c:pt idx="2">
                  <c:v>4755</c:v>
                </c:pt>
                <c:pt idx="3">
                  <c:v>6241</c:v>
                </c:pt>
                <c:pt idx="4">
                  <c:v>5183</c:v>
                </c:pt>
                <c:pt idx="5">
                  <c:v>6161</c:v>
                </c:pt>
                <c:pt idx="6">
                  <c:v>8813</c:v>
                </c:pt>
                <c:pt idx="7">
                  <c:v>7181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373-46B6-9EC8-1A49C106A8BD}"/>
            </c:ext>
          </c:extLst>
        </c:ser>
        <c:ser>
          <c:idx val="4"/>
          <c:order val="2"/>
          <c:tx>
            <c:strRef>
              <c:f>'KPI 85'!$D$21</c:f>
              <c:strCache>
                <c:ptCount val="1"/>
                <c:pt idx="0">
                  <c:v>Actual 2024-25</c:v>
                </c:pt>
              </c:strCache>
            </c:strRef>
          </c:tx>
          <c:spPr>
            <a:solidFill>
              <a:schemeClr val="accent3"/>
            </a:solidFill>
          </c:spPr>
          <c:invertIfNegative val="0"/>
          <c:cat>
            <c:numRef>
              <c:f>'KPI 85'!$E$18:$P$18</c:f>
              <c:numCache>
                <c:formatCode>mmm\-yy</c:formatCode>
                <c:ptCount val="12"/>
                <c:pt idx="0">
                  <c:v>45839</c:v>
                </c:pt>
                <c:pt idx="1">
                  <c:v>45870</c:v>
                </c:pt>
                <c:pt idx="2">
                  <c:v>45901</c:v>
                </c:pt>
                <c:pt idx="3">
                  <c:v>45931</c:v>
                </c:pt>
                <c:pt idx="4">
                  <c:v>45962</c:v>
                </c:pt>
                <c:pt idx="5">
                  <c:v>45992</c:v>
                </c:pt>
                <c:pt idx="6">
                  <c:v>46023</c:v>
                </c:pt>
                <c:pt idx="7">
                  <c:v>46054</c:v>
                </c:pt>
                <c:pt idx="8">
                  <c:v>46082</c:v>
                </c:pt>
                <c:pt idx="9">
                  <c:v>46113</c:v>
                </c:pt>
                <c:pt idx="10">
                  <c:v>46143</c:v>
                </c:pt>
                <c:pt idx="11">
                  <c:v>46174</c:v>
                </c:pt>
              </c:numCache>
            </c:numRef>
          </c:cat>
          <c:val>
            <c:numRef>
              <c:f>'KPI 85'!$E$21:$P$21</c:f>
              <c:numCache>
                <c:formatCode>0</c:formatCode>
                <c:ptCount val="12"/>
                <c:pt idx="0">
                  <c:v>6588</c:v>
                </c:pt>
                <c:pt idx="1">
                  <c:v>6870</c:v>
                </c:pt>
                <c:pt idx="2">
                  <c:v>6726</c:v>
                </c:pt>
                <c:pt idx="3">
                  <c:v>6973</c:v>
                </c:pt>
                <c:pt idx="4">
                  <c:v>7456</c:v>
                </c:pt>
                <c:pt idx="5">
                  <c:v>4906</c:v>
                </c:pt>
                <c:pt idx="6">
                  <c:v>7952</c:v>
                </c:pt>
                <c:pt idx="7">
                  <c:v>8379</c:v>
                </c:pt>
                <c:pt idx="8">
                  <c:v>8691</c:v>
                </c:pt>
                <c:pt idx="9">
                  <c:v>6181</c:v>
                </c:pt>
                <c:pt idx="10">
                  <c:v>6833</c:v>
                </c:pt>
                <c:pt idx="11">
                  <c:v>6893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373-46B6-9EC8-1A49C106A8B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25327232"/>
        <c:axId val="125328768"/>
      </c:barChart>
      <c:lineChart>
        <c:grouping val="standard"/>
        <c:varyColors val="0"/>
        <c:ser>
          <c:idx val="0"/>
          <c:order val="0"/>
          <c:tx>
            <c:strRef>
              <c:f>'KPI 85'!$D$19</c:f>
              <c:strCache>
                <c:ptCount val="1"/>
                <c:pt idx="0">
                  <c:v>Budget 2025-26</c:v>
                </c:pt>
              </c:strCache>
            </c:strRef>
          </c:tx>
          <c:spPr>
            <a:ln>
              <a:solidFill>
                <a:srgbClr val="FF0000"/>
              </a:solidFill>
            </a:ln>
          </c:spPr>
          <c:marker>
            <c:symbol val="none"/>
          </c:marker>
          <c:cat>
            <c:numRef>
              <c:f>'KPI 85'!$E$18:$P$18</c:f>
              <c:numCache>
                <c:formatCode>mmm\-yy</c:formatCode>
                <c:ptCount val="12"/>
                <c:pt idx="0">
                  <c:v>45839</c:v>
                </c:pt>
                <c:pt idx="1">
                  <c:v>45870</c:v>
                </c:pt>
                <c:pt idx="2">
                  <c:v>45901</c:v>
                </c:pt>
                <c:pt idx="3">
                  <c:v>45931</c:v>
                </c:pt>
                <c:pt idx="4">
                  <c:v>45962</c:v>
                </c:pt>
                <c:pt idx="5">
                  <c:v>45992</c:v>
                </c:pt>
                <c:pt idx="6">
                  <c:v>46023</c:v>
                </c:pt>
                <c:pt idx="7">
                  <c:v>46054</c:v>
                </c:pt>
                <c:pt idx="8">
                  <c:v>46082</c:v>
                </c:pt>
                <c:pt idx="9">
                  <c:v>46113</c:v>
                </c:pt>
                <c:pt idx="10">
                  <c:v>46143</c:v>
                </c:pt>
                <c:pt idx="11">
                  <c:v>46174</c:v>
                </c:pt>
              </c:numCache>
            </c:numRef>
          </c:cat>
          <c:val>
            <c:numRef>
              <c:f>'KPI 85'!$E$19:$P$19</c:f>
              <c:numCache>
                <c:formatCode>0</c:formatCode>
                <c:ptCount val="12"/>
                <c:pt idx="0">
                  <c:v>7182.0222162243208</c:v>
                </c:pt>
                <c:pt idx="1">
                  <c:v>7194.1396626180831</c:v>
                </c:pt>
                <c:pt idx="2">
                  <c:v>7206.2571090118454</c:v>
                </c:pt>
                <c:pt idx="3">
                  <c:v>7625.3365807220634</c:v>
                </c:pt>
                <c:pt idx="4">
                  <c:v>7840.9350397740527</c:v>
                </c:pt>
                <c:pt idx="5">
                  <c:v>8056.5334988260438</c:v>
                </c:pt>
                <c:pt idx="6">
                  <c:v>8272.1319578780349</c:v>
                </c:pt>
                <c:pt idx="7">
                  <c:v>8487.7304169300241</c:v>
                </c:pt>
                <c:pt idx="8">
                  <c:v>8703.3288759820134</c:v>
                </c:pt>
                <c:pt idx="9">
                  <c:v>8918.9273350340027</c:v>
                </c:pt>
                <c:pt idx="10">
                  <c:v>9134.5257940859919</c:v>
                </c:pt>
                <c:pt idx="11">
                  <c:v>9350.124253137983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4373-46B6-9EC8-1A49C106A8B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25327232"/>
        <c:axId val="125328768"/>
      </c:lineChart>
      <c:dateAx>
        <c:axId val="125327232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crossAx val="125328768"/>
        <c:crosses val="autoZero"/>
        <c:auto val="1"/>
        <c:lblOffset val="100"/>
        <c:baseTimeUnit val="months"/>
      </c:dateAx>
      <c:valAx>
        <c:axId val="125328768"/>
        <c:scaling>
          <c:orientation val="minMax"/>
        </c:scaling>
        <c:delete val="0"/>
        <c:axPos val="l"/>
        <c:majorGridlines/>
        <c:numFmt formatCode="0" sourceLinked="1"/>
        <c:majorTickMark val="out"/>
        <c:minorTickMark val="none"/>
        <c:tickLblPos val="nextTo"/>
        <c:crossAx val="125327232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000000000000822" l="0.70000000000000062" r="0.70000000000000062" t="0.75000000000000822" header="0.30000000000000032" footer="0.30000000000000032"/>
    <c:pageSetup/>
  </c:printSettings>
</c:chartSpace>
</file>

<file path=xl/charts/chart10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1"/>
          <c:order val="1"/>
          <c:tx>
            <c:strRef>
              <c:f>'KPI 86'!$D$20</c:f>
              <c:strCache>
                <c:ptCount val="1"/>
                <c:pt idx="0">
                  <c:v>Actual 2025-26</c:v>
                </c:pt>
              </c:strCache>
            </c:strRef>
          </c:tx>
          <c:spPr>
            <a:solidFill>
              <a:schemeClr val="accent1"/>
            </a:solidFill>
          </c:spPr>
          <c:invertIfNegative val="0"/>
          <c:cat>
            <c:numRef>
              <c:f>'KPI 86'!$E$18:$P$18</c:f>
              <c:numCache>
                <c:formatCode>mmm\-yy</c:formatCode>
                <c:ptCount val="12"/>
                <c:pt idx="0">
                  <c:v>45839</c:v>
                </c:pt>
                <c:pt idx="1">
                  <c:v>45870</c:v>
                </c:pt>
                <c:pt idx="2">
                  <c:v>45901</c:v>
                </c:pt>
                <c:pt idx="3">
                  <c:v>45931</c:v>
                </c:pt>
                <c:pt idx="4">
                  <c:v>45962</c:v>
                </c:pt>
                <c:pt idx="5">
                  <c:v>45992</c:v>
                </c:pt>
                <c:pt idx="6">
                  <c:v>46023</c:v>
                </c:pt>
                <c:pt idx="7">
                  <c:v>46054</c:v>
                </c:pt>
                <c:pt idx="8">
                  <c:v>46082</c:v>
                </c:pt>
                <c:pt idx="9">
                  <c:v>46113</c:v>
                </c:pt>
                <c:pt idx="10">
                  <c:v>46143</c:v>
                </c:pt>
                <c:pt idx="11">
                  <c:v>46174</c:v>
                </c:pt>
              </c:numCache>
            </c:numRef>
          </c:cat>
          <c:val>
            <c:numRef>
              <c:f>'KPI 86'!$E$20:$P$20</c:f>
              <c:numCache>
                <c:formatCode>0</c:formatCode>
                <c:ptCount val="12"/>
                <c:pt idx="0">
                  <c:v>31495</c:v>
                </c:pt>
                <c:pt idx="1">
                  <c:v>30262</c:v>
                </c:pt>
                <c:pt idx="2">
                  <c:v>26105</c:v>
                </c:pt>
                <c:pt idx="3">
                  <c:v>28789</c:v>
                </c:pt>
                <c:pt idx="4">
                  <c:v>24965</c:v>
                </c:pt>
                <c:pt idx="5">
                  <c:v>26090</c:v>
                </c:pt>
                <c:pt idx="6">
                  <c:v>30971</c:v>
                </c:pt>
                <c:pt idx="7">
                  <c:v>33445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22C-48CB-A48A-140A2C756D2B}"/>
            </c:ext>
          </c:extLst>
        </c:ser>
        <c:ser>
          <c:idx val="4"/>
          <c:order val="2"/>
          <c:tx>
            <c:strRef>
              <c:f>'KPI 86'!$D$21</c:f>
              <c:strCache>
                <c:ptCount val="1"/>
                <c:pt idx="0">
                  <c:v>Actual 2024-25</c:v>
                </c:pt>
              </c:strCache>
            </c:strRef>
          </c:tx>
          <c:spPr>
            <a:solidFill>
              <a:schemeClr val="accent3"/>
            </a:solidFill>
          </c:spPr>
          <c:invertIfNegative val="0"/>
          <c:cat>
            <c:numRef>
              <c:f>'KPI 86'!$E$18:$P$18</c:f>
              <c:numCache>
                <c:formatCode>mmm\-yy</c:formatCode>
                <c:ptCount val="12"/>
                <c:pt idx="0">
                  <c:v>45839</c:v>
                </c:pt>
                <c:pt idx="1">
                  <c:v>45870</c:v>
                </c:pt>
                <c:pt idx="2">
                  <c:v>45901</c:v>
                </c:pt>
                <c:pt idx="3">
                  <c:v>45931</c:v>
                </c:pt>
                <c:pt idx="4">
                  <c:v>45962</c:v>
                </c:pt>
                <c:pt idx="5">
                  <c:v>45992</c:v>
                </c:pt>
                <c:pt idx="6">
                  <c:v>46023</c:v>
                </c:pt>
                <c:pt idx="7">
                  <c:v>46054</c:v>
                </c:pt>
                <c:pt idx="8">
                  <c:v>46082</c:v>
                </c:pt>
                <c:pt idx="9">
                  <c:v>46113</c:v>
                </c:pt>
                <c:pt idx="10">
                  <c:v>46143</c:v>
                </c:pt>
                <c:pt idx="11">
                  <c:v>46174</c:v>
                </c:pt>
              </c:numCache>
            </c:numRef>
          </c:cat>
          <c:val>
            <c:numRef>
              <c:f>'KPI 86'!$E$21:$P$21</c:f>
              <c:numCache>
                <c:formatCode>0</c:formatCode>
                <c:ptCount val="12"/>
                <c:pt idx="0">
                  <c:v>26497</c:v>
                </c:pt>
                <c:pt idx="1">
                  <c:v>29718</c:v>
                </c:pt>
                <c:pt idx="2">
                  <c:v>32242</c:v>
                </c:pt>
                <c:pt idx="3">
                  <c:v>30200</c:v>
                </c:pt>
                <c:pt idx="4">
                  <c:v>32349</c:v>
                </c:pt>
                <c:pt idx="5">
                  <c:v>24184</c:v>
                </c:pt>
                <c:pt idx="6">
                  <c:v>29173</c:v>
                </c:pt>
                <c:pt idx="7">
                  <c:v>28120</c:v>
                </c:pt>
                <c:pt idx="8">
                  <c:v>29681</c:v>
                </c:pt>
                <c:pt idx="9">
                  <c:v>26294</c:v>
                </c:pt>
                <c:pt idx="10">
                  <c:v>27869</c:v>
                </c:pt>
                <c:pt idx="11">
                  <c:v>30668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22C-48CB-A48A-140A2C756D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25484032"/>
        <c:axId val="125567744"/>
      </c:barChart>
      <c:lineChart>
        <c:grouping val="standard"/>
        <c:varyColors val="0"/>
        <c:ser>
          <c:idx val="0"/>
          <c:order val="0"/>
          <c:tx>
            <c:strRef>
              <c:f>'KPI 86'!$D$19</c:f>
              <c:strCache>
                <c:ptCount val="1"/>
                <c:pt idx="0">
                  <c:v>Budget 2025-26</c:v>
                </c:pt>
              </c:strCache>
            </c:strRef>
          </c:tx>
          <c:spPr>
            <a:ln>
              <a:solidFill>
                <a:srgbClr val="FF0000"/>
              </a:solidFill>
            </a:ln>
          </c:spPr>
          <c:marker>
            <c:symbol val="none"/>
          </c:marker>
          <c:cat>
            <c:numRef>
              <c:f>'KPI 86'!$E$18:$P$18</c:f>
              <c:numCache>
                <c:formatCode>mmm\-yy</c:formatCode>
                <c:ptCount val="12"/>
                <c:pt idx="0">
                  <c:v>45839</c:v>
                </c:pt>
                <c:pt idx="1">
                  <c:v>45870</c:v>
                </c:pt>
                <c:pt idx="2">
                  <c:v>45901</c:v>
                </c:pt>
                <c:pt idx="3">
                  <c:v>45931</c:v>
                </c:pt>
                <c:pt idx="4">
                  <c:v>45962</c:v>
                </c:pt>
                <c:pt idx="5">
                  <c:v>45992</c:v>
                </c:pt>
                <c:pt idx="6">
                  <c:v>46023</c:v>
                </c:pt>
                <c:pt idx="7">
                  <c:v>46054</c:v>
                </c:pt>
                <c:pt idx="8">
                  <c:v>46082</c:v>
                </c:pt>
                <c:pt idx="9">
                  <c:v>46113</c:v>
                </c:pt>
                <c:pt idx="10">
                  <c:v>46143</c:v>
                </c:pt>
                <c:pt idx="11">
                  <c:v>46174</c:v>
                </c:pt>
              </c:numCache>
            </c:numRef>
          </c:cat>
          <c:val>
            <c:numRef>
              <c:f>'KPI 86'!$E$19:$P$19</c:f>
              <c:numCache>
                <c:formatCode>0</c:formatCode>
                <c:ptCount val="12"/>
                <c:pt idx="0">
                  <c:v>28461.852059246539</c:v>
                </c:pt>
                <c:pt idx="1">
                  <c:v>28655.785179753802</c:v>
                </c:pt>
                <c:pt idx="2">
                  <c:v>28849.718300261065</c:v>
                </c:pt>
                <c:pt idx="3">
                  <c:v>29043.651420768332</c:v>
                </c:pt>
                <c:pt idx="4">
                  <c:v>29237.584541275592</c:v>
                </c:pt>
                <c:pt idx="5">
                  <c:v>29431.517661782855</c:v>
                </c:pt>
                <c:pt idx="6">
                  <c:v>29772.483308404735</c:v>
                </c:pt>
                <c:pt idx="7">
                  <c:v>30023.594695713906</c:v>
                </c:pt>
                <c:pt idx="8">
                  <c:v>30274.706083023073</c:v>
                </c:pt>
                <c:pt idx="9">
                  <c:v>30480.890340675887</c:v>
                </c:pt>
                <c:pt idx="10">
                  <c:v>30687.074598328705</c:v>
                </c:pt>
                <c:pt idx="11">
                  <c:v>30893.258855981519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C22C-48CB-A48A-140A2C756D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25484032"/>
        <c:axId val="125567744"/>
      </c:lineChart>
      <c:dateAx>
        <c:axId val="125484032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crossAx val="125567744"/>
        <c:crosses val="autoZero"/>
        <c:auto val="1"/>
        <c:lblOffset val="100"/>
        <c:baseTimeUnit val="months"/>
      </c:dateAx>
      <c:valAx>
        <c:axId val="125567744"/>
        <c:scaling>
          <c:orientation val="minMax"/>
        </c:scaling>
        <c:delete val="0"/>
        <c:axPos val="l"/>
        <c:majorGridlines/>
        <c:numFmt formatCode="0" sourceLinked="1"/>
        <c:majorTickMark val="out"/>
        <c:minorTickMark val="none"/>
        <c:tickLblPos val="nextTo"/>
        <c:crossAx val="125484032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000000000000822" l="0.70000000000000062" r="0.70000000000000062" t="0.75000000000000822" header="0.30000000000000032" footer="0.30000000000000032"/>
    <c:pageSetup/>
  </c:printSettings>
</c:chartSpace>
</file>

<file path=xl/charts/chart10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1"/>
          <c:order val="1"/>
          <c:tx>
            <c:strRef>
              <c:f>'KPI 86'!$D$20</c:f>
              <c:strCache>
                <c:ptCount val="1"/>
                <c:pt idx="0">
                  <c:v>Actual 2025-26</c:v>
                </c:pt>
              </c:strCache>
            </c:strRef>
          </c:tx>
          <c:spPr>
            <a:solidFill>
              <a:schemeClr val="accent1"/>
            </a:solidFill>
          </c:spPr>
          <c:invertIfNegative val="0"/>
          <c:cat>
            <c:numRef>
              <c:f>'KPI 86'!$E$18:$P$18</c:f>
              <c:numCache>
                <c:formatCode>mmm\-yy</c:formatCode>
                <c:ptCount val="12"/>
                <c:pt idx="0">
                  <c:v>45839</c:v>
                </c:pt>
                <c:pt idx="1">
                  <c:v>45870</c:v>
                </c:pt>
                <c:pt idx="2">
                  <c:v>45901</c:v>
                </c:pt>
                <c:pt idx="3">
                  <c:v>45931</c:v>
                </c:pt>
                <c:pt idx="4">
                  <c:v>45962</c:v>
                </c:pt>
                <c:pt idx="5">
                  <c:v>45992</c:v>
                </c:pt>
                <c:pt idx="6">
                  <c:v>46023</c:v>
                </c:pt>
                <c:pt idx="7">
                  <c:v>46054</c:v>
                </c:pt>
                <c:pt idx="8">
                  <c:v>46082</c:v>
                </c:pt>
                <c:pt idx="9">
                  <c:v>46113</c:v>
                </c:pt>
                <c:pt idx="10">
                  <c:v>46143</c:v>
                </c:pt>
                <c:pt idx="11">
                  <c:v>46174</c:v>
                </c:pt>
              </c:numCache>
            </c:numRef>
          </c:cat>
          <c:val>
            <c:numRef>
              <c:f>'KPI 86'!$E$20:$P$20</c:f>
              <c:numCache>
                <c:formatCode>0</c:formatCode>
                <c:ptCount val="12"/>
                <c:pt idx="0">
                  <c:v>31495</c:v>
                </c:pt>
                <c:pt idx="1">
                  <c:v>30262</c:v>
                </c:pt>
                <c:pt idx="2">
                  <c:v>26105</c:v>
                </c:pt>
                <c:pt idx="3">
                  <c:v>28789</c:v>
                </c:pt>
                <c:pt idx="4">
                  <c:v>24965</c:v>
                </c:pt>
                <c:pt idx="5">
                  <c:v>26090</c:v>
                </c:pt>
                <c:pt idx="6">
                  <c:v>30971</c:v>
                </c:pt>
                <c:pt idx="7">
                  <c:v>33445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E8C-423E-ABD7-FC66F58AF031}"/>
            </c:ext>
          </c:extLst>
        </c:ser>
        <c:ser>
          <c:idx val="4"/>
          <c:order val="2"/>
          <c:tx>
            <c:strRef>
              <c:f>'KPI 86'!$D$21</c:f>
              <c:strCache>
                <c:ptCount val="1"/>
                <c:pt idx="0">
                  <c:v>Actual 2024-25</c:v>
                </c:pt>
              </c:strCache>
            </c:strRef>
          </c:tx>
          <c:spPr>
            <a:solidFill>
              <a:schemeClr val="accent3"/>
            </a:solidFill>
          </c:spPr>
          <c:invertIfNegative val="0"/>
          <c:cat>
            <c:numRef>
              <c:f>'KPI 86'!$E$18:$P$18</c:f>
              <c:numCache>
                <c:formatCode>mmm\-yy</c:formatCode>
                <c:ptCount val="12"/>
                <c:pt idx="0">
                  <c:v>45839</c:v>
                </c:pt>
                <c:pt idx="1">
                  <c:v>45870</c:v>
                </c:pt>
                <c:pt idx="2">
                  <c:v>45901</c:v>
                </c:pt>
                <c:pt idx="3">
                  <c:v>45931</c:v>
                </c:pt>
                <c:pt idx="4">
                  <c:v>45962</c:v>
                </c:pt>
                <c:pt idx="5">
                  <c:v>45992</c:v>
                </c:pt>
                <c:pt idx="6">
                  <c:v>46023</c:v>
                </c:pt>
                <c:pt idx="7">
                  <c:v>46054</c:v>
                </c:pt>
                <c:pt idx="8">
                  <c:v>46082</c:v>
                </c:pt>
                <c:pt idx="9">
                  <c:v>46113</c:v>
                </c:pt>
                <c:pt idx="10">
                  <c:v>46143</c:v>
                </c:pt>
                <c:pt idx="11">
                  <c:v>46174</c:v>
                </c:pt>
              </c:numCache>
            </c:numRef>
          </c:cat>
          <c:val>
            <c:numRef>
              <c:f>'KPI 86'!$E$21:$P$21</c:f>
              <c:numCache>
                <c:formatCode>0</c:formatCode>
                <c:ptCount val="12"/>
                <c:pt idx="0">
                  <c:v>26497</c:v>
                </c:pt>
                <c:pt idx="1">
                  <c:v>29718</c:v>
                </c:pt>
                <c:pt idx="2">
                  <c:v>32242</c:v>
                </c:pt>
                <c:pt idx="3">
                  <c:v>30200</c:v>
                </c:pt>
                <c:pt idx="4">
                  <c:v>32349</c:v>
                </c:pt>
                <c:pt idx="5">
                  <c:v>24184</c:v>
                </c:pt>
                <c:pt idx="6">
                  <c:v>29173</c:v>
                </c:pt>
                <c:pt idx="7">
                  <c:v>28120</c:v>
                </c:pt>
                <c:pt idx="8">
                  <c:v>29681</c:v>
                </c:pt>
                <c:pt idx="9">
                  <c:v>26294</c:v>
                </c:pt>
                <c:pt idx="10">
                  <c:v>27869</c:v>
                </c:pt>
                <c:pt idx="11">
                  <c:v>30668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E8C-423E-ABD7-FC66F58AF03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25484032"/>
        <c:axId val="125567744"/>
      </c:barChart>
      <c:lineChart>
        <c:grouping val="standard"/>
        <c:varyColors val="0"/>
        <c:ser>
          <c:idx val="0"/>
          <c:order val="0"/>
          <c:tx>
            <c:strRef>
              <c:f>'KPI 86'!$D$19</c:f>
              <c:strCache>
                <c:ptCount val="1"/>
                <c:pt idx="0">
                  <c:v>Budget 2025-26</c:v>
                </c:pt>
              </c:strCache>
            </c:strRef>
          </c:tx>
          <c:spPr>
            <a:ln>
              <a:solidFill>
                <a:srgbClr val="FF0000"/>
              </a:solidFill>
            </a:ln>
          </c:spPr>
          <c:marker>
            <c:symbol val="none"/>
          </c:marker>
          <c:cat>
            <c:numRef>
              <c:f>'KPI 86'!$E$18:$P$18</c:f>
              <c:numCache>
                <c:formatCode>mmm\-yy</c:formatCode>
                <c:ptCount val="12"/>
                <c:pt idx="0">
                  <c:v>45839</c:v>
                </c:pt>
                <c:pt idx="1">
                  <c:v>45870</c:v>
                </c:pt>
                <c:pt idx="2">
                  <c:v>45901</c:v>
                </c:pt>
                <c:pt idx="3">
                  <c:v>45931</c:v>
                </c:pt>
                <c:pt idx="4">
                  <c:v>45962</c:v>
                </c:pt>
                <c:pt idx="5">
                  <c:v>45992</c:v>
                </c:pt>
                <c:pt idx="6">
                  <c:v>46023</c:v>
                </c:pt>
                <c:pt idx="7">
                  <c:v>46054</c:v>
                </c:pt>
                <c:pt idx="8">
                  <c:v>46082</c:v>
                </c:pt>
                <c:pt idx="9">
                  <c:v>46113</c:v>
                </c:pt>
                <c:pt idx="10">
                  <c:v>46143</c:v>
                </c:pt>
                <c:pt idx="11">
                  <c:v>46174</c:v>
                </c:pt>
              </c:numCache>
            </c:numRef>
          </c:cat>
          <c:val>
            <c:numRef>
              <c:f>'KPI 86'!$E$19:$P$19</c:f>
              <c:numCache>
                <c:formatCode>0</c:formatCode>
                <c:ptCount val="12"/>
                <c:pt idx="0">
                  <c:v>28461.852059246539</c:v>
                </c:pt>
                <c:pt idx="1">
                  <c:v>28655.785179753802</c:v>
                </c:pt>
                <c:pt idx="2">
                  <c:v>28849.718300261065</c:v>
                </c:pt>
                <c:pt idx="3">
                  <c:v>29043.651420768332</c:v>
                </c:pt>
                <c:pt idx="4">
                  <c:v>29237.584541275592</c:v>
                </c:pt>
                <c:pt idx="5">
                  <c:v>29431.517661782855</c:v>
                </c:pt>
                <c:pt idx="6">
                  <c:v>29772.483308404735</c:v>
                </c:pt>
                <c:pt idx="7">
                  <c:v>30023.594695713906</c:v>
                </c:pt>
                <c:pt idx="8">
                  <c:v>30274.706083023073</c:v>
                </c:pt>
                <c:pt idx="9">
                  <c:v>30480.890340675887</c:v>
                </c:pt>
                <c:pt idx="10">
                  <c:v>30687.074598328705</c:v>
                </c:pt>
                <c:pt idx="11">
                  <c:v>30893.258855981519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9E8C-423E-ABD7-FC66F58AF03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25484032"/>
        <c:axId val="125567744"/>
      </c:lineChart>
      <c:dateAx>
        <c:axId val="125484032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crossAx val="125567744"/>
        <c:crosses val="autoZero"/>
        <c:auto val="1"/>
        <c:lblOffset val="100"/>
        <c:baseTimeUnit val="months"/>
      </c:dateAx>
      <c:valAx>
        <c:axId val="125567744"/>
        <c:scaling>
          <c:orientation val="minMax"/>
        </c:scaling>
        <c:delete val="0"/>
        <c:axPos val="l"/>
        <c:majorGridlines/>
        <c:numFmt formatCode="0" sourceLinked="1"/>
        <c:majorTickMark val="out"/>
        <c:minorTickMark val="none"/>
        <c:tickLblPos val="nextTo"/>
        <c:crossAx val="125484032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000000000000822" l="0.70000000000000062" r="0.70000000000000062" t="0.75000000000000822" header="0.30000000000000032" footer="0.30000000000000032"/>
    <c:pageSetup/>
  </c:printSettings>
</c:chartSpace>
</file>

<file path=xl/charts/chart10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1"/>
          <c:order val="1"/>
          <c:tx>
            <c:strRef>
              <c:f>'KPI 87'!$D$20</c:f>
              <c:strCache>
                <c:ptCount val="1"/>
                <c:pt idx="0">
                  <c:v>Actual 2025-26</c:v>
                </c:pt>
              </c:strCache>
            </c:strRef>
          </c:tx>
          <c:spPr>
            <a:solidFill>
              <a:schemeClr val="accent1"/>
            </a:solidFill>
          </c:spPr>
          <c:invertIfNegative val="0"/>
          <c:cat>
            <c:numRef>
              <c:f>'KPI 87'!$E$18:$P$18</c:f>
              <c:numCache>
                <c:formatCode>mmm\-yy</c:formatCode>
                <c:ptCount val="12"/>
                <c:pt idx="0">
                  <c:v>45839</c:v>
                </c:pt>
                <c:pt idx="1">
                  <c:v>45870</c:v>
                </c:pt>
                <c:pt idx="2">
                  <c:v>45901</c:v>
                </c:pt>
                <c:pt idx="3">
                  <c:v>45931</c:v>
                </c:pt>
                <c:pt idx="4">
                  <c:v>45962</c:v>
                </c:pt>
                <c:pt idx="5">
                  <c:v>45992</c:v>
                </c:pt>
                <c:pt idx="6">
                  <c:v>46023</c:v>
                </c:pt>
                <c:pt idx="7">
                  <c:v>46054</c:v>
                </c:pt>
                <c:pt idx="8">
                  <c:v>46082</c:v>
                </c:pt>
                <c:pt idx="9">
                  <c:v>46113</c:v>
                </c:pt>
                <c:pt idx="10">
                  <c:v>46143</c:v>
                </c:pt>
                <c:pt idx="11">
                  <c:v>46174</c:v>
                </c:pt>
              </c:numCache>
            </c:numRef>
          </c:cat>
          <c:val>
            <c:numRef>
              <c:f>'KPI 87'!$E$20:$P$20</c:f>
              <c:numCache>
                <c:formatCode>0</c:formatCode>
                <c:ptCount val="12"/>
                <c:pt idx="0">
                  <c:v>16861</c:v>
                </c:pt>
                <c:pt idx="1">
                  <c:v>20788</c:v>
                </c:pt>
                <c:pt idx="2">
                  <c:v>19143</c:v>
                </c:pt>
                <c:pt idx="3">
                  <c:v>21669</c:v>
                </c:pt>
                <c:pt idx="4">
                  <c:v>16926</c:v>
                </c:pt>
                <c:pt idx="5">
                  <c:v>14915</c:v>
                </c:pt>
                <c:pt idx="6">
                  <c:v>26099</c:v>
                </c:pt>
                <c:pt idx="7">
                  <c:v>21183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856-49F2-9E7D-B394C4147122}"/>
            </c:ext>
          </c:extLst>
        </c:ser>
        <c:ser>
          <c:idx val="4"/>
          <c:order val="2"/>
          <c:tx>
            <c:strRef>
              <c:f>'KPI 87'!$D$21</c:f>
              <c:strCache>
                <c:ptCount val="1"/>
                <c:pt idx="0">
                  <c:v>Actual 2024-25</c:v>
                </c:pt>
              </c:strCache>
            </c:strRef>
          </c:tx>
          <c:spPr>
            <a:solidFill>
              <a:schemeClr val="accent3"/>
            </a:solidFill>
          </c:spPr>
          <c:invertIfNegative val="0"/>
          <c:cat>
            <c:numRef>
              <c:f>'KPI 87'!$E$18:$P$18</c:f>
              <c:numCache>
                <c:formatCode>mmm\-yy</c:formatCode>
                <c:ptCount val="12"/>
                <c:pt idx="0">
                  <c:v>45839</c:v>
                </c:pt>
                <c:pt idx="1">
                  <c:v>45870</c:v>
                </c:pt>
                <c:pt idx="2">
                  <c:v>45901</c:v>
                </c:pt>
                <c:pt idx="3">
                  <c:v>45931</c:v>
                </c:pt>
                <c:pt idx="4">
                  <c:v>45962</c:v>
                </c:pt>
                <c:pt idx="5">
                  <c:v>45992</c:v>
                </c:pt>
                <c:pt idx="6">
                  <c:v>46023</c:v>
                </c:pt>
                <c:pt idx="7">
                  <c:v>46054</c:v>
                </c:pt>
                <c:pt idx="8">
                  <c:v>46082</c:v>
                </c:pt>
                <c:pt idx="9">
                  <c:v>46113</c:v>
                </c:pt>
                <c:pt idx="10">
                  <c:v>46143</c:v>
                </c:pt>
                <c:pt idx="11">
                  <c:v>46174</c:v>
                </c:pt>
              </c:numCache>
            </c:numRef>
          </c:cat>
          <c:val>
            <c:numRef>
              <c:f>'KPI 87'!$E$21:$P$21</c:f>
              <c:numCache>
                <c:formatCode>0</c:formatCode>
                <c:ptCount val="12"/>
                <c:pt idx="0">
                  <c:v>17938</c:v>
                </c:pt>
                <c:pt idx="1">
                  <c:v>22874</c:v>
                </c:pt>
                <c:pt idx="2">
                  <c:v>20854</c:v>
                </c:pt>
                <c:pt idx="3">
                  <c:v>19690</c:v>
                </c:pt>
                <c:pt idx="4">
                  <c:v>22452</c:v>
                </c:pt>
                <c:pt idx="5">
                  <c:v>13727</c:v>
                </c:pt>
                <c:pt idx="6">
                  <c:v>22903</c:v>
                </c:pt>
                <c:pt idx="7">
                  <c:v>22724</c:v>
                </c:pt>
                <c:pt idx="8">
                  <c:v>23737</c:v>
                </c:pt>
                <c:pt idx="9">
                  <c:v>14918</c:v>
                </c:pt>
                <c:pt idx="10">
                  <c:v>19396</c:v>
                </c:pt>
                <c:pt idx="11">
                  <c:v>20427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856-49F2-9E7D-B394C414712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839488"/>
        <c:axId val="1841024"/>
      </c:barChart>
      <c:lineChart>
        <c:grouping val="standard"/>
        <c:varyColors val="0"/>
        <c:ser>
          <c:idx val="0"/>
          <c:order val="0"/>
          <c:tx>
            <c:strRef>
              <c:f>'KPI 87'!$D$19</c:f>
              <c:strCache>
                <c:ptCount val="1"/>
                <c:pt idx="0">
                  <c:v>Budget 2025-26</c:v>
                </c:pt>
              </c:strCache>
            </c:strRef>
          </c:tx>
          <c:spPr>
            <a:ln>
              <a:solidFill>
                <a:srgbClr val="FF0000"/>
              </a:solidFill>
            </a:ln>
          </c:spPr>
          <c:marker>
            <c:symbol val="none"/>
          </c:marker>
          <c:cat>
            <c:numRef>
              <c:f>'KPI 87'!$E$18:$P$18</c:f>
              <c:numCache>
                <c:formatCode>mmm\-yy</c:formatCode>
                <c:ptCount val="12"/>
                <c:pt idx="0">
                  <c:v>45839</c:v>
                </c:pt>
                <c:pt idx="1">
                  <c:v>45870</c:v>
                </c:pt>
                <c:pt idx="2">
                  <c:v>45901</c:v>
                </c:pt>
                <c:pt idx="3">
                  <c:v>45931</c:v>
                </c:pt>
                <c:pt idx="4">
                  <c:v>45962</c:v>
                </c:pt>
                <c:pt idx="5">
                  <c:v>45992</c:v>
                </c:pt>
                <c:pt idx="6">
                  <c:v>46023</c:v>
                </c:pt>
                <c:pt idx="7">
                  <c:v>46054</c:v>
                </c:pt>
                <c:pt idx="8">
                  <c:v>46082</c:v>
                </c:pt>
                <c:pt idx="9">
                  <c:v>46113</c:v>
                </c:pt>
                <c:pt idx="10">
                  <c:v>46143</c:v>
                </c:pt>
                <c:pt idx="11">
                  <c:v>46174</c:v>
                </c:pt>
              </c:numCache>
            </c:numRef>
          </c:cat>
          <c:val>
            <c:numRef>
              <c:f>'KPI 87'!$E$19:$P$19</c:f>
              <c:numCache>
                <c:formatCode>0</c:formatCode>
                <c:ptCount val="12"/>
                <c:pt idx="0">
                  <c:v>21090.847636599865</c:v>
                </c:pt>
                <c:pt idx="1">
                  <c:v>21163.054104961095</c:v>
                </c:pt>
                <c:pt idx="2">
                  <c:v>21235.260573322324</c:v>
                </c:pt>
                <c:pt idx="3">
                  <c:v>21307.467041683554</c:v>
                </c:pt>
                <c:pt idx="4">
                  <c:v>21379.673510044788</c:v>
                </c:pt>
                <c:pt idx="5">
                  <c:v>21451.879978406017</c:v>
                </c:pt>
                <c:pt idx="6">
                  <c:v>21524.086446767247</c:v>
                </c:pt>
                <c:pt idx="7">
                  <c:v>21596.292915128477</c:v>
                </c:pt>
                <c:pt idx="8">
                  <c:v>21668.499383489707</c:v>
                </c:pt>
                <c:pt idx="9">
                  <c:v>21740.70585185094</c:v>
                </c:pt>
                <c:pt idx="10">
                  <c:v>21812.912320212166</c:v>
                </c:pt>
                <c:pt idx="11">
                  <c:v>21885.1187885734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856-49F2-9E7D-B394C414712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839488"/>
        <c:axId val="1841024"/>
      </c:lineChart>
      <c:dateAx>
        <c:axId val="1839488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crossAx val="1841024"/>
        <c:crosses val="autoZero"/>
        <c:auto val="1"/>
        <c:lblOffset val="100"/>
        <c:baseTimeUnit val="months"/>
      </c:dateAx>
      <c:valAx>
        <c:axId val="1841024"/>
        <c:scaling>
          <c:orientation val="minMax"/>
        </c:scaling>
        <c:delete val="0"/>
        <c:axPos val="l"/>
        <c:majorGridlines/>
        <c:numFmt formatCode="0" sourceLinked="1"/>
        <c:majorTickMark val="out"/>
        <c:minorTickMark val="none"/>
        <c:tickLblPos val="nextTo"/>
        <c:crossAx val="1839488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000000000000822" l="0.70000000000000062" r="0.70000000000000062" t="0.75000000000000822" header="0.30000000000000032" footer="0.30000000000000032"/>
    <c:pageSetup/>
  </c:printSettings>
</c:chartSpace>
</file>

<file path=xl/charts/chart10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1"/>
          <c:order val="1"/>
          <c:tx>
            <c:strRef>
              <c:f>'KPI 87'!$D$20</c:f>
              <c:strCache>
                <c:ptCount val="1"/>
                <c:pt idx="0">
                  <c:v>Actual 2025-26</c:v>
                </c:pt>
              </c:strCache>
            </c:strRef>
          </c:tx>
          <c:spPr>
            <a:solidFill>
              <a:schemeClr val="accent1"/>
            </a:solidFill>
          </c:spPr>
          <c:invertIfNegative val="0"/>
          <c:cat>
            <c:numRef>
              <c:f>'KPI 87'!$E$18:$P$18</c:f>
              <c:numCache>
                <c:formatCode>mmm\-yy</c:formatCode>
                <c:ptCount val="12"/>
                <c:pt idx="0">
                  <c:v>45839</c:v>
                </c:pt>
                <c:pt idx="1">
                  <c:v>45870</c:v>
                </c:pt>
                <c:pt idx="2">
                  <c:v>45901</c:v>
                </c:pt>
                <c:pt idx="3">
                  <c:v>45931</c:v>
                </c:pt>
                <c:pt idx="4">
                  <c:v>45962</c:v>
                </c:pt>
                <c:pt idx="5">
                  <c:v>45992</c:v>
                </c:pt>
                <c:pt idx="6">
                  <c:v>46023</c:v>
                </c:pt>
                <c:pt idx="7">
                  <c:v>46054</c:v>
                </c:pt>
                <c:pt idx="8">
                  <c:v>46082</c:v>
                </c:pt>
                <c:pt idx="9">
                  <c:v>46113</c:v>
                </c:pt>
                <c:pt idx="10">
                  <c:v>46143</c:v>
                </c:pt>
                <c:pt idx="11">
                  <c:v>46174</c:v>
                </c:pt>
              </c:numCache>
            </c:numRef>
          </c:cat>
          <c:val>
            <c:numRef>
              <c:f>'KPI 87'!$E$20:$P$20</c:f>
              <c:numCache>
                <c:formatCode>0</c:formatCode>
                <c:ptCount val="12"/>
                <c:pt idx="0">
                  <c:v>16861</c:v>
                </c:pt>
                <c:pt idx="1">
                  <c:v>20788</c:v>
                </c:pt>
                <c:pt idx="2">
                  <c:v>19143</c:v>
                </c:pt>
                <c:pt idx="3">
                  <c:v>21669</c:v>
                </c:pt>
                <c:pt idx="4">
                  <c:v>16926</c:v>
                </c:pt>
                <c:pt idx="5">
                  <c:v>14915</c:v>
                </c:pt>
                <c:pt idx="6">
                  <c:v>26099</c:v>
                </c:pt>
                <c:pt idx="7">
                  <c:v>21183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9A1-48D4-9490-6615E3B0D0C0}"/>
            </c:ext>
          </c:extLst>
        </c:ser>
        <c:ser>
          <c:idx val="4"/>
          <c:order val="2"/>
          <c:tx>
            <c:strRef>
              <c:f>'KPI 87'!$D$21</c:f>
              <c:strCache>
                <c:ptCount val="1"/>
                <c:pt idx="0">
                  <c:v>Actual 2024-25</c:v>
                </c:pt>
              </c:strCache>
            </c:strRef>
          </c:tx>
          <c:spPr>
            <a:solidFill>
              <a:schemeClr val="accent3"/>
            </a:solidFill>
          </c:spPr>
          <c:invertIfNegative val="0"/>
          <c:cat>
            <c:numRef>
              <c:f>'KPI 87'!$E$18:$P$18</c:f>
              <c:numCache>
                <c:formatCode>mmm\-yy</c:formatCode>
                <c:ptCount val="12"/>
                <c:pt idx="0">
                  <c:v>45839</c:v>
                </c:pt>
                <c:pt idx="1">
                  <c:v>45870</c:v>
                </c:pt>
                <c:pt idx="2">
                  <c:v>45901</c:v>
                </c:pt>
                <c:pt idx="3">
                  <c:v>45931</c:v>
                </c:pt>
                <c:pt idx="4">
                  <c:v>45962</c:v>
                </c:pt>
                <c:pt idx="5">
                  <c:v>45992</c:v>
                </c:pt>
                <c:pt idx="6">
                  <c:v>46023</c:v>
                </c:pt>
                <c:pt idx="7">
                  <c:v>46054</c:v>
                </c:pt>
                <c:pt idx="8">
                  <c:v>46082</c:v>
                </c:pt>
                <c:pt idx="9">
                  <c:v>46113</c:v>
                </c:pt>
                <c:pt idx="10">
                  <c:v>46143</c:v>
                </c:pt>
                <c:pt idx="11">
                  <c:v>46174</c:v>
                </c:pt>
              </c:numCache>
            </c:numRef>
          </c:cat>
          <c:val>
            <c:numRef>
              <c:f>'KPI 87'!$E$21:$P$21</c:f>
              <c:numCache>
                <c:formatCode>0</c:formatCode>
                <c:ptCount val="12"/>
                <c:pt idx="0">
                  <c:v>17938</c:v>
                </c:pt>
                <c:pt idx="1">
                  <c:v>22874</c:v>
                </c:pt>
                <c:pt idx="2">
                  <c:v>20854</c:v>
                </c:pt>
                <c:pt idx="3">
                  <c:v>19690</c:v>
                </c:pt>
                <c:pt idx="4">
                  <c:v>22452</c:v>
                </c:pt>
                <c:pt idx="5">
                  <c:v>13727</c:v>
                </c:pt>
                <c:pt idx="6">
                  <c:v>22903</c:v>
                </c:pt>
                <c:pt idx="7">
                  <c:v>22724</c:v>
                </c:pt>
                <c:pt idx="8">
                  <c:v>23737</c:v>
                </c:pt>
                <c:pt idx="9">
                  <c:v>14918</c:v>
                </c:pt>
                <c:pt idx="10">
                  <c:v>19396</c:v>
                </c:pt>
                <c:pt idx="11">
                  <c:v>20427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9A1-48D4-9490-6615E3B0D0C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839488"/>
        <c:axId val="1841024"/>
      </c:barChart>
      <c:lineChart>
        <c:grouping val="standard"/>
        <c:varyColors val="0"/>
        <c:ser>
          <c:idx val="0"/>
          <c:order val="0"/>
          <c:tx>
            <c:strRef>
              <c:f>'KPI 87'!$D$19</c:f>
              <c:strCache>
                <c:ptCount val="1"/>
                <c:pt idx="0">
                  <c:v>Budget 2025-26</c:v>
                </c:pt>
              </c:strCache>
            </c:strRef>
          </c:tx>
          <c:spPr>
            <a:ln>
              <a:solidFill>
                <a:srgbClr val="FF0000"/>
              </a:solidFill>
            </a:ln>
          </c:spPr>
          <c:marker>
            <c:symbol val="none"/>
          </c:marker>
          <c:cat>
            <c:numRef>
              <c:f>'KPI 87'!$E$18:$P$18</c:f>
              <c:numCache>
                <c:formatCode>mmm\-yy</c:formatCode>
                <c:ptCount val="12"/>
                <c:pt idx="0">
                  <c:v>45839</c:v>
                </c:pt>
                <c:pt idx="1">
                  <c:v>45870</c:v>
                </c:pt>
                <c:pt idx="2">
                  <c:v>45901</c:v>
                </c:pt>
                <c:pt idx="3">
                  <c:v>45931</c:v>
                </c:pt>
                <c:pt idx="4">
                  <c:v>45962</c:v>
                </c:pt>
                <c:pt idx="5">
                  <c:v>45992</c:v>
                </c:pt>
                <c:pt idx="6">
                  <c:v>46023</c:v>
                </c:pt>
                <c:pt idx="7">
                  <c:v>46054</c:v>
                </c:pt>
                <c:pt idx="8">
                  <c:v>46082</c:v>
                </c:pt>
                <c:pt idx="9">
                  <c:v>46113</c:v>
                </c:pt>
                <c:pt idx="10">
                  <c:v>46143</c:v>
                </c:pt>
                <c:pt idx="11">
                  <c:v>46174</c:v>
                </c:pt>
              </c:numCache>
            </c:numRef>
          </c:cat>
          <c:val>
            <c:numRef>
              <c:f>'KPI 87'!$E$19:$P$19</c:f>
              <c:numCache>
                <c:formatCode>0</c:formatCode>
                <c:ptCount val="12"/>
                <c:pt idx="0">
                  <c:v>21090.847636599865</c:v>
                </c:pt>
                <c:pt idx="1">
                  <c:v>21163.054104961095</c:v>
                </c:pt>
                <c:pt idx="2">
                  <c:v>21235.260573322324</c:v>
                </c:pt>
                <c:pt idx="3">
                  <c:v>21307.467041683554</c:v>
                </c:pt>
                <c:pt idx="4">
                  <c:v>21379.673510044788</c:v>
                </c:pt>
                <c:pt idx="5">
                  <c:v>21451.879978406017</c:v>
                </c:pt>
                <c:pt idx="6">
                  <c:v>21524.086446767247</c:v>
                </c:pt>
                <c:pt idx="7">
                  <c:v>21596.292915128477</c:v>
                </c:pt>
                <c:pt idx="8">
                  <c:v>21668.499383489707</c:v>
                </c:pt>
                <c:pt idx="9">
                  <c:v>21740.70585185094</c:v>
                </c:pt>
                <c:pt idx="10">
                  <c:v>21812.912320212166</c:v>
                </c:pt>
                <c:pt idx="11">
                  <c:v>21885.1187885734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49A1-48D4-9490-6615E3B0D0C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839488"/>
        <c:axId val="1841024"/>
      </c:lineChart>
      <c:dateAx>
        <c:axId val="1839488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crossAx val="1841024"/>
        <c:crosses val="autoZero"/>
        <c:auto val="1"/>
        <c:lblOffset val="100"/>
        <c:baseTimeUnit val="months"/>
      </c:dateAx>
      <c:valAx>
        <c:axId val="1841024"/>
        <c:scaling>
          <c:orientation val="minMax"/>
        </c:scaling>
        <c:delete val="0"/>
        <c:axPos val="l"/>
        <c:majorGridlines/>
        <c:numFmt formatCode="0" sourceLinked="1"/>
        <c:majorTickMark val="out"/>
        <c:minorTickMark val="none"/>
        <c:tickLblPos val="nextTo"/>
        <c:crossAx val="1839488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000000000000822" l="0.70000000000000062" r="0.70000000000000062" t="0.75000000000000822" header="0.30000000000000032" footer="0.30000000000000032"/>
    <c:pageSetup/>
  </c:printSettings>
</c:chartSpace>
</file>

<file path=xl/charts/chart10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1"/>
          <c:order val="1"/>
          <c:tx>
            <c:strRef>
              <c:f>'KPI 88'!$D$20</c:f>
              <c:strCache>
                <c:ptCount val="1"/>
                <c:pt idx="0">
                  <c:v>Actual 2025-26</c:v>
                </c:pt>
              </c:strCache>
            </c:strRef>
          </c:tx>
          <c:spPr>
            <a:solidFill>
              <a:schemeClr val="accent1"/>
            </a:solidFill>
          </c:spPr>
          <c:invertIfNegative val="0"/>
          <c:cat>
            <c:numRef>
              <c:f>'KPI 88'!$E$18:$P$18</c:f>
              <c:numCache>
                <c:formatCode>mmm\-yy</c:formatCode>
                <c:ptCount val="12"/>
                <c:pt idx="0">
                  <c:v>45839</c:v>
                </c:pt>
                <c:pt idx="1">
                  <c:v>45870</c:v>
                </c:pt>
                <c:pt idx="2">
                  <c:v>45901</c:v>
                </c:pt>
                <c:pt idx="3">
                  <c:v>45931</c:v>
                </c:pt>
                <c:pt idx="4">
                  <c:v>45962</c:v>
                </c:pt>
                <c:pt idx="5">
                  <c:v>45992</c:v>
                </c:pt>
                <c:pt idx="6">
                  <c:v>46023</c:v>
                </c:pt>
                <c:pt idx="7">
                  <c:v>46054</c:v>
                </c:pt>
                <c:pt idx="8">
                  <c:v>46082</c:v>
                </c:pt>
                <c:pt idx="9">
                  <c:v>46113</c:v>
                </c:pt>
                <c:pt idx="10">
                  <c:v>46143</c:v>
                </c:pt>
                <c:pt idx="11">
                  <c:v>46174</c:v>
                </c:pt>
              </c:numCache>
            </c:numRef>
          </c:cat>
          <c:val>
            <c:numRef>
              <c:f>'KPI 88'!$E$20:$P$20</c:f>
              <c:numCache>
                <c:formatCode>0</c:formatCode>
                <c:ptCount val="12"/>
                <c:pt idx="0">
                  <c:v>3647</c:v>
                </c:pt>
                <c:pt idx="1">
                  <c:v>5246</c:v>
                </c:pt>
                <c:pt idx="2">
                  <c:v>3082</c:v>
                </c:pt>
                <c:pt idx="3">
                  <c:v>6072</c:v>
                </c:pt>
                <c:pt idx="4">
                  <c:v>2456</c:v>
                </c:pt>
                <c:pt idx="5">
                  <c:v>4265</c:v>
                </c:pt>
                <c:pt idx="6">
                  <c:v>6868</c:v>
                </c:pt>
                <c:pt idx="7">
                  <c:v>5749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6D1-4792-BE63-5F48BC644812}"/>
            </c:ext>
          </c:extLst>
        </c:ser>
        <c:ser>
          <c:idx val="4"/>
          <c:order val="2"/>
          <c:tx>
            <c:strRef>
              <c:f>'KPI 88'!$D$21</c:f>
              <c:strCache>
                <c:ptCount val="1"/>
                <c:pt idx="0">
                  <c:v>Actual 2024-25</c:v>
                </c:pt>
              </c:strCache>
            </c:strRef>
          </c:tx>
          <c:spPr>
            <a:solidFill>
              <a:schemeClr val="accent3"/>
            </a:solidFill>
          </c:spPr>
          <c:invertIfNegative val="0"/>
          <c:cat>
            <c:numRef>
              <c:f>'KPI 88'!$E$18:$P$18</c:f>
              <c:numCache>
                <c:formatCode>mmm\-yy</c:formatCode>
                <c:ptCount val="12"/>
                <c:pt idx="0">
                  <c:v>45839</c:v>
                </c:pt>
                <c:pt idx="1">
                  <c:v>45870</c:v>
                </c:pt>
                <c:pt idx="2">
                  <c:v>45901</c:v>
                </c:pt>
                <c:pt idx="3">
                  <c:v>45931</c:v>
                </c:pt>
                <c:pt idx="4">
                  <c:v>45962</c:v>
                </c:pt>
                <c:pt idx="5">
                  <c:v>45992</c:v>
                </c:pt>
                <c:pt idx="6">
                  <c:v>46023</c:v>
                </c:pt>
                <c:pt idx="7">
                  <c:v>46054</c:v>
                </c:pt>
                <c:pt idx="8">
                  <c:v>46082</c:v>
                </c:pt>
                <c:pt idx="9">
                  <c:v>46113</c:v>
                </c:pt>
                <c:pt idx="10">
                  <c:v>46143</c:v>
                </c:pt>
                <c:pt idx="11">
                  <c:v>46174</c:v>
                </c:pt>
              </c:numCache>
            </c:numRef>
          </c:cat>
          <c:val>
            <c:numRef>
              <c:f>'KPI 88'!$E$21:$P$21</c:f>
              <c:numCache>
                <c:formatCode>0</c:formatCode>
                <c:ptCount val="12"/>
                <c:pt idx="0">
                  <c:v>4199</c:v>
                </c:pt>
                <c:pt idx="1">
                  <c:v>5820</c:v>
                </c:pt>
                <c:pt idx="2">
                  <c:v>5572</c:v>
                </c:pt>
                <c:pt idx="3">
                  <c:v>5293</c:v>
                </c:pt>
                <c:pt idx="4">
                  <c:v>5341</c:v>
                </c:pt>
                <c:pt idx="5">
                  <c:v>2778</c:v>
                </c:pt>
                <c:pt idx="6">
                  <c:v>3269</c:v>
                </c:pt>
                <c:pt idx="7">
                  <c:v>3727</c:v>
                </c:pt>
                <c:pt idx="8">
                  <c:v>4674</c:v>
                </c:pt>
                <c:pt idx="9">
                  <c:v>1973</c:v>
                </c:pt>
                <c:pt idx="10">
                  <c:v>1943</c:v>
                </c:pt>
                <c:pt idx="11">
                  <c:v>3280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6D1-4792-BE63-5F48BC64481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25507072"/>
        <c:axId val="125508608"/>
      </c:barChart>
      <c:lineChart>
        <c:grouping val="standard"/>
        <c:varyColors val="0"/>
        <c:ser>
          <c:idx val="0"/>
          <c:order val="0"/>
          <c:tx>
            <c:strRef>
              <c:f>'KPI 88'!$D$19</c:f>
              <c:strCache>
                <c:ptCount val="1"/>
                <c:pt idx="0">
                  <c:v>Budget 2025-26</c:v>
                </c:pt>
              </c:strCache>
            </c:strRef>
          </c:tx>
          <c:spPr>
            <a:ln>
              <a:solidFill>
                <a:srgbClr val="FF0000"/>
              </a:solidFill>
            </a:ln>
          </c:spPr>
          <c:marker>
            <c:symbol val="none"/>
          </c:marker>
          <c:cat>
            <c:numRef>
              <c:f>'KPI 88'!$E$18:$P$18</c:f>
              <c:numCache>
                <c:formatCode>mmm\-yy</c:formatCode>
                <c:ptCount val="12"/>
                <c:pt idx="0">
                  <c:v>45839</c:v>
                </c:pt>
                <c:pt idx="1">
                  <c:v>45870</c:v>
                </c:pt>
                <c:pt idx="2">
                  <c:v>45901</c:v>
                </c:pt>
                <c:pt idx="3">
                  <c:v>45931</c:v>
                </c:pt>
                <c:pt idx="4">
                  <c:v>45962</c:v>
                </c:pt>
                <c:pt idx="5">
                  <c:v>45992</c:v>
                </c:pt>
                <c:pt idx="6">
                  <c:v>46023</c:v>
                </c:pt>
                <c:pt idx="7">
                  <c:v>46054</c:v>
                </c:pt>
                <c:pt idx="8">
                  <c:v>46082</c:v>
                </c:pt>
                <c:pt idx="9">
                  <c:v>46113</c:v>
                </c:pt>
                <c:pt idx="10">
                  <c:v>46143</c:v>
                </c:pt>
                <c:pt idx="11">
                  <c:v>46174</c:v>
                </c:pt>
              </c:numCache>
            </c:numRef>
          </c:cat>
          <c:val>
            <c:numRef>
              <c:f>'KPI 88'!$E$19:$P$19</c:f>
              <c:numCache>
                <c:formatCode>0</c:formatCode>
                <c:ptCount val="12"/>
                <c:pt idx="0">
                  <c:v>4593.0535651389737</c:v>
                </c:pt>
                <c:pt idx="1">
                  <c:v>4663.4607920254339</c:v>
                </c:pt>
                <c:pt idx="2">
                  <c:v>4733.8680189118932</c:v>
                </c:pt>
                <c:pt idx="3">
                  <c:v>4804.2752457983534</c:v>
                </c:pt>
                <c:pt idx="4">
                  <c:v>4874.6824726848126</c:v>
                </c:pt>
                <c:pt idx="5">
                  <c:v>4945.0896995712728</c:v>
                </c:pt>
                <c:pt idx="6">
                  <c:v>5015.4969264577321</c:v>
                </c:pt>
                <c:pt idx="7">
                  <c:v>5085.9041533441923</c:v>
                </c:pt>
                <c:pt idx="8">
                  <c:v>5156.3113802306516</c:v>
                </c:pt>
                <c:pt idx="9">
                  <c:v>5226.7186071171118</c:v>
                </c:pt>
                <c:pt idx="10">
                  <c:v>5297.1258340035711</c:v>
                </c:pt>
                <c:pt idx="11">
                  <c:v>5367.5330608900313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6D1-4792-BE63-5F48BC64481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25507072"/>
        <c:axId val="125508608"/>
      </c:lineChart>
      <c:dateAx>
        <c:axId val="125507072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crossAx val="125508608"/>
        <c:crosses val="autoZero"/>
        <c:auto val="1"/>
        <c:lblOffset val="100"/>
        <c:baseTimeUnit val="months"/>
      </c:dateAx>
      <c:valAx>
        <c:axId val="125508608"/>
        <c:scaling>
          <c:orientation val="minMax"/>
        </c:scaling>
        <c:delete val="0"/>
        <c:axPos val="l"/>
        <c:majorGridlines/>
        <c:numFmt formatCode="0" sourceLinked="1"/>
        <c:majorTickMark val="out"/>
        <c:minorTickMark val="none"/>
        <c:tickLblPos val="nextTo"/>
        <c:crossAx val="125507072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000000000000822" l="0.70000000000000062" r="0.70000000000000062" t="0.75000000000000822" header="0.30000000000000032" footer="0.30000000000000032"/>
    <c:pageSetup/>
  </c:printSettings>
</c:chartSpace>
</file>

<file path=xl/charts/chart10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1"/>
          <c:order val="1"/>
          <c:tx>
            <c:strRef>
              <c:f>'KPI 88'!$D$20</c:f>
              <c:strCache>
                <c:ptCount val="1"/>
                <c:pt idx="0">
                  <c:v>Actual 2025-26</c:v>
                </c:pt>
              </c:strCache>
            </c:strRef>
          </c:tx>
          <c:spPr>
            <a:solidFill>
              <a:schemeClr val="accent1"/>
            </a:solidFill>
          </c:spPr>
          <c:invertIfNegative val="0"/>
          <c:cat>
            <c:numRef>
              <c:f>'KPI 88'!$E$18:$P$18</c:f>
              <c:numCache>
                <c:formatCode>mmm\-yy</c:formatCode>
                <c:ptCount val="12"/>
                <c:pt idx="0">
                  <c:v>45839</c:v>
                </c:pt>
                <c:pt idx="1">
                  <c:v>45870</c:v>
                </c:pt>
                <c:pt idx="2">
                  <c:v>45901</c:v>
                </c:pt>
                <c:pt idx="3">
                  <c:v>45931</c:v>
                </c:pt>
                <c:pt idx="4">
                  <c:v>45962</c:v>
                </c:pt>
                <c:pt idx="5">
                  <c:v>45992</c:v>
                </c:pt>
                <c:pt idx="6">
                  <c:v>46023</c:v>
                </c:pt>
                <c:pt idx="7">
                  <c:v>46054</c:v>
                </c:pt>
                <c:pt idx="8">
                  <c:v>46082</c:v>
                </c:pt>
                <c:pt idx="9">
                  <c:v>46113</c:v>
                </c:pt>
                <c:pt idx="10">
                  <c:v>46143</c:v>
                </c:pt>
                <c:pt idx="11">
                  <c:v>46174</c:v>
                </c:pt>
              </c:numCache>
            </c:numRef>
          </c:cat>
          <c:val>
            <c:numRef>
              <c:f>'KPI 88'!$E$20:$P$20</c:f>
              <c:numCache>
                <c:formatCode>0</c:formatCode>
                <c:ptCount val="12"/>
                <c:pt idx="0">
                  <c:v>3647</c:v>
                </c:pt>
                <c:pt idx="1">
                  <c:v>5246</c:v>
                </c:pt>
                <c:pt idx="2">
                  <c:v>3082</c:v>
                </c:pt>
                <c:pt idx="3">
                  <c:v>6072</c:v>
                </c:pt>
                <c:pt idx="4">
                  <c:v>2456</c:v>
                </c:pt>
                <c:pt idx="5">
                  <c:v>4265</c:v>
                </c:pt>
                <c:pt idx="6">
                  <c:v>6868</c:v>
                </c:pt>
                <c:pt idx="7">
                  <c:v>5749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A41-46C5-85C5-6C033E0D506E}"/>
            </c:ext>
          </c:extLst>
        </c:ser>
        <c:ser>
          <c:idx val="4"/>
          <c:order val="2"/>
          <c:tx>
            <c:strRef>
              <c:f>'KPI 88'!$D$21</c:f>
              <c:strCache>
                <c:ptCount val="1"/>
                <c:pt idx="0">
                  <c:v>Actual 2024-25</c:v>
                </c:pt>
              </c:strCache>
            </c:strRef>
          </c:tx>
          <c:spPr>
            <a:solidFill>
              <a:schemeClr val="accent3"/>
            </a:solidFill>
          </c:spPr>
          <c:invertIfNegative val="0"/>
          <c:cat>
            <c:numRef>
              <c:f>'KPI 88'!$E$18:$P$18</c:f>
              <c:numCache>
                <c:formatCode>mmm\-yy</c:formatCode>
                <c:ptCount val="12"/>
                <c:pt idx="0">
                  <c:v>45839</c:v>
                </c:pt>
                <c:pt idx="1">
                  <c:v>45870</c:v>
                </c:pt>
                <c:pt idx="2">
                  <c:v>45901</c:v>
                </c:pt>
                <c:pt idx="3">
                  <c:v>45931</c:v>
                </c:pt>
                <c:pt idx="4">
                  <c:v>45962</c:v>
                </c:pt>
                <c:pt idx="5">
                  <c:v>45992</c:v>
                </c:pt>
                <c:pt idx="6">
                  <c:v>46023</c:v>
                </c:pt>
                <c:pt idx="7">
                  <c:v>46054</c:v>
                </c:pt>
                <c:pt idx="8">
                  <c:v>46082</c:v>
                </c:pt>
                <c:pt idx="9">
                  <c:v>46113</c:v>
                </c:pt>
                <c:pt idx="10">
                  <c:v>46143</c:v>
                </c:pt>
                <c:pt idx="11">
                  <c:v>46174</c:v>
                </c:pt>
              </c:numCache>
            </c:numRef>
          </c:cat>
          <c:val>
            <c:numRef>
              <c:f>'KPI 88'!$E$21:$P$21</c:f>
              <c:numCache>
                <c:formatCode>0</c:formatCode>
                <c:ptCount val="12"/>
                <c:pt idx="0">
                  <c:v>4199</c:v>
                </c:pt>
                <c:pt idx="1">
                  <c:v>5820</c:v>
                </c:pt>
                <c:pt idx="2">
                  <c:v>5572</c:v>
                </c:pt>
                <c:pt idx="3">
                  <c:v>5293</c:v>
                </c:pt>
                <c:pt idx="4">
                  <c:v>5341</c:v>
                </c:pt>
                <c:pt idx="5">
                  <c:v>2778</c:v>
                </c:pt>
                <c:pt idx="6">
                  <c:v>3269</c:v>
                </c:pt>
                <c:pt idx="7">
                  <c:v>3727</c:v>
                </c:pt>
                <c:pt idx="8">
                  <c:v>4674</c:v>
                </c:pt>
                <c:pt idx="9">
                  <c:v>1973</c:v>
                </c:pt>
                <c:pt idx="10">
                  <c:v>1943</c:v>
                </c:pt>
                <c:pt idx="11">
                  <c:v>3280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A41-46C5-85C5-6C033E0D506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25507072"/>
        <c:axId val="125508608"/>
      </c:barChart>
      <c:lineChart>
        <c:grouping val="standard"/>
        <c:varyColors val="0"/>
        <c:ser>
          <c:idx val="0"/>
          <c:order val="0"/>
          <c:tx>
            <c:strRef>
              <c:f>'KPI 88'!$D$19</c:f>
              <c:strCache>
                <c:ptCount val="1"/>
                <c:pt idx="0">
                  <c:v>Budget 2025-26</c:v>
                </c:pt>
              </c:strCache>
            </c:strRef>
          </c:tx>
          <c:spPr>
            <a:ln>
              <a:solidFill>
                <a:srgbClr val="FF0000"/>
              </a:solidFill>
            </a:ln>
          </c:spPr>
          <c:marker>
            <c:symbol val="none"/>
          </c:marker>
          <c:cat>
            <c:numRef>
              <c:f>'KPI 88'!$E$18:$P$18</c:f>
              <c:numCache>
                <c:formatCode>mmm\-yy</c:formatCode>
                <c:ptCount val="12"/>
                <c:pt idx="0">
                  <c:v>45839</c:v>
                </c:pt>
                <c:pt idx="1">
                  <c:v>45870</c:v>
                </c:pt>
                <c:pt idx="2">
                  <c:v>45901</c:v>
                </c:pt>
                <c:pt idx="3">
                  <c:v>45931</c:v>
                </c:pt>
                <c:pt idx="4">
                  <c:v>45962</c:v>
                </c:pt>
                <c:pt idx="5">
                  <c:v>45992</c:v>
                </c:pt>
                <c:pt idx="6">
                  <c:v>46023</c:v>
                </c:pt>
                <c:pt idx="7">
                  <c:v>46054</c:v>
                </c:pt>
                <c:pt idx="8">
                  <c:v>46082</c:v>
                </c:pt>
                <c:pt idx="9">
                  <c:v>46113</c:v>
                </c:pt>
                <c:pt idx="10">
                  <c:v>46143</c:v>
                </c:pt>
                <c:pt idx="11">
                  <c:v>46174</c:v>
                </c:pt>
              </c:numCache>
            </c:numRef>
          </c:cat>
          <c:val>
            <c:numRef>
              <c:f>'KPI 88'!$E$19:$P$19</c:f>
              <c:numCache>
                <c:formatCode>0</c:formatCode>
                <c:ptCount val="12"/>
                <c:pt idx="0">
                  <c:v>4593.0535651389737</c:v>
                </c:pt>
                <c:pt idx="1">
                  <c:v>4663.4607920254339</c:v>
                </c:pt>
                <c:pt idx="2">
                  <c:v>4733.8680189118932</c:v>
                </c:pt>
                <c:pt idx="3">
                  <c:v>4804.2752457983534</c:v>
                </c:pt>
                <c:pt idx="4">
                  <c:v>4874.6824726848126</c:v>
                </c:pt>
                <c:pt idx="5">
                  <c:v>4945.0896995712728</c:v>
                </c:pt>
                <c:pt idx="6">
                  <c:v>5015.4969264577321</c:v>
                </c:pt>
                <c:pt idx="7">
                  <c:v>5085.9041533441923</c:v>
                </c:pt>
                <c:pt idx="8">
                  <c:v>5156.3113802306516</c:v>
                </c:pt>
                <c:pt idx="9">
                  <c:v>5226.7186071171118</c:v>
                </c:pt>
                <c:pt idx="10">
                  <c:v>5297.1258340035711</c:v>
                </c:pt>
                <c:pt idx="11">
                  <c:v>5367.5330608900313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A41-46C5-85C5-6C033E0D506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25507072"/>
        <c:axId val="125508608"/>
      </c:lineChart>
      <c:dateAx>
        <c:axId val="125507072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crossAx val="125508608"/>
        <c:crosses val="autoZero"/>
        <c:auto val="1"/>
        <c:lblOffset val="100"/>
        <c:baseTimeUnit val="months"/>
      </c:dateAx>
      <c:valAx>
        <c:axId val="125508608"/>
        <c:scaling>
          <c:orientation val="minMax"/>
        </c:scaling>
        <c:delete val="0"/>
        <c:axPos val="l"/>
        <c:majorGridlines/>
        <c:numFmt formatCode="0" sourceLinked="1"/>
        <c:majorTickMark val="out"/>
        <c:minorTickMark val="none"/>
        <c:tickLblPos val="nextTo"/>
        <c:crossAx val="125507072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000000000000822" l="0.70000000000000062" r="0.70000000000000062" t="0.75000000000000822" header="0.30000000000000032" footer="0.30000000000000032"/>
    <c:pageSetup/>
  </c:printSettings>
</c:chartSpace>
</file>

<file path=xl/charts/chart1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1"/>
          <c:order val="1"/>
          <c:tx>
            <c:strRef>
              <c:f>'KPI 88'!$D$20</c:f>
              <c:strCache>
                <c:ptCount val="1"/>
                <c:pt idx="0">
                  <c:v>Actual 2025-26</c:v>
                </c:pt>
              </c:strCache>
            </c:strRef>
          </c:tx>
          <c:spPr>
            <a:solidFill>
              <a:schemeClr val="accent1"/>
            </a:solidFill>
          </c:spPr>
          <c:invertIfNegative val="0"/>
          <c:cat>
            <c:numRef>
              <c:f>'KPI 88'!$E$18:$P$18</c:f>
              <c:numCache>
                <c:formatCode>mmm\-yy</c:formatCode>
                <c:ptCount val="12"/>
                <c:pt idx="0">
                  <c:v>45839</c:v>
                </c:pt>
                <c:pt idx="1">
                  <c:v>45870</c:v>
                </c:pt>
                <c:pt idx="2">
                  <c:v>45901</c:v>
                </c:pt>
                <c:pt idx="3">
                  <c:v>45931</c:v>
                </c:pt>
                <c:pt idx="4">
                  <c:v>45962</c:v>
                </c:pt>
                <c:pt idx="5">
                  <c:v>45992</c:v>
                </c:pt>
                <c:pt idx="6">
                  <c:v>46023</c:v>
                </c:pt>
                <c:pt idx="7">
                  <c:v>46054</c:v>
                </c:pt>
                <c:pt idx="8">
                  <c:v>46082</c:v>
                </c:pt>
                <c:pt idx="9">
                  <c:v>46113</c:v>
                </c:pt>
                <c:pt idx="10">
                  <c:v>46143</c:v>
                </c:pt>
                <c:pt idx="11">
                  <c:v>46174</c:v>
                </c:pt>
              </c:numCache>
            </c:numRef>
          </c:cat>
          <c:val>
            <c:numRef>
              <c:f>'KPI 88'!$E$20:$P$20</c:f>
              <c:numCache>
                <c:formatCode>0</c:formatCode>
                <c:ptCount val="12"/>
                <c:pt idx="0">
                  <c:v>3647</c:v>
                </c:pt>
                <c:pt idx="1">
                  <c:v>5246</c:v>
                </c:pt>
                <c:pt idx="2">
                  <c:v>3082</c:v>
                </c:pt>
                <c:pt idx="3">
                  <c:v>6072</c:v>
                </c:pt>
                <c:pt idx="4">
                  <c:v>2456</c:v>
                </c:pt>
                <c:pt idx="5">
                  <c:v>4265</c:v>
                </c:pt>
                <c:pt idx="6">
                  <c:v>6868</c:v>
                </c:pt>
                <c:pt idx="7">
                  <c:v>5749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BCF-454E-9619-A1C40E23E183}"/>
            </c:ext>
          </c:extLst>
        </c:ser>
        <c:ser>
          <c:idx val="4"/>
          <c:order val="2"/>
          <c:tx>
            <c:strRef>
              <c:f>'KPI 88'!$D$21</c:f>
              <c:strCache>
                <c:ptCount val="1"/>
                <c:pt idx="0">
                  <c:v>Actual 2024-25</c:v>
                </c:pt>
              </c:strCache>
            </c:strRef>
          </c:tx>
          <c:spPr>
            <a:solidFill>
              <a:schemeClr val="accent3"/>
            </a:solidFill>
          </c:spPr>
          <c:invertIfNegative val="0"/>
          <c:cat>
            <c:numRef>
              <c:f>'KPI 88'!$E$18:$P$18</c:f>
              <c:numCache>
                <c:formatCode>mmm\-yy</c:formatCode>
                <c:ptCount val="12"/>
                <c:pt idx="0">
                  <c:v>45839</c:v>
                </c:pt>
                <c:pt idx="1">
                  <c:v>45870</c:v>
                </c:pt>
                <c:pt idx="2">
                  <c:v>45901</c:v>
                </c:pt>
                <c:pt idx="3">
                  <c:v>45931</c:v>
                </c:pt>
                <c:pt idx="4">
                  <c:v>45962</c:v>
                </c:pt>
                <c:pt idx="5">
                  <c:v>45992</c:v>
                </c:pt>
                <c:pt idx="6">
                  <c:v>46023</c:v>
                </c:pt>
                <c:pt idx="7">
                  <c:v>46054</c:v>
                </c:pt>
                <c:pt idx="8">
                  <c:v>46082</c:v>
                </c:pt>
                <c:pt idx="9">
                  <c:v>46113</c:v>
                </c:pt>
                <c:pt idx="10">
                  <c:v>46143</c:v>
                </c:pt>
                <c:pt idx="11">
                  <c:v>46174</c:v>
                </c:pt>
              </c:numCache>
            </c:numRef>
          </c:cat>
          <c:val>
            <c:numRef>
              <c:f>'KPI 88'!$E$21:$P$21</c:f>
              <c:numCache>
                <c:formatCode>0</c:formatCode>
                <c:ptCount val="12"/>
                <c:pt idx="0">
                  <c:v>4199</c:v>
                </c:pt>
                <c:pt idx="1">
                  <c:v>5820</c:v>
                </c:pt>
                <c:pt idx="2">
                  <c:v>5572</c:v>
                </c:pt>
                <c:pt idx="3">
                  <c:v>5293</c:v>
                </c:pt>
                <c:pt idx="4">
                  <c:v>5341</c:v>
                </c:pt>
                <c:pt idx="5">
                  <c:v>2778</c:v>
                </c:pt>
                <c:pt idx="6">
                  <c:v>3269</c:v>
                </c:pt>
                <c:pt idx="7">
                  <c:v>3727</c:v>
                </c:pt>
                <c:pt idx="8">
                  <c:v>4674</c:v>
                </c:pt>
                <c:pt idx="9">
                  <c:v>1973</c:v>
                </c:pt>
                <c:pt idx="10">
                  <c:v>1943</c:v>
                </c:pt>
                <c:pt idx="11">
                  <c:v>3280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BCF-454E-9619-A1C40E23E18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25507072"/>
        <c:axId val="125508608"/>
      </c:barChart>
      <c:lineChart>
        <c:grouping val="standard"/>
        <c:varyColors val="0"/>
        <c:ser>
          <c:idx val="0"/>
          <c:order val="0"/>
          <c:tx>
            <c:strRef>
              <c:f>'KPI 88'!$D$19</c:f>
              <c:strCache>
                <c:ptCount val="1"/>
                <c:pt idx="0">
                  <c:v>Budget 2025-26</c:v>
                </c:pt>
              </c:strCache>
            </c:strRef>
          </c:tx>
          <c:spPr>
            <a:ln>
              <a:solidFill>
                <a:srgbClr val="FF0000"/>
              </a:solidFill>
            </a:ln>
          </c:spPr>
          <c:marker>
            <c:symbol val="none"/>
          </c:marker>
          <c:cat>
            <c:numRef>
              <c:f>'KPI 88'!$E$18:$P$18</c:f>
              <c:numCache>
                <c:formatCode>mmm\-yy</c:formatCode>
                <c:ptCount val="12"/>
                <c:pt idx="0">
                  <c:v>45839</c:v>
                </c:pt>
                <c:pt idx="1">
                  <c:v>45870</c:v>
                </c:pt>
                <c:pt idx="2">
                  <c:v>45901</c:v>
                </c:pt>
                <c:pt idx="3">
                  <c:v>45931</c:v>
                </c:pt>
                <c:pt idx="4">
                  <c:v>45962</c:v>
                </c:pt>
                <c:pt idx="5">
                  <c:v>45992</c:v>
                </c:pt>
                <c:pt idx="6">
                  <c:v>46023</c:v>
                </c:pt>
                <c:pt idx="7">
                  <c:v>46054</c:v>
                </c:pt>
                <c:pt idx="8">
                  <c:v>46082</c:v>
                </c:pt>
                <c:pt idx="9">
                  <c:v>46113</c:v>
                </c:pt>
                <c:pt idx="10">
                  <c:v>46143</c:v>
                </c:pt>
                <c:pt idx="11">
                  <c:v>46174</c:v>
                </c:pt>
              </c:numCache>
            </c:numRef>
          </c:cat>
          <c:val>
            <c:numRef>
              <c:f>'KPI 88'!$E$19:$P$19</c:f>
              <c:numCache>
                <c:formatCode>0</c:formatCode>
                <c:ptCount val="12"/>
                <c:pt idx="0">
                  <c:v>4593.0535651389737</c:v>
                </c:pt>
                <c:pt idx="1">
                  <c:v>4663.4607920254339</c:v>
                </c:pt>
                <c:pt idx="2">
                  <c:v>4733.8680189118932</c:v>
                </c:pt>
                <c:pt idx="3">
                  <c:v>4804.2752457983534</c:v>
                </c:pt>
                <c:pt idx="4">
                  <c:v>4874.6824726848126</c:v>
                </c:pt>
                <c:pt idx="5">
                  <c:v>4945.0896995712728</c:v>
                </c:pt>
                <c:pt idx="6">
                  <c:v>5015.4969264577321</c:v>
                </c:pt>
                <c:pt idx="7">
                  <c:v>5085.9041533441923</c:v>
                </c:pt>
                <c:pt idx="8">
                  <c:v>5156.3113802306516</c:v>
                </c:pt>
                <c:pt idx="9">
                  <c:v>5226.7186071171118</c:v>
                </c:pt>
                <c:pt idx="10">
                  <c:v>5297.1258340035711</c:v>
                </c:pt>
                <c:pt idx="11">
                  <c:v>5367.5330608900313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BCF-454E-9619-A1C40E23E18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25507072"/>
        <c:axId val="125508608"/>
      </c:lineChart>
      <c:dateAx>
        <c:axId val="125507072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crossAx val="125508608"/>
        <c:crosses val="autoZero"/>
        <c:auto val="1"/>
        <c:lblOffset val="100"/>
        <c:baseTimeUnit val="months"/>
      </c:dateAx>
      <c:valAx>
        <c:axId val="125508608"/>
        <c:scaling>
          <c:orientation val="minMax"/>
        </c:scaling>
        <c:delete val="0"/>
        <c:axPos val="l"/>
        <c:majorGridlines/>
        <c:numFmt formatCode="0" sourceLinked="1"/>
        <c:majorTickMark val="out"/>
        <c:minorTickMark val="none"/>
        <c:tickLblPos val="nextTo"/>
        <c:crossAx val="125507072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000000000000822" l="0.70000000000000062" r="0.70000000000000062" t="0.75000000000000822" header="0.30000000000000032" footer="0.30000000000000032"/>
    <c:pageSetup/>
  </c:printSettings>
</c:chartSpace>
</file>

<file path=xl/charts/chart1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1"/>
          <c:order val="1"/>
          <c:tx>
            <c:strRef>
              <c:f>'KPI 89'!$D$20</c:f>
              <c:strCache>
                <c:ptCount val="1"/>
                <c:pt idx="0">
                  <c:v>Actual 2025-26</c:v>
                </c:pt>
              </c:strCache>
            </c:strRef>
          </c:tx>
          <c:spPr>
            <a:solidFill>
              <a:schemeClr val="accent1"/>
            </a:solidFill>
          </c:spPr>
          <c:invertIfNegative val="0"/>
          <c:cat>
            <c:numRef>
              <c:f>'KPI 89'!$E$18:$P$18</c:f>
              <c:numCache>
                <c:formatCode>mmm\-yy</c:formatCode>
                <c:ptCount val="12"/>
                <c:pt idx="0">
                  <c:v>45839</c:v>
                </c:pt>
                <c:pt idx="1">
                  <c:v>45870</c:v>
                </c:pt>
                <c:pt idx="2">
                  <c:v>45901</c:v>
                </c:pt>
                <c:pt idx="3">
                  <c:v>45931</c:v>
                </c:pt>
                <c:pt idx="4">
                  <c:v>45962</c:v>
                </c:pt>
                <c:pt idx="5">
                  <c:v>45992</c:v>
                </c:pt>
                <c:pt idx="6">
                  <c:v>46023</c:v>
                </c:pt>
                <c:pt idx="7">
                  <c:v>46054</c:v>
                </c:pt>
                <c:pt idx="8">
                  <c:v>46082</c:v>
                </c:pt>
                <c:pt idx="9">
                  <c:v>46113</c:v>
                </c:pt>
                <c:pt idx="10">
                  <c:v>46143</c:v>
                </c:pt>
                <c:pt idx="11">
                  <c:v>46174</c:v>
                </c:pt>
              </c:numCache>
            </c:numRef>
          </c:cat>
          <c:val>
            <c:numRef>
              <c:f>'KPI 89'!$E$20:$P$20</c:f>
              <c:numCache>
                <c:formatCode>0</c:formatCode>
                <c:ptCount val="12"/>
                <c:pt idx="0">
                  <c:v>31567</c:v>
                </c:pt>
                <c:pt idx="1">
                  <c:v>30396</c:v>
                </c:pt>
                <c:pt idx="2">
                  <c:v>26243</c:v>
                </c:pt>
                <c:pt idx="3">
                  <c:v>28789</c:v>
                </c:pt>
                <c:pt idx="4">
                  <c:v>24966</c:v>
                </c:pt>
                <c:pt idx="5">
                  <c:v>26222</c:v>
                </c:pt>
                <c:pt idx="6">
                  <c:v>31253</c:v>
                </c:pt>
                <c:pt idx="7">
                  <c:v>33644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87F-49BE-8DB6-4B7AC5CE9E4C}"/>
            </c:ext>
          </c:extLst>
        </c:ser>
        <c:ser>
          <c:idx val="4"/>
          <c:order val="2"/>
          <c:tx>
            <c:strRef>
              <c:f>'KPI 89'!$D$21</c:f>
              <c:strCache>
                <c:ptCount val="1"/>
                <c:pt idx="0">
                  <c:v>Actual 2024-25</c:v>
                </c:pt>
              </c:strCache>
            </c:strRef>
          </c:tx>
          <c:spPr>
            <a:solidFill>
              <a:schemeClr val="accent3"/>
            </a:solidFill>
          </c:spPr>
          <c:invertIfNegative val="0"/>
          <c:cat>
            <c:numRef>
              <c:f>'KPI 89'!$E$18:$P$18</c:f>
              <c:numCache>
                <c:formatCode>mmm\-yy</c:formatCode>
                <c:ptCount val="12"/>
                <c:pt idx="0">
                  <c:v>45839</c:v>
                </c:pt>
                <c:pt idx="1">
                  <c:v>45870</c:v>
                </c:pt>
                <c:pt idx="2">
                  <c:v>45901</c:v>
                </c:pt>
                <c:pt idx="3">
                  <c:v>45931</c:v>
                </c:pt>
                <c:pt idx="4">
                  <c:v>45962</c:v>
                </c:pt>
                <c:pt idx="5">
                  <c:v>45992</c:v>
                </c:pt>
                <c:pt idx="6">
                  <c:v>46023</c:v>
                </c:pt>
                <c:pt idx="7">
                  <c:v>46054</c:v>
                </c:pt>
                <c:pt idx="8">
                  <c:v>46082</c:v>
                </c:pt>
                <c:pt idx="9">
                  <c:v>46113</c:v>
                </c:pt>
                <c:pt idx="10">
                  <c:v>46143</c:v>
                </c:pt>
                <c:pt idx="11">
                  <c:v>46174</c:v>
                </c:pt>
              </c:numCache>
            </c:numRef>
          </c:cat>
          <c:val>
            <c:numRef>
              <c:f>'KPI 89'!$E$21:$P$21</c:f>
              <c:numCache>
                <c:formatCode>0</c:formatCode>
                <c:ptCount val="12"/>
              </c:numCache>
            </c:numRef>
          </c:val>
          <c:extLst>
            <c:ext xmlns:c16="http://schemas.microsoft.com/office/drawing/2014/chart" uri="{C3380CC4-5D6E-409C-BE32-E72D297353CC}">
              <c16:uniqueId val="{00000001-887F-49BE-8DB6-4B7AC5CE9E4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26057088"/>
        <c:axId val="126067072"/>
      </c:barChart>
      <c:lineChart>
        <c:grouping val="standard"/>
        <c:varyColors val="0"/>
        <c:ser>
          <c:idx val="0"/>
          <c:order val="0"/>
          <c:tx>
            <c:strRef>
              <c:f>'KPI 89'!$D$19</c:f>
              <c:strCache>
                <c:ptCount val="1"/>
                <c:pt idx="0">
                  <c:v>Budget 2025-26</c:v>
                </c:pt>
              </c:strCache>
            </c:strRef>
          </c:tx>
          <c:spPr>
            <a:ln>
              <a:solidFill>
                <a:srgbClr val="FF0000"/>
              </a:solidFill>
            </a:ln>
          </c:spPr>
          <c:marker>
            <c:symbol val="none"/>
          </c:marker>
          <c:cat>
            <c:numRef>
              <c:f>'KPI 89'!$E$18:$P$18</c:f>
              <c:numCache>
                <c:formatCode>mmm\-yy</c:formatCode>
                <c:ptCount val="12"/>
                <c:pt idx="0">
                  <c:v>45839</c:v>
                </c:pt>
                <c:pt idx="1">
                  <c:v>45870</c:v>
                </c:pt>
                <c:pt idx="2">
                  <c:v>45901</c:v>
                </c:pt>
                <c:pt idx="3">
                  <c:v>45931</c:v>
                </c:pt>
                <c:pt idx="4">
                  <c:v>45962</c:v>
                </c:pt>
                <c:pt idx="5">
                  <c:v>45992</c:v>
                </c:pt>
                <c:pt idx="6">
                  <c:v>46023</c:v>
                </c:pt>
                <c:pt idx="7">
                  <c:v>46054</c:v>
                </c:pt>
                <c:pt idx="8">
                  <c:v>46082</c:v>
                </c:pt>
                <c:pt idx="9">
                  <c:v>46113</c:v>
                </c:pt>
                <c:pt idx="10">
                  <c:v>46143</c:v>
                </c:pt>
                <c:pt idx="11">
                  <c:v>46174</c:v>
                </c:pt>
              </c:numCache>
            </c:numRef>
          </c:cat>
          <c:val>
            <c:numRef>
              <c:f>'KPI 89'!$E$19:$P$19</c:f>
              <c:numCache>
                <c:formatCode>0</c:formatCode>
                <c:ptCount val="12"/>
                <c:pt idx="0">
                  <c:v>28805.518725913207</c:v>
                </c:pt>
                <c:pt idx="1">
                  <c:v>29221.45184642047</c:v>
                </c:pt>
                <c:pt idx="2">
                  <c:v>29607.384966927733</c:v>
                </c:pt>
                <c:pt idx="3">
                  <c:v>29963.318087435</c:v>
                </c:pt>
                <c:pt idx="4">
                  <c:v>30319.251207942259</c:v>
                </c:pt>
                <c:pt idx="5">
                  <c:v>30645.184328449523</c:v>
                </c:pt>
                <c:pt idx="6">
                  <c:v>31118.149975071403</c:v>
                </c:pt>
                <c:pt idx="7">
                  <c:v>31471.261362380574</c:v>
                </c:pt>
                <c:pt idx="8">
                  <c:v>31824.372749689741</c:v>
                </c:pt>
                <c:pt idx="9">
                  <c:v>32132.557007342555</c:v>
                </c:pt>
                <c:pt idx="10">
                  <c:v>32440.741264995373</c:v>
                </c:pt>
                <c:pt idx="11">
                  <c:v>32748.925522648187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887F-49BE-8DB6-4B7AC5CE9E4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26057088"/>
        <c:axId val="126067072"/>
      </c:lineChart>
      <c:dateAx>
        <c:axId val="126057088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crossAx val="126067072"/>
        <c:crosses val="autoZero"/>
        <c:auto val="1"/>
        <c:lblOffset val="100"/>
        <c:baseTimeUnit val="months"/>
      </c:dateAx>
      <c:valAx>
        <c:axId val="126067072"/>
        <c:scaling>
          <c:orientation val="minMax"/>
        </c:scaling>
        <c:delete val="0"/>
        <c:axPos val="l"/>
        <c:majorGridlines/>
        <c:numFmt formatCode="0" sourceLinked="1"/>
        <c:majorTickMark val="out"/>
        <c:minorTickMark val="none"/>
        <c:tickLblPos val="nextTo"/>
        <c:crossAx val="126057088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000000000000822" l="0.70000000000000062" r="0.70000000000000062" t="0.75000000000000822" header="0.30000000000000032" footer="0.30000000000000032"/>
    <c:pageSetup/>
  </c:printSettings>
</c:chartSpace>
</file>

<file path=xl/charts/chart1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1"/>
          <c:order val="1"/>
          <c:tx>
            <c:strRef>
              <c:f>'KPI 90'!$D$20</c:f>
              <c:strCache>
                <c:ptCount val="1"/>
                <c:pt idx="0">
                  <c:v>Actual 2025-26</c:v>
                </c:pt>
              </c:strCache>
            </c:strRef>
          </c:tx>
          <c:spPr>
            <a:solidFill>
              <a:schemeClr val="accent1"/>
            </a:solidFill>
          </c:spPr>
          <c:invertIfNegative val="0"/>
          <c:cat>
            <c:numRef>
              <c:f>'KPI 90'!$E$18:$P$18</c:f>
              <c:numCache>
                <c:formatCode>mmm\-yy</c:formatCode>
                <c:ptCount val="12"/>
                <c:pt idx="0">
                  <c:v>45839</c:v>
                </c:pt>
                <c:pt idx="1">
                  <c:v>45870</c:v>
                </c:pt>
                <c:pt idx="2">
                  <c:v>45901</c:v>
                </c:pt>
                <c:pt idx="3">
                  <c:v>45931</c:v>
                </c:pt>
                <c:pt idx="4">
                  <c:v>45962</c:v>
                </c:pt>
                <c:pt idx="5">
                  <c:v>45992</c:v>
                </c:pt>
                <c:pt idx="6">
                  <c:v>46023</c:v>
                </c:pt>
                <c:pt idx="7">
                  <c:v>46054</c:v>
                </c:pt>
                <c:pt idx="8">
                  <c:v>46082</c:v>
                </c:pt>
                <c:pt idx="9">
                  <c:v>46113</c:v>
                </c:pt>
                <c:pt idx="10">
                  <c:v>46143</c:v>
                </c:pt>
                <c:pt idx="11">
                  <c:v>46174</c:v>
                </c:pt>
              </c:numCache>
            </c:numRef>
          </c:cat>
          <c:val>
            <c:numRef>
              <c:f>'KPI 90'!$E$20:$P$20</c:f>
              <c:numCache>
                <c:formatCode>0</c:formatCode>
                <c:ptCount val="12"/>
                <c:pt idx="0">
                  <c:v>1698200</c:v>
                </c:pt>
                <c:pt idx="1">
                  <c:v>2372360</c:v>
                </c:pt>
                <c:pt idx="2">
                  <c:v>2175500</c:v>
                </c:pt>
                <c:pt idx="3">
                  <c:v>2141510</c:v>
                </c:pt>
                <c:pt idx="4">
                  <c:v>1794540</c:v>
                </c:pt>
                <c:pt idx="5">
                  <c:v>1607470</c:v>
                </c:pt>
                <c:pt idx="6">
                  <c:v>2825780</c:v>
                </c:pt>
                <c:pt idx="7">
                  <c:v>2094940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91D-40A4-8641-D6AB64275F5B}"/>
            </c:ext>
          </c:extLst>
        </c:ser>
        <c:ser>
          <c:idx val="4"/>
          <c:order val="2"/>
          <c:tx>
            <c:strRef>
              <c:f>'KPI 90'!$D$21</c:f>
              <c:strCache>
                <c:ptCount val="1"/>
                <c:pt idx="0">
                  <c:v>Actual 2024-25</c:v>
                </c:pt>
              </c:strCache>
            </c:strRef>
          </c:tx>
          <c:spPr>
            <a:solidFill>
              <a:schemeClr val="accent3"/>
            </a:solidFill>
          </c:spPr>
          <c:invertIfNegative val="0"/>
          <c:cat>
            <c:numRef>
              <c:f>'KPI 90'!$E$18:$P$18</c:f>
              <c:numCache>
                <c:formatCode>mmm\-yy</c:formatCode>
                <c:ptCount val="12"/>
                <c:pt idx="0">
                  <c:v>45839</c:v>
                </c:pt>
                <c:pt idx="1">
                  <c:v>45870</c:v>
                </c:pt>
                <c:pt idx="2">
                  <c:v>45901</c:v>
                </c:pt>
                <c:pt idx="3">
                  <c:v>45931</c:v>
                </c:pt>
                <c:pt idx="4">
                  <c:v>45962</c:v>
                </c:pt>
                <c:pt idx="5">
                  <c:v>45992</c:v>
                </c:pt>
                <c:pt idx="6">
                  <c:v>46023</c:v>
                </c:pt>
                <c:pt idx="7">
                  <c:v>46054</c:v>
                </c:pt>
                <c:pt idx="8">
                  <c:v>46082</c:v>
                </c:pt>
                <c:pt idx="9">
                  <c:v>46113</c:v>
                </c:pt>
                <c:pt idx="10">
                  <c:v>46143</c:v>
                </c:pt>
                <c:pt idx="11">
                  <c:v>46174</c:v>
                </c:pt>
              </c:numCache>
            </c:numRef>
          </c:cat>
          <c:val>
            <c:numRef>
              <c:f>'KPI 90'!$E$21:$P$21</c:f>
              <c:numCache>
                <c:formatCode>0</c:formatCode>
                <c:ptCount val="12"/>
                <c:pt idx="0">
                  <c:v>1339524</c:v>
                </c:pt>
                <c:pt idx="1">
                  <c:v>1619063</c:v>
                </c:pt>
                <c:pt idx="2">
                  <c:v>1316585</c:v>
                </c:pt>
                <c:pt idx="3">
                  <c:v>1520693</c:v>
                </c:pt>
                <c:pt idx="4">
                  <c:v>1430127</c:v>
                </c:pt>
                <c:pt idx="5">
                  <c:v>942800</c:v>
                </c:pt>
                <c:pt idx="6">
                  <c:v>1962233</c:v>
                </c:pt>
                <c:pt idx="7">
                  <c:v>1449396</c:v>
                </c:pt>
                <c:pt idx="8">
                  <c:v>1472508</c:v>
                </c:pt>
                <c:pt idx="9">
                  <c:v>1957640</c:v>
                </c:pt>
                <c:pt idx="10">
                  <c:v>2066570</c:v>
                </c:pt>
                <c:pt idx="11">
                  <c:v>2002180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91D-40A4-8641-D6AB64275F5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26205952"/>
        <c:axId val="126207488"/>
      </c:barChart>
      <c:lineChart>
        <c:grouping val="standard"/>
        <c:varyColors val="0"/>
        <c:ser>
          <c:idx val="0"/>
          <c:order val="0"/>
          <c:tx>
            <c:strRef>
              <c:f>'KPI 90'!$D$19</c:f>
              <c:strCache>
                <c:ptCount val="1"/>
                <c:pt idx="0">
                  <c:v>Budget 2025-26</c:v>
                </c:pt>
              </c:strCache>
            </c:strRef>
          </c:tx>
          <c:spPr>
            <a:ln>
              <a:solidFill>
                <a:srgbClr val="FF0000"/>
              </a:solidFill>
            </a:ln>
          </c:spPr>
          <c:marker>
            <c:symbol val="none"/>
          </c:marker>
          <c:cat>
            <c:numRef>
              <c:f>'KPI 90'!$E$18:$P$18</c:f>
              <c:numCache>
                <c:formatCode>mmm\-yy</c:formatCode>
                <c:ptCount val="12"/>
                <c:pt idx="0">
                  <c:v>45839</c:v>
                </c:pt>
                <c:pt idx="1">
                  <c:v>45870</c:v>
                </c:pt>
                <c:pt idx="2">
                  <c:v>45901</c:v>
                </c:pt>
                <c:pt idx="3">
                  <c:v>45931</c:v>
                </c:pt>
                <c:pt idx="4">
                  <c:v>45962</c:v>
                </c:pt>
                <c:pt idx="5">
                  <c:v>45992</c:v>
                </c:pt>
                <c:pt idx="6">
                  <c:v>46023</c:v>
                </c:pt>
                <c:pt idx="7">
                  <c:v>46054</c:v>
                </c:pt>
                <c:pt idx="8">
                  <c:v>46082</c:v>
                </c:pt>
                <c:pt idx="9">
                  <c:v>46113</c:v>
                </c:pt>
                <c:pt idx="10">
                  <c:v>46143</c:v>
                </c:pt>
                <c:pt idx="11">
                  <c:v>46174</c:v>
                </c:pt>
              </c:numCache>
            </c:numRef>
          </c:cat>
          <c:val>
            <c:numRef>
              <c:f>'KPI 90'!$E$19:$P$19</c:f>
              <c:numCache>
                <c:formatCode>0</c:formatCode>
                <c:ptCount val="12"/>
                <c:pt idx="0">
                  <c:v>1752927.0586512885</c:v>
                </c:pt>
                <c:pt idx="1">
                  <c:v>1754378.3852636518</c:v>
                </c:pt>
                <c:pt idx="2">
                  <c:v>1755033.3425282673</c:v>
                </c:pt>
                <c:pt idx="3">
                  <c:v>1744176.5014120559</c:v>
                </c:pt>
                <c:pt idx="4">
                  <c:v>1734220.3937780771</c:v>
                </c:pt>
                <c:pt idx="5">
                  <c:v>1723786.7373200238</c:v>
                </c:pt>
                <c:pt idx="6">
                  <c:v>1717476.417078702</c:v>
                </c:pt>
                <c:pt idx="7">
                  <c:v>1710227.5106934104</c:v>
                </c:pt>
                <c:pt idx="8">
                  <c:v>1702694.1580974476</c:v>
                </c:pt>
                <c:pt idx="9">
                  <c:v>1698050.1592234008</c:v>
                </c:pt>
                <c:pt idx="10">
                  <c:v>1693550.1293134014</c:v>
                </c:pt>
                <c:pt idx="11">
                  <c:v>1689153.9266319557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991D-40A4-8641-D6AB64275F5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26205952"/>
        <c:axId val="126207488"/>
      </c:lineChart>
      <c:dateAx>
        <c:axId val="126205952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crossAx val="126207488"/>
        <c:crosses val="autoZero"/>
        <c:auto val="1"/>
        <c:lblOffset val="100"/>
        <c:baseTimeUnit val="months"/>
      </c:dateAx>
      <c:valAx>
        <c:axId val="126207488"/>
        <c:scaling>
          <c:orientation val="minMax"/>
        </c:scaling>
        <c:delete val="0"/>
        <c:axPos val="l"/>
        <c:majorGridlines/>
        <c:numFmt formatCode="0" sourceLinked="1"/>
        <c:majorTickMark val="out"/>
        <c:minorTickMark val="none"/>
        <c:tickLblPos val="nextTo"/>
        <c:crossAx val="126205952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000000000000822" l="0.70000000000000062" r="0.70000000000000062" t="0.75000000000000822" header="0.30000000000000032" footer="0.30000000000000032"/>
    <c:pageSetup/>
  </c:printSettings>
</c:chartSpace>
</file>

<file path=xl/charts/chart1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1"/>
          <c:order val="1"/>
          <c:tx>
            <c:strRef>
              <c:f>'KPI 91'!$D$20</c:f>
              <c:strCache>
                <c:ptCount val="1"/>
                <c:pt idx="0">
                  <c:v>Actual 2025-26</c:v>
                </c:pt>
              </c:strCache>
            </c:strRef>
          </c:tx>
          <c:spPr>
            <a:solidFill>
              <a:schemeClr val="accent1"/>
            </a:solidFill>
          </c:spPr>
          <c:invertIfNegative val="0"/>
          <c:cat>
            <c:numRef>
              <c:f>'KPI 91'!$E$18:$P$18</c:f>
              <c:numCache>
                <c:formatCode>mmm\-yy</c:formatCode>
                <c:ptCount val="12"/>
                <c:pt idx="0">
                  <c:v>45839</c:v>
                </c:pt>
                <c:pt idx="1">
                  <c:v>45870</c:v>
                </c:pt>
                <c:pt idx="2">
                  <c:v>45901</c:v>
                </c:pt>
                <c:pt idx="3">
                  <c:v>45931</c:v>
                </c:pt>
                <c:pt idx="4">
                  <c:v>45962</c:v>
                </c:pt>
                <c:pt idx="5">
                  <c:v>45992</c:v>
                </c:pt>
                <c:pt idx="6">
                  <c:v>46023</c:v>
                </c:pt>
                <c:pt idx="7">
                  <c:v>46054</c:v>
                </c:pt>
                <c:pt idx="8">
                  <c:v>46082</c:v>
                </c:pt>
                <c:pt idx="9">
                  <c:v>46113</c:v>
                </c:pt>
                <c:pt idx="10">
                  <c:v>46143</c:v>
                </c:pt>
                <c:pt idx="11">
                  <c:v>46174</c:v>
                </c:pt>
              </c:numCache>
            </c:numRef>
          </c:cat>
          <c:val>
            <c:numRef>
              <c:f>'KPI 91'!$E$20:$P$20</c:f>
              <c:numCache>
                <c:formatCode>0</c:formatCode>
                <c:ptCount val="12"/>
                <c:pt idx="0">
                  <c:v>2129980</c:v>
                </c:pt>
                <c:pt idx="1">
                  <c:v>2042080</c:v>
                </c:pt>
                <c:pt idx="2">
                  <c:v>1745610</c:v>
                </c:pt>
                <c:pt idx="3">
                  <c:v>2179260</c:v>
                </c:pt>
                <c:pt idx="4">
                  <c:v>2007170</c:v>
                </c:pt>
                <c:pt idx="5">
                  <c:v>1665490</c:v>
                </c:pt>
                <c:pt idx="6">
                  <c:v>2790210</c:v>
                </c:pt>
                <c:pt idx="7">
                  <c:v>2304200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34E-49A2-86A9-0A702EE46D4E}"/>
            </c:ext>
          </c:extLst>
        </c:ser>
        <c:ser>
          <c:idx val="4"/>
          <c:order val="2"/>
          <c:tx>
            <c:strRef>
              <c:f>'KPI 91'!$D$21</c:f>
              <c:strCache>
                <c:ptCount val="1"/>
                <c:pt idx="0">
                  <c:v>Actual 2024-25</c:v>
                </c:pt>
              </c:strCache>
            </c:strRef>
          </c:tx>
          <c:spPr>
            <a:solidFill>
              <a:schemeClr val="accent3"/>
            </a:solidFill>
          </c:spPr>
          <c:invertIfNegative val="0"/>
          <c:cat>
            <c:numRef>
              <c:f>'KPI 91'!$E$18:$P$18</c:f>
              <c:numCache>
                <c:formatCode>mmm\-yy</c:formatCode>
                <c:ptCount val="12"/>
                <c:pt idx="0">
                  <c:v>45839</c:v>
                </c:pt>
                <c:pt idx="1">
                  <c:v>45870</c:v>
                </c:pt>
                <c:pt idx="2">
                  <c:v>45901</c:v>
                </c:pt>
                <c:pt idx="3">
                  <c:v>45931</c:v>
                </c:pt>
                <c:pt idx="4">
                  <c:v>45962</c:v>
                </c:pt>
                <c:pt idx="5">
                  <c:v>45992</c:v>
                </c:pt>
                <c:pt idx="6">
                  <c:v>46023</c:v>
                </c:pt>
                <c:pt idx="7">
                  <c:v>46054</c:v>
                </c:pt>
                <c:pt idx="8">
                  <c:v>46082</c:v>
                </c:pt>
                <c:pt idx="9">
                  <c:v>46113</c:v>
                </c:pt>
                <c:pt idx="10">
                  <c:v>46143</c:v>
                </c:pt>
                <c:pt idx="11">
                  <c:v>46174</c:v>
                </c:pt>
              </c:numCache>
            </c:numRef>
          </c:cat>
          <c:val>
            <c:numRef>
              <c:f>'KPI 91'!$E$21:$P$21</c:f>
              <c:numCache>
                <c:formatCode>0</c:formatCode>
                <c:ptCount val="12"/>
                <c:pt idx="0">
                  <c:v>1114108</c:v>
                </c:pt>
                <c:pt idx="1">
                  <c:v>1869561</c:v>
                </c:pt>
                <c:pt idx="2">
                  <c:v>1298593</c:v>
                </c:pt>
                <c:pt idx="3">
                  <c:v>1287677</c:v>
                </c:pt>
                <c:pt idx="4">
                  <c:v>1286819</c:v>
                </c:pt>
                <c:pt idx="5">
                  <c:v>1014450</c:v>
                </c:pt>
                <c:pt idx="6">
                  <c:v>1701580</c:v>
                </c:pt>
                <c:pt idx="7">
                  <c:v>1456091</c:v>
                </c:pt>
                <c:pt idx="8">
                  <c:v>1493201</c:v>
                </c:pt>
                <c:pt idx="9">
                  <c:v>1903160</c:v>
                </c:pt>
                <c:pt idx="10">
                  <c:v>2465470</c:v>
                </c:pt>
                <c:pt idx="11">
                  <c:v>2483450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34E-49A2-86A9-0A702EE46D4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25641856"/>
        <c:axId val="125643392"/>
      </c:barChart>
      <c:lineChart>
        <c:grouping val="standard"/>
        <c:varyColors val="0"/>
        <c:ser>
          <c:idx val="0"/>
          <c:order val="0"/>
          <c:tx>
            <c:strRef>
              <c:f>'KPI 91'!$D$19</c:f>
              <c:strCache>
                <c:ptCount val="1"/>
                <c:pt idx="0">
                  <c:v>Budget 2025-26</c:v>
                </c:pt>
              </c:strCache>
            </c:strRef>
          </c:tx>
          <c:spPr>
            <a:ln>
              <a:solidFill>
                <a:srgbClr val="FF0000"/>
              </a:solidFill>
            </a:ln>
          </c:spPr>
          <c:marker>
            <c:symbol val="none"/>
          </c:marker>
          <c:cat>
            <c:numRef>
              <c:f>'KPI 91'!$E$18:$P$18</c:f>
              <c:numCache>
                <c:formatCode>mmm\-yy</c:formatCode>
                <c:ptCount val="12"/>
                <c:pt idx="0">
                  <c:v>45839</c:v>
                </c:pt>
                <c:pt idx="1">
                  <c:v>45870</c:v>
                </c:pt>
                <c:pt idx="2">
                  <c:v>45901</c:v>
                </c:pt>
                <c:pt idx="3">
                  <c:v>45931</c:v>
                </c:pt>
                <c:pt idx="4">
                  <c:v>45962</c:v>
                </c:pt>
                <c:pt idx="5">
                  <c:v>45992</c:v>
                </c:pt>
                <c:pt idx="6">
                  <c:v>46023</c:v>
                </c:pt>
                <c:pt idx="7">
                  <c:v>46054</c:v>
                </c:pt>
                <c:pt idx="8">
                  <c:v>46082</c:v>
                </c:pt>
                <c:pt idx="9">
                  <c:v>46113</c:v>
                </c:pt>
                <c:pt idx="10">
                  <c:v>46143</c:v>
                </c:pt>
                <c:pt idx="11">
                  <c:v>46174</c:v>
                </c:pt>
              </c:numCache>
            </c:numRef>
          </c:cat>
          <c:val>
            <c:numRef>
              <c:f>'KPI 91'!$E$19:$P$19</c:f>
              <c:numCache>
                <c:formatCode>0</c:formatCode>
                <c:ptCount val="12"/>
                <c:pt idx="0">
                  <c:v>1663282.8427858627</c:v>
                </c:pt>
                <c:pt idx="1">
                  <c:v>1688782.9571948145</c:v>
                </c:pt>
                <c:pt idx="2">
                  <c:v>1713512.5255645295</c:v>
                </c:pt>
                <c:pt idx="3">
                  <c:v>1726829.9130229065</c:v>
                </c:pt>
                <c:pt idx="4">
                  <c:v>1740721.2827597526</c:v>
                </c:pt>
                <c:pt idx="5">
                  <c:v>1753821.9649670271</c:v>
                </c:pt>
                <c:pt idx="6">
                  <c:v>1770856.9003018704</c:v>
                </c:pt>
                <c:pt idx="7">
                  <c:v>1786707.1541104387</c:v>
                </c:pt>
                <c:pt idx="8">
                  <c:v>1802027.094127028</c:v>
                </c:pt>
                <c:pt idx="9">
                  <c:v>1820207.7035114679</c:v>
                </c:pt>
                <c:pt idx="10">
                  <c:v>1838387.0224189812</c:v>
                </c:pt>
                <c:pt idx="11">
                  <c:v>1856527.1105331483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34E-49A2-86A9-0A702EE46D4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25641856"/>
        <c:axId val="125643392"/>
      </c:lineChart>
      <c:dateAx>
        <c:axId val="125641856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crossAx val="125643392"/>
        <c:crosses val="autoZero"/>
        <c:auto val="1"/>
        <c:lblOffset val="100"/>
        <c:baseTimeUnit val="months"/>
      </c:dateAx>
      <c:valAx>
        <c:axId val="125643392"/>
        <c:scaling>
          <c:orientation val="minMax"/>
        </c:scaling>
        <c:delete val="0"/>
        <c:axPos val="l"/>
        <c:majorGridlines/>
        <c:numFmt formatCode="0" sourceLinked="1"/>
        <c:majorTickMark val="out"/>
        <c:minorTickMark val="none"/>
        <c:tickLblPos val="nextTo"/>
        <c:crossAx val="125641856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000000000000822" l="0.70000000000000062" r="0.70000000000000062" t="0.75000000000000822" header="0.30000000000000032" footer="0.30000000000000032"/>
    <c:pageSetup/>
  </c:printSettings>
</c:chartSpace>
</file>

<file path=xl/charts/chart1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1"/>
          <c:order val="1"/>
          <c:tx>
            <c:strRef>
              <c:f>'KPI 92'!$D$20</c:f>
              <c:strCache>
                <c:ptCount val="1"/>
                <c:pt idx="0">
                  <c:v>Actual 2025-26</c:v>
                </c:pt>
              </c:strCache>
            </c:strRef>
          </c:tx>
          <c:spPr>
            <a:solidFill>
              <a:schemeClr val="accent1"/>
            </a:solidFill>
          </c:spPr>
          <c:invertIfNegative val="0"/>
          <c:cat>
            <c:numRef>
              <c:f>'KPI 92'!$E$18:$P$18</c:f>
              <c:numCache>
                <c:formatCode>mmm\-yy</c:formatCode>
                <c:ptCount val="12"/>
                <c:pt idx="0">
                  <c:v>45839</c:v>
                </c:pt>
                <c:pt idx="1">
                  <c:v>45870</c:v>
                </c:pt>
                <c:pt idx="2">
                  <c:v>45901</c:v>
                </c:pt>
                <c:pt idx="3">
                  <c:v>45931</c:v>
                </c:pt>
                <c:pt idx="4">
                  <c:v>45962</c:v>
                </c:pt>
                <c:pt idx="5">
                  <c:v>45992</c:v>
                </c:pt>
                <c:pt idx="6">
                  <c:v>46023</c:v>
                </c:pt>
                <c:pt idx="7">
                  <c:v>46054</c:v>
                </c:pt>
                <c:pt idx="8">
                  <c:v>46082</c:v>
                </c:pt>
                <c:pt idx="9">
                  <c:v>46113</c:v>
                </c:pt>
                <c:pt idx="10">
                  <c:v>46143</c:v>
                </c:pt>
                <c:pt idx="11">
                  <c:v>46174</c:v>
                </c:pt>
              </c:numCache>
            </c:numRef>
          </c:cat>
          <c:val>
            <c:numRef>
              <c:f>'KPI 92'!$E$20:$P$20</c:f>
              <c:numCache>
                <c:formatCode>0</c:formatCode>
                <c:ptCount val="12"/>
                <c:pt idx="0">
                  <c:v>1280450</c:v>
                </c:pt>
                <c:pt idx="1">
                  <c:v>1521880</c:v>
                </c:pt>
                <c:pt idx="2">
                  <c:v>1571080</c:v>
                </c:pt>
                <c:pt idx="3">
                  <c:v>1604850</c:v>
                </c:pt>
                <c:pt idx="4">
                  <c:v>1361310</c:v>
                </c:pt>
                <c:pt idx="5">
                  <c:v>1217340</c:v>
                </c:pt>
                <c:pt idx="6">
                  <c:v>2060930</c:v>
                </c:pt>
                <c:pt idx="7">
                  <c:v>1507410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FC3-47FB-91B0-9A4BE2514487}"/>
            </c:ext>
          </c:extLst>
        </c:ser>
        <c:ser>
          <c:idx val="4"/>
          <c:order val="2"/>
          <c:tx>
            <c:strRef>
              <c:f>'KPI 92'!$D$21</c:f>
              <c:strCache>
                <c:ptCount val="1"/>
                <c:pt idx="0">
                  <c:v>Actual 2024-25</c:v>
                </c:pt>
              </c:strCache>
            </c:strRef>
          </c:tx>
          <c:spPr>
            <a:solidFill>
              <a:schemeClr val="accent3"/>
            </a:solidFill>
          </c:spPr>
          <c:invertIfNegative val="0"/>
          <c:cat>
            <c:numRef>
              <c:f>'KPI 92'!$E$18:$P$18</c:f>
              <c:numCache>
                <c:formatCode>mmm\-yy</c:formatCode>
                <c:ptCount val="12"/>
                <c:pt idx="0">
                  <c:v>45839</c:v>
                </c:pt>
                <c:pt idx="1">
                  <c:v>45870</c:v>
                </c:pt>
                <c:pt idx="2">
                  <c:v>45901</c:v>
                </c:pt>
                <c:pt idx="3">
                  <c:v>45931</c:v>
                </c:pt>
                <c:pt idx="4">
                  <c:v>45962</c:v>
                </c:pt>
                <c:pt idx="5">
                  <c:v>45992</c:v>
                </c:pt>
                <c:pt idx="6">
                  <c:v>46023</c:v>
                </c:pt>
                <c:pt idx="7">
                  <c:v>46054</c:v>
                </c:pt>
                <c:pt idx="8">
                  <c:v>46082</c:v>
                </c:pt>
                <c:pt idx="9">
                  <c:v>46113</c:v>
                </c:pt>
                <c:pt idx="10">
                  <c:v>46143</c:v>
                </c:pt>
                <c:pt idx="11">
                  <c:v>46174</c:v>
                </c:pt>
              </c:numCache>
            </c:numRef>
          </c:cat>
          <c:val>
            <c:numRef>
              <c:f>'KPI 92'!$E$21:$P$21</c:f>
              <c:numCache>
                <c:formatCode>0</c:formatCode>
                <c:ptCount val="12"/>
                <c:pt idx="0">
                  <c:v>805899</c:v>
                </c:pt>
                <c:pt idx="1">
                  <c:v>1120045</c:v>
                </c:pt>
                <c:pt idx="2">
                  <c:v>947174</c:v>
                </c:pt>
                <c:pt idx="3">
                  <c:v>955648</c:v>
                </c:pt>
                <c:pt idx="4">
                  <c:v>1063398</c:v>
                </c:pt>
                <c:pt idx="5">
                  <c:v>702522</c:v>
                </c:pt>
                <c:pt idx="6">
                  <c:v>1250369</c:v>
                </c:pt>
                <c:pt idx="7">
                  <c:v>1017374</c:v>
                </c:pt>
                <c:pt idx="8">
                  <c:v>1183196</c:v>
                </c:pt>
                <c:pt idx="9">
                  <c:v>1435580</c:v>
                </c:pt>
                <c:pt idx="10">
                  <c:v>1589320</c:v>
                </c:pt>
                <c:pt idx="11">
                  <c:v>1653920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FC3-47FB-91B0-9A4BE251448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25872384"/>
        <c:axId val="125878272"/>
      </c:barChart>
      <c:lineChart>
        <c:grouping val="standard"/>
        <c:varyColors val="0"/>
        <c:ser>
          <c:idx val="0"/>
          <c:order val="0"/>
          <c:tx>
            <c:strRef>
              <c:f>'KPI 92'!$D$19</c:f>
              <c:strCache>
                <c:ptCount val="1"/>
                <c:pt idx="0">
                  <c:v>Budget 2025-26</c:v>
                </c:pt>
              </c:strCache>
            </c:strRef>
          </c:tx>
          <c:spPr>
            <a:ln>
              <a:solidFill>
                <a:srgbClr val="FF0000"/>
              </a:solidFill>
            </a:ln>
          </c:spPr>
          <c:marker>
            <c:symbol val="none"/>
          </c:marker>
          <c:cat>
            <c:numRef>
              <c:f>'KPI 92'!$E$18:$P$18</c:f>
              <c:numCache>
                <c:formatCode>mmm\-yy</c:formatCode>
                <c:ptCount val="12"/>
                <c:pt idx="0">
                  <c:v>45839</c:v>
                </c:pt>
                <c:pt idx="1">
                  <c:v>45870</c:v>
                </c:pt>
                <c:pt idx="2">
                  <c:v>45901</c:v>
                </c:pt>
                <c:pt idx="3">
                  <c:v>45931</c:v>
                </c:pt>
                <c:pt idx="4">
                  <c:v>45962</c:v>
                </c:pt>
                <c:pt idx="5">
                  <c:v>45992</c:v>
                </c:pt>
                <c:pt idx="6">
                  <c:v>46023</c:v>
                </c:pt>
                <c:pt idx="7">
                  <c:v>46054</c:v>
                </c:pt>
                <c:pt idx="8">
                  <c:v>46082</c:v>
                </c:pt>
                <c:pt idx="9">
                  <c:v>46113</c:v>
                </c:pt>
                <c:pt idx="10">
                  <c:v>46143</c:v>
                </c:pt>
                <c:pt idx="11">
                  <c:v>46174</c:v>
                </c:pt>
              </c:numCache>
            </c:numRef>
          </c:cat>
          <c:val>
            <c:numRef>
              <c:f>'KPI 92'!$E$19:$P$19</c:f>
              <c:numCache>
                <c:formatCode>0</c:formatCode>
                <c:ptCount val="12"/>
                <c:pt idx="0">
                  <c:v>1424748.1160304756</c:v>
                </c:pt>
                <c:pt idx="1">
                  <c:v>1434113.9838862398</c:v>
                </c:pt>
                <c:pt idx="2">
                  <c:v>1442827.5194822694</c:v>
                </c:pt>
                <c:pt idx="3">
                  <c:v>1442018.4930026892</c:v>
                </c:pt>
                <c:pt idx="4">
                  <c:v>1441846.3140103987</c:v>
                </c:pt>
                <c:pt idx="5">
                  <c:v>1441171.4390759747</c:v>
                </c:pt>
                <c:pt idx="6">
                  <c:v>1443855.3311388872</c:v>
                </c:pt>
                <c:pt idx="7">
                  <c:v>1445676.5546680286</c:v>
                </c:pt>
                <c:pt idx="8">
                  <c:v>1447178.2126143673</c:v>
                </c:pt>
                <c:pt idx="9">
                  <c:v>1451068.6953090201</c:v>
                </c:pt>
                <c:pt idx="10">
                  <c:v>1455029.3974738852</c:v>
                </c:pt>
                <c:pt idx="11">
                  <c:v>1459027.7430380341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EFC3-47FB-91B0-9A4BE251448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25872384"/>
        <c:axId val="125878272"/>
      </c:lineChart>
      <c:dateAx>
        <c:axId val="125872384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crossAx val="125878272"/>
        <c:crosses val="autoZero"/>
        <c:auto val="1"/>
        <c:lblOffset val="100"/>
        <c:baseTimeUnit val="months"/>
      </c:dateAx>
      <c:valAx>
        <c:axId val="125878272"/>
        <c:scaling>
          <c:orientation val="minMax"/>
        </c:scaling>
        <c:delete val="0"/>
        <c:axPos val="l"/>
        <c:majorGridlines/>
        <c:numFmt formatCode="0" sourceLinked="1"/>
        <c:majorTickMark val="out"/>
        <c:minorTickMark val="none"/>
        <c:tickLblPos val="nextTo"/>
        <c:crossAx val="125872384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000000000000822" l="0.70000000000000062" r="0.70000000000000062" t="0.75000000000000822" header="0.30000000000000032" footer="0.30000000000000032"/>
    <c:pageSetup/>
  </c:printSettings>
</c:chartSpace>
</file>

<file path=xl/charts/chart1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1"/>
          <c:order val="1"/>
          <c:tx>
            <c:strRef>
              <c:f>'KPI 93'!$D$20</c:f>
              <c:strCache>
                <c:ptCount val="1"/>
                <c:pt idx="0">
                  <c:v>Actual 2025-26</c:v>
                </c:pt>
              </c:strCache>
            </c:strRef>
          </c:tx>
          <c:spPr>
            <a:solidFill>
              <a:schemeClr val="accent1"/>
            </a:solidFill>
          </c:spPr>
          <c:invertIfNegative val="0"/>
          <c:cat>
            <c:numRef>
              <c:f>'KPI 93'!$E$18:$P$18</c:f>
              <c:numCache>
                <c:formatCode>mmm\-yy</c:formatCode>
                <c:ptCount val="12"/>
                <c:pt idx="0">
                  <c:v>45839</c:v>
                </c:pt>
                <c:pt idx="1">
                  <c:v>45870</c:v>
                </c:pt>
                <c:pt idx="2">
                  <c:v>45901</c:v>
                </c:pt>
                <c:pt idx="3">
                  <c:v>45931</c:v>
                </c:pt>
                <c:pt idx="4">
                  <c:v>45962</c:v>
                </c:pt>
                <c:pt idx="5">
                  <c:v>45992</c:v>
                </c:pt>
                <c:pt idx="6">
                  <c:v>46023</c:v>
                </c:pt>
                <c:pt idx="7">
                  <c:v>46054</c:v>
                </c:pt>
                <c:pt idx="8">
                  <c:v>46082</c:v>
                </c:pt>
                <c:pt idx="9">
                  <c:v>46113</c:v>
                </c:pt>
                <c:pt idx="10">
                  <c:v>46143</c:v>
                </c:pt>
                <c:pt idx="11">
                  <c:v>46174</c:v>
                </c:pt>
              </c:numCache>
            </c:numRef>
          </c:cat>
          <c:val>
            <c:numRef>
              <c:f>'KPI 93'!$E$20:$P$20</c:f>
              <c:numCache>
                <c:formatCode>0</c:formatCode>
                <c:ptCount val="12"/>
                <c:pt idx="0">
                  <c:v>1103030</c:v>
                </c:pt>
                <c:pt idx="1">
                  <c:v>1314980</c:v>
                </c:pt>
                <c:pt idx="2">
                  <c:v>1318450</c:v>
                </c:pt>
                <c:pt idx="3">
                  <c:v>1353420</c:v>
                </c:pt>
                <c:pt idx="4">
                  <c:v>1181460</c:v>
                </c:pt>
                <c:pt idx="5">
                  <c:v>939470</c:v>
                </c:pt>
                <c:pt idx="6">
                  <c:v>1641050</c:v>
                </c:pt>
                <c:pt idx="7">
                  <c:v>1234420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198-4216-8E81-094743FCA128}"/>
            </c:ext>
          </c:extLst>
        </c:ser>
        <c:ser>
          <c:idx val="4"/>
          <c:order val="2"/>
          <c:tx>
            <c:strRef>
              <c:f>'KPI 93'!$D$21</c:f>
              <c:strCache>
                <c:ptCount val="1"/>
                <c:pt idx="0">
                  <c:v>Actual 2024-25</c:v>
                </c:pt>
              </c:strCache>
            </c:strRef>
          </c:tx>
          <c:spPr>
            <a:solidFill>
              <a:schemeClr val="accent3"/>
            </a:solidFill>
          </c:spPr>
          <c:invertIfNegative val="0"/>
          <c:cat>
            <c:numRef>
              <c:f>'KPI 93'!$E$18:$P$18</c:f>
              <c:numCache>
                <c:formatCode>mmm\-yy</c:formatCode>
                <c:ptCount val="12"/>
                <c:pt idx="0">
                  <c:v>45839</c:v>
                </c:pt>
                <c:pt idx="1">
                  <c:v>45870</c:v>
                </c:pt>
                <c:pt idx="2">
                  <c:v>45901</c:v>
                </c:pt>
                <c:pt idx="3">
                  <c:v>45931</c:v>
                </c:pt>
                <c:pt idx="4">
                  <c:v>45962</c:v>
                </c:pt>
                <c:pt idx="5">
                  <c:v>45992</c:v>
                </c:pt>
                <c:pt idx="6">
                  <c:v>46023</c:v>
                </c:pt>
                <c:pt idx="7">
                  <c:v>46054</c:v>
                </c:pt>
                <c:pt idx="8">
                  <c:v>46082</c:v>
                </c:pt>
                <c:pt idx="9">
                  <c:v>46113</c:v>
                </c:pt>
                <c:pt idx="10">
                  <c:v>46143</c:v>
                </c:pt>
                <c:pt idx="11">
                  <c:v>46174</c:v>
                </c:pt>
              </c:numCache>
            </c:numRef>
          </c:cat>
          <c:val>
            <c:numRef>
              <c:f>'KPI 93'!$E$21:$P$21</c:f>
              <c:numCache>
                <c:formatCode>0</c:formatCode>
                <c:ptCount val="12"/>
                <c:pt idx="0">
                  <c:v>702788</c:v>
                </c:pt>
                <c:pt idx="1">
                  <c:v>803765</c:v>
                </c:pt>
                <c:pt idx="2">
                  <c:v>713204</c:v>
                </c:pt>
                <c:pt idx="3">
                  <c:v>788260</c:v>
                </c:pt>
                <c:pt idx="4">
                  <c:v>769000</c:v>
                </c:pt>
                <c:pt idx="5">
                  <c:v>551820</c:v>
                </c:pt>
                <c:pt idx="6">
                  <c:v>979832</c:v>
                </c:pt>
                <c:pt idx="7">
                  <c:v>752782</c:v>
                </c:pt>
                <c:pt idx="8">
                  <c:v>898811</c:v>
                </c:pt>
                <c:pt idx="9">
                  <c:v>1159540</c:v>
                </c:pt>
                <c:pt idx="10">
                  <c:v>1232510</c:v>
                </c:pt>
                <c:pt idx="11">
                  <c:v>1327580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198-4216-8E81-094743FCA12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26549376"/>
        <c:axId val="125707392"/>
      </c:barChart>
      <c:lineChart>
        <c:grouping val="standard"/>
        <c:varyColors val="0"/>
        <c:ser>
          <c:idx val="0"/>
          <c:order val="0"/>
          <c:tx>
            <c:strRef>
              <c:f>'KPI 93'!$D$19</c:f>
              <c:strCache>
                <c:ptCount val="1"/>
                <c:pt idx="0">
                  <c:v>Budget 2025-26</c:v>
                </c:pt>
              </c:strCache>
            </c:strRef>
          </c:tx>
          <c:spPr>
            <a:ln>
              <a:solidFill>
                <a:srgbClr val="FF0000"/>
              </a:solidFill>
            </a:ln>
          </c:spPr>
          <c:marker>
            <c:symbol val="none"/>
          </c:marker>
          <c:cat>
            <c:numRef>
              <c:f>'KPI 93'!$E$18:$P$18</c:f>
              <c:numCache>
                <c:formatCode>mmm\-yy</c:formatCode>
                <c:ptCount val="12"/>
                <c:pt idx="0">
                  <c:v>45839</c:v>
                </c:pt>
                <c:pt idx="1">
                  <c:v>45870</c:v>
                </c:pt>
                <c:pt idx="2">
                  <c:v>45901</c:v>
                </c:pt>
                <c:pt idx="3">
                  <c:v>45931</c:v>
                </c:pt>
                <c:pt idx="4">
                  <c:v>45962</c:v>
                </c:pt>
                <c:pt idx="5">
                  <c:v>45992</c:v>
                </c:pt>
                <c:pt idx="6">
                  <c:v>46023</c:v>
                </c:pt>
                <c:pt idx="7">
                  <c:v>46054</c:v>
                </c:pt>
                <c:pt idx="8">
                  <c:v>46082</c:v>
                </c:pt>
                <c:pt idx="9">
                  <c:v>46113</c:v>
                </c:pt>
                <c:pt idx="10">
                  <c:v>46143</c:v>
                </c:pt>
                <c:pt idx="11">
                  <c:v>46174</c:v>
                </c:pt>
              </c:numCache>
            </c:numRef>
          </c:cat>
          <c:val>
            <c:numRef>
              <c:f>'KPI 93'!$E$19:$P$19</c:f>
              <c:numCache>
                <c:formatCode>0</c:formatCode>
                <c:ptCount val="12"/>
                <c:pt idx="0">
                  <c:v>1133218.3889606094</c:v>
                </c:pt>
                <c:pt idx="1">
                  <c:v>1135078.3597499891</c:v>
                </c:pt>
                <c:pt idx="2">
                  <c:v>1136422.930567394</c:v>
                </c:pt>
                <c:pt idx="3">
                  <c:v>1130306.7572219612</c:v>
                </c:pt>
                <c:pt idx="4">
                  <c:v>1124762.1579652634</c:v>
                </c:pt>
                <c:pt idx="5">
                  <c:v>1118895.9387072914</c:v>
                </c:pt>
                <c:pt idx="6">
                  <c:v>1115696.1734860314</c:v>
                </c:pt>
                <c:pt idx="7">
                  <c:v>1111878.4013268447</c:v>
                </c:pt>
                <c:pt idx="8">
                  <c:v>1107866.7923380483</c:v>
                </c:pt>
                <c:pt idx="9">
                  <c:v>1105727.6196918457</c:v>
                </c:pt>
                <c:pt idx="10">
                  <c:v>1103676.2499850402</c:v>
                </c:pt>
                <c:pt idx="11">
                  <c:v>1101686.7383839148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1198-4216-8E81-094743FCA12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26549376"/>
        <c:axId val="125707392"/>
      </c:lineChart>
      <c:dateAx>
        <c:axId val="126549376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crossAx val="125707392"/>
        <c:crosses val="autoZero"/>
        <c:auto val="1"/>
        <c:lblOffset val="100"/>
        <c:baseTimeUnit val="months"/>
      </c:dateAx>
      <c:valAx>
        <c:axId val="125707392"/>
        <c:scaling>
          <c:orientation val="minMax"/>
        </c:scaling>
        <c:delete val="0"/>
        <c:axPos val="l"/>
        <c:majorGridlines/>
        <c:numFmt formatCode="0" sourceLinked="1"/>
        <c:majorTickMark val="out"/>
        <c:minorTickMark val="none"/>
        <c:tickLblPos val="nextTo"/>
        <c:crossAx val="126549376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000000000000822" l="0.70000000000000062" r="0.70000000000000062" t="0.75000000000000822" header="0.30000000000000032" footer="0.30000000000000032"/>
    <c:pageSetup/>
  </c:printSettings>
</c:chartSpace>
</file>

<file path=xl/charts/chart1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1"/>
          <c:order val="1"/>
          <c:tx>
            <c:strRef>
              <c:f>'KPI 94'!$D$20</c:f>
              <c:strCache>
                <c:ptCount val="1"/>
                <c:pt idx="0">
                  <c:v>Actual 2025-26</c:v>
                </c:pt>
              </c:strCache>
            </c:strRef>
          </c:tx>
          <c:spPr>
            <a:solidFill>
              <a:schemeClr val="accent1"/>
            </a:solidFill>
          </c:spPr>
          <c:invertIfNegative val="0"/>
          <c:cat>
            <c:numRef>
              <c:f>'KPI 94'!$E$18:$P$18</c:f>
              <c:numCache>
                <c:formatCode>mmm\-yy</c:formatCode>
                <c:ptCount val="12"/>
                <c:pt idx="0">
                  <c:v>45839</c:v>
                </c:pt>
                <c:pt idx="1">
                  <c:v>45870</c:v>
                </c:pt>
                <c:pt idx="2">
                  <c:v>45901</c:v>
                </c:pt>
                <c:pt idx="3">
                  <c:v>45931</c:v>
                </c:pt>
                <c:pt idx="4">
                  <c:v>45962</c:v>
                </c:pt>
                <c:pt idx="5">
                  <c:v>45992</c:v>
                </c:pt>
                <c:pt idx="6">
                  <c:v>46023</c:v>
                </c:pt>
                <c:pt idx="7">
                  <c:v>46054</c:v>
                </c:pt>
                <c:pt idx="8">
                  <c:v>46082</c:v>
                </c:pt>
                <c:pt idx="9">
                  <c:v>46113</c:v>
                </c:pt>
                <c:pt idx="10">
                  <c:v>46143</c:v>
                </c:pt>
                <c:pt idx="11">
                  <c:v>46174</c:v>
                </c:pt>
              </c:numCache>
            </c:numRef>
          </c:cat>
          <c:val>
            <c:numRef>
              <c:f>'KPI 94'!$E$20:$P$20</c:f>
              <c:numCache>
                <c:formatCode>0</c:formatCode>
                <c:ptCount val="12"/>
                <c:pt idx="0">
                  <c:v>221630</c:v>
                </c:pt>
                <c:pt idx="1">
                  <c:v>204780</c:v>
                </c:pt>
                <c:pt idx="2">
                  <c:v>199690</c:v>
                </c:pt>
                <c:pt idx="3">
                  <c:v>215690</c:v>
                </c:pt>
                <c:pt idx="4">
                  <c:v>79090</c:v>
                </c:pt>
                <c:pt idx="5">
                  <c:v>145220</c:v>
                </c:pt>
                <c:pt idx="6">
                  <c:v>220770</c:v>
                </c:pt>
                <c:pt idx="7">
                  <c:v>198680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B09-4E43-AAD2-DB6080EBD7B8}"/>
            </c:ext>
          </c:extLst>
        </c:ser>
        <c:ser>
          <c:idx val="4"/>
          <c:order val="2"/>
          <c:tx>
            <c:strRef>
              <c:f>'KPI 94'!$D$21</c:f>
              <c:strCache>
                <c:ptCount val="1"/>
                <c:pt idx="0">
                  <c:v>Actual 2024-25</c:v>
                </c:pt>
              </c:strCache>
            </c:strRef>
          </c:tx>
          <c:spPr>
            <a:solidFill>
              <a:schemeClr val="accent3"/>
            </a:solidFill>
          </c:spPr>
          <c:invertIfNegative val="0"/>
          <c:cat>
            <c:numRef>
              <c:f>'KPI 94'!$E$18:$P$18</c:f>
              <c:numCache>
                <c:formatCode>mmm\-yy</c:formatCode>
                <c:ptCount val="12"/>
                <c:pt idx="0">
                  <c:v>45839</c:v>
                </c:pt>
                <c:pt idx="1">
                  <c:v>45870</c:v>
                </c:pt>
                <c:pt idx="2">
                  <c:v>45901</c:v>
                </c:pt>
                <c:pt idx="3">
                  <c:v>45931</c:v>
                </c:pt>
                <c:pt idx="4">
                  <c:v>45962</c:v>
                </c:pt>
                <c:pt idx="5">
                  <c:v>45992</c:v>
                </c:pt>
                <c:pt idx="6">
                  <c:v>46023</c:v>
                </c:pt>
                <c:pt idx="7">
                  <c:v>46054</c:v>
                </c:pt>
                <c:pt idx="8">
                  <c:v>46082</c:v>
                </c:pt>
                <c:pt idx="9">
                  <c:v>46113</c:v>
                </c:pt>
                <c:pt idx="10">
                  <c:v>46143</c:v>
                </c:pt>
                <c:pt idx="11">
                  <c:v>46174</c:v>
                </c:pt>
              </c:numCache>
            </c:numRef>
          </c:cat>
          <c:val>
            <c:numRef>
              <c:f>'KPI 94'!$E$21:$P$21</c:f>
              <c:numCache>
                <c:formatCode>0</c:formatCode>
                <c:ptCount val="12"/>
                <c:pt idx="0">
                  <c:v>118810</c:v>
                </c:pt>
                <c:pt idx="1">
                  <c:v>151900</c:v>
                </c:pt>
                <c:pt idx="2">
                  <c:v>130082</c:v>
                </c:pt>
                <c:pt idx="3">
                  <c:v>118286</c:v>
                </c:pt>
                <c:pt idx="4">
                  <c:v>128711</c:v>
                </c:pt>
                <c:pt idx="5">
                  <c:v>69212</c:v>
                </c:pt>
                <c:pt idx="6">
                  <c:v>192220</c:v>
                </c:pt>
                <c:pt idx="7">
                  <c:v>130101</c:v>
                </c:pt>
                <c:pt idx="8">
                  <c:v>158121</c:v>
                </c:pt>
                <c:pt idx="9">
                  <c:v>184480</c:v>
                </c:pt>
                <c:pt idx="10">
                  <c:v>195150</c:v>
                </c:pt>
                <c:pt idx="11">
                  <c:v>251810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B09-4E43-AAD2-DB6080EBD7B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26509824"/>
        <c:axId val="126511360"/>
      </c:barChart>
      <c:lineChart>
        <c:grouping val="standard"/>
        <c:varyColors val="0"/>
        <c:ser>
          <c:idx val="0"/>
          <c:order val="0"/>
          <c:tx>
            <c:strRef>
              <c:f>'KPI 94'!$D$19</c:f>
              <c:strCache>
                <c:ptCount val="1"/>
                <c:pt idx="0">
                  <c:v>Budget 2025-26</c:v>
                </c:pt>
              </c:strCache>
            </c:strRef>
          </c:tx>
          <c:spPr>
            <a:ln>
              <a:solidFill>
                <a:srgbClr val="FF0000"/>
              </a:solidFill>
            </a:ln>
          </c:spPr>
          <c:marker>
            <c:symbol val="none"/>
          </c:marker>
          <c:cat>
            <c:numRef>
              <c:f>'KPI 94'!$E$18:$P$18</c:f>
              <c:numCache>
                <c:formatCode>mmm\-yy</c:formatCode>
                <c:ptCount val="12"/>
                <c:pt idx="0">
                  <c:v>45839</c:v>
                </c:pt>
                <c:pt idx="1">
                  <c:v>45870</c:v>
                </c:pt>
                <c:pt idx="2">
                  <c:v>45901</c:v>
                </c:pt>
                <c:pt idx="3">
                  <c:v>45931</c:v>
                </c:pt>
                <c:pt idx="4">
                  <c:v>45962</c:v>
                </c:pt>
                <c:pt idx="5">
                  <c:v>45992</c:v>
                </c:pt>
                <c:pt idx="6">
                  <c:v>46023</c:v>
                </c:pt>
                <c:pt idx="7">
                  <c:v>46054</c:v>
                </c:pt>
                <c:pt idx="8">
                  <c:v>46082</c:v>
                </c:pt>
                <c:pt idx="9">
                  <c:v>46113</c:v>
                </c:pt>
                <c:pt idx="10">
                  <c:v>46143</c:v>
                </c:pt>
                <c:pt idx="11">
                  <c:v>46174</c:v>
                </c:pt>
              </c:numCache>
            </c:numRef>
          </c:cat>
          <c:val>
            <c:numRef>
              <c:f>'KPI 94'!$E$19:$P$19</c:f>
              <c:numCache>
                <c:formatCode>0</c:formatCode>
                <c:ptCount val="12"/>
                <c:pt idx="0">
                  <c:v>183708.59105408264</c:v>
                </c:pt>
                <c:pt idx="1">
                  <c:v>184843.23742081341</c:v>
                </c:pt>
                <c:pt idx="2">
                  <c:v>185893.81644517777</c:v>
                </c:pt>
                <c:pt idx="3">
                  <c:v>185718.02587903308</c:v>
                </c:pt>
                <c:pt idx="4">
                  <c:v>185625.2005226257</c:v>
                </c:pt>
                <c:pt idx="5">
                  <c:v>185468.57849383735</c:v>
                </c:pt>
                <c:pt idx="6">
                  <c:v>185744.97366199992</c:v>
                </c:pt>
                <c:pt idx="7">
                  <c:v>185911.02536237886</c:v>
                </c:pt>
                <c:pt idx="8">
                  <c:v>186036.65996703701</c:v>
                </c:pt>
                <c:pt idx="9">
                  <c:v>186469.95192670121</c:v>
                </c:pt>
                <c:pt idx="10">
                  <c:v>186912.71535380371</c:v>
                </c:pt>
                <c:pt idx="11">
                  <c:v>187360.74940426063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0B09-4E43-AAD2-DB6080EBD7B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26509824"/>
        <c:axId val="126511360"/>
      </c:lineChart>
      <c:dateAx>
        <c:axId val="126509824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crossAx val="126511360"/>
        <c:crosses val="autoZero"/>
        <c:auto val="1"/>
        <c:lblOffset val="100"/>
        <c:baseTimeUnit val="months"/>
      </c:dateAx>
      <c:valAx>
        <c:axId val="126511360"/>
        <c:scaling>
          <c:orientation val="minMax"/>
        </c:scaling>
        <c:delete val="0"/>
        <c:axPos val="l"/>
        <c:majorGridlines/>
        <c:numFmt formatCode="0" sourceLinked="1"/>
        <c:majorTickMark val="out"/>
        <c:minorTickMark val="none"/>
        <c:tickLblPos val="nextTo"/>
        <c:crossAx val="126509824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000000000000822" l="0.70000000000000062" r="0.70000000000000062" t="0.75000000000000822" header="0.30000000000000032" footer="0.30000000000000032"/>
    <c:pageSetup/>
  </c:printSettings>
</c:chartSpace>
</file>

<file path=xl/charts/chart1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1"/>
          <c:order val="1"/>
          <c:tx>
            <c:strRef>
              <c:f>'KPI 95'!$D$20</c:f>
              <c:strCache>
                <c:ptCount val="1"/>
                <c:pt idx="0">
                  <c:v>Actual 2025-26</c:v>
                </c:pt>
              </c:strCache>
            </c:strRef>
          </c:tx>
          <c:spPr>
            <a:solidFill>
              <a:schemeClr val="accent1"/>
            </a:solidFill>
          </c:spPr>
          <c:invertIfNegative val="0"/>
          <c:cat>
            <c:numRef>
              <c:f>'KPI 95'!$E$18:$P$18</c:f>
              <c:numCache>
                <c:formatCode>mmm\-yy</c:formatCode>
                <c:ptCount val="12"/>
                <c:pt idx="0">
                  <c:v>45839</c:v>
                </c:pt>
                <c:pt idx="1">
                  <c:v>45870</c:v>
                </c:pt>
                <c:pt idx="2">
                  <c:v>45901</c:v>
                </c:pt>
                <c:pt idx="3">
                  <c:v>45931</c:v>
                </c:pt>
                <c:pt idx="4">
                  <c:v>45962</c:v>
                </c:pt>
                <c:pt idx="5">
                  <c:v>45992</c:v>
                </c:pt>
                <c:pt idx="6">
                  <c:v>46023</c:v>
                </c:pt>
                <c:pt idx="7">
                  <c:v>46054</c:v>
                </c:pt>
                <c:pt idx="8">
                  <c:v>46082</c:v>
                </c:pt>
                <c:pt idx="9">
                  <c:v>46113</c:v>
                </c:pt>
                <c:pt idx="10">
                  <c:v>46143</c:v>
                </c:pt>
                <c:pt idx="11">
                  <c:v>46174</c:v>
                </c:pt>
              </c:numCache>
            </c:numRef>
          </c:cat>
          <c:val>
            <c:numRef>
              <c:f>'KPI 95'!$E$20:$P$20</c:f>
              <c:numCache>
                <c:formatCode>0</c:formatCode>
                <c:ptCount val="12"/>
                <c:pt idx="0">
                  <c:v>9210800</c:v>
                </c:pt>
                <c:pt idx="1">
                  <c:v>10871060</c:v>
                </c:pt>
                <c:pt idx="2">
                  <c:v>10150080</c:v>
                </c:pt>
                <c:pt idx="3">
                  <c:v>11059010</c:v>
                </c:pt>
                <c:pt idx="4">
                  <c:v>9188690</c:v>
                </c:pt>
                <c:pt idx="5">
                  <c:v>8043560</c:v>
                </c:pt>
                <c:pt idx="6">
                  <c:v>13738330</c:v>
                </c:pt>
                <c:pt idx="7">
                  <c:v>10720550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9F5-498C-A7E2-199DB89130EC}"/>
            </c:ext>
          </c:extLst>
        </c:ser>
        <c:ser>
          <c:idx val="4"/>
          <c:order val="2"/>
          <c:tx>
            <c:strRef>
              <c:f>'KPI 95'!$D$21</c:f>
              <c:strCache>
                <c:ptCount val="1"/>
                <c:pt idx="0">
                  <c:v>Actual 2024-25</c:v>
                </c:pt>
              </c:strCache>
            </c:strRef>
          </c:tx>
          <c:spPr>
            <a:solidFill>
              <a:schemeClr val="accent3"/>
            </a:solidFill>
          </c:spPr>
          <c:invertIfNegative val="0"/>
          <c:cat>
            <c:numRef>
              <c:f>'KPI 95'!$E$18:$P$18</c:f>
              <c:numCache>
                <c:formatCode>mmm\-yy</c:formatCode>
                <c:ptCount val="12"/>
                <c:pt idx="0">
                  <c:v>45839</c:v>
                </c:pt>
                <c:pt idx="1">
                  <c:v>45870</c:v>
                </c:pt>
                <c:pt idx="2">
                  <c:v>45901</c:v>
                </c:pt>
                <c:pt idx="3">
                  <c:v>45931</c:v>
                </c:pt>
                <c:pt idx="4">
                  <c:v>45962</c:v>
                </c:pt>
                <c:pt idx="5">
                  <c:v>45992</c:v>
                </c:pt>
                <c:pt idx="6">
                  <c:v>46023</c:v>
                </c:pt>
                <c:pt idx="7">
                  <c:v>46054</c:v>
                </c:pt>
                <c:pt idx="8">
                  <c:v>46082</c:v>
                </c:pt>
                <c:pt idx="9">
                  <c:v>46113</c:v>
                </c:pt>
                <c:pt idx="10">
                  <c:v>46143</c:v>
                </c:pt>
                <c:pt idx="11">
                  <c:v>46174</c:v>
                </c:pt>
              </c:numCache>
            </c:numRef>
          </c:cat>
          <c:val>
            <c:numRef>
              <c:f>'KPI 95'!$E$21:$P$21</c:f>
              <c:numCache>
                <c:formatCode>0</c:formatCode>
                <c:ptCount val="12"/>
                <c:pt idx="0">
                  <c:v>5843053</c:v>
                </c:pt>
                <c:pt idx="1">
                  <c:v>7924829</c:v>
                </c:pt>
                <c:pt idx="2">
                  <c:v>6574586</c:v>
                </c:pt>
                <c:pt idx="3">
                  <c:v>6654857</c:v>
                </c:pt>
                <c:pt idx="4">
                  <c:v>7074189</c:v>
                </c:pt>
                <c:pt idx="5">
                  <c:v>4685457</c:v>
                </c:pt>
                <c:pt idx="6">
                  <c:v>8536944</c:v>
                </c:pt>
                <c:pt idx="7">
                  <c:v>7146065</c:v>
                </c:pt>
                <c:pt idx="8">
                  <c:v>7724897</c:v>
                </c:pt>
                <c:pt idx="9">
                  <c:v>9123070</c:v>
                </c:pt>
                <c:pt idx="10">
                  <c:v>10708050</c:v>
                </c:pt>
                <c:pt idx="11">
                  <c:v>11093770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9F5-498C-A7E2-199DB89130E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27219584"/>
        <c:axId val="127221120"/>
      </c:barChart>
      <c:lineChart>
        <c:grouping val="standard"/>
        <c:varyColors val="0"/>
        <c:ser>
          <c:idx val="0"/>
          <c:order val="0"/>
          <c:tx>
            <c:strRef>
              <c:f>'KPI 95'!$D$19</c:f>
              <c:strCache>
                <c:ptCount val="1"/>
                <c:pt idx="0">
                  <c:v>Budget 2025-26</c:v>
                </c:pt>
              </c:strCache>
            </c:strRef>
          </c:tx>
          <c:spPr>
            <a:ln>
              <a:solidFill>
                <a:srgbClr val="FF0000"/>
              </a:solidFill>
            </a:ln>
          </c:spPr>
          <c:marker>
            <c:symbol val="none"/>
          </c:marker>
          <c:cat>
            <c:numRef>
              <c:f>'KPI 95'!$E$18:$P$18</c:f>
              <c:numCache>
                <c:formatCode>mmm\-yy</c:formatCode>
                <c:ptCount val="12"/>
                <c:pt idx="0">
                  <c:v>45839</c:v>
                </c:pt>
                <c:pt idx="1">
                  <c:v>45870</c:v>
                </c:pt>
                <c:pt idx="2">
                  <c:v>45901</c:v>
                </c:pt>
                <c:pt idx="3">
                  <c:v>45931</c:v>
                </c:pt>
                <c:pt idx="4">
                  <c:v>45962</c:v>
                </c:pt>
                <c:pt idx="5">
                  <c:v>45992</c:v>
                </c:pt>
                <c:pt idx="6">
                  <c:v>46023</c:v>
                </c:pt>
                <c:pt idx="7">
                  <c:v>46054</c:v>
                </c:pt>
                <c:pt idx="8">
                  <c:v>46082</c:v>
                </c:pt>
                <c:pt idx="9">
                  <c:v>46113</c:v>
                </c:pt>
                <c:pt idx="10">
                  <c:v>46143</c:v>
                </c:pt>
                <c:pt idx="11">
                  <c:v>46174</c:v>
                </c:pt>
              </c:numCache>
            </c:numRef>
          </c:cat>
          <c:val>
            <c:numRef>
              <c:f>'KPI 95'!$E$19:$P$19</c:f>
              <c:numCache>
                <c:formatCode>0</c:formatCode>
                <c:ptCount val="12"/>
                <c:pt idx="0">
                  <c:v>8942465.9244022779</c:v>
                </c:pt>
                <c:pt idx="1">
                  <c:v>8996210.65412887</c:v>
                </c:pt>
                <c:pt idx="2">
                  <c:v>9045864.1185453143</c:v>
                </c:pt>
                <c:pt idx="3">
                  <c:v>9035851.1855140068</c:v>
                </c:pt>
                <c:pt idx="4">
                  <c:v>9029894.0892549474</c:v>
                </c:pt>
                <c:pt idx="5">
                  <c:v>9020852.3411238343</c:v>
                </c:pt>
                <c:pt idx="6">
                  <c:v>9032887.4236083888</c:v>
                </c:pt>
                <c:pt idx="7">
                  <c:v>9039569.3955904376</c:v>
                </c:pt>
                <c:pt idx="8">
                  <c:v>9044300.0185286924</c:v>
                </c:pt>
                <c:pt idx="9">
                  <c:v>9063999.2772918735</c:v>
                </c:pt>
                <c:pt idx="10">
                  <c:v>9084168.0830310751</c:v>
                </c:pt>
                <c:pt idx="11">
                  <c:v>9104601.9402058907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E9F5-498C-A7E2-199DB89130E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27219584"/>
        <c:axId val="127221120"/>
      </c:lineChart>
      <c:dateAx>
        <c:axId val="127219584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crossAx val="127221120"/>
        <c:crosses val="autoZero"/>
        <c:auto val="1"/>
        <c:lblOffset val="100"/>
        <c:baseTimeUnit val="months"/>
      </c:dateAx>
      <c:valAx>
        <c:axId val="127221120"/>
        <c:scaling>
          <c:orientation val="minMax"/>
        </c:scaling>
        <c:delete val="0"/>
        <c:axPos val="l"/>
        <c:majorGridlines/>
        <c:numFmt formatCode="0" sourceLinked="1"/>
        <c:majorTickMark val="out"/>
        <c:minorTickMark val="none"/>
        <c:tickLblPos val="nextTo"/>
        <c:crossAx val="127219584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000000000000822" l="0.70000000000000062" r="0.70000000000000062" t="0.75000000000000822" header="0.30000000000000032" footer="0.30000000000000032"/>
    <c:pageSetup/>
  </c:printSettings>
</c:chartSpace>
</file>

<file path=xl/charts/chart1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1"/>
          <c:order val="1"/>
          <c:tx>
            <c:strRef>
              <c:f>'KPI 96'!$D$20</c:f>
              <c:strCache>
                <c:ptCount val="1"/>
                <c:pt idx="0">
                  <c:v>Actual 2025-26</c:v>
                </c:pt>
              </c:strCache>
            </c:strRef>
          </c:tx>
          <c:spPr>
            <a:solidFill>
              <a:schemeClr val="accent1"/>
            </a:solidFill>
          </c:spPr>
          <c:invertIfNegative val="0"/>
          <c:cat>
            <c:numRef>
              <c:f>'KPI 96'!$E$18:$P$18</c:f>
              <c:numCache>
                <c:formatCode>mmm\-yy</c:formatCode>
                <c:ptCount val="12"/>
                <c:pt idx="0">
                  <c:v>45839</c:v>
                </c:pt>
                <c:pt idx="1">
                  <c:v>45870</c:v>
                </c:pt>
                <c:pt idx="2">
                  <c:v>45901</c:v>
                </c:pt>
                <c:pt idx="3">
                  <c:v>45931</c:v>
                </c:pt>
                <c:pt idx="4">
                  <c:v>45962</c:v>
                </c:pt>
                <c:pt idx="5">
                  <c:v>45992</c:v>
                </c:pt>
                <c:pt idx="6">
                  <c:v>46023</c:v>
                </c:pt>
                <c:pt idx="7">
                  <c:v>46054</c:v>
                </c:pt>
                <c:pt idx="8">
                  <c:v>46082</c:v>
                </c:pt>
                <c:pt idx="9">
                  <c:v>46113</c:v>
                </c:pt>
                <c:pt idx="10">
                  <c:v>46143</c:v>
                </c:pt>
                <c:pt idx="11">
                  <c:v>46174</c:v>
                </c:pt>
              </c:numCache>
            </c:numRef>
          </c:cat>
          <c:val>
            <c:numRef>
              <c:f>'KPI 96'!$E$20:$P$20</c:f>
              <c:numCache>
                <c:formatCode>0</c:formatCode>
                <c:ptCount val="12"/>
                <c:pt idx="0">
                  <c:v>2570510</c:v>
                </c:pt>
                <c:pt idx="1">
                  <c:v>3596170</c:v>
                </c:pt>
                <c:pt idx="2">
                  <c:v>2612160</c:v>
                </c:pt>
                <c:pt idx="3">
                  <c:v>3498390</c:v>
                </c:pt>
                <c:pt idx="4">
                  <c:v>2420620</c:v>
                </c:pt>
                <c:pt idx="5">
                  <c:v>2797250</c:v>
                </c:pt>
                <c:pt idx="6">
                  <c:v>4115890</c:v>
                </c:pt>
                <c:pt idx="7">
                  <c:v>3339680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F4E-4D41-9891-DF1707DA389F}"/>
            </c:ext>
          </c:extLst>
        </c:ser>
        <c:ser>
          <c:idx val="4"/>
          <c:order val="2"/>
          <c:tx>
            <c:strRef>
              <c:f>'KPI 96'!$D$21</c:f>
              <c:strCache>
                <c:ptCount val="1"/>
                <c:pt idx="0">
                  <c:v>Actual 2024-25</c:v>
                </c:pt>
              </c:strCache>
            </c:strRef>
          </c:tx>
          <c:spPr>
            <a:solidFill>
              <a:schemeClr val="accent3"/>
            </a:solidFill>
          </c:spPr>
          <c:invertIfNegative val="0"/>
          <c:cat>
            <c:numRef>
              <c:f>'KPI 96'!$E$18:$P$18</c:f>
              <c:numCache>
                <c:formatCode>mmm\-yy</c:formatCode>
                <c:ptCount val="12"/>
                <c:pt idx="0">
                  <c:v>45839</c:v>
                </c:pt>
                <c:pt idx="1">
                  <c:v>45870</c:v>
                </c:pt>
                <c:pt idx="2">
                  <c:v>45901</c:v>
                </c:pt>
                <c:pt idx="3">
                  <c:v>45931</c:v>
                </c:pt>
                <c:pt idx="4">
                  <c:v>45962</c:v>
                </c:pt>
                <c:pt idx="5">
                  <c:v>45992</c:v>
                </c:pt>
                <c:pt idx="6">
                  <c:v>46023</c:v>
                </c:pt>
                <c:pt idx="7">
                  <c:v>46054</c:v>
                </c:pt>
                <c:pt idx="8">
                  <c:v>46082</c:v>
                </c:pt>
                <c:pt idx="9">
                  <c:v>46113</c:v>
                </c:pt>
                <c:pt idx="10">
                  <c:v>46143</c:v>
                </c:pt>
                <c:pt idx="11">
                  <c:v>46174</c:v>
                </c:pt>
              </c:numCache>
            </c:numRef>
          </c:cat>
          <c:val>
            <c:numRef>
              <c:f>'KPI 96'!$E$21:$P$21</c:f>
              <c:numCache>
                <c:formatCode>0</c:formatCode>
                <c:ptCount val="12"/>
                <c:pt idx="0">
                  <c:v>2012524</c:v>
                </c:pt>
                <c:pt idx="1">
                  <c:v>1783986</c:v>
                </c:pt>
                <c:pt idx="2">
                  <c:v>2041020</c:v>
                </c:pt>
                <c:pt idx="3">
                  <c:v>1972246</c:v>
                </c:pt>
                <c:pt idx="4">
                  <c:v>2322298</c:v>
                </c:pt>
                <c:pt idx="5">
                  <c:v>1310338</c:v>
                </c:pt>
                <c:pt idx="6">
                  <c:v>2379301</c:v>
                </c:pt>
                <c:pt idx="7">
                  <c:v>2157536</c:v>
                </c:pt>
                <c:pt idx="8">
                  <c:v>1983195</c:v>
                </c:pt>
                <c:pt idx="9">
                  <c:v>1700227</c:v>
                </c:pt>
                <c:pt idx="10">
                  <c:v>2880970</c:v>
                </c:pt>
                <c:pt idx="11">
                  <c:v>3480160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F4E-4D41-9891-DF1707DA389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26917248"/>
        <c:axId val="126919040"/>
      </c:barChart>
      <c:lineChart>
        <c:grouping val="standard"/>
        <c:varyColors val="0"/>
        <c:ser>
          <c:idx val="0"/>
          <c:order val="0"/>
          <c:tx>
            <c:strRef>
              <c:f>'KPI 96'!$D$19</c:f>
              <c:strCache>
                <c:ptCount val="1"/>
                <c:pt idx="0">
                  <c:v>Budget 2025-26</c:v>
                </c:pt>
              </c:strCache>
            </c:strRef>
          </c:tx>
          <c:spPr>
            <a:ln>
              <a:solidFill>
                <a:srgbClr val="FF0000"/>
              </a:solidFill>
            </a:ln>
          </c:spPr>
          <c:marker>
            <c:symbol val="none"/>
          </c:marker>
          <c:cat>
            <c:numRef>
              <c:f>'KPI 96'!$E$18:$P$18</c:f>
              <c:numCache>
                <c:formatCode>mmm\-yy</c:formatCode>
                <c:ptCount val="12"/>
                <c:pt idx="0">
                  <c:v>45839</c:v>
                </c:pt>
                <c:pt idx="1">
                  <c:v>45870</c:v>
                </c:pt>
                <c:pt idx="2">
                  <c:v>45901</c:v>
                </c:pt>
                <c:pt idx="3">
                  <c:v>45931</c:v>
                </c:pt>
                <c:pt idx="4">
                  <c:v>45962</c:v>
                </c:pt>
                <c:pt idx="5">
                  <c:v>45992</c:v>
                </c:pt>
                <c:pt idx="6">
                  <c:v>46023</c:v>
                </c:pt>
                <c:pt idx="7">
                  <c:v>46054</c:v>
                </c:pt>
                <c:pt idx="8">
                  <c:v>46082</c:v>
                </c:pt>
                <c:pt idx="9">
                  <c:v>46113</c:v>
                </c:pt>
                <c:pt idx="10">
                  <c:v>46143</c:v>
                </c:pt>
                <c:pt idx="11">
                  <c:v>46174</c:v>
                </c:pt>
              </c:numCache>
            </c:numRef>
          </c:cat>
          <c:val>
            <c:numRef>
              <c:f>'KPI 96'!$E$19:$P$19</c:f>
              <c:numCache>
                <c:formatCode>0</c:formatCode>
                <c:ptCount val="12"/>
                <c:pt idx="0">
                  <c:v>2688213.5283896001</c:v>
                </c:pt>
                <c:pt idx="1">
                  <c:v>2702286.7497774758</c:v>
                </c:pt>
                <c:pt idx="2">
                  <c:v>2732965.0247134324</c:v>
                </c:pt>
                <c:pt idx="3">
                  <c:v>2800450.1302181515</c:v>
                </c:pt>
                <c:pt idx="4">
                  <c:v>2868260.1330612507</c:v>
                </c:pt>
                <c:pt idx="5">
                  <c:v>2934181.7272959882</c:v>
                </c:pt>
                <c:pt idx="6">
                  <c:v>2997202.2204598826</c:v>
                </c:pt>
                <c:pt idx="7">
                  <c:v>3057902.5893164724</c:v>
                </c:pt>
                <c:pt idx="8">
                  <c:v>3103001.7466430347</c:v>
                </c:pt>
                <c:pt idx="9">
                  <c:v>3143989.1710044788</c:v>
                </c:pt>
                <c:pt idx="10">
                  <c:v>3184909.961858456</c:v>
                </c:pt>
                <c:pt idx="11">
                  <c:v>3222857.4397244095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CF4E-4D41-9891-DF1707DA389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26917248"/>
        <c:axId val="126919040"/>
      </c:lineChart>
      <c:dateAx>
        <c:axId val="126917248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crossAx val="126919040"/>
        <c:crosses val="autoZero"/>
        <c:auto val="1"/>
        <c:lblOffset val="100"/>
        <c:baseTimeUnit val="months"/>
      </c:dateAx>
      <c:valAx>
        <c:axId val="126919040"/>
        <c:scaling>
          <c:orientation val="minMax"/>
        </c:scaling>
        <c:delete val="0"/>
        <c:axPos val="l"/>
        <c:majorGridlines/>
        <c:numFmt formatCode="0" sourceLinked="1"/>
        <c:majorTickMark val="out"/>
        <c:minorTickMark val="none"/>
        <c:tickLblPos val="nextTo"/>
        <c:crossAx val="126917248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000000000000822" l="0.70000000000000062" r="0.70000000000000062" t="0.75000000000000822" header="0.30000000000000032" footer="0.30000000000000032"/>
    <c:pageSetup/>
  </c:printSettings>
</c:chartSpace>
</file>

<file path=xl/charts/chart1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1"/>
          <c:order val="1"/>
          <c:tx>
            <c:strRef>
              <c:f>'KPI 97'!$D$20</c:f>
              <c:strCache>
                <c:ptCount val="1"/>
                <c:pt idx="0">
                  <c:v>Actual 2025-26</c:v>
                </c:pt>
              </c:strCache>
            </c:strRef>
          </c:tx>
          <c:spPr>
            <a:solidFill>
              <a:schemeClr val="accent1"/>
            </a:solidFill>
          </c:spPr>
          <c:invertIfNegative val="0"/>
          <c:cat>
            <c:numRef>
              <c:f>'KPI 97'!$E$18:$P$18</c:f>
              <c:numCache>
                <c:formatCode>mmm\-yy</c:formatCode>
                <c:ptCount val="12"/>
                <c:pt idx="0">
                  <c:v>45839</c:v>
                </c:pt>
                <c:pt idx="1">
                  <c:v>45870</c:v>
                </c:pt>
                <c:pt idx="2">
                  <c:v>45901</c:v>
                </c:pt>
                <c:pt idx="3">
                  <c:v>45931</c:v>
                </c:pt>
                <c:pt idx="4">
                  <c:v>45962</c:v>
                </c:pt>
                <c:pt idx="5">
                  <c:v>45992</c:v>
                </c:pt>
                <c:pt idx="6">
                  <c:v>46023</c:v>
                </c:pt>
                <c:pt idx="7">
                  <c:v>46054</c:v>
                </c:pt>
                <c:pt idx="8">
                  <c:v>46082</c:v>
                </c:pt>
                <c:pt idx="9">
                  <c:v>46113</c:v>
                </c:pt>
                <c:pt idx="10">
                  <c:v>46143</c:v>
                </c:pt>
                <c:pt idx="11">
                  <c:v>46174</c:v>
                </c:pt>
              </c:numCache>
            </c:numRef>
          </c:cat>
          <c:val>
            <c:numRef>
              <c:f>'KPI 97'!$E$20:$P$20</c:f>
              <c:numCache>
                <c:formatCode>0</c:formatCode>
                <c:ptCount val="12"/>
                <c:pt idx="0">
                  <c:v>706180</c:v>
                </c:pt>
                <c:pt idx="1">
                  <c:v>829150</c:v>
                </c:pt>
                <c:pt idx="2">
                  <c:v>584980</c:v>
                </c:pt>
                <c:pt idx="3">
                  <c:v>768260</c:v>
                </c:pt>
                <c:pt idx="4">
                  <c:v>636320</c:v>
                </c:pt>
                <c:pt idx="5">
                  <c:v>749170</c:v>
                </c:pt>
                <c:pt idx="6">
                  <c:v>1094700</c:v>
                </c:pt>
                <c:pt idx="7">
                  <c:v>891950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5F7-467D-B1BC-E543390A71E5}"/>
            </c:ext>
          </c:extLst>
        </c:ser>
        <c:ser>
          <c:idx val="4"/>
          <c:order val="2"/>
          <c:tx>
            <c:strRef>
              <c:f>'KPI 97'!$D$21</c:f>
              <c:strCache>
                <c:ptCount val="1"/>
                <c:pt idx="0">
                  <c:v>Actual 2024-25</c:v>
                </c:pt>
              </c:strCache>
            </c:strRef>
          </c:tx>
          <c:spPr>
            <a:solidFill>
              <a:schemeClr val="accent3"/>
            </a:solidFill>
          </c:spPr>
          <c:invertIfNegative val="0"/>
          <c:cat>
            <c:numRef>
              <c:f>'KPI 97'!$E$18:$P$18</c:f>
              <c:numCache>
                <c:formatCode>mmm\-yy</c:formatCode>
                <c:ptCount val="12"/>
                <c:pt idx="0">
                  <c:v>45839</c:v>
                </c:pt>
                <c:pt idx="1">
                  <c:v>45870</c:v>
                </c:pt>
                <c:pt idx="2">
                  <c:v>45901</c:v>
                </c:pt>
                <c:pt idx="3">
                  <c:v>45931</c:v>
                </c:pt>
                <c:pt idx="4">
                  <c:v>45962</c:v>
                </c:pt>
                <c:pt idx="5">
                  <c:v>45992</c:v>
                </c:pt>
                <c:pt idx="6">
                  <c:v>46023</c:v>
                </c:pt>
                <c:pt idx="7">
                  <c:v>46054</c:v>
                </c:pt>
                <c:pt idx="8">
                  <c:v>46082</c:v>
                </c:pt>
                <c:pt idx="9">
                  <c:v>46113</c:v>
                </c:pt>
                <c:pt idx="10">
                  <c:v>46143</c:v>
                </c:pt>
                <c:pt idx="11">
                  <c:v>46174</c:v>
                </c:pt>
              </c:numCache>
            </c:numRef>
          </c:cat>
          <c:val>
            <c:numRef>
              <c:f>'KPI 97'!$E$21:$P$21</c:f>
              <c:numCache>
                <c:formatCode>0</c:formatCode>
                <c:ptCount val="12"/>
                <c:pt idx="0">
                  <c:v>460986</c:v>
                </c:pt>
                <c:pt idx="1">
                  <c:v>490051</c:v>
                </c:pt>
                <c:pt idx="2">
                  <c:v>487474</c:v>
                </c:pt>
                <c:pt idx="3">
                  <c:v>505046</c:v>
                </c:pt>
                <c:pt idx="4">
                  <c:v>546053</c:v>
                </c:pt>
                <c:pt idx="5">
                  <c:v>360214</c:v>
                </c:pt>
                <c:pt idx="6">
                  <c:v>573645</c:v>
                </c:pt>
                <c:pt idx="7">
                  <c:v>606588</c:v>
                </c:pt>
                <c:pt idx="8">
                  <c:v>628054</c:v>
                </c:pt>
                <c:pt idx="9">
                  <c:v>455096</c:v>
                </c:pt>
                <c:pt idx="10">
                  <c:v>846340</c:v>
                </c:pt>
                <c:pt idx="11">
                  <c:v>843290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5F7-467D-B1BC-E543390A71E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27258624"/>
        <c:axId val="127260160"/>
      </c:barChart>
      <c:lineChart>
        <c:grouping val="standard"/>
        <c:varyColors val="0"/>
        <c:ser>
          <c:idx val="0"/>
          <c:order val="0"/>
          <c:tx>
            <c:strRef>
              <c:f>'KPI 97'!$D$19</c:f>
              <c:strCache>
                <c:ptCount val="1"/>
                <c:pt idx="0">
                  <c:v>Budget 2025-26</c:v>
                </c:pt>
              </c:strCache>
            </c:strRef>
          </c:tx>
          <c:spPr>
            <a:ln>
              <a:solidFill>
                <a:srgbClr val="FF0000"/>
              </a:solidFill>
            </a:ln>
          </c:spPr>
          <c:marker>
            <c:symbol val="none"/>
          </c:marker>
          <c:cat>
            <c:numRef>
              <c:f>'KPI 97'!$E$18:$P$18</c:f>
              <c:numCache>
                <c:formatCode>mmm\-yy</c:formatCode>
                <c:ptCount val="12"/>
                <c:pt idx="0">
                  <c:v>45839</c:v>
                </c:pt>
                <c:pt idx="1">
                  <c:v>45870</c:v>
                </c:pt>
                <c:pt idx="2">
                  <c:v>45901</c:v>
                </c:pt>
                <c:pt idx="3">
                  <c:v>45931</c:v>
                </c:pt>
                <c:pt idx="4">
                  <c:v>45962</c:v>
                </c:pt>
                <c:pt idx="5">
                  <c:v>45992</c:v>
                </c:pt>
                <c:pt idx="6">
                  <c:v>46023</c:v>
                </c:pt>
                <c:pt idx="7">
                  <c:v>46054</c:v>
                </c:pt>
                <c:pt idx="8">
                  <c:v>46082</c:v>
                </c:pt>
                <c:pt idx="9">
                  <c:v>46113</c:v>
                </c:pt>
                <c:pt idx="10">
                  <c:v>46143</c:v>
                </c:pt>
                <c:pt idx="11">
                  <c:v>46174</c:v>
                </c:pt>
              </c:numCache>
            </c:numRef>
          </c:cat>
          <c:val>
            <c:numRef>
              <c:f>'KPI 97'!$E$19:$P$19</c:f>
              <c:numCache>
                <c:formatCode>0</c:formatCode>
                <c:ptCount val="12"/>
                <c:pt idx="0">
                  <c:v>720087.34240920749</c:v>
                </c:pt>
                <c:pt idx="1">
                  <c:v>721554.22809174797</c:v>
                </c:pt>
                <c:pt idx="2">
                  <c:v>722693.43420304731</c:v>
                </c:pt>
                <c:pt idx="3">
                  <c:v>759974.38734635361</c:v>
                </c:pt>
                <c:pt idx="4">
                  <c:v>776779.41947001475</c:v>
                </c:pt>
                <c:pt idx="5">
                  <c:v>793093.35953986295</c:v>
                </c:pt>
                <c:pt idx="6">
                  <c:v>811072.09384178184</c:v>
                </c:pt>
                <c:pt idx="7">
                  <c:v>828414.45852852741</c:v>
                </c:pt>
                <c:pt idx="8">
                  <c:v>845411.47092874232</c:v>
                </c:pt>
                <c:pt idx="9">
                  <c:v>863667.48138267198</c:v>
                </c:pt>
                <c:pt idx="10">
                  <c:v>881858.17324671615</c:v>
                </c:pt>
                <c:pt idx="11">
                  <c:v>899967.66040379391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15F7-467D-B1BC-E543390A71E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27258624"/>
        <c:axId val="127260160"/>
      </c:lineChart>
      <c:dateAx>
        <c:axId val="127258624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crossAx val="127260160"/>
        <c:crosses val="autoZero"/>
        <c:auto val="1"/>
        <c:lblOffset val="100"/>
        <c:baseTimeUnit val="months"/>
      </c:dateAx>
      <c:valAx>
        <c:axId val="127260160"/>
        <c:scaling>
          <c:orientation val="minMax"/>
        </c:scaling>
        <c:delete val="0"/>
        <c:axPos val="l"/>
        <c:majorGridlines/>
        <c:numFmt formatCode="0" sourceLinked="1"/>
        <c:majorTickMark val="out"/>
        <c:minorTickMark val="none"/>
        <c:tickLblPos val="nextTo"/>
        <c:crossAx val="127258624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000000000000822" l="0.70000000000000062" r="0.70000000000000062" t="0.75000000000000822" header="0.30000000000000032" footer="0.30000000000000032"/>
    <c:pageSetup/>
  </c:printSettings>
</c:chartSpace>
</file>

<file path=xl/charts/chart1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1"/>
          <c:order val="1"/>
          <c:tx>
            <c:strRef>
              <c:f>'KPI 98'!$D$20</c:f>
              <c:strCache>
                <c:ptCount val="1"/>
                <c:pt idx="0">
                  <c:v>Actual 2025-26</c:v>
                </c:pt>
              </c:strCache>
            </c:strRef>
          </c:tx>
          <c:spPr>
            <a:solidFill>
              <a:schemeClr val="accent1"/>
            </a:solidFill>
          </c:spPr>
          <c:invertIfNegative val="0"/>
          <c:cat>
            <c:numRef>
              <c:f>'KPI 98'!$E$18:$P$18</c:f>
              <c:numCache>
                <c:formatCode>mmm\-yy</c:formatCode>
                <c:ptCount val="12"/>
                <c:pt idx="0">
                  <c:v>45839</c:v>
                </c:pt>
                <c:pt idx="1">
                  <c:v>45870</c:v>
                </c:pt>
                <c:pt idx="2">
                  <c:v>45901</c:v>
                </c:pt>
                <c:pt idx="3">
                  <c:v>45931</c:v>
                </c:pt>
                <c:pt idx="4">
                  <c:v>45962</c:v>
                </c:pt>
                <c:pt idx="5">
                  <c:v>45992</c:v>
                </c:pt>
                <c:pt idx="6">
                  <c:v>46023</c:v>
                </c:pt>
                <c:pt idx="7">
                  <c:v>46054</c:v>
                </c:pt>
                <c:pt idx="8">
                  <c:v>46082</c:v>
                </c:pt>
                <c:pt idx="9">
                  <c:v>46113</c:v>
                </c:pt>
                <c:pt idx="10">
                  <c:v>46143</c:v>
                </c:pt>
                <c:pt idx="11">
                  <c:v>46174</c:v>
                </c:pt>
              </c:numCache>
            </c:numRef>
          </c:cat>
          <c:val>
            <c:numRef>
              <c:f>'KPI 98'!$E$20:$P$20</c:f>
              <c:numCache>
                <c:formatCode>0</c:formatCode>
                <c:ptCount val="12"/>
                <c:pt idx="0">
                  <c:v>3898650</c:v>
                </c:pt>
                <c:pt idx="1">
                  <c:v>3719620</c:v>
                </c:pt>
                <c:pt idx="2">
                  <c:v>3193940</c:v>
                </c:pt>
                <c:pt idx="3">
                  <c:v>3548620</c:v>
                </c:pt>
                <c:pt idx="4">
                  <c:v>3056970</c:v>
                </c:pt>
                <c:pt idx="5">
                  <c:v>3204540</c:v>
                </c:pt>
                <c:pt idx="6">
                  <c:v>3796270</c:v>
                </c:pt>
                <c:pt idx="7">
                  <c:v>4103260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DDC-4795-B844-B9CDAEC4545C}"/>
            </c:ext>
          </c:extLst>
        </c:ser>
        <c:ser>
          <c:idx val="4"/>
          <c:order val="2"/>
          <c:tx>
            <c:strRef>
              <c:f>'KPI 98'!$D$21</c:f>
              <c:strCache>
                <c:ptCount val="1"/>
                <c:pt idx="0">
                  <c:v>Actual 2024-25</c:v>
                </c:pt>
              </c:strCache>
            </c:strRef>
          </c:tx>
          <c:spPr>
            <a:solidFill>
              <a:schemeClr val="accent3"/>
            </a:solidFill>
          </c:spPr>
          <c:invertIfNegative val="0"/>
          <c:cat>
            <c:numRef>
              <c:f>'KPI 98'!$E$18:$P$18</c:f>
              <c:numCache>
                <c:formatCode>mmm\-yy</c:formatCode>
                <c:ptCount val="12"/>
                <c:pt idx="0">
                  <c:v>45839</c:v>
                </c:pt>
                <c:pt idx="1">
                  <c:v>45870</c:v>
                </c:pt>
                <c:pt idx="2">
                  <c:v>45901</c:v>
                </c:pt>
                <c:pt idx="3">
                  <c:v>45931</c:v>
                </c:pt>
                <c:pt idx="4">
                  <c:v>45962</c:v>
                </c:pt>
                <c:pt idx="5">
                  <c:v>45992</c:v>
                </c:pt>
                <c:pt idx="6">
                  <c:v>46023</c:v>
                </c:pt>
                <c:pt idx="7">
                  <c:v>46054</c:v>
                </c:pt>
                <c:pt idx="8">
                  <c:v>46082</c:v>
                </c:pt>
                <c:pt idx="9">
                  <c:v>46113</c:v>
                </c:pt>
                <c:pt idx="10">
                  <c:v>46143</c:v>
                </c:pt>
                <c:pt idx="11">
                  <c:v>46174</c:v>
                </c:pt>
              </c:numCache>
            </c:numRef>
          </c:cat>
          <c:val>
            <c:numRef>
              <c:f>'KPI 98'!$E$21:$P$21</c:f>
              <c:numCache>
                <c:formatCode>0</c:formatCode>
                <c:ptCount val="12"/>
                <c:pt idx="0">
                  <c:v>2130898</c:v>
                </c:pt>
                <c:pt idx="1">
                  <c:v>2494851</c:v>
                </c:pt>
                <c:pt idx="2">
                  <c:v>2586627</c:v>
                </c:pt>
                <c:pt idx="3">
                  <c:v>2312515</c:v>
                </c:pt>
                <c:pt idx="4">
                  <c:v>2408145</c:v>
                </c:pt>
                <c:pt idx="5">
                  <c:v>1739352</c:v>
                </c:pt>
                <c:pt idx="6">
                  <c:v>2146405</c:v>
                </c:pt>
                <c:pt idx="7">
                  <c:v>2060613</c:v>
                </c:pt>
                <c:pt idx="8">
                  <c:v>2172698</c:v>
                </c:pt>
                <c:pt idx="9">
                  <c:v>1949510</c:v>
                </c:pt>
                <c:pt idx="10">
                  <c:v>3454620</c:v>
                </c:pt>
                <c:pt idx="11">
                  <c:v>1840557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DDC-4795-B844-B9CDAEC4545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27136896"/>
        <c:axId val="127138432"/>
      </c:barChart>
      <c:lineChart>
        <c:grouping val="standard"/>
        <c:varyColors val="0"/>
        <c:ser>
          <c:idx val="0"/>
          <c:order val="0"/>
          <c:tx>
            <c:strRef>
              <c:f>'KPI 98'!$D$19</c:f>
              <c:strCache>
                <c:ptCount val="1"/>
                <c:pt idx="0">
                  <c:v>Budget 2025-26</c:v>
                </c:pt>
              </c:strCache>
            </c:strRef>
          </c:tx>
          <c:spPr>
            <a:ln>
              <a:solidFill>
                <a:srgbClr val="FF0000"/>
              </a:solidFill>
            </a:ln>
          </c:spPr>
          <c:marker>
            <c:symbol val="none"/>
          </c:marker>
          <c:cat>
            <c:numRef>
              <c:f>'KPI 98'!$E$18:$P$18</c:f>
              <c:numCache>
                <c:formatCode>mmm\-yy</c:formatCode>
                <c:ptCount val="12"/>
                <c:pt idx="0">
                  <c:v>45839</c:v>
                </c:pt>
                <c:pt idx="1">
                  <c:v>45870</c:v>
                </c:pt>
                <c:pt idx="2">
                  <c:v>45901</c:v>
                </c:pt>
                <c:pt idx="3">
                  <c:v>45931</c:v>
                </c:pt>
                <c:pt idx="4">
                  <c:v>45962</c:v>
                </c:pt>
                <c:pt idx="5">
                  <c:v>45992</c:v>
                </c:pt>
                <c:pt idx="6">
                  <c:v>46023</c:v>
                </c:pt>
                <c:pt idx="7">
                  <c:v>46054</c:v>
                </c:pt>
                <c:pt idx="8">
                  <c:v>46082</c:v>
                </c:pt>
                <c:pt idx="9">
                  <c:v>46113</c:v>
                </c:pt>
                <c:pt idx="10">
                  <c:v>46143</c:v>
                </c:pt>
                <c:pt idx="11">
                  <c:v>46174</c:v>
                </c:pt>
              </c:numCache>
            </c:numRef>
          </c:cat>
          <c:val>
            <c:numRef>
              <c:f>'KPI 98'!$E$19:$P$19</c:f>
              <c:numCache>
                <c:formatCode>0</c:formatCode>
                <c:ptCount val="12"/>
                <c:pt idx="0">
                  <c:v>2905035.4432993769</c:v>
                </c:pt>
                <c:pt idx="1">
                  <c:v>2925280.926313458</c:v>
                </c:pt>
                <c:pt idx="2">
                  <c:v>2944195.6061214763</c:v>
                </c:pt>
                <c:pt idx="3">
                  <c:v>2943670.6665969905</c:v>
                </c:pt>
                <c:pt idx="4">
                  <c:v>2944430.8821631768</c:v>
                </c:pt>
                <c:pt idx="5">
                  <c:v>2944150.0364758922</c:v>
                </c:pt>
                <c:pt idx="6">
                  <c:v>2965559.5046671415</c:v>
                </c:pt>
                <c:pt idx="7">
                  <c:v>2976524.3885078211</c:v>
                </c:pt>
                <c:pt idx="8">
                  <c:v>2986759.4972029631</c:v>
                </c:pt>
                <c:pt idx="9">
                  <c:v>2997637.3306012782</c:v>
                </c:pt>
                <c:pt idx="10">
                  <c:v>3008641.1352224974</c:v>
                </c:pt>
                <c:pt idx="11">
                  <c:v>3019704.2392601273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DDDC-4795-B844-B9CDAEC4545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27136896"/>
        <c:axId val="127138432"/>
      </c:lineChart>
      <c:dateAx>
        <c:axId val="127136896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crossAx val="127138432"/>
        <c:crosses val="autoZero"/>
        <c:auto val="1"/>
        <c:lblOffset val="100"/>
        <c:baseTimeUnit val="months"/>
      </c:dateAx>
      <c:valAx>
        <c:axId val="127138432"/>
        <c:scaling>
          <c:orientation val="minMax"/>
        </c:scaling>
        <c:delete val="0"/>
        <c:axPos val="l"/>
        <c:majorGridlines/>
        <c:numFmt formatCode="0" sourceLinked="1"/>
        <c:majorTickMark val="out"/>
        <c:minorTickMark val="none"/>
        <c:tickLblPos val="nextTo"/>
        <c:crossAx val="127136896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000000000000822" l="0.70000000000000062" r="0.70000000000000062" t="0.75000000000000822" header="0.30000000000000032" footer="0.30000000000000032"/>
    <c:pageSetup/>
  </c:printSettings>
</c:chartSpace>
</file>

<file path=xl/charts/chart12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1"/>
          <c:order val="1"/>
          <c:tx>
            <c:strRef>
              <c:f>'KPI 98'!$D$20</c:f>
              <c:strCache>
                <c:ptCount val="1"/>
                <c:pt idx="0">
                  <c:v>Actual 2025-26</c:v>
                </c:pt>
              </c:strCache>
            </c:strRef>
          </c:tx>
          <c:spPr>
            <a:solidFill>
              <a:schemeClr val="accent1"/>
            </a:solidFill>
          </c:spPr>
          <c:invertIfNegative val="0"/>
          <c:cat>
            <c:numRef>
              <c:f>'KPI 98'!$E$18:$P$18</c:f>
              <c:numCache>
                <c:formatCode>mmm\-yy</c:formatCode>
                <c:ptCount val="12"/>
                <c:pt idx="0">
                  <c:v>45839</c:v>
                </c:pt>
                <c:pt idx="1">
                  <c:v>45870</c:v>
                </c:pt>
                <c:pt idx="2">
                  <c:v>45901</c:v>
                </c:pt>
                <c:pt idx="3">
                  <c:v>45931</c:v>
                </c:pt>
                <c:pt idx="4">
                  <c:v>45962</c:v>
                </c:pt>
                <c:pt idx="5">
                  <c:v>45992</c:v>
                </c:pt>
                <c:pt idx="6">
                  <c:v>46023</c:v>
                </c:pt>
                <c:pt idx="7">
                  <c:v>46054</c:v>
                </c:pt>
                <c:pt idx="8">
                  <c:v>46082</c:v>
                </c:pt>
                <c:pt idx="9">
                  <c:v>46113</c:v>
                </c:pt>
                <c:pt idx="10">
                  <c:v>46143</c:v>
                </c:pt>
                <c:pt idx="11">
                  <c:v>46174</c:v>
                </c:pt>
              </c:numCache>
            </c:numRef>
          </c:cat>
          <c:val>
            <c:numRef>
              <c:f>'KPI 98'!$E$20:$P$20</c:f>
              <c:numCache>
                <c:formatCode>0</c:formatCode>
                <c:ptCount val="12"/>
                <c:pt idx="0">
                  <c:v>3898650</c:v>
                </c:pt>
                <c:pt idx="1">
                  <c:v>3719620</c:v>
                </c:pt>
                <c:pt idx="2">
                  <c:v>3193940</c:v>
                </c:pt>
                <c:pt idx="3">
                  <c:v>3548620</c:v>
                </c:pt>
                <c:pt idx="4">
                  <c:v>3056970</c:v>
                </c:pt>
                <c:pt idx="5">
                  <c:v>3204540</c:v>
                </c:pt>
                <c:pt idx="6">
                  <c:v>3796270</c:v>
                </c:pt>
                <c:pt idx="7">
                  <c:v>4103260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0A5-48F7-89A8-0B313C30DBB7}"/>
            </c:ext>
          </c:extLst>
        </c:ser>
        <c:ser>
          <c:idx val="4"/>
          <c:order val="2"/>
          <c:tx>
            <c:strRef>
              <c:f>'KPI 98'!$D$21</c:f>
              <c:strCache>
                <c:ptCount val="1"/>
                <c:pt idx="0">
                  <c:v>Actual 2024-25</c:v>
                </c:pt>
              </c:strCache>
            </c:strRef>
          </c:tx>
          <c:spPr>
            <a:solidFill>
              <a:schemeClr val="accent3"/>
            </a:solidFill>
          </c:spPr>
          <c:invertIfNegative val="0"/>
          <c:cat>
            <c:numRef>
              <c:f>'KPI 98'!$E$18:$P$18</c:f>
              <c:numCache>
                <c:formatCode>mmm\-yy</c:formatCode>
                <c:ptCount val="12"/>
                <c:pt idx="0">
                  <c:v>45839</c:v>
                </c:pt>
                <c:pt idx="1">
                  <c:v>45870</c:v>
                </c:pt>
                <c:pt idx="2">
                  <c:v>45901</c:v>
                </c:pt>
                <c:pt idx="3">
                  <c:v>45931</c:v>
                </c:pt>
                <c:pt idx="4">
                  <c:v>45962</c:v>
                </c:pt>
                <c:pt idx="5">
                  <c:v>45992</c:v>
                </c:pt>
                <c:pt idx="6">
                  <c:v>46023</c:v>
                </c:pt>
                <c:pt idx="7">
                  <c:v>46054</c:v>
                </c:pt>
                <c:pt idx="8">
                  <c:v>46082</c:v>
                </c:pt>
                <c:pt idx="9">
                  <c:v>46113</c:v>
                </c:pt>
                <c:pt idx="10">
                  <c:v>46143</c:v>
                </c:pt>
                <c:pt idx="11">
                  <c:v>46174</c:v>
                </c:pt>
              </c:numCache>
            </c:numRef>
          </c:cat>
          <c:val>
            <c:numRef>
              <c:f>'KPI 98'!$E$21:$P$21</c:f>
              <c:numCache>
                <c:formatCode>0</c:formatCode>
                <c:ptCount val="12"/>
                <c:pt idx="0">
                  <c:v>2130898</c:v>
                </c:pt>
                <c:pt idx="1">
                  <c:v>2494851</c:v>
                </c:pt>
                <c:pt idx="2">
                  <c:v>2586627</c:v>
                </c:pt>
                <c:pt idx="3">
                  <c:v>2312515</c:v>
                </c:pt>
                <c:pt idx="4">
                  <c:v>2408145</c:v>
                </c:pt>
                <c:pt idx="5">
                  <c:v>1739352</c:v>
                </c:pt>
                <c:pt idx="6">
                  <c:v>2146405</c:v>
                </c:pt>
                <c:pt idx="7">
                  <c:v>2060613</c:v>
                </c:pt>
                <c:pt idx="8">
                  <c:v>2172698</c:v>
                </c:pt>
                <c:pt idx="9">
                  <c:v>1949510</c:v>
                </c:pt>
                <c:pt idx="10">
                  <c:v>3454620</c:v>
                </c:pt>
                <c:pt idx="11">
                  <c:v>1840557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0A5-48F7-89A8-0B313C30DBB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27136896"/>
        <c:axId val="127138432"/>
      </c:barChart>
      <c:lineChart>
        <c:grouping val="standard"/>
        <c:varyColors val="0"/>
        <c:ser>
          <c:idx val="0"/>
          <c:order val="0"/>
          <c:tx>
            <c:strRef>
              <c:f>'KPI 98'!$D$19</c:f>
              <c:strCache>
                <c:ptCount val="1"/>
                <c:pt idx="0">
                  <c:v>Budget 2025-26</c:v>
                </c:pt>
              </c:strCache>
            </c:strRef>
          </c:tx>
          <c:spPr>
            <a:ln>
              <a:solidFill>
                <a:srgbClr val="FF0000"/>
              </a:solidFill>
            </a:ln>
          </c:spPr>
          <c:marker>
            <c:symbol val="none"/>
          </c:marker>
          <c:cat>
            <c:numRef>
              <c:f>'KPI 98'!$E$18:$P$18</c:f>
              <c:numCache>
                <c:formatCode>mmm\-yy</c:formatCode>
                <c:ptCount val="12"/>
                <c:pt idx="0">
                  <c:v>45839</c:v>
                </c:pt>
                <c:pt idx="1">
                  <c:v>45870</c:v>
                </c:pt>
                <c:pt idx="2">
                  <c:v>45901</c:v>
                </c:pt>
                <c:pt idx="3">
                  <c:v>45931</c:v>
                </c:pt>
                <c:pt idx="4">
                  <c:v>45962</c:v>
                </c:pt>
                <c:pt idx="5">
                  <c:v>45992</c:v>
                </c:pt>
                <c:pt idx="6">
                  <c:v>46023</c:v>
                </c:pt>
                <c:pt idx="7">
                  <c:v>46054</c:v>
                </c:pt>
                <c:pt idx="8">
                  <c:v>46082</c:v>
                </c:pt>
                <c:pt idx="9">
                  <c:v>46113</c:v>
                </c:pt>
                <c:pt idx="10">
                  <c:v>46143</c:v>
                </c:pt>
                <c:pt idx="11">
                  <c:v>46174</c:v>
                </c:pt>
              </c:numCache>
            </c:numRef>
          </c:cat>
          <c:val>
            <c:numRef>
              <c:f>'KPI 98'!$E$19:$P$19</c:f>
              <c:numCache>
                <c:formatCode>0</c:formatCode>
                <c:ptCount val="12"/>
                <c:pt idx="0">
                  <c:v>2905035.4432993769</c:v>
                </c:pt>
                <c:pt idx="1">
                  <c:v>2925280.926313458</c:v>
                </c:pt>
                <c:pt idx="2">
                  <c:v>2944195.6061214763</c:v>
                </c:pt>
                <c:pt idx="3">
                  <c:v>2943670.6665969905</c:v>
                </c:pt>
                <c:pt idx="4">
                  <c:v>2944430.8821631768</c:v>
                </c:pt>
                <c:pt idx="5">
                  <c:v>2944150.0364758922</c:v>
                </c:pt>
                <c:pt idx="6">
                  <c:v>2965559.5046671415</c:v>
                </c:pt>
                <c:pt idx="7">
                  <c:v>2976524.3885078211</c:v>
                </c:pt>
                <c:pt idx="8">
                  <c:v>2986759.4972029631</c:v>
                </c:pt>
                <c:pt idx="9">
                  <c:v>2997637.3306012782</c:v>
                </c:pt>
                <c:pt idx="10">
                  <c:v>3008641.1352224974</c:v>
                </c:pt>
                <c:pt idx="11">
                  <c:v>3019704.2392601273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0A5-48F7-89A8-0B313C30DBB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27136896"/>
        <c:axId val="127138432"/>
      </c:lineChart>
      <c:dateAx>
        <c:axId val="127136896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crossAx val="127138432"/>
        <c:crosses val="autoZero"/>
        <c:auto val="1"/>
        <c:lblOffset val="100"/>
        <c:baseTimeUnit val="months"/>
      </c:dateAx>
      <c:valAx>
        <c:axId val="127138432"/>
        <c:scaling>
          <c:orientation val="minMax"/>
        </c:scaling>
        <c:delete val="0"/>
        <c:axPos val="l"/>
        <c:majorGridlines/>
        <c:numFmt formatCode="0" sourceLinked="1"/>
        <c:majorTickMark val="out"/>
        <c:minorTickMark val="none"/>
        <c:tickLblPos val="nextTo"/>
        <c:crossAx val="127136896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000000000000822" l="0.70000000000000062" r="0.70000000000000062" t="0.75000000000000822" header="0.30000000000000032" footer="0.30000000000000032"/>
    <c:pageSetup/>
  </c:printSettings>
</c:chartSpace>
</file>

<file path=xl/charts/chart12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1"/>
          <c:order val="1"/>
          <c:tx>
            <c:strRef>
              <c:f>'KPI 99'!$D$20</c:f>
              <c:strCache>
                <c:ptCount val="1"/>
                <c:pt idx="0">
                  <c:v>Actual 2025-26</c:v>
                </c:pt>
              </c:strCache>
            </c:strRef>
          </c:tx>
          <c:spPr>
            <a:solidFill>
              <a:schemeClr val="accent1"/>
            </a:solidFill>
          </c:spPr>
          <c:invertIfNegative val="0"/>
          <c:cat>
            <c:numRef>
              <c:f>'KPI 99'!$E$18:$P$18</c:f>
              <c:numCache>
                <c:formatCode>mmm\-yy</c:formatCode>
                <c:ptCount val="12"/>
                <c:pt idx="0">
                  <c:v>45839</c:v>
                </c:pt>
                <c:pt idx="1">
                  <c:v>45870</c:v>
                </c:pt>
                <c:pt idx="2">
                  <c:v>45901</c:v>
                </c:pt>
                <c:pt idx="3">
                  <c:v>45931</c:v>
                </c:pt>
                <c:pt idx="4">
                  <c:v>45962</c:v>
                </c:pt>
                <c:pt idx="5">
                  <c:v>45992</c:v>
                </c:pt>
                <c:pt idx="6">
                  <c:v>46023</c:v>
                </c:pt>
                <c:pt idx="7">
                  <c:v>46054</c:v>
                </c:pt>
                <c:pt idx="8">
                  <c:v>46082</c:v>
                </c:pt>
                <c:pt idx="9">
                  <c:v>46113</c:v>
                </c:pt>
                <c:pt idx="10">
                  <c:v>46143</c:v>
                </c:pt>
                <c:pt idx="11">
                  <c:v>46174</c:v>
                </c:pt>
              </c:numCache>
            </c:numRef>
          </c:cat>
          <c:val>
            <c:numRef>
              <c:f>'KPI 99'!$E$20:$P$20</c:f>
              <c:numCache>
                <c:formatCode>0</c:formatCode>
                <c:ptCount val="12"/>
                <c:pt idx="0">
                  <c:v>2100540</c:v>
                </c:pt>
                <c:pt idx="1">
                  <c:v>2638290</c:v>
                </c:pt>
                <c:pt idx="2">
                  <c:v>2433710</c:v>
                </c:pt>
                <c:pt idx="3">
                  <c:v>2753510</c:v>
                </c:pt>
                <c:pt idx="4">
                  <c:v>2127270</c:v>
                </c:pt>
                <c:pt idx="5">
                  <c:v>1864290</c:v>
                </c:pt>
                <c:pt idx="6">
                  <c:v>3346670</c:v>
                </c:pt>
                <c:pt idx="7">
                  <c:v>2690770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0B7-4D2B-BA01-2B1BD4B37172}"/>
            </c:ext>
          </c:extLst>
        </c:ser>
        <c:ser>
          <c:idx val="4"/>
          <c:order val="2"/>
          <c:tx>
            <c:strRef>
              <c:f>'KPI 99'!$D$21</c:f>
              <c:strCache>
                <c:ptCount val="1"/>
                <c:pt idx="0">
                  <c:v>Actual 2024-25</c:v>
                </c:pt>
              </c:strCache>
            </c:strRef>
          </c:tx>
          <c:spPr>
            <a:solidFill>
              <a:schemeClr val="accent3"/>
            </a:solidFill>
          </c:spPr>
          <c:invertIfNegative val="0"/>
          <c:cat>
            <c:numRef>
              <c:f>'KPI 99'!$E$18:$P$18</c:f>
              <c:numCache>
                <c:formatCode>mmm\-yy</c:formatCode>
                <c:ptCount val="12"/>
                <c:pt idx="0">
                  <c:v>45839</c:v>
                </c:pt>
                <c:pt idx="1">
                  <c:v>45870</c:v>
                </c:pt>
                <c:pt idx="2">
                  <c:v>45901</c:v>
                </c:pt>
                <c:pt idx="3">
                  <c:v>45931</c:v>
                </c:pt>
                <c:pt idx="4">
                  <c:v>45962</c:v>
                </c:pt>
                <c:pt idx="5">
                  <c:v>45992</c:v>
                </c:pt>
                <c:pt idx="6">
                  <c:v>46023</c:v>
                </c:pt>
                <c:pt idx="7">
                  <c:v>46054</c:v>
                </c:pt>
                <c:pt idx="8">
                  <c:v>46082</c:v>
                </c:pt>
                <c:pt idx="9">
                  <c:v>46113</c:v>
                </c:pt>
                <c:pt idx="10">
                  <c:v>46143</c:v>
                </c:pt>
                <c:pt idx="11">
                  <c:v>46174</c:v>
                </c:pt>
              </c:numCache>
            </c:numRef>
          </c:cat>
          <c:val>
            <c:numRef>
              <c:f>'KPI 99'!$E$21:$P$21</c:f>
              <c:numCache>
                <c:formatCode>0</c:formatCode>
                <c:ptCount val="12"/>
                <c:pt idx="0">
                  <c:v>1408292</c:v>
                </c:pt>
                <c:pt idx="1">
                  <c:v>1871622</c:v>
                </c:pt>
                <c:pt idx="2">
                  <c:v>1667049</c:v>
                </c:pt>
                <c:pt idx="3">
                  <c:v>1578946</c:v>
                </c:pt>
                <c:pt idx="4">
                  <c:v>1826957</c:v>
                </c:pt>
                <c:pt idx="5">
                  <c:v>1062212</c:v>
                </c:pt>
                <c:pt idx="6">
                  <c:v>1900300</c:v>
                </c:pt>
                <c:pt idx="7">
                  <c:v>1864157</c:v>
                </c:pt>
                <c:pt idx="8">
                  <c:v>1966775</c:v>
                </c:pt>
                <c:pt idx="9">
                  <c:v>1858820</c:v>
                </c:pt>
                <c:pt idx="10">
                  <c:v>2451780</c:v>
                </c:pt>
                <c:pt idx="11">
                  <c:v>2596980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0B7-4D2B-BA01-2B1BD4B3717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28936192"/>
        <c:axId val="128946176"/>
      </c:barChart>
      <c:lineChart>
        <c:grouping val="standard"/>
        <c:varyColors val="0"/>
        <c:ser>
          <c:idx val="0"/>
          <c:order val="0"/>
          <c:tx>
            <c:strRef>
              <c:f>'KPI 99'!$D$19</c:f>
              <c:strCache>
                <c:ptCount val="1"/>
                <c:pt idx="0">
                  <c:v>Budget 2025-26</c:v>
                </c:pt>
              </c:strCache>
            </c:strRef>
          </c:tx>
          <c:spPr>
            <a:ln>
              <a:solidFill>
                <a:srgbClr val="FF0000"/>
              </a:solidFill>
            </a:ln>
          </c:spPr>
          <c:marker>
            <c:symbol val="none"/>
          </c:marker>
          <c:cat>
            <c:numRef>
              <c:f>'KPI 99'!$E$18:$P$18</c:f>
              <c:numCache>
                <c:formatCode>mmm\-yy</c:formatCode>
                <c:ptCount val="12"/>
                <c:pt idx="0">
                  <c:v>45839</c:v>
                </c:pt>
                <c:pt idx="1">
                  <c:v>45870</c:v>
                </c:pt>
                <c:pt idx="2">
                  <c:v>45901</c:v>
                </c:pt>
                <c:pt idx="3">
                  <c:v>45931</c:v>
                </c:pt>
                <c:pt idx="4">
                  <c:v>45962</c:v>
                </c:pt>
                <c:pt idx="5">
                  <c:v>45992</c:v>
                </c:pt>
                <c:pt idx="6">
                  <c:v>46023</c:v>
                </c:pt>
                <c:pt idx="7">
                  <c:v>46054</c:v>
                </c:pt>
                <c:pt idx="8">
                  <c:v>46082</c:v>
                </c:pt>
                <c:pt idx="9">
                  <c:v>46113</c:v>
                </c:pt>
                <c:pt idx="10">
                  <c:v>46143</c:v>
                </c:pt>
                <c:pt idx="11">
                  <c:v>46174</c:v>
                </c:pt>
              </c:numCache>
            </c:numRef>
          </c:cat>
          <c:val>
            <c:numRef>
              <c:f>'KPI 99'!$E$19:$P$19</c:f>
              <c:numCache>
                <c:formatCode>0</c:formatCode>
                <c:ptCount val="12"/>
                <c:pt idx="0">
                  <c:v>2177207.2889747513</c:v>
                </c:pt>
                <c:pt idx="1">
                  <c:v>2185407.8277332895</c:v>
                </c:pt>
                <c:pt idx="2">
                  <c:v>2192615.290566538</c:v>
                </c:pt>
                <c:pt idx="3">
                  <c:v>2185394.9100039843</c:v>
                </c:pt>
                <c:pt idx="4">
                  <c:v>2179218.832989845</c:v>
                </c:pt>
                <c:pt idx="5">
                  <c:v>2172360.092595309</c:v>
                </c:pt>
                <c:pt idx="6">
                  <c:v>2170628.4822349497</c:v>
                </c:pt>
                <c:pt idx="7">
                  <c:v>2167653.1093387692</c:v>
                </c:pt>
                <c:pt idx="8">
                  <c:v>2164255.3752662288</c:v>
                </c:pt>
                <c:pt idx="9">
                  <c:v>2164477.9185813186</c:v>
                </c:pt>
                <c:pt idx="10">
                  <c:v>2164842.7040794734</c:v>
                </c:pt>
                <c:pt idx="11">
                  <c:v>2165299.9134860937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40B7-4D2B-BA01-2B1BD4B3717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28936192"/>
        <c:axId val="128946176"/>
      </c:lineChart>
      <c:dateAx>
        <c:axId val="128936192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crossAx val="128946176"/>
        <c:crosses val="autoZero"/>
        <c:auto val="1"/>
        <c:lblOffset val="100"/>
        <c:baseTimeUnit val="months"/>
      </c:dateAx>
      <c:valAx>
        <c:axId val="128946176"/>
        <c:scaling>
          <c:orientation val="minMax"/>
        </c:scaling>
        <c:delete val="0"/>
        <c:axPos val="l"/>
        <c:majorGridlines/>
        <c:numFmt formatCode="0" sourceLinked="1"/>
        <c:majorTickMark val="out"/>
        <c:minorTickMark val="none"/>
        <c:tickLblPos val="nextTo"/>
        <c:crossAx val="128936192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000000000000822" l="0.70000000000000062" r="0.70000000000000062" t="0.75000000000000822" header="0.30000000000000032" footer="0.30000000000000032"/>
    <c:pageSetup/>
  </c:printSettings>
</c:chartSpace>
</file>

<file path=xl/charts/chart12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1"/>
          <c:order val="1"/>
          <c:tx>
            <c:strRef>
              <c:f>'KPI 99'!$D$20</c:f>
              <c:strCache>
                <c:ptCount val="1"/>
                <c:pt idx="0">
                  <c:v>Actual 2025-26</c:v>
                </c:pt>
              </c:strCache>
            </c:strRef>
          </c:tx>
          <c:spPr>
            <a:solidFill>
              <a:schemeClr val="accent1"/>
            </a:solidFill>
          </c:spPr>
          <c:invertIfNegative val="0"/>
          <c:cat>
            <c:numRef>
              <c:f>'KPI 99'!$E$18:$P$18</c:f>
              <c:numCache>
                <c:formatCode>mmm\-yy</c:formatCode>
                <c:ptCount val="12"/>
                <c:pt idx="0">
                  <c:v>45839</c:v>
                </c:pt>
                <c:pt idx="1">
                  <c:v>45870</c:v>
                </c:pt>
                <c:pt idx="2">
                  <c:v>45901</c:v>
                </c:pt>
                <c:pt idx="3">
                  <c:v>45931</c:v>
                </c:pt>
                <c:pt idx="4">
                  <c:v>45962</c:v>
                </c:pt>
                <c:pt idx="5">
                  <c:v>45992</c:v>
                </c:pt>
                <c:pt idx="6">
                  <c:v>46023</c:v>
                </c:pt>
                <c:pt idx="7">
                  <c:v>46054</c:v>
                </c:pt>
                <c:pt idx="8">
                  <c:v>46082</c:v>
                </c:pt>
                <c:pt idx="9">
                  <c:v>46113</c:v>
                </c:pt>
                <c:pt idx="10">
                  <c:v>46143</c:v>
                </c:pt>
                <c:pt idx="11">
                  <c:v>46174</c:v>
                </c:pt>
              </c:numCache>
            </c:numRef>
          </c:cat>
          <c:val>
            <c:numRef>
              <c:f>'KPI 99'!$E$20:$P$20</c:f>
              <c:numCache>
                <c:formatCode>0</c:formatCode>
                <c:ptCount val="12"/>
                <c:pt idx="0">
                  <c:v>2100540</c:v>
                </c:pt>
                <c:pt idx="1">
                  <c:v>2638290</c:v>
                </c:pt>
                <c:pt idx="2">
                  <c:v>2433710</c:v>
                </c:pt>
                <c:pt idx="3">
                  <c:v>2753510</c:v>
                </c:pt>
                <c:pt idx="4">
                  <c:v>2127270</c:v>
                </c:pt>
                <c:pt idx="5">
                  <c:v>1864290</c:v>
                </c:pt>
                <c:pt idx="6">
                  <c:v>3346670</c:v>
                </c:pt>
                <c:pt idx="7">
                  <c:v>2690770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AB2-45FD-8F06-E74E9F4E8C85}"/>
            </c:ext>
          </c:extLst>
        </c:ser>
        <c:ser>
          <c:idx val="4"/>
          <c:order val="2"/>
          <c:tx>
            <c:strRef>
              <c:f>'KPI 99'!$D$21</c:f>
              <c:strCache>
                <c:ptCount val="1"/>
                <c:pt idx="0">
                  <c:v>Actual 2024-25</c:v>
                </c:pt>
              </c:strCache>
            </c:strRef>
          </c:tx>
          <c:spPr>
            <a:solidFill>
              <a:schemeClr val="accent3"/>
            </a:solidFill>
          </c:spPr>
          <c:invertIfNegative val="0"/>
          <c:cat>
            <c:numRef>
              <c:f>'KPI 99'!$E$18:$P$18</c:f>
              <c:numCache>
                <c:formatCode>mmm\-yy</c:formatCode>
                <c:ptCount val="12"/>
                <c:pt idx="0">
                  <c:v>45839</c:v>
                </c:pt>
                <c:pt idx="1">
                  <c:v>45870</c:v>
                </c:pt>
                <c:pt idx="2">
                  <c:v>45901</c:v>
                </c:pt>
                <c:pt idx="3">
                  <c:v>45931</c:v>
                </c:pt>
                <c:pt idx="4">
                  <c:v>45962</c:v>
                </c:pt>
                <c:pt idx="5">
                  <c:v>45992</c:v>
                </c:pt>
                <c:pt idx="6">
                  <c:v>46023</c:v>
                </c:pt>
                <c:pt idx="7">
                  <c:v>46054</c:v>
                </c:pt>
                <c:pt idx="8">
                  <c:v>46082</c:v>
                </c:pt>
                <c:pt idx="9">
                  <c:v>46113</c:v>
                </c:pt>
                <c:pt idx="10">
                  <c:v>46143</c:v>
                </c:pt>
                <c:pt idx="11">
                  <c:v>46174</c:v>
                </c:pt>
              </c:numCache>
            </c:numRef>
          </c:cat>
          <c:val>
            <c:numRef>
              <c:f>'KPI 99'!$E$21:$P$21</c:f>
              <c:numCache>
                <c:formatCode>0</c:formatCode>
                <c:ptCount val="12"/>
                <c:pt idx="0">
                  <c:v>1408292</c:v>
                </c:pt>
                <c:pt idx="1">
                  <c:v>1871622</c:v>
                </c:pt>
                <c:pt idx="2">
                  <c:v>1667049</c:v>
                </c:pt>
                <c:pt idx="3">
                  <c:v>1578946</c:v>
                </c:pt>
                <c:pt idx="4">
                  <c:v>1826957</c:v>
                </c:pt>
                <c:pt idx="5">
                  <c:v>1062212</c:v>
                </c:pt>
                <c:pt idx="6">
                  <c:v>1900300</c:v>
                </c:pt>
                <c:pt idx="7">
                  <c:v>1864157</c:v>
                </c:pt>
                <c:pt idx="8">
                  <c:v>1966775</c:v>
                </c:pt>
                <c:pt idx="9">
                  <c:v>1858820</c:v>
                </c:pt>
                <c:pt idx="10">
                  <c:v>2451780</c:v>
                </c:pt>
                <c:pt idx="11">
                  <c:v>2596980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AB2-45FD-8F06-E74E9F4E8C8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28936192"/>
        <c:axId val="128946176"/>
      </c:barChart>
      <c:lineChart>
        <c:grouping val="standard"/>
        <c:varyColors val="0"/>
        <c:ser>
          <c:idx val="0"/>
          <c:order val="0"/>
          <c:tx>
            <c:strRef>
              <c:f>'KPI 99'!$D$19</c:f>
              <c:strCache>
                <c:ptCount val="1"/>
                <c:pt idx="0">
                  <c:v>Budget 2025-26</c:v>
                </c:pt>
              </c:strCache>
            </c:strRef>
          </c:tx>
          <c:spPr>
            <a:ln>
              <a:solidFill>
                <a:srgbClr val="FF0000"/>
              </a:solidFill>
            </a:ln>
          </c:spPr>
          <c:marker>
            <c:symbol val="none"/>
          </c:marker>
          <c:cat>
            <c:numRef>
              <c:f>'KPI 99'!$E$18:$P$18</c:f>
              <c:numCache>
                <c:formatCode>mmm\-yy</c:formatCode>
                <c:ptCount val="12"/>
                <c:pt idx="0">
                  <c:v>45839</c:v>
                </c:pt>
                <c:pt idx="1">
                  <c:v>45870</c:v>
                </c:pt>
                <c:pt idx="2">
                  <c:v>45901</c:v>
                </c:pt>
                <c:pt idx="3">
                  <c:v>45931</c:v>
                </c:pt>
                <c:pt idx="4">
                  <c:v>45962</c:v>
                </c:pt>
                <c:pt idx="5">
                  <c:v>45992</c:v>
                </c:pt>
                <c:pt idx="6">
                  <c:v>46023</c:v>
                </c:pt>
                <c:pt idx="7">
                  <c:v>46054</c:v>
                </c:pt>
                <c:pt idx="8">
                  <c:v>46082</c:v>
                </c:pt>
                <c:pt idx="9">
                  <c:v>46113</c:v>
                </c:pt>
                <c:pt idx="10">
                  <c:v>46143</c:v>
                </c:pt>
                <c:pt idx="11">
                  <c:v>46174</c:v>
                </c:pt>
              </c:numCache>
            </c:numRef>
          </c:cat>
          <c:val>
            <c:numRef>
              <c:f>'KPI 99'!$E$19:$P$19</c:f>
              <c:numCache>
                <c:formatCode>0</c:formatCode>
                <c:ptCount val="12"/>
                <c:pt idx="0">
                  <c:v>2177207.2889747513</c:v>
                </c:pt>
                <c:pt idx="1">
                  <c:v>2185407.8277332895</c:v>
                </c:pt>
                <c:pt idx="2">
                  <c:v>2192615.290566538</c:v>
                </c:pt>
                <c:pt idx="3">
                  <c:v>2185394.9100039843</c:v>
                </c:pt>
                <c:pt idx="4">
                  <c:v>2179218.832989845</c:v>
                </c:pt>
                <c:pt idx="5">
                  <c:v>2172360.092595309</c:v>
                </c:pt>
                <c:pt idx="6">
                  <c:v>2170628.4822349497</c:v>
                </c:pt>
                <c:pt idx="7">
                  <c:v>2167653.1093387692</c:v>
                </c:pt>
                <c:pt idx="8">
                  <c:v>2164255.3752662288</c:v>
                </c:pt>
                <c:pt idx="9">
                  <c:v>2164477.9185813186</c:v>
                </c:pt>
                <c:pt idx="10">
                  <c:v>2164842.7040794734</c:v>
                </c:pt>
                <c:pt idx="11">
                  <c:v>2165299.9134860937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AB2-45FD-8F06-E74E9F4E8C8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28936192"/>
        <c:axId val="128946176"/>
      </c:lineChart>
      <c:dateAx>
        <c:axId val="128936192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crossAx val="128946176"/>
        <c:crosses val="autoZero"/>
        <c:auto val="1"/>
        <c:lblOffset val="100"/>
        <c:baseTimeUnit val="months"/>
      </c:dateAx>
      <c:valAx>
        <c:axId val="128946176"/>
        <c:scaling>
          <c:orientation val="minMax"/>
        </c:scaling>
        <c:delete val="0"/>
        <c:axPos val="l"/>
        <c:majorGridlines/>
        <c:numFmt formatCode="0" sourceLinked="1"/>
        <c:majorTickMark val="out"/>
        <c:minorTickMark val="none"/>
        <c:tickLblPos val="nextTo"/>
        <c:crossAx val="128936192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000000000000822" l="0.70000000000000062" r="0.70000000000000062" t="0.75000000000000822" header="0.30000000000000032" footer="0.30000000000000032"/>
    <c:pageSetup/>
  </c:printSettings>
</c:chartSpace>
</file>

<file path=xl/charts/chart12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1"/>
          <c:order val="1"/>
          <c:tx>
            <c:strRef>
              <c:f>'KPI 100'!$D$20</c:f>
              <c:strCache>
                <c:ptCount val="1"/>
                <c:pt idx="0">
                  <c:v>Actual 2025-26</c:v>
                </c:pt>
              </c:strCache>
            </c:strRef>
          </c:tx>
          <c:spPr>
            <a:solidFill>
              <a:schemeClr val="accent1"/>
            </a:solidFill>
          </c:spPr>
          <c:invertIfNegative val="0"/>
          <c:cat>
            <c:numRef>
              <c:f>'KPI 100'!$E$18:$P$18</c:f>
              <c:numCache>
                <c:formatCode>mmm\-yy</c:formatCode>
                <c:ptCount val="12"/>
                <c:pt idx="0">
                  <c:v>45839</c:v>
                </c:pt>
                <c:pt idx="1">
                  <c:v>45870</c:v>
                </c:pt>
                <c:pt idx="2">
                  <c:v>45901</c:v>
                </c:pt>
                <c:pt idx="3">
                  <c:v>45931</c:v>
                </c:pt>
                <c:pt idx="4">
                  <c:v>45962</c:v>
                </c:pt>
                <c:pt idx="5">
                  <c:v>45992</c:v>
                </c:pt>
                <c:pt idx="6">
                  <c:v>46023</c:v>
                </c:pt>
                <c:pt idx="7">
                  <c:v>46054</c:v>
                </c:pt>
                <c:pt idx="8">
                  <c:v>46082</c:v>
                </c:pt>
                <c:pt idx="9">
                  <c:v>46113</c:v>
                </c:pt>
                <c:pt idx="10">
                  <c:v>46143</c:v>
                </c:pt>
                <c:pt idx="11">
                  <c:v>46174</c:v>
                </c:pt>
              </c:numCache>
            </c:numRef>
          </c:cat>
          <c:val>
            <c:numRef>
              <c:f>'KPI 100'!$E$20:$P$20</c:f>
              <c:numCache>
                <c:formatCode>0</c:formatCode>
                <c:ptCount val="12"/>
                <c:pt idx="0">
                  <c:v>1547420</c:v>
                </c:pt>
                <c:pt idx="1">
                  <c:v>2391500</c:v>
                </c:pt>
                <c:pt idx="2">
                  <c:v>1468400</c:v>
                </c:pt>
                <c:pt idx="3">
                  <c:v>2056530</c:v>
                </c:pt>
                <c:pt idx="4">
                  <c:v>1434160</c:v>
                </c:pt>
                <c:pt idx="5">
                  <c:v>1107120</c:v>
                </c:pt>
                <c:pt idx="6">
                  <c:v>1974000</c:v>
                </c:pt>
                <c:pt idx="7">
                  <c:v>2038300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DE2-4213-9273-30C82E70F9BF}"/>
            </c:ext>
          </c:extLst>
        </c:ser>
        <c:ser>
          <c:idx val="4"/>
          <c:order val="2"/>
          <c:tx>
            <c:strRef>
              <c:f>'KPI 100'!$D$21</c:f>
              <c:strCache>
                <c:ptCount val="1"/>
                <c:pt idx="0">
                  <c:v>Actual 2024-25</c:v>
                </c:pt>
              </c:strCache>
            </c:strRef>
          </c:tx>
          <c:spPr>
            <a:solidFill>
              <a:schemeClr val="accent3"/>
            </a:solidFill>
          </c:spPr>
          <c:invertIfNegative val="0"/>
          <c:cat>
            <c:numRef>
              <c:f>'KPI 100'!$E$18:$P$18</c:f>
              <c:numCache>
                <c:formatCode>mmm\-yy</c:formatCode>
                <c:ptCount val="12"/>
                <c:pt idx="0">
                  <c:v>45839</c:v>
                </c:pt>
                <c:pt idx="1">
                  <c:v>45870</c:v>
                </c:pt>
                <c:pt idx="2">
                  <c:v>45901</c:v>
                </c:pt>
                <c:pt idx="3">
                  <c:v>45931</c:v>
                </c:pt>
                <c:pt idx="4">
                  <c:v>45962</c:v>
                </c:pt>
                <c:pt idx="5">
                  <c:v>45992</c:v>
                </c:pt>
                <c:pt idx="6">
                  <c:v>46023</c:v>
                </c:pt>
                <c:pt idx="7">
                  <c:v>46054</c:v>
                </c:pt>
                <c:pt idx="8">
                  <c:v>46082</c:v>
                </c:pt>
                <c:pt idx="9">
                  <c:v>46113</c:v>
                </c:pt>
                <c:pt idx="10">
                  <c:v>46143</c:v>
                </c:pt>
                <c:pt idx="11">
                  <c:v>46174</c:v>
                </c:pt>
              </c:numCache>
            </c:numRef>
          </c:cat>
          <c:val>
            <c:numRef>
              <c:f>'KPI 100'!$E$21:$P$21</c:f>
              <c:numCache>
                <c:formatCode>0</c:formatCode>
                <c:ptCount val="12"/>
                <c:pt idx="0">
                  <c:v>349307</c:v>
                </c:pt>
                <c:pt idx="1">
                  <c:v>683754</c:v>
                </c:pt>
                <c:pt idx="2">
                  <c:v>857267</c:v>
                </c:pt>
                <c:pt idx="3">
                  <c:v>705444</c:v>
                </c:pt>
                <c:pt idx="4">
                  <c:v>1374541</c:v>
                </c:pt>
                <c:pt idx="5">
                  <c:v>607641</c:v>
                </c:pt>
                <c:pt idx="6">
                  <c:v>889264</c:v>
                </c:pt>
                <c:pt idx="7">
                  <c:v>806798</c:v>
                </c:pt>
                <c:pt idx="8">
                  <c:v>1087868</c:v>
                </c:pt>
                <c:pt idx="9">
                  <c:v>586528</c:v>
                </c:pt>
                <c:pt idx="10">
                  <c:v>1385820</c:v>
                </c:pt>
                <c:pt idx="11">
                  <c:v>1266970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DE2-4213-9273-30C82E70F9B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28994688"/>
        <c:axId val="129000576"/>
      </c:barChart>
      <c:lineChart>
        <c:grouping val="standard"/>
        <c:varyColors val="0"/>
        <c:ser>
          <c:idx val="0"/>
          <c:order val="0"/>
          <c:tx>
            <c:strRef>
              <c:f>'KPI 100'!$D$19</c:f>
              <c:strCache>
                <c:ptCount val="1"/>
                <c:pt idx="0">
                  <c:v>Budget 2025-26</c:v>
                </c:pt>
              </c:strCache>
            </c:strRef>
          </c:tx>
          <c:spPr>
            <a:ln>
              <a:solidFill>
                <a:srgbClr val="FF0000"/>
              </a:solidFill>
            </a:ln>
          </c:spPr>
          <c:marker>
            <c:symbol val="none"/>
          </c:marker>
          <c:cat>
            <c:numRef>
              <c:f>'KPI 100'!$E$18:$P$18</c:f>
              <c:numCache>
                <c:formatCode>mmm\-yy</c:formatCode>
                <c:ptCount val="12"/>
                <c:pt idx="0">
                  <c:v>45839</c:v>
                </c:pt>
                <c:pt idx="1">
                  <c:v>45870</c:v>
                </c:pt>
                <c:pt idx="2">
                  <c:v>45901</c:v>
                </c:pt>
                <c:pt idx="3">
                  <c:v>45931</c:v>
                </c:pt>
                <c:pt idx="4">
                  <c:v>45962</c:v>
                </c:pt>
                <c:pt idx="5">
                  <c:v>45992</c:v>
                </c:pt>
                <c:pt idx="6">
                  <c:v>46023</c:v>
                </c:pt>
                <c:pt idx="7">
                  <c:v>46054</c:v>
                </c:pt>
                <c:pt idx="8">
                  <c:v>46082</c:v>
                </c:pt>
                <c:pt idx="9">
                  <c:v>46113</c:v>
                </c:pt>
                <c:pt idx="10">
                  <c:v>46143</c:v>
                </c:pt>
                <c:pt idx="11">
                  <c:v>46174</c:v>
                </c:pt>
              </c:numCache>
            </c:numRef>
          </c:cat>
          <c:val>
            <c:numRef>
              <c:f>'KPI 100'!$E$19:$P$19</c:f>
              <c:numCache>
                <c:formatCode>0</c:formatCode>
                <c:ptCount val="12"/>
                <c:pt idx="0">
                  <c:v>1188819.1671533906</c:v>
                </c:pt>
                <c:pt idx="1">
                  <c:v>1287658.6967341241</c:v>
                </c:pt>
                <c:pt idx="2">
                  <c:v>1381980.8877410155</c:v>
                </c:pt>
                <c:pt idx="3">
                  <c:v>1537711.06431137</c:v>
                </c:pt>
                <c:pt idx="4">
                  <c:v>1692052.5525589893</c:v>
                </c:pt>
                <c:pt idx="5">
                  <c:v>1839950.3643511266</c:v>
                </c:pt>
                <c:pt idx="6">
                  <c:v>1961276.7905317671</c:v>
                </c:pt>
                <c:pt idx="7">
                  <c:v>2080347.025746421</c:v>
                </c:pt>
                <c:pt idx="8">
                  <c:v>2194013.8039731942</c:v>
                </c:pt>
                <c:pt idx="9">
                  <c:v>2277753.810654202</c:v>
                </c:pt>
                <c:pt idx="10">
                  <c:v>2361082.3802054571</c:v>
                </c:pt>
                <c:pt idx="11">
                  <c:v>2443965.4378791125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8DE2-4213-9273-30C82E70F9B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28994688"/>
        <c:axId val="129000576"/>
      </c:lineChart>
      <c:dateAx>
        <c:axId val="128994688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crossAx val="129000576"/>
        <c:crosses val="autoZero"/>
        <c:auto val="1"/>
        <c:lblOffset val="100"/>
        <c:baseTimeUnit val="months"/>
      </c:dateAx>
      <c:valAx>
        <c:axId val="129000576"/>
        <c:scaling>
          <c:orientation val="minMax"/>
        </c:scaling>
        <c:delete val="0"/>
        <c:axPos val="l"/>
        <c:majorGridlines/>
        <c:numFmt formatCode="0" sourceLinked="1"/>
        <c:majorTickMark val="out"/>
        <c:minorTickMark val="none"/>
        <c:tickLblPos val="nextTo"/>
        <c:crossAx val="128994688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000000000000822" l="0.70000000000000062" r="0.70000000000000062" t="0.75000000000000822" header="0.30000000000000032" footer="0.30000000000000032"/>
    <c:pageSetup/>
  </c:printSettings>
</c:chartSpace>
</file>

<file path=xl/charts/chart12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1"/>
          <c:order val="1"/>
          <c:tx>
            <c:strRef>
              <c:f>'KPI 100'!$D$20</c:f>
              <c:strCache>
                <c:ptCount val="1"/>
                <c:pt idx="0">
                  <c:v>Actual 2025-26</c:v>
                </c:pt>
              </c:strCache>
            </c:strRef>
          </c:tx>
          <c:spPr>
            <a:solidFill>
              <a:schemeClr val="accent1"/>
            </a:solidFill>
          </c:spPr>
          <c:invertIfNegative val="0"/>
          <c:cat>
            <c:numRef>
              <c:f>'KPI 100'!$E$18:$P$18</c:f>
              <c:numCache>
                <c:formatCode>mmm\-yy</c:formatCode>
                <c:ptCount val="12"/>
                <c:pt idx="0">
                  <c:v>45839</c:v>
                </c:pt>
                <c:pt idx="1">
                  <c:v>45870</c:v>
                </c:pt>
                <c:pt idx="2">
                  <c:v>45901</c:v>
                </c:pt>
                <c:pt idx="3">
                  <c:v>45931</c:v>
                </c:pt>
                <c:pt idx="4">
                  <c:v>45962</c:v>
                </c:pt>
                <c:pt idx="5">
                  <c:v>45992</c:v>
                </c:pt>
                <c:pt idx="6">
                  <c:v>46023</c:v>
                </c:pt>
                <c:pt idx="7">
                  <c:v>46054</c:v>
                </c:pt>
                <c:pt idx="8">
                  <c:v>46082</c:v>
                </c:pt>
                <c:pt idx="9">
                  <c:v>46113</c:v>
                </c:pt>
                <c:pt idx="10">
                  <c:v>46143</c:v>
                </c:pt>
                <c:pt idx="11">
                  <c:v>46174</c:v>
                </c:pt>
              </c:numCache>
            </c:numRef>
          </c:cat>
          <c:val>
            <c:numRef>
              <c:f>'KPI 100'!$E$20:$P$20</c:f>
              <c:numCache>
                <c:formatCode>0</c:formatCode>
                <c:ptCount val="12"/>
                <c:pt idx="0">
                  <c:v>1547420</c:v>
                </c:pt>
                <c:pt idx="1">
                  <c:v>2391500</c:v>
                </c:pt>
                <c:pt idx="2">
                  <c:v>1468400</c:v>
                </c:pt>
                <c:pt idx="3">
                  <c:v>2056530</c:v>
                </c:pt>
                <c:pt idx="4">
                  <c:v>1434160</c:v>
                </c:pt>
                <c:pt idx="5">
                  <c:v>1107120</c:v>
                </c:pt>
                <c:pt idx="6">
                  <c:v>1974000</c:v>
                </c:pt>
                <c:pt idx="7">
                  <c:v>2038300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1FC-42B2-B22E-61D037AC4274}"/>
            </c:ext>
          </c:extLst>
        </c:ser>
        <c:ser>
          <c:idx val="4"/>
          <c:order val="2"/>
          <c:tx>
            <c:strRef>
              <c:f>'KPI 100'!$D$21</c:f>
              <c:strCache>
                <c:ptCount val="1"/>
                <c:pt idx="0">
                  <c:v>Actual 2024-25</c:v>
                </c:pt>
              </c:strCache>
            </c:strRef>
          </c:tx>
          <c:spPr>
            <a:solidFill>
              <a:schemeClr val="accent3"/>
            </a:solidFill>
          </c:spPr>
          <c:invertIfNegative val="0"/>
          <c:cat>
            <c:numRef>
              <c:f>'KPI 100'!$E$18:$P$18</c:f>
              <c:numCache>
                <c:formatCode>mmm\-yy</c:formatCode>
                <c:ptCount val="12"/>
                <c:pt idx="0">
                  <c:v>45839</c:v>
                </c:pt>
                <c:pt idx="1">
                  <c:v>45870</c:v>
                </c:pt>
                <c:pt idx="2">
                  <c:v>45901</c:v>
                </c:pt>
                <c:pt idx="3">
                  <c:v>45931</c:v>
                </c:pt>
                <c:pt idx="4">
                  <c:v>45962</c:v>
                </c:pt>
                <c:pt idx="5">
                  <c:v>45992</c:v>
                </c:pt>
                <c:pt idx="6">
                  <c:v>46023</c:v>
                </c:pt>
                <c:pt idx="7">
                  <c:v>46054</c:v>
                </c:pt>
                <c:pt idx="8">
                  <c:v>46082</c:v>
                </c:pt>
                <c:pt idx="9">
                  <c:v>46113</c:v>
                </c:pt>
                <c:pt idx="10">
                  <c:v>46143</c:v>
                </c:pt>
                <c:pt idx="11">
                  <c:v>46174</c:v>
                </c:pt>
              </c:numCache>
            </c:numRef>
          </c:cat>
          <c:val>
            <c:numRef>
              <c:f>'KPI 100'!$E$21:$P$21</c:f>
              <c:numCache>
                <c:formatCode>0</c:formatCode>
                <c:ptCount val="12"/>
                <c:pt idx="0">
                  <c:v>349307</c:v>
                </c:pt>
                <c:pt idx="1">
                  <c:v>683754</c:v>
                </c:pt>
                <c:pt idx="2">
                  <c:v>857267</c:v>
                </c:pt>
                <c:pt idx="3">
                  <c:v>705444</c:v>
                </c:pt>
                <c:pt idx="4">
                  <c:v>1374541</c:v>
                </c:pt>
                <c:pt idx="5">
                  <c:v>607641</c:v>
                </c:pt>
                <c:pt idx="6">
                  <c:v>889264</c:v>
                </c:pt>
                <c:pt idx="7">
                  <c:v>806798</c:v>
                </c:pt>
                <c:pt idx="8">
                  <c:v>1087868</c:v>
                </c:pt>
                <c:pt idx="9">
                  <c:v>586528</c:v>
                </c:pt>
                <c:pt idx="10">
                  <c:v>1385820</c:v>
                </c:pt>
                <c:pt idx="11">
                  <c:v>1266970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1FC-42B2-B22E-61D037AC427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28994688"/>
        <c:axId val="129000576"/>
      </c:barChart>
      <c:lineChart>
        <c:grouping val="standard"/>
        <c:varyColors val="0"/>
        <c:ser>
          <c:idx val="0"/>
          <c:order val="0"/>
          <c:tx>
            <c:strRef>
              <c:f>'KPI 100'!$D$19</c:f>
              <c:strCache>
                <c:ptCount val="1"/>
                <c:pt idx="0">
                  <c:v>Budget 2025-26</c:v>
                </c:pt>
              </c:strCache>
            </c:strRef>
          </c:tx>
          <c:spPr>
            <a:ln>
              <a:solidFill>
                <a:srgbClr val="FF0000"/>
              </a:solidFill>
            </a:ln>
          </c:spPr>
          <c:marker>
            <c:symbol val="none"/>
          </c:marker>
          <c:cat>
            <c:numRef>
              <c:f>'KPI 100'!$E$18:$P$18</c:f>
              <c:numCache>
                <c:formatCode>mmm\-yy</c:formatCode>
                <c:ptCount val="12"/>
                <c:pt idx="0">
                  <c:v>45839</c:v>
                </c:pt>
                <c:pt idx="1">
                  <c:v>45870</c:v>
                </c:pt>
                <c:pt idx="2">
                  <c:v>45901</c:v>
                </c:pt>
                <c:pt idx="3">
                  <c:v>45931</c:v>
                </c:pt>
                <c:pt idx="4">
                  <c:v>45962</c:v>
                </c:pt>
                <c:pt idx="5">
                  <c:v>45992</c:v>
                </c:pt>
                <c:pt idx="6">
                  <c:v>46023</c:v>
                </c:pt>
                <c:pt idx="7">
                  <c:v>46054</c:v>
                </c:pt>
                <c:pt idx="8">
                  <c:v>46082</c:v>
                </c:pt>
                <c:pt idx="9">
                  <c:v>46113</c:v>
                </c:pt>
                <c:pt idx="10">
                  <c:v>46143</c:v>
                </c:pt>
                <c:pt idx="11">
                  <c:v>46174</c:v>
                </c:pt>
              </c:numCache>
            </c:numRef>
          </c:cat>
          <c:val>
            <c:numRef>
              <c:f>'KPI 100'!$E$19:$P$19</c:f>
              <c:numCache>
                <c:formatCode>0</c:formatCode>
                <c:ptCount val="12"/>
                <c:pt idx="0">
                  <c:v>1188819.1671533906</c:v>
                </c:pt>
                <c:pt idx="1">
                  <c:v>1287658.6967341241</c:v>
                </c:pt>
                <c:pt idx="2">
                  <c:v>1381980.8877410155</c:v>
                </c:pt>
                <c:pt idx="3">
                  <c:v>1537711.06431137</c:v>
                </c:pt>
                <c:pt idx="4">
                  <c:v>1692052.5525589893</c:v>
                </c:pt>
                <c:pt idx="5">
                  <c:v>1839950.3643511266</c:v>
                </c:pt>
                <c:pt idx="6">
                  <c:v>1961276.7905317671</c:v>
                </c:pt>
                <c:pt idx="7">
                  <c:v>2080347.025746421</c:v>
                </c:pt>
                <c:pt idx="8">
                  <c:v>2194013.8039731942</c:v>
                </c:pt>
                <c:pt idx="9">
                  <c:v>2277753.810654202</c:v>
                </c:pt>
                <c:pt idx="10">
                  <c:v>2361082.3802054571</c:v>
                </c:pt>
                <c:pt idx="11">
                  <c:v>2443965.4378791125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11FC-42B2-B22E-61D037AC427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28994688"/>
        <c:axId val="129000576"/>
      </c:lineChart>
      <c:dateAx>
        <c:axId val="128994688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crossAx val="129000576"/>
        <c:crosses val="autoZero"/>
        <c:auto val="1"/>
        <c:lblOffset val="100"/>
        <c:baseTimeUnit val="months"/>
      </c:dateAx>
      <c:valAx>
        <c:axId val="129000576"/>
        <c:scaling>
          <c:orientation val="minMax"/>
        </c:scaling>
        <c:delete val="0"/>
        <c:axPos val="l"/>
        <c:majorGridlines/>
        <c:numFmt formatCode="0" sourceLinked="1"/>
        <c:majorTickMark val="out"/>
        <c:minorTickMark val="none"/>
        <c:tickLblPos val="nextTo"/>
        <c:crossAx val="128994688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000000000000822" l="0.70000000000000062" r="0.70000000000000062" t="0.75000000000000822" header="0.30000000000000032" footer="0.30000000000000032"/>
    <c:pageSetup/>
  </c:printSettings>
</c:chartSpace>
</file>

<file path=xl/charts/chart12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1"/>
          <c:order val="1"/>
          <c:tx>
            <c:strRef>
              <c:f>'KPI 101'!$D$20</c:f>
              <c:strCache>
                <c:ptCount val="1"/>
                <c:pt idx="0">
                  <c:v>Actual 2025-26</c:v>
                </c:pt>
              </c:strCache>
            </c:strRef>
          </c:tx>
          <c:spPr>
            <a:solidFill>
              <a:schemeClr val="accent1"/>
            </a:solidFill>
          </c:spPr>
          <c:invertIfNegative val="0"/>
          <c:cat>
            <c:numRef>
              <c:f>'KPI 101'!$E$18:$P$18</c:f>
              <c:numCache>
                <c:formatCode>mmm\-yy</c:formatCode>
                <c:ptCount val="12"/>
                <c:pt idx="0">
                  <c:v>45839</c:v>
                </c:pt>
                <c:pt idx="1">
                  <c:v>45870</c:v>
                </c:pt>
                <c:pt idx="2">
                  <c:v>45901</c:v>
                </c:pt>
                <c:pt idx="3">
                  <c:v>45931</c:v>
                </c:pt>
                <c:pt idx="4">
                  <c:v>45962</c:v>
                </c:pt>
                <c:pt idx="5">
                  <c:v>45992</c:v>
                </c:pt>
                <c:pt idx="6">
                  <c:v>46023</c:v>
                </c:pt>
                <c:pt idx="7">
                  <c:v>46054</c:v>
                </c:pt>
                <c:pt idx="8">
                  <c:v>46082</c:v>
                </c:pt>
                <c:pt idx="9">
                  <c:v>46113</c:v>
                </c:pt>
                <c:pt idx="10">
                  <c:v>46143</c:v>
                </c:pt>
                <c:pt idx="11">
                  <c:v>46174</c:v>
                </c:pt>
              </c:numCache>
            </c:numRef>
          </c:cat>
          <c:val>
            <c:numRef>
              <c:f>'KPI 101'!$E$20:$P$20</c:f>
              <c:numCache>
                <c:formatCode>0</c:formatCode>
                <c:ptCount val="12"/>
                <c:pt idx="0">
                  <c:v>5272370</c:v>
                </c:pt>
                <c:pt idx="1">
                  <c:v>7465830</c:v>
                </c:pt>
                <c:pt idx="2">
                  <c:v>5039430</c:v>
                </c:pt>
                <c:pt idx="3">
                  <c:v>7076450</c:v>
                </c:pt>
                <c:pt idx="4">
                  <c:v>4791020</c:v>
                </c:pt>
                <c:pt idx="5">
                  <c:v>5179850</c:v>
                </c:pt>
                <c:pt idx="6">
                  <c:v>8044460</c:v>
                </c:pt>
                <c:pt idx="7">
                  <c:v>6986830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9E1-42AC-AA14-932FB32E17BA}"/>
            </c:ext>
          </c:extLst>
        </c:ser>
        <c:ser>
          <c:idx val="4"/>
          <c:order val="2"/>
          <c:tx>
            <c:strRef>
              <c:f>'KPI 101'!$D$21</c:f>
              <c:strCache>
                <c:ptCount val="1"/>
                <c:pt idx="0">
                  <c:v>Actual 2024-25</c:v>
                </c:pt>
              </c:strCache>
            </c:strRef>
          </c:tx>
          <c:spPr>
            <a:solidFill>
              <a:schemeClr val="accent3"/>
            </a:solidFill>
          </c:spPr>
          <c:invertIfNegative val="0"/>
          <c:cat>
            <c:numRef>
              <c:f>'KPI 101'!$E$18:$P$18</c:f>
              <c:numCache>
                <c:formatCode>mmm\-yy</c:formatCode>
                <c:ptCount val="12"/>
                <c:pt idx="0">
                  <c:v>45839</c:v>
                </c:pt>
                <c:pt idx="1">
                  <c:v>45870</c:v>
                </c:pt>
                <c:pt idx="2">
                  <c:v>45901</c:v>
                </c:pt>
                <c:pt idx="3">
                  <c:v>45931</c:v>
                </c:pt>
                <c:pt idx="4">
                  <c:v>45962</c:v>
                </c:pt>
                <c:pt idx="5">
                  <c:v>45992</c:v>
                </c:pt>
                <c:pt idx="6">
                  <c:v>46023</c:v>
                </c:pt>
                <c:pt idx="7">
                  <c:v>46054</c:v>
                </c:pt>
                <c:pt idx="8">
                  <c:v>46082</c:v>
                </c:pt>
                <c:pt idx="9">
                  <c:v>46113</c:v>
                </c:pt>
                <c:pt idx="10">
                  <c:v>46143</c:v>
                </c:pt>
                <c:pt idx="11">
                  <c:v>46174</c:v>
                </c:pt>
              </c:numCache>
            </c:numRef>
          </c:cat>
          <c:val>
            <c:numRef>
              <c:f>'KPI 101'!$E$21:$P$21</c:f>
              <c:numCache>
                <c:formatCode>0</c:formatCode>
                <c:ptCount val="12"/>
                <c:pt idx="0">
                  <c:v>3209469</c:v>
                </c:pt>
                <c:pt idx="1">
                  <c:v>3501347</c:v>
                </c:pt>
                <c:pt idx="2">
                  <c:v>3857036</c:v>
                </c:pt>
                <c:pt idx="3">
                  <c:v>3641147</c:v>
                </c:pt>
                <c:pt idx="4">
                  <c:v>4692660</c:v>
                </c:pt>
                <c:pt idx="5">
                  <c:v>2552870</c:v>
                </c:pt>
                <c:pt idx="6">
                  <c:v>4084599</c:v>
                </c:pt>
                <c:pt idx="7">
                  <c:v>3854228</c:v>
                </c:pt>
                <c:pt idx="8">
                  <c:v>4053585</c:v>
                </c:pt>
                <c:pt idx="9">
                  <c:v>2884277</c:v>
                </c:pt>
                <c:pt idx="10">
                  <c:v>5352660</c:v>
                </c:pt>
                <c:pt idx="11">
                  <c:v>5996360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9E1-42AC-AA14-932FB32E17B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27677184"/>
        <c:axId val="127678720"/>
      </c:barChart>
      <c:lineChart>
        <c:grouping val="standard"/>
        <c:varyColors val="0"/>
        <c:ser>
          <c:idx val="0"/>
          <c:order val="0"/>
          <c:tx>
            <c:strRef>
              <c:f>'KPI 101'!$D$19</c:f>
              <c:strCache>
                <c:ptCount val="1"/>
                <c:pt idx="0">
                  <c:v>Budget 2025-26</c:v>
                </c:pt>
              </c:strCache>
            </c:strRef>
          </c:tx>
          <c:spPr>
            <a:ln>
              <a:solidFill>
                <a:srgbClr val="FF0000"/>
              </a:solidFill>
            </a:ln>
          </c:spPr>
          <c:marker>
            <c:symbol val="none"/>
          </c:marker>
          <c:cat>
            <c:numRef>
              <c:f>'KPI 101'!$E$18:$P$18</c:f>
              <c:numCache>
                <c:formatCode>mmm\-yy</c:formatCode>
                <c:ptCount val="12"/>
                <c:pt idx="0">
                  <c:v>45839</c:v>
                </c:pt>
                <c:pt idx="1">
                  <c:v>45870</c:v>
                </c:pt>
                <c:pt idx="2">
                  <c:v>45901</c:v>
                </c:pt>
                <c:pt idx="3">
                  <c:v>45931</c:v>
                </c:pt>
                <c:pt idx="4">
                  <c:v>45962</c:v>
                </c:pt>
                <c:pt idx="5">
                  <c:v>45992</c:v>
                </c:pt>
                <c:pt idx="6">
                  <c:v>46023</c:v>
                </c:pt>
                <c:pt idx="7">
                  <c:v>46054</c:v>
                </c:pt>
                <c:pt idx="8">
                  <c:v>46082</c:v>
                </c:pt>
                <c:pt idx="9">
                  <c:v>46113</c:v>
                </c:pt>
                <c:pt idx="10">
                  <c:v>46143</c:v>
                </c:pt>
                <c:pt idx="11">
                  <c:v>46174</c:v>
                </c:pt>
              </c:numCache>
            </c:numRef>
          </c:cat>
          <c:val>
            <c:numRef>
              <c:f>'KPI 101'!$E$19:$P$19</c:f>
              <c:numCache>
                <c:formatCode>0</c:formatCode>
                <c:ptCount val="12"/>
                <c:pt idx="0">
                  <c:v>5065118.2414229233</c:v>
                </c:pt>
                <c:pt idx="1">
                  <c:v>5186854.0401342409</c:v>
                </c:pt>
                <c:pt idx="2">
                  <c:v>5320132.9536295589</c:v>
                </c:pt>
                <c:pt idx="3">
                  <c:v>5584553.7091985717</c:v>
                </c:pt>
                <c:pt idx="4">
                  <c:v>5827594.1459915433</c:v>
                </c:pt>
                <c:pt idx="5">
                  <c:v>6061586.3943221532</c:v>
                </c:pt>
                <c:pt idx="6">
                  <c:v>6268878.0953539293</c:v>
                </c:pt>
                <c:pt idx="7">
                  <c:v>6470621.56846534</c:v>
                </c:pt>
                <c:pt idx="8">
                  <c:v>6650863.8502878789</c:v>
                </c:pt>
                <c:pt idx="9">
                  <c:v>6799132.4271202534</c:v>
                </c:pt>
                <c:pt idx="10">
                  <c:v>6946856.215867538</c:v>
                </c:pt>
                <c:pt idx="11">
                  <c:v>7091067.9020263534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99E1-42AC-AA14-932FB32E17B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27677184"/>
        <c:axId val="127678720"/>
      </c:lineChart>
      <c:dateAx>
        <c:axId val="127677184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crossAx val="127678720"/>
        <c:crosses val="autoZero"/>
        <c:auto val="1"/>
        <c:lblOffset val="100"/>
        <c:baseTimeUnit val="months"/>
      </c:dateAx>
      <c:valAx>
        <c:axId val="127678720"/>
        <c:scaling>
          <c:orientation val="minMax"/>
        </c:scaling>
        <c:delete val="0"/>
        <c:axPos val="l"/>
        <c:majorGridlines/>
        <c:numFmt formatCode="0" sourceLinked="1"/>
        <c:majorTickMark val="out"/>
        <c:minorTickMark val="none"/>
        <c:tickLblPos val="nextTo"/>
        <c:crossAx val="127677184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000000000000822" l="0.70000000000000062" r="0.70000000000000062" t="0.75000000000000822" header="0.30000000000000032" footer="0.30000000000000032"/>
    <c:pageSetup/>
  </c:printSettings>
</c:chartSpace>
</file>

<file path=xl/charts/chart12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1"/>
          <c:order val="1"/>
          <c:tx>
            <c:strRef>
              <c:f>'KPI 101'!$D$20</c:f>
              <c:strCache>
                <c:ptCount val="1"/>
                <c:pt idx="0">
                  <c:v>Actual 2025-26</c:v>
                </c:pt>
              </c:strCache>
            </c:strRef>
          </c:tx>
          <c:spPr>
            <a:solidFill>
              <a:schemeClr val="accent1"/>
            </a:solidFill>
          </c:spPr>
          <c:invertIfNegative val="0"/>
          <c:cat>
            <c:numRef>
              <c:f>'KPI 101'!$E$18:$P$18</c:f>
              <c:numCache>
                <c:formatCode>mmm\-yy</c:formatCode>
                <c:ptCount val="12"/>
                <c:pt idx="0">
                  <c:v>45839</c:v>
                </c:pt>
                <c:pt idx="1">
                  <c:v>45870</c:v>
                </c:pt>
                <c:pt idx="2">
                  <c:v>45901</c:v>
                </c:pt>
                <c:pt idx="3">
                  <c:v>45931</c:v>
                </c:pt>
                <c:pt idx="4">
                  <c:v>45962</c:v>
                </c:pt>
                <c:pt idx="5">
                  <c:v>45992</c:v>
                </c:pt>
                <c:pt idx="6">
                  <c:v>46023</c:v>
                </c:pt>
                <c:pt idx="7">
                  <c:v>46054</c:v>
                </c:pt>
                <c:pt idx="8">
                  <c:v>46082</c:v>
                </c:pt>
                <c:pt idx="9">
                  <c:v>46113</c:v>
                </c:pt>
                <c:pt idx="10">
                  <c:v>46143</c:v>
                </c:pt>
                <c:pt idx="11">
                  <c:v>46174</c:v>
                </c:pt>
              </c:numCache>
            </c:numRef>
          </c:cat>
          <c:val>
            <c:numRef>
              <c:f>'KPI 101'!$E$20:$P$20</c:f>
              <c:numCache>
                <c:formatCode>0</c:formatCode>
                <c:ptCount val="12"/>
                <c:pt idx="0">
                  <c:v>5272370</c:v>
                </c:pt>
                <c:pt idx="1">
                  <c:v>7465830</c:v>
                </c:pt>
                <c:pt idx="2">
                  <c:v>5039430</c:v>
                </c:pt>
                <c:pt idx="3">
                  <c:v>7076450</c:v>
                </c:pt>
                <c:pt idx="4">
                  <c:v>4791020</c:v>
                </c:pt>
                <c:pt idx="5">
                  <c:v>5179850</c:v>
                </c:pt>
                <c:pt idx="6">
                  <c:v>8044460</c:v>
                </c:pt>
                <c:pt idx="7">
                  <c:v>6986830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842-4202-BD7E-1913299C1A0A}"/>
            </c:ext>
          </c:extLst>
        </c:ser>
        <c:ser>
          <c:idx val="4"/>
          <c:order val="2"/>
          <c:tx>
            <c:strRef>
              <c:f>'KPI 101'!$D$21</c:f>
              <c:strCache>
                <c:ptCount val="1"/>
                <c:pt idx="0">
                  <c:v>Actual 2024-25</c:v>
                </c:pt>
              </c:strCache>
            </c:strRef>
          </c:tx>
          <c:spPr>
            <a:solidFill>
              <a:schemeClr val="accent3"/>
            </a:solidFill>
          </c:spPr>
          <c:invertIfNegative val="0"/>
          <c:cat>
            <c:numRef>
              <c:f>'KPI 101'!$E$18:$P$18</c:f>
              <c:numCache>
                <c:formatCode>mmm\-yy</c:formatCode>
                <c:ptCount val="12"/>
                <c:pt idx="0">
                  <c:v>45839</c:v>
                </c:pt>
                <c:pt idx="1">
                  <c:v>45870</c:v>
                </c:pt>
                <c:pt idx="2">
                  <c:v>45901</c:v>
                </c:pt>
                <c:pt idx="3">
                  <c:v>45931</c:v>
                </c:pt>
                <c:pt idx="4">
                  <c:v>45962</c:v>
                </c:pt>
                <c:pt idx="5">
                  <c:v>45992</c:v>
                </c:pt>
                <c:pt idx="6">
                  <c:v>46023</c:v>
                </c:pt>
                <c:pt idx="7">
                  <c:v>46054</c:v>
                </c:pt>
                <c:pt idx="8">
                  <c:v>46082</c:v>
                </c:pt>
                <c:pt idx="9">
                  <c:v>46113</c:v>
                </c:pt>
                <c:pt idx="10">
                  <c:v>46143</c:v>
                </c:pt>
                <c:pt idx="11">
                  <c:v>46174</c:v>
                </c:pt>
              </c:numCache>
            </c:numRef>
          </c:cat>
          <c:val>
            <c:numRef>
              <c:f>'KPI 101'!$E$21:$P$21</c:f>
              <c:numCache>
                <c:formatCode>0</c:formatCode>
                <c:ptCount val="12"/>
                <c:pt idx="0">
                  <c:v>3209469</c:v>
                </c:pt>
                <c:pt idx="1">
                  <c:v>3501347</c:v>
                </c:pt>
                <c:pt idx="2">
                  <c:v>3857036</c:v>
                </c:pt>
                <c:pt idx="3">
                  <c:v>3641147</c:v>
                </c:pt>
                <c:pt idx="4">
                  <c:v>4692660</c:v>
                </c:pt>
                <c:pt idx="5">
                  <c:v>2552870</c:v>
                </c:pt>
                <c:pt idx="6">
                  <c:v>4084599</c:v>
                </c:pt>
                <c:pt idx="7">
                  <c:v>3854228</c:v>
                </c:pt>
                <c:pt idx="8">
                  <c:v>4053585</c:v>
                </c:pt>
                <c:pt idx="9">
                  <c:v>2884277</c:v>
                </c:pt>
                <c:pt idx="10">
                  <c:v>5352660</c:v>
                </c:pt>
                <c:pt idx="11">
                  <c:v>5996360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842-4202-BD7E-1913299C1A0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27677184"/>
        <c:axId val="127678720"/>
      </c:barChart>
      <c:lineChart>
        <c:grouping val="standard"/>
        <c:varyColors val="0"/>
        <c:ser>
          <c:idx val="0"/>
          <c:order val="0"/>
          <c:tx>
            <c:strRef>
              <c:f>'KPI 101'!$D$19</c:f>
              <c:strCache>
                <c:ptCount val="1"/>
                <c:pt idx="0">
                  <c:v>Budget 2025-26</c:v>
                </c:pt>
              </c:strCache>
            </c:strRef>
          </c:tx>
          <c:spPr>
            <a:ln>
              <a:solidFill>
                <a:srgbClr val="FF0000"/>
              </a:solidFill>
            </a:ln>
          </c:spPr>
          <c:marker>
            <c:symbol val="none"/>
          </c:marker>
          <c:cat>
            <c:numRef>
              <c:f>'KPI 101'!$E$18:$P$18</c:f>
              <c:numCache>
                <c:formatCode>mmm\-yy</c:formatCode>
                <c:ptCount val="12"/>
                <c:pt idx="0">
                  <c:v>45839</c:v>
                </c:pt>
                <c:pt idx="1">
                  <c:v>45870</c:v>
                </c:pt>
                <c:pt idx="2">
                  <c:v>45901</c:v>
                </c:pt>
                <c:pt idx="3">
                  <c:v>45931</c:v>
                </c:pt>
                <c:pt idx="4">
                  <c:v>45962</c:v>
                </c:pt>
                <c:pt idx="5">
                  <c:v>45992</c:v>
                </c:pt>
                <c:pt idx="6">
                  <c:v>46023</c:v>
                </c:pt>
                <c:pt idx="7">
                  <c:v>46054</c:v>
                </c:pt>
                <c:pt idx="8">
                  <c:v>46082</c:v>
                </c:pt>
                <c:pt idx="9">
                  <c:v>46113</c:v>
                </c:pt>
                <c:pt idx="10">
                  <c:v>46143</c:v>
                </c:pt>
                <c:pt idx="11">
                  <c:v>46174</c:v>
                </c:pt>
              </c:numCache>
            </c:numRef>
          </c:cat>
          <c:val>
            <c:numRef>
              <c:f>'KPI 101'!$E$19:$P$19</c:f>
              <c:numCache>
                <c:formatCode>0</c:formatCode>
                <c:ptCount val="12"/>
                <c:pt idx="0">
                  <c:v>5065118.2414229233</c:v>
                </c:pt>
                <c:pt idx="1">
                  <c:v>5186854.0401342409</c:v>
                </c:pt>
                <c:pt idx="2">
                  <c:v>5320132.9536295589</c:v>
                </c:pt>
                <c:pt idx="3">
                  <c:v>5584553.7091985717</c:v>
                </c:pt>
                <c:pt idx="4">
                  <c:v>5827594.1459915433</c:v>
                </c:pt>
                <c:pt idx="5">
                  <c:v>6061586.3943221532</c:v>
                </c:pt>
                <c:pt idx="6">
                  <c:v>6268878.0953539293</c:v>
                </c:pt>
                <c:pt idx="7">
                  <c:v>6470621.56846534</c:v>
                </c:pt>
                <c:pt idx="8">
                  <c:v>6650863.8502878789</c:v>
                </c:pt>
                <c:pt idx="9">
                  <c:v>6799132.4271202534</c:v>
                </c:pt>
                <c:pt idx="10">
                  <c:v>6946856.215867538</c:v>
                </c:pt>
                <c:pt idx="11">
                  <c:v>7091067.9020263534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B842-4202-BD7E-1913299C1A0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27677184"/>
        <c:axId val="127678720"/>
      </c:lineChart>
      <c:dateAx>
        <c:axId val="127677184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crossAx val="127678720"/>
        <c:crosses val="autoZero"/>
        <c:auto val="1"/>
        <c:lblOffset val="100"/>
        <c:baseTimeUnit val="months"/>
      </c:dateAx>
      <c:valAx>
        <c:axId val="127678720"/>
        <c:scaling>
          <c:orientation val="minMax"/>
        </c:scaling>
        <c:delete val="0"/>
        <c:axPos val="l"/>
        <c:majorGridlines/>
        <c:numFmt formatCode="0" sourceLinked="1"/>
        <c:majorTickMark val="out"/>
        <c:minorTickMark val="none"/>
        <c:tickLblPos val="nextTo"/>
        <c:crossAx val="127677184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000000000000822" l="0.70000000000000062" r="0.70000000000000062" t="0.75000000000000822" header="0.30000000000000032" footer="0.30000000000000032"/>
    <c:pageSetup/>
  </c:printSettings>
</c:chartSpace>
</file>

<file path=xl/charts/chart12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1"/>
          <c:order val="1"/>
          <c:tx>
            <c:strRef>
              <c:f>'KPI 102'!$D$20</c:f>
              <c:strCache>
                <c:ptCount val="1"/>
                <c:pt idx="0">
                  <c:v>Actual 2025-26</c:v>
                </c:pt>
              </c:strCache>
            </c:strRef>
          </c:tx>
          <c:spPr>
            <a:solidFill>
              <a:schemeClr val="accent1"/>
            </a:solidFill>
          </c:spPr>
          <c:invertIfNegative val="0"/>
          <c:cat>
            <c:numRef>
              <c:f>'KPI 102'!$E$18:$P$18</c:f>
              <c:numCache>
                <c:formatCode>mmm\-yy</c:formatCode>
                <c:ptCount val="12"/>
                <c:pt idx="0">
                  <c:v>45839</c:v>
                </c:pt>
                <c:pt idx="1">
                  <c:v>45870</c:v>
                </c:pt>
                <c:pt idx="2">
                  <c:v>45901</c:v>
                </c:pt>
                <c:pt idx="3">
                  <c:v>45931</c:v>
                </c:pt>
                <c:pt idx="4">
                  <c:v>45962</c:v>
                </c:pt>
                <c:pt idx="5">
                  <c:v>45992</c:v>
                </c:pt>
                <c:pt idx="6">
                  <c:v>46023</c:v>
                </c:pt>
                <c:pt idx="7">
                  <c:v>46054</c:v>
                </c:pt>
                <c:pt idx="8">
                  <c:v>46082</c:v>
                </c:pt>
                <c:pt idx="9">
                  <c:v>46113</c:v>
                </c:pt>
                <c:pt idx="10">
                  <c:v>46143</c:v>
                </c:pt>
                <c:pt idx="11">
                  <c:v>46174</c:v>
                </c:pt>
              </c:numCache>
            </c:numRef>
          </c:cat>
          <c:val>
            <c:numRef>
              <c:f>'KPI 102'!$E$20:$P$20</c:f>
              <c:numCache>
                <c:formatCode>0</c:formatCode>
                <c:ptCount val="12"/>
                <c:pt idx="0">
                  <c:v>130.71120689655172</c:v>
                </c:pt>
                <c:pt idx="1">
                  <c:v>133.36856307623117</c:v>
                </c:pt>
                <c:pt idx="2">
                  <c:v>132.23316314125941</c:v>
                </c:pt>
                <c:pt idx="3">
                  <c:v>132.30631409860374</c:v>
                </c:pt>
                <c:pt idx="4">
                  <c:v>131.90297684674752</c:v>
                </c:pt>
                <c:pt idx="5">
                  <c:v>131.57649177375788</c:v>
                </c:pt>
                <c:pt idx="6">
                  <c:v>135.16598105806946</c:v>
                </c:pt>
                <c:pt idx="7">
                  <c:v>132.49889317563722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16E-4E2D-974E-2A7304083351}"/>
            </c:ext>
          </c:extLst>
        </c:ser>
        <c:ser>
          <c:idx val="4"/>
          <c:order val="2"/>
          <c:tx>
            <c:strRef>
              <c:f>'KPI 102'!$D$21</c:f>
              <c:strCache>
                <c:ptCount val="1"/>
                <c:pt idx="0">
                  <c:v>Actual 2024-25</c:v>
                </c:pt>
              </c:strCache>
            </c:strRef>
          </c:tx>
          <c:spPr>
            <a:solidFill>
              <a:schemeClr val="accent3"/>
            </a:solidFill>
          </c:spPr>
          <c:invertIfNegative val="0"/>
          <c:cat>
            <c:numRef>
              <c:f>'KPI 102'!$E$18:$P$18</c:f>
              <c:numCache>
                <c:formatCode>mmm\-yy</c:formatCode>
                <c:ptCount val="12"/>
                <c:pt idx="0">
                  <c:v>45839</c:v>
                </c:pt>
                <c:pt idx="1">
                  <c:v>45870</c:v>
                </c:pt>
                <c:pt idx="2">
                  <c:v>45901</c:v>
                </c:pt>
                <c:pt idx="3">
                  <c:v>45931</c:v>
                </c:pt>
                <c:pt idx="4">
                  <c:v>45962</c:v>
                </c:pt>
                <c:pt idx="5">
                  <c:v>45992</c:v>
                </c:pt>
                <c:pt idx="6">
                  <c:v>46023</c:v>
                </c:pt>
                <c:pt idx="7">
                  <c:v>46054</c:v>
                </c:pt>
                <c:pt idx="8">
                  <c:v>46082</c:v>
                </c:pt>
                <c:pt idx="9">
                  <c:v>46113</c:v>
                </c:pt>
                <c:pt idx="10">
                  <c:v>46143</c:v>
                </c:pt>
                <c:pt idx="11">
                  <c:v>46174</c:v>
                </c:pt>
              </c:numCache>
            </c:numRef>
          </c:cat>
          <c:val>
            <c:numRef>
              <c:f>'KPI 102'!$E$21:$P$21</c:f>
              <c:numCache>
                <c:formatCode>0</c:formatCode>
                <c:ptCount val="12"/>
                <c:pt idx="0">
                  <c:v>87.362160046957541</c:v>
                </c:pt>
                <c:pt idx="1">
                  <c:v>89.31283097969991</c:v>
                </c:pt>
                <c:pt idx="2">
                  <c:v>85.782186604117797</c:v>
                </c:pt>
                <c:pt idx="3">
                  <c:v>87.96234382230449</c:v>
                </c:pt>
                <c:pt idx="4">
                  <c:v>86.86388483965014</c:v>
                </c:pt>
                <c:pt idx="5">
                  <c:v>82.68724785125417</c:v>
                </c:pt>
                <c:pt idx="6">
                  <c:v>90.680391885022416</c:v>
                </c:pt>
                <c:pt idx="7">
                  <c:v>86.422753562697508</c:v>
                </c:pt>
                <c:pt idx="8">
                  <c:v>87.14096342762457</c:v>
                </c:pt>
                <c:pt idx="9">
                  <c:v>132.0766428282283</c:v>
                </c:pt>
                <c:pt idx="10">
                  <c:v>132.0745190771394</c:v>
                </c:pt>
                <c:pt idx="11">
                  <c:v>132.35803530111721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16E-4E2D-974E-2A730408335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29038208"/>
        <c:axId val="129039744"/>
      </c:barChart>
      <c:lineChart>
        <c:grouping val="standard"/>
        <c:varyColors val="0"/>
        <c:ser>
          <c:idx val="0"/>
          <c:order val="0"/>
          <c:tx>
            <c:strRef>
              <c:f>'KPI 102'!$D$19</c:f>
              <c:strCache>
                <c:ptCount val="1"/>
                <c:pt idx="0">
                  <c:v>Budget 2025-26</c:v>
                </c:pt>
              </c:strCache>
            </c:strRef>
          </c:tx>
          <c:spPr>
            <a:ln>
              <a:solidFill>
                <a:srgbClr val="FF0000"/>
              </a:solidFill>
            </a:ln>
          </c:spPr>
          <c:marker>
            <c:symbol val="none"/>
          </c:marker>
          <c:cat>
            <c:numRef>
              <c:f>'KPI 102'!$E$18:$P$18</c:f>
              <c:numCache>
                <c:formatCode>mmm\-yy</c:formatCode>
                <c:ptCount val="12"/>
                <c:pt idx="0">
                  <c:v>45839</c:v>
                </c:pt>
                <c:pt idx="1">
                  <c:v>45870</c:v>
                </c:pt>
                <c:pt idx="2">
                  <c:v>45901</c:v>
                </c:pt>
                <c:pt idx="3">
                  <c:v>45931</c:v>
                </c:pt>
                <c:pt idx="4">
                  <c:v>45962</c:v>
                </c:pt>
                <c:pt idx="5">
                  <c:v>45992</c:v>
                </c:pt>
                <c:pt idx="6">
                  <c:v>46023</c:v>
                </c:pt>
                <c:pt idx="7">
                  <c:v>46054</c:v>
                </c:pt>
                <c:pt idx="8">
                  <c:v>46082</c:v>
                </c:pt>
                <c:pt idx="9">
                  <c:v>46113</c:v>
                </c:pt>
                <c:pt idx="10">
                  <c:v>46143</c:v>
                </c:pt>
                <c:pt idx="11">
                  <c:v>46174</c:v>
                </c:pt>
              </c:numCache>
            </c:numRef>
          </c:cat>
          <c:val>
            <c:numRef>
              <c:f>'KPI 102'!$E$19:$P$19</c:f>
              <c:numCache>
                <c:formatCode>0</c:formatCode>
                <c:ptCount val="12"/>
                <c:pt idx="0">
                  <c:v>132.21627718912831</c:v>
                </c:pt>
                <c:pt idx="1">
                  <c:v>132.21627718912831</c:v>
                </c:pt>
                <c:pt idx="2">
                  <c:v>132.21627718912831</c:v>
                </c:pt>
                <c:pt idx="3">
                  <c:v>132.21627718912831</c:v>
                </c:pt>
                <c:pt idx="4">
                  <c:v>132.21627718912831</c:v>
                </c:pt>
                <c:pt idx="5">
                  <c:v>132.21627718912831</c:v>
                </c:pt>
                <c:pt idx="6">
                  <c:v>132.21627718912831</c:v>
                </c:pt>
                <c:pt idx="7">
                  <c:v>132.21627718912831</c:v>
                </c:pt>
                <c:pt idx="8">
                  <c:v>132.21627718912831</c:v>
                </c:pt>
                <c:pt idx="9">
                  <c:v>132.21627718912831</c:v>
                </c:pt>
                <c:pt idx="10">
                  <c:v>132.21627718912831</c:v>
                </c:pt>
                <c:pt idx="11">
                  <c:v>132.21627718912831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D16E-4E2D-974E-2A730408335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29038208"/>
        <c:axId val="129039744"/>
      </c:lineChart>
      <c:dateAx>
        <c:axId val="129038208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crossAx val="129039744"/>
        <c:crosses val="autoZero"/>
        <c:auto val="1"/>
        <c:lblOffset val="100"/>
        <c:baseTimeUnit val="months"/>
      </c:dateAx>
      <c:valAx>
        <c:axId val="129039744"/>
        <c:scaling>
          <c:orientation val="minMax"/>
        </c:scaling>
        <c:delete val="0"/>
        <c:axPos val="l"/>
        <c:majorGridlines/>
        <c:numFmt formatCode="0" sourceLinked="1"/>
        <c:majorTickMark val="out"/>
        <c:minorTickMark val="none"/>
        <c:tickLblPos val="nextTo"/>
        <c:crossAx val="129038208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000000000000822" l="0.70000000000000062" r="0.70000000000000062" t="0.75000000000000822" header="0.30000000000000032" footer="0.30000000000000032"/>
    <c:pageSetup/>
  </c:printSettings>
</c:chartSpace>
</file>

<file path=xl/charts/chart12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1"/>
          <c:order val="1"/>
          <c:tx>
            <c:strRef>
              <c:f>'KPI 103'!$D$20</c:f>
              <c:strCache>
                <c:ptCount val="1"/>
                <c:pt idx="0">
                  <c:v>Actual 2025-26</c:v>
                </c:pt>
              </c:strCache>
            </c:strRef>
          </c:tx>
          <c:spPr>
            <a:solidFill>
              <a:schemeClr val="accent1"/>
            </a:solidFill>
          </c:spPr>
          <c:invertIfNegative val="0"/>
          <c:cat>
            <c:numRef>
              <c:f>'KPI 103'!$E$18:$P$18</c:f>
              <c:numCache>
                <c:formatCode>mmm\-yy</c:formatCode>
                <c:ptCount val="12"/>
                <c:pt idx="0">
                  <c:v>45839</c:v>
                </c:pt>
                <c:pt idx="1">
                  <c:v>45870</c:v>
                </c:pt>
                <c:pt idx="2">
                  <c:v>45901</c:v>
                </c:pt>
                <c:pt idx="3">
                  <c:v>45931</c:v>
                </c:pt>
                <c:pt idx="4">
                  <c:v>45962</c:v>
                </c:pt>
                <c:pt idx="5">
                  <c:v>45992</c:v>
                </c:pt>
                <c:pt idx="6">
                  <c:v>46023</c:v>
                </c:pt>
                <c:pt idx="7">
                  <c:v>46054</c:v>
                </c:pt>
                <c:pt idx="8">
                  <c:v>46082</c:v>
                </c:pt>
                <c:pt idx="9">
                  <c:v>46113</c:v>
                </c:pt>
                <c:pt idx="10">
                  <c:v>46143</c:v>
                </c:pt>
                <c:pt idx="11">
                  <c:v>46174</c:v>
                </c:pt>
              </c:numCache>
            </c:numRef>
          </c:cat>
          <c:val>
            <c:numRef>
              <c:f>'KPI 103'!$E$20:$P$20</c:f>
              <c:numCache>
                <c:formatCode>0</c:formatCode>
                <c:ptCount val="12"/>
                <c:pt idx="0">
                  <c:v>133.19867425426801</c:v>
                </c:pt>
                <c:pt idx="1">
                  <c:v>132.5165476963011</c:v>
                </c:pt>
                <c:pt idx="2">
                  <c:v>128.61847922192749</c:v>
                </c:pt>
                <c:pt idx="3">
                  <c:v>131.55810443706611</c:v>
                </c:pt>
                <c:pt idx="4">
                  <c:v>131.92047321721984</c:v>
                </c:pt>
                <c:pt idx="5">
                  <c:v>131.31672317275093</c:v>
                </c:pt>
                <c:pt idx="6">
                  <c:v>133.36886382104106</c:v>
                </c:pt>
                <c:pt idx="7">
                  <c:v>132.62346034304133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DDD-4595-A00C-607325D9C23C}"/>
            </c:ext>
          </c:extLst>
        </c:ser>
        <c:ser>
          <c:idx val="4"/>
          <c:order val="2"/>
          <c:tx>
            <c:strRef>
              <c:f>'KPI 103'!$D$21</c:f>
              <c:strCache>
                <c:ptCount val="1"/>
                <c:pt idx="0">
                  <c:v>Actual 2024-25</c:v>
                </c:pt>
              </c:strCache>
            </c:strRef>
          </c:tx>
          <c:spPr>
            <a:solidFill>
              <a:schemeClr val="accent3"/>
            </a:solidFill>
          </c:spPr>
          <c:invertIfNegative val="0"/>
          <c:cat>
            <c:numRef>
              <c:f>'KPI 103'!$E$18:$P$18</c:f>
              <c:numCache>
                <c:formatCode>mmm\-yy</c:formatCode>
                <c:ptCount val="12"/>
                <c:pt idx="0">
                  <c:v>45839</c:v>
                </c:pt>
                <c:pt idx="1">
                  <c:v>45870</c:v>
                </c:pt>
                <c:pt idx="2">
                  <c:v>45901</c:v>
                </c:pt>
                <c:pt idx="3">
                  <c:v>45931</c:v>
                </c:pt>
                <c:pt idx="4">
                  <c:v>45962</c:v>
                </c:pt>
                <c:pt idx="5">
                  <c:v>45992</c:v>
                </c:pt>
                <c:pt idx="6">
                  <c:v>46023</c:v>
                </c:pt>
                <c:pt idx="7">
                  <c:v>46054</c:v>
                </c:pt>
                <c:pt idx="8">
                  <c:v>46082</c:v>
                </c:pt>
                <c:pt idx="9">
                  <c:v>46113</c:v>
                </c:pt>
                <c:pt idx="10">
                  <c:v>46143</c:v>
                </c:pt>
                <c:pt idx="11">
                  <c:v>46174</c:v>
                </c:pt>
              </c:numCache>
            </c:numRef>
          </c:cat>
          <c:val>
            <c:numRef>
              <c:f>'KPI 103'!$E$21:$P$21</c:f>
              <c:numCache>
                <c:formatCode>0</c:formatCode>
                <c:ptCount val="12"/>
                <c:pt idx="0">
                  <c:v>84.485326457875175</c:v>
                </c:pt>
                <c:pt idx="1">
                  <c:v>98.325497002208905</c:v>
                </c:pt>
                <c:pt idx="2">
                  <c:v>89.44710015153602</c:v>
                </c:pt>
                <c:pt idx="3">
                  <c:v>83.898683867604902</c:v>
                </c:pt>
                <c:pt idx="4">
                  <c:v>85.673701731025304</c:v>
                </c:pt>
                <c:pt idx="5">
                  <c:v>90.990223338416001</c:v>
                </c:pt>
                <c:pt idx="6">
                  <c:v>91.222859593631057</c:v>
                </c:pt>
                <c:pt idx="7">
                  <c:v>88.18380571705427</c:v>
                </c:pt>
                <c:pt idx="8">
                  <c:v>91.293775984348258</c:v>
                </c:pt>
                <c:pt idx="9">
                  <c:v>132.15471147836956</c:v>
                </c:pt>
                <c:pt idx="10">
                  <c:v>135.33896909480157</c:v>
                </c:pt>
                <c:pt idx="11">
                  <c:v>134.65542482242586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DDD-4595-A00C-607325D9C23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27716352"/>
        <c:axId val="127722240"/>
      </c:barChart>
      <c:lineChart>
        <c:grouping val="standard"/>
        <c:varyColors val="0"/>
        <c:ser>
          <c:idx val="0"/>
          <c:order val="0"/>
          <c:tx>
            <c:strRef>
              <c:f>'KPI 103'!$D$19</c:f>
              <c:strCache>
                <c:ptCount val="1"/>
                <c:pt idx="0">
                  <c:v>Budget 2025-26</c:v>
                </c:pt>
              </c:strCache>
            </c:strRef>
          </c:tx>
          <c:spPr>
            <a:ln>
              <a:solidFill>
                <a:srgbClr val="FF0000"/>
              </a:solidFill>
            </a:ln>
          </c:spPr>
          <c:marker>
            <c:symbol val="none"/>
          </c:marker>
          <c:cat>
            <c:numRef>
              <c:f>'KPI 103'!$E$18:$P$18</c:f>
              <c:numCache>
                <c:formatCode>mmm\-yy</c:formatCode>
                <c:ptCount val="12"/>
                <c:pt idx="0">
                  <c:v>45839</c:v>
                </c:pt>
                <c:pt idx="1">
                  <c:v>45870</c:v>
                </c:pt>
                <c:pt idx="2">
                  <c:v>45901</c:v>
                </c:pt>
                <c:pt idx="3">
                  <c:v>45931</c:v>
                </c:pt>
                <c:pt idx="4">
                  <c:v>45962</c:v>
                </c:pt>
                <c:pt idx="5">
                  <c:v>45992</c:v>
                </c:pt>
                <c:pt idx="6">
                  <c:v>46023</c:v>
                </c:pt>
                <c:pt idx="7">
                  <c:v>46054</c:v>
                </c:pt>
                <c:pt idx="8">
                  <c:v>46082</c:v>
                </c:pt>
                <c:pt idx="9">
                  <c:v>46113</c:v>
                </c:pt>
                <c:pt idx="10">
                  <c:v>46143</c:v>
                </c:pt>
                <c:pt idx="11">
                  <c:v>46174</c:v>
                </c:pt>
              </c:numCache>
            </c:numRef>
          </c:cat>
          <c:val>
            <c:numRef>
              <c:f>'KPI 103'!$E$19:$P$19</c:f>
              <c:numCache>
                <c:formatCode>0</c:formatCode>
                <c:ptCount val="12"/>
                <c:pt idx="0">
                  <c:v>134.9971969586137</c:v>
                </c:pt>
                <c:pt idx="1">
                  <c:v>134.9971969586137</c:v>
                </c:pt>
                <c:pt idx="2">
                  <c:v>134.9971969586137</c:v>
                </c:pt>
                <c:pt idx="3">
                  <c:v>134.9971969586137</c:v>
                </c:pt>
                <c:pt idx="4">
                  <c:v>134.9971969586137</c:v>
                </c:pt>
                <c:pt idx="5">
                  <c:v>134.9971969586137</c:v>
                </c:pt>
                <c:pt idx="6">
                  <c:v>134.9971969586137</c:v>
                </c:pt>
                <c:pt idx="7">
                  <c:v>134.9971969586137</c:v>
                </c:pt>
                <c:pt idx="8">
                  <c:v>134.9971969586137</c:v>
                </c:pt>
                <c:pt idx="9">
                  <c:v>134.9971969586137</c:v>
                </c:pt>
                <c:pt idx="10">
                  <c:v>134.9971969586137</c:v>
                </c:pt>
                <c:pt idx="11">
                  <c:v>134.9971969586137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BDDD-4595-A00C-607325D9C23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27716352"/>
        <c:axId val="127722240"/>
      </c:lineChart>
      <c:dateAx>
        <c:axId val="127716352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crossAx val="127722240"/>
        <c:crosses val="autoZero"/>
        <c:auto val="1"/>
        <c:lblOffset val="100"/>
        <c:baseTimeUnit val="months"/>
      </c:dateAx>
      <c:valAx>
        <c:axId val="127722240"/>
        <c:scaling>
          <c:orientation val="minMax"/>
        </c:scaling>
        <c:delete val="0"/>
        <c:axPos val="l"/>
        <c:majorGridlines/>
        <c:numFmt formatCode="0" sourceLinked="1"/>
        <c:majorTickMark val="out"/>
        <c:minorTickMark val="none"/>
        <c:tickLblPos val="nextTo"/>
        <c:crossAx val="127716352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000000000000822" l="0.70000000000000062" r="0.70000000000000062" t="0.75000000000000822" header="0.30000000000000032" footer="0.30000000000000032"/>
    <c:pageSetup/>
  </c:printSettings>
</c:chartSpace>
</file>

<file path=xl/charts/chart13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1"/>
          <c:order val="1"/>
          <c:tx>
            <c:strRef>
              <c:f>'KPI 104'!$D$20</c:f>
              <c:strCache>
                <c:ptCount val="1"/>
                <c:pt idx="0">
                  <c:v>Actual 2025-26</c:v>
                </c:pt>
              </c:strCache>
            </c:strRef>
          </c:tx>
          <c:spPr>
            <a:solidFill>
              <a:schemeClr val="accent1"/>
            </a:solidFill>
          </c:spPr>
          <c:invertIfNegative val="0"/>
          <c:cat>
            <c:numRef>
              <c:f>'KPI 104'!$E$18:$P$18</c:f>
              <c:numCache>
                <c:formatCode>mmm\-yy</c:formatCode>
                <c:ptCount val="12"/>
                <c:pt idx="0">
                  <c:v>45839</c:v>
                </c:pt>
                <c:pt idx="1">
                  <c:v>45870</c:v>
                </c:pt>
                <c:pt idx="2">
                  <c:v>45901</c:v>
                </c:pt>
                <c:pt idx="3">
                  <c:v>45931</c:v>
                </c:pt>
                <c:pt idx="4">
                  <c:v>45962</c:v>
                </c:pt>
                <c:pt idx="5">
                  <c:v>45992</c:v>
                </c:pt>
                <c:pt idx="6">
                  <c:v>46023</c:v>
                </c:pt>
                <c:pt idx="7">
                  <c:v>46054</c:v>
                </c:pt>
                <c:pt idx="8">
                  <c:v>46082</c:v>
                </c:pt>
                <c:pt idx="9">
                  <c:v>46113</c:v>
                </c:pt>
                <c:pt idx="10">
                  <c:v>46143</c:v>
                </c:pt>
                <c:pt idx="11">
                  <c:v>46174</c:v>
                </c:pt>
              </c:numCache>
            </c:numRef>
          </c:cat>
          <c:val>
            <c:numRef>
              <c:f>'KPI 104'!$E$20:$P$20</c:f>
              <c:numCache>
                <c:formatCode>0</c:formatCode>
                <c:ptCount val="12"/>
                <c:pt idx="0">
                  <c:v>123.78673627223512</c:v>
                </c:pt>
                <c:pt idx="1">
                  <c:v>124.75448807279285</c:v>
                </c:pt>
                <c:pt idx="2">
                  <c:v>125.14577027242314</c:v>
                </c:pt>
                <c:pt idx="3">
                  <c:v>124.95912170053725</c:v>
                </c:pt>
                <c:pt idx="4">
                  <c:v>124.548032936871</c:v>
                </c:pt>
                <c:pt idx="5">
                  <c:v>124.15502294747577</c:v>
                </c:pt>
                <c:pt idx="6">
                  <c:v>126.42966689160174</c:v>
                </c:pt>
                <c:pt idx="7">
                  <c:v>124.98217394909211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024-4056-A89D-389D7D9117C5}"/>
            </c:ext>
          </c:extLst>
        </c:ser>
        <c:ser>
          <c:idx val="4"/>
          <c:order val="2"/>
          <c:tx>
            <c:strRef>
              <c:f>'KPI 104'!$D$21</c:f>
              <c:strCache>
                <c:ptCount val="1"/>
                <c:pt idx="0">
                  <c:v>Actual 2024-25</c:v>
                </c:pt>
              </c:strCache>
            </c:strRef>
          </c:tx>
          <c:spPr>
            <a:solidFill>
              <a:schemeClr val="accent3"/>
            </a:solidFill>
          </c:spPr>
          <c:invertIfNegative val="0"/>
          <c:cat>
            <c:numRef>
              <c:f>'KPI 104'!$E$18:$P$18</c:f>
              <c:numCache>
                <c:formatCode>mmm\-yy</c:formatCode>
                <c:ptCount val="12"/>
                <c:pt idx="0">
                  <c:v>45839</c:v>
                </c:pt>
                <c:pt idx="1">
                  <c:v>45870</c:v>
                </c:pt>
                <c:pt idx="2">
                  <c:v>45901</c:v>
                </c:pt>
                <c:pt idx="3">
                  <c:v>45931</c:v>
                </c:pt>
                <c:pt idx="4">
                  <c:v>45962</c:v>
                </c:pt>
                <c:pt idx="5">
                  <c:v>45992</c:v>
                </c:pt>
                <c:pt idx="6">
                  <c:v>46023</c:v>
                </c:pt>
                <c:pt idx="7">
                  <c:v>46054</c:v>
                </c:pt>
                <c:pt idx="8">
                  <c:v>46082</c:v>
                </c:pt>
                <c:pt idx="9">
                  <c:v>46113</c:v>
                </c:pt>
                <c:pt idx="10">
                  <c:v>46143</c:v>
                </c:pt>
                <c:pt idx="11">
                  <c:v>46174</c:v>
                </c:pt>
              </c:numCache>
            </c:numRef>
          </c:cat>
          <c:val>
            <c:numRef>
              <c:f>'KPI 104'!$E$21:$P$21</c:f>
              <c:numCache>
                <c:formatCode>0</c:formatCode>
                <c:ptCount val="12"/>
                <c:pt idx="0">
                  <c:v>73.766498855835238</c:v>
                </c:pt>
                <c:pt idx="1">
                  <c:v>75.966155724362451</c:v>
                </c:pt>
                <c:pt idx="2">
                  <c:v>74.166001096233657</c:v>
                </c:pt>
                <c:pt idx="3">
                  <c:v>73.892213716848374</c:v>
                </c:pt>
                <c:pt idx="4">
                  <c:v>74.697808373138528</c:v>
                </c:pt>
                <c:pt idx="5">
                  <c:v>72.23133867982726</c:v>
                </c:pt>
                <c:pt idx="6">
                  <c:v>75.743215410709965</c:v>
                </c:pt>
                <c:pt idx="7">
                  <c:v>75.182825894176773</c:v>
                </c:pt>
                <c:pt idx="8">
                  <c:v>76.661656083970456</c:v>
                </c:pt>
                <c:pt idx="9">
                  <c:v>125.25783090480761</c:v>
                </c:pt>
                <c:pt idx="10">
                  <c:v>125.00550574170207</c:v>
                </c:pt>
                <c:pt idx="11">
                  <c:v>124.78647955334239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024-4056-A89D-389D7D9117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29356160"/>
        <c:axId val="129357696"/>
      </c:barChart>
      <c:lineChart>
        <c:grouping val="standard"/>
        <c:varyColors val="0"/>
        <c:ser>
          <c:idx val="0"/>
          <c:order val="0"/>
          <c:tx>
            <c:strRef>
              <c:f>'KPI 104'!$D$19</c:f>
              <c:strCache>
                <c:ptCount val="1"/>
                <c:pt idx="0">
                  <c:v>Budget 2025-26</c:v>
                </c:pt>
              </c:strCache>
            </c:strRef>
          </c:tx>
          <c:spPr>
            <a:ln>
              <a:solidFill>
                <a:srgbClr val="FF0000"/>
              </a:solidFill>
            </a:ln>
          </c:spPr>
          <c:marker>
            <c:symbol val="none"/>
          </c:marker>
          <c:cat>
            <c:numRef>
              <c:f>'KPI 104'!$E$18:$P$18</c:f>
              <c:numCache>
                <c:formatCode>mmm\-yy</c:formatCode>
                <c:ptCount val="12"/>
                <c:pt idx="0">
                  <c:v>45839</c:v>
                </c:pt>
                <c:pt idx="1">
                  <c:v>45870</c:v>
                </c:pt>
                <c:pt idx="2">
                  <c:v>45901</c:v>
                </c:pt>
                <c:pt idx="3">
                  <c:v>45931</c:v>
                </c:pt>
                <c:pt idx="4">
                  <c:v>45962</c:v>
                </c:pt>
                <c:pt idx="5">
                  <c:v>45992</c:v>
                </c:pt>
                <c:pt idx="6">
                  <c:v>46023</c:v>
                </c:pt>
                <c:pt idx="7">
                  <c:v>46054</c:v>
                </c:pt>
                <c:pt idx="8">
                  <c:v>46082</c:v>
                </c:pt>
                <c:pt idx="9">
                  <c:v>46113</c:v>
                </c:pt>
                <c:pt idx="10">
                  <c:v>46143</c:v>
                </c:pt>
                <c:pt idx="11">
                  <c:v>46174</c:v>
                </c:pt>
              </c:numCache>
            </c:numRef>
          </c:cat>
          <c:val>
            <c:numRef>
              <c:f>'KPI 104'!$E$19:$P$19</c:f>
              <c:numCache>
                <c:formatCode>0</c:formatCode>
                <c:ptCount val="12"/>
                <c:pt idx="0">
                  <c:v>124.89599264752223</c:v>
                </c:pt>
                <c:pt idx="1">
                  <c:v>124.89599264752223</c:v>
                </c:pt>
                <c:pt idx="2">
                  <c:v>124.89599264752223</c:v>
                </c:pt>
                <c:pt idx="3">
                  <c:v>124.89599264752223</c:v>
                </c:pt>
                <c:pt idx="4">
                  <c:v>124.89599264752223</c:v>
                </c:pt>
                <c:pt idx="5">
                  <c:v>124.89599264752223</c:v>
                </c:pt>
                <c:pt idx="6">
                  <c:v>124.89599264752223</c:v>
                </c:pt>
                <c:pt idx="7">
                  <c:v>124.89599264752223</c:v>
                </c:pt>
                <c:pt idx="8">
                  <c:v>124.89599264752223</c:v>
                </c:pt>
                <c:pt idx="9">
                  <c:v>124.89599264752223</c:v>
                </c:pt>
                <c:pt idx="10">
                  <c:v>124.89599264752223</c:v>
                </c:pt>
                <c:pt idx="11">
                  <c:v>124.89599264752223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E024-4056-A89D-389D7D9117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29356160"/>
        <c:axId val="129357696"/>
      </c:lineChart>
      <c:dateAx>
        <c:axId val="129356160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crossAx val="129357696"/>
        <c:crosses val="autoZero"/>
        <c:auto val="1"/>
        <c:lblOffset val="100"/>
        <c:baseTimeUnit val="months"/>
      </c:dateAx>
      <c:valAx>
        <c:axId val="129357696"/>
        <c:scaling>
          <c:orientation val="minMax"/>
        </c:scaling>
        <c:delete val="0"/>
        <c:axPos val="l"/>
        <c:majorGridlines/>
        <c:numFmt formatCode="0" sourceLinked="1"/>
        <c:majorTickMark val="out"/>
        <c:minorTickMark val="none"/>
        <c:tickLblPos val="nextTo"/>
        <c:crossAx val="12935616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000000000000822" l="0.70000000000000062" r="0.70000000000000062" t="0.75000000000000822" header="0.30000000000000032" footer="0.30000000000000032"/>
    <c:pageSetup/>
  </c:printSettings>
</c:chartSpace>
</file>

<file path=xl/charts/chart13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1"/>
          <c:order val="1"/>
          <c:tx>
            <c:strRef>
              <c:f>'KPI 105'!$D$20</c:f>
              <c:strCache>
                <c:ptCount val="1"/>
                <c:pt idx="0">
                  <c:v>Actual 2025-26</c:v>
                </c:pt>
              </c:strCache>
            </c:strRef>
          </c:tx>
          <c:spPr>
            <a:solidFill>
              <a:schemeClr val="accent1"/>
            </a:solidFill>
          </c:spPr>
          <c:invertIfNegative val="0"/>
          <c:cat>
            <c:numRef>
              <c:f>'KPI 105'!$E$18:$P$18</c:f>
              <c:numCache>
                <c:formatCode>mmm\-yy</c:formatCode>
                <c:ptCount val="12"/>
                <c:pt idx="0">
                  <c:v>45839</c:v>
                </c:pt>
                <c:pt idx="1">
                  <c:v>45870</c:v>
                </c:pt>
                <c:pt idx="2">
                  <c:v>45901</c:v>
                </c:pt>
                <c:pt idx="3">
                  <c:v>45931</c:v>
                </c:pt>
                <c:pt idx="4">
                  <c:v>45962</c:v>
                </c:pt>
                <c:pt idx="5">
                  <c:v>45992</c:v>
                </c:pt>
                <c:pt idx="6">
                  <c:v>46023</c:v>
                </c:pt>
                <c:pt idx="7">
                  <c:v>46054</c:v>
                </c:pt>
                <c:pt idx="8">
                  <c:v>46082</c:v>
                </c:pt>
                <c:pt idx="9">
                  <c:v>46113</c:v>
                </c:pt>
                <c:pt idx="10">
                  <c:v>46143</c:v>
                </c:pt>
                <c:pt idx="11">
                  <c:v>46174</c:v>
                </c:pt>
              </c:numCache>
            </c:numRef>
          </c:cat>
          <c:val>
            <c:numRef>
              <c:f>'KPI 105'!$E$20:$P$20</c:f>
              <c:numCache>
                <c:formatCode>0</c:formatCode>
                <c:ptCount val="12"/>
                <c:pt idx="0">
                  <c:v>121.84137854854744</c:v>
                </c:pt>
                <c:pt idx="1">
                  <c:v>123.25241353453931</c:v>
                </c:pt>
                <c:pt idx="2">
                  <c:v>122.85221766679091</c:v>
                </c:pt>
                <c:pt idx="3">
                  <c:v>122.81488203266788</c:v>
                </c:pt>
                <c:pt idx="4">
                  <c:v>122.69809949112057</c:v>
                </c:pt>
                <c:pt idx="5">
                  <c:v>121.9932476301779</c:v>
                </c:pt>
                <c:pt idx="6">
                  <c:v>123.13724018908982</c:v>
                </c:pt>
                <c:pt idx="7">
                  <c:v>121.31891891891892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FA9-4E28-A137-0507D0B993B1}"/>
            </c:ext>
          </c:extLst>
        </c:ser>
        <c:ser>
          <c:idx val="4"/>
          <c:order val="2"/>
          <c:tx>
            <c:strRef>
              <c:f>'KPI 105'!$D$21</c:f>
              <c:strCache>
                <c:ptCount val="1"/>
                <c:pt idx="0">
                  <c:v>Actual 2024-25</c:v>
                </c:pt>
              </c:strCache>
            </c:strRef>
          </c:tx>
          <c:spPr>
            <a:solidFill>
              <a:schemeClr val="accent3"/>
            </a:solidFill>
          </c:spPr>
          <c:invertIfNegative val="0"/>
          <c:cat>
            <c:numRef>
              <c:f>'KPI 105'!$E$18:$P$18</c:f>
              <c:numCache>
                <c:formatCode>mmm\-yy</c:formatCode>
                <c:ptCount val="12"/>
                <c:pt idx="0">
                  <c:v>45839</c:v>
                </c:pt>
                <c:pt idx="1">
                  <c:v>45870</c:v>
                </c:pt>
                <c:pt idx="2">
                  <c:v>45901</c:v>
                </c:pt>
                <c:pt idx="3">
                  <c:v>45931</c:v>
                </c:pt>
                <c:pt idx="4">
                  <c:v>45962</c:v>
                </c:pt>
                <c:pt idx="5">
                  <c:v>45992</c:v>
                </c:pt>
                <c:pt idx="6">
                  <c:v>46023</c:v>
                </c:pt>
                <c:pt idx="7">
                  <c:v>46054</c:v>
                </c:pt>
                <c:pt idx="8">
                  <c:v>46082</c:v>
                </c:pt>
                <c:pt idx="9">
                  <c:v>46113</c:v>
                </c:pt>
                <c:pt idx="10">
                  <c:v>46143</c:v>
                </c:pt>
                <c:pt idx="11">
                  <c:v>46174</c:v>
                </c:pt>
              </c:numCache>
            </c:numRef>
          </c:cat>
          <c:val>
            <c:numRef>
              <c:f>'KPI 105'!$E$21:$P$21</c:f>
              <c:numCache>
                <c:formatCode>0</c:formatCode>
                <c:ptCount val="12"/>
                <c:pt idx="0">
                  <c:v>71.240547389761787</c:v>
                </c:pt>
                <c:pt idx="1">
                  <c:v>71.880253979610089</c:v>
                </c:pt>
                <c:pt idx="2">
                  <c:v>71.917313703741044</c:v>
                </c:pt>
                <c:pt idx="3">
                  <c:v>72.363903424217384</c:v>
                </c:pt>
                <c:pt idx="4">
                  <c:v>71.674899804268804</c:v>
                </c:pt>
                <c:pt idx="5">
                  <c:v>70.232913325696828</c:v>
                </c:pt>
                <c:pt idx="6">
                  <c:v>72.590902355904575</c:v>
                </c:pt>
                <c:pt idx="7">
                  <c:v>72.320299740609087</c:v>
                </c:pt>
                <c:pt idx="8">
                  <c:v>73.02063530749858</c:v>
                </c:pt>
                <c:pt idx="9">
                  <c:v>120.53430353430353</c:v>
                </c:pt>
                <c:pt idx="10">
                  <c:v>122.11532745467156</c:v>
                </c:pt>
                <c:pt idx="11">
                  <c:v>122.42530431575065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FA9-4E28-A137-0507D0B993B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29193472"/>
        <c:axId val="129195008"/>
      </c:barChart>
      <c:lineChart>
        <c:grouping val="standard"/>
        <c:varyColors val="0"/>
        <c:ser>
          <c:idx val="0"/>
          <c:order val="0"/>
          <c:tx>
            <c:strRef>
              <c:f>'KPI 105'!$D$19</c:f>
              <c:strCache>
                <c:ptCount val="1"/>
                <c:pt idx="0">
                  <c:v>Budget 2025-26</c:v>
                </c:pt>
              </c:strCache>
            </c:strRef>
          </c:tx>
          <c:spPr>
            <a:ln>
              <a:solidFill>
                <a:srgbClr val="FF0000"/>
              </a:solidFill>
            </a:ln>
          </c:spPr>
          <c:marker>
            <c:symbol val="none"/>
          </c:marker>
          <c:cat>
            <c:numRef>
              <c:f>'KPI 105'!$E$18:$P$18</c:f>
              <c:numCache>
                <c:formatCode>mmm\-yy</c:formatCode>
                <c:ptCount val="12"/>
                <c:pt idx="0">
                  <c:v>45839</c:v>
                </c:pt>
                <c:pt idx="1">
                  <c:v>45870</c:v>
                </c:pt>
                <c:pt idx="2">
                  <c:v>45901</c:v>
                </c:pt>
                <c:pt idx="3">
                  <c:v>45931</c:v>
                </c:pt>
                <c:pt idx="4">
                  <c:v>45962</c:v>
                </c:pt>
                <c:pt idx="5">
                  <c:v>45992</c:v>
                </c:pt>
                <c:pt idx="6">
                  <c:v>46023</c:v>
                </c:pt>
                <c:pt idx="7">
                  <c:v>46054</c:v>
                </c:pt>
                <c:pt idx="8">
                  <c:v>46082</c:v>
                </c:pt>
                <c:pt idx="9">
                  <c:v>46113</c:v>
                </c:pt>
                <c:pt idx="10">
                  <c:v>46143</c:v>
                </c:pt>
                <c:pt idx="11">
                  <c:v>46174</c:v>
                </c:pt>
              </c:numCache>
            </c:numRef>
          </c:cat>
          <c:val>
            <c:numRef>
              <c:f>'KPI 105'!$E$19:$P$19</c:f>
              <c:numCache>
                <c:formatCode>0</c:formatCode>
                <c:ptCount val="12"/>
                <c:pt idx="0">
                  <c:v>122.2703158852111</c:v>
                </c:pt>
                <c:pt idx="1">
                  <c:v>122.2703158852111</c:v>
                </c:pt>
                <c:pt idx="2">
                  <c:v>122.2703158852111</c:v>
                </c:pt>
                <c:pt idx="3">
                  <c:v>122.2703158852111</c:v>
                </c:pt>
                <c:pt idx="4">
                  <c:v>122.2703158852111</c:v>
                </c:pt>
                <c:pt idx="5">
                  <c:v>122.2703158852111</c:v>
                </c:pt>
                <c:pt idx="6">
                  <c:v>122.2703158852111</c:v>
                </c:pt>
                <c:pt idx="7">
                  <c:v>122.2703158852111</c:v>
                </c:pt>
                <c:pt idx="8">
                  <c:v>122.2703158852111</c:v>
                </c:pt>
                <c:pt idx="9">
                  <c:v>122.2703158852111</c:v>
                </c:pt>
                <c:pt idx="10">
                  <c:v>122.2703158852111</c:v>
                </c:pt>
                <c:pt idx="11">
                  <c:v>122.2703158852111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FA9-4E28-A137-0507D0B993B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29193472"/>
        <c:axId val="129195008"/>
      </c:lineChart>
      <c:dateAx>
        <c:axId val="129193472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crossAx val="129195008"/>
        <c:crosses val="autoZero"/>
        <c:auto val="1"/>
        <c:lblOffset val="100"/>
        <c:baseTimeUnit val="months"/>
      </c:dateAx>
      <c:valAx>
        <c:axId val="129195008"/>
        <c:scaling>
          <c:orientation val="minMax"/>
        </c:scaling>
        <c:delete val="0"/>
        <c:axPos val="l"/>
        <c:majorGridlines/>
        <c:numFmt formatCode="0" sourceLinked="1"/>
        <c:majorTickMark val="out"/>
        <c:minorTickMark val="none"/>
        <c:tickLblPos val="nextTo"/>
        <c:crossAx val="129193472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000000000000822" l="0.70000000000000062" r="0.70000000000000062" t="0.75000000000000822" header="0.30000000000000032" footer="0.30000000000000032"/>
    <c:pageSetup/>
  </c:printSettings>
</c:chartSpace>
</file>

<file path=xl/charts/chart13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1"/>
          <c:order val="1"/>
          <c:tx>
            <c:strRef>
              <c:f>'KPI 106'!$D$20</c:f>
              <c:strCache>
                <c:ptCount val="1"/>
                <c:pt idx="0">
                  <c:v>Actual 2025-26</c:v>
                </c:pt>
              </c:strCache>
            </c:strRef>
          </c:tx>
          <c:spPr>
            <a:solidFill>
              <a:schemeClr val="accent1"/>
            </a:solidFill>
          </c:spPr>
          <c:invertIfNegative val="0"/>
          <c:cat>
            <c:numRef>
              <c:f>'KPI 106'!$E$18:$P$18</c:f>
              <c:numCache>
                <c:formatCode>mmm\-yy</c:formatCode>
                <c:ptCount val="12"/>
                <c:pt idx="0">
                  <c:v>45839</c:v>
                </c:pt>
                <c:pt idx="1">
                  <c:v>45870</c:v>
                </c:pt>
                <c:pt idx="2">
                  <c:v>45901</c:v>
                </c:pt>
                <c:pt idx="3">
                  <c:v>45931</c:v>
                </c:pt>
                <c:pt idx="4">
                  <c:v>45962</c:v>
                </c:pt>
                <c:pt idx="5">
                  <c:v>45992</c:v>
                </c:pt>
                <c:pt idx="6">
                  <c:v>46023</c:v>
                </c:pt>
                <c:pt idx="7">
                  <c:v>46054</c:v>
                </c:pt>
                <c:pt idx="8">
                  <c:v>46082</c:v>
                </c:pt>
                <c:pt idx="9">
                  <c:v>46113</c:v>
                </c:pt>
                <c:pt idx="10">
                  <c:v>46143</c:v>
                </c:pt>
                <c:pt idx="11">
                  <c:v>46174</c:v>
                </c:pt>
              </c:numCache>
            </c:numRef>
          </c:cat>
          <c:val>
            <c:numRef>
              <c:f>'KPI 106'!$E$20:$P$20</c:f>
              <c:numCache>
                <c:formatCode>0</c:formatCode>
                <c:ptCount val="12"/>
                <c:pt idx="0">
                  <c:v>121.6410537870472</c:v>
                </c:pt>
                <c:pt idx="1">
                  <c:v>122.40286909742977</c:v>
                </c:pt>
                <c:pt idx="2">
                  <c:v>122.81057810578106</c:v>
                </c:pt>
                <c:pt idx="3">
                  <c:v>124.03105232892467</c:v>
                </c:pt>
                <c:pt idx="4">
                  <c:v>121.30368098159509</c:v>
                </c:pt>
                <c:pt idx="5">
                  <c:v>123.90784982935153</c:v>
                </c:pt>
                <c:pt idx="6">
                  <c:v>125.01132502831257</c:v>
                </c:pt>
                <c:pt idx="7">
                  <c:v>126.14603174603175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DE0-45C5-94D0-455D819D5F6B}"/>
            </c:ext>
          </c:extLst>
        </c:ser>
        <c:ser>
          <c:idx val="4"/>
          <c:order val="2"/>
          <c:tx>
            <c:strRef>
              <c:f>'KPI 106'!$D$21</c:f>
              <c:strCache>
                <c:ptCount val="1"/>
                <c:pt idx="0">
                  <c:v>Actual 2024-25</c:v>
                </c:pt>
              </c:strCache>
            </c:strRef>
          </c:tx>
          <c:spPr>
            <a:solidFill>
              <a:schemeClr val="accent3"/>
            </a:solidFill>
          </c:spPr>
          <c:invertIfNegative val="0"/>
          <c:cat>
            <c:numRef>
              <c:f>'KPI 106'!$E$18:$P$18</c:f>
              <c:numCache>
                <c:formatCode>mmm\-yy</c:formatCode>
                <c:ptCount val="12"/>
                <c:pt idx="0">
                  <c:v>45839</c:v>
                </c:pt>
                <c:pt idx="1">
                  <c:v>45870</c:v>
                </c:pt>
                <c:pt idx="2">
                  <c:v>45901</c:v>
                </c:pt>
                <c:pt idx="3">
                  <c:v>45931</c:v>
                </c:pt>
                <c:pt idx="4">
                  <c:v>45962</c:v>
                </c:pt>
                <c:pt idx="5">
                  <c:v>45992</c:v>
                </c:pt>
                <c:pt idx="6">
                  <c:v>46023</c:v>
                </c:pt>
                <c:pt idx="7">
                  <c:v>46054</c:v>
                </c:pt>
                <c:pt idx="8">
                  <c:v>46082</c:v>
                </c:pt>
                <c:pt idx="9">
                  <c:v>46113</c:v>
                </c:pt>
                <c:pt idx="10">
                  <c:v>46143</c:v>
                </c:pt>
                <c:pt idx="11">
                  <c:v>46174</c:v>
                </c:pt>
              </c:numCache>
            </c:numRef>
          </c:cat>
          <c:val>
            <c:numRef>
              <c:f>'KPI 106'!$E$21:$P$21</c:f>
              <c:numCache>
                <c:formatCode>0</c:formatCode>
                <c:ptCount val="12"/>
                <c:pt idx="0">
                  <c:v>71.186339125224691</c:v>
                </c:pt>
                <c:pt idx="1">
                  <c:v>72.093023255813947</c:v>
                </c:pt>
                <c:pt idx="2">
                  <c:v>70.966721222040377</c:v>
                </c:pt>
                <c:pt idx="3">
                  <c:v>71.170878459687117</c:v>
                </c:pt>
                <c:pt idx="4">
                  <c:v>71.705292479108635</c:v>
                </c:pt>
                <c:pt idx="5">
                  <c:v>67.655913978494624</c:v>
                </c:pt>
                <c:pt idx="6">
                  <c:v>76.09659540775931</c:v>
                </c:pt>
                <c:pt idx="7">
                  <c:v>71.958517699115049</c:v>
                </c:pt>
                <c:pt idx="8">
                  <c:v>74.655807365439088</c:v>
                </c:pt>
                <c:pt idx="9">
                  <c:v>124.14535666218035</c:v>
                </c:pt>
                <c:pt idx="10">
                  <c:v>122.81308999370674</c:v>
                </c:pt>
                <c:pt idx="11">
                  <c:v>123.98325947808961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DE0-45C5-94D0-455D819D5F6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29292928"/>
        <c:axId val="129298816"/>
      </c:barChart>
      <c:lineChart>
        <c:grouping val="standard"/>
        <c:varyColors val="0"/>
        <c:ser>
          <c:idx val="0"/>
          <c:order val="0"/>
          <c:tx>
            <c:strRef>
              <c:f>'KPI 106'!$D$19</c:f>
              <c:strCache>
                <c:ptCount val="1"/>
                <c:pt idx="0">
                  <c:v>Budget 2025-26</c:v>
                </c:pt>
              </c:strCache>
            </c:strRef>
          </c:tx>
          <c:spPr>
            <a:ln>
              <a:solidFill>
                <a:srgbClr val="FF0000"/>
              </a:solidFill>
            </a:ln>
          </c:spPr>
          <c:marker>
            <c:symbol val="none"/>
          </c:marker>
          <c:cat>
            <c:numRef>
              <c:f>'KPI 106'!$E$18:$P$18</c:f>
              <c:numCache>
                <c:formatCode>mmm\-yy</c:formatCode>
                <c:ptCount val="12"/>
                <c:pt idx="0">
                  <c:v>45839</c:v>
                </c:pt>
                <c:pt idx="1">
                  <c:v>45870</c:v>
                </c:pt>
                <c:pt idx="2">
                  <c:v>45901</c:v>
                </c:pt>
                <c:pt idx="3">
                  <c:v>45931</c:v>
                </c:pt>
                <c:pt idx="4">
                  <c:v>45962</c:v>
                </c:pt>
                <c:pt idx="5">
                  <c:v>45992</c:v>
                </c:pt>
                <c:pt idx="6">
                  <c:v>46023</c:v>
                </c:pt>
                <c:pt idx="7">
                  <c:v>46054</c:v>
                </c:pt>
                <c:pt idx="8">
                  <c:v>46082</c:v>
                </c:pt>
                <c:pt idx="9">
                  <c:v>46113</c:v>
                </c:pt>
                <c:pt idx="10">
                  <c:v>46143</c:v>
                </c:pt>
                <c:pt idx="11">
                  <c:v>46174</c:v>
                </c:pt>
              </c:numCache>
            </c:numRef>
          </c:cat>
          <c:val>
            <c:numRef>
              <c:f>'KPI 106'!$E$19:$P$19</c:f>
              <c:numCache>
                <c:formatCode>0</c:formatCode>
                <c:ptCount val="12"/>
                <c:pt idx="0">
                  <c:v>123.39817473589818</c:v>
                </c:pt>
                <c:pt idx="1">
                  <c:v>123.39817473589818</c:v>
                </c:pt>
                <c:pt idx="2">
                  <c:v>123.39817473589818</c:v>
                </c:pt>
                <c:pt idx="3">
                  <c:v>123.39817473589818</c:v>
                </c:pt>
                <c:pt idx="4">
                  <c:v>123.39817473589818</c:v>
                </c:pt>
                <c:pt idx="5">
                  <c:v>123.39817473589818</c:v>
                </c:pt>
                <c:pt idx="6">
                  <c:v>123.39817473589818</c:v>
                </c:pt>
                <c:pt idx="7">
                  <c:v>123.39817473589818</c:v>
                </c:pt>
                <c:pt idx="8">
                  <c:v>123.39817473589818</c:v>
                </c:pt>
                <c:pt idx="9">
                  <c:v>123.39817473589818</c:v>
                </c:pt>
                <c:pt idx="10">
                  <c:v>123.39817473589818</c:v>
                </c:pt>
                <c:pt idx="11">
                  <c:v>123.39817473589818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4DE0-45C5-94D0-455D819D5F6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29292928"/>
        <c:axId val="129298816"/>
      </c:lineChart>
      <c:dateAx>
        <c:axId val="129292928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crossAx val="129298816"/>
        <c:crosses val="autoZero"/>
        <c:auto val="1"/>
        <c:lblOffset val="100"/>
        <c:baseTimeUnit val="months"/>
      </c:dateAx>
      <c:valAx>
        <c:axId val="129298816"/>
        <c:scaling>
          <c:orientation val="minMax"/>
        </c:scaling>
        <c:delete val="0"/>
        <c:axPos val="l"/>
        <c:majorGridlines/>
        <c:numFmt formatCode="0" sourceLinked="1"/>
        <c:majorTickMark val="out"/>
        <c:minorTickMark val="none"/>
        <c:tickLblPos val="nextTo"/>
        <c:crossAx val="129292928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000000000000822" l="0.70000000000000062" r="0.70000000000000062" t="0.75000000000000822" header="0.30000000000000032" footer="0.30000000000000032"/>
    <c:pageSetup/>
  </c:printSettings>
</c:chartSpace>
</file>

<file path=xl/charts/chart13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1"/>
          <c:order val="1"/>
          <c:tx>
            <c:strRef>
              <c:f>'KPI 107'!$D$20</c:f>
              <c:strCache>
                <c:ptCount val="1"/>
                <c:pt idx="0">
                  <c:v>Actual 2025-26</c:v>
                </c:pt>
              </c:strCache>
            </c:strRef>
          </c:tx>
          <c:spPr>
            <a:solidFill>
              <a:schemeClr val="accent1"/>
            </a:solidFill>
          </c:spPr>
          <c:invertIfNegative val="0"/>
          <c:cat>
            <c:numRef>
              <c:f>'KPI 107'!$E$18:$P$18</c:f>
              <c:numCache>
                <c:formatCode>mmm\-yy</c:formatCode>
                <c:ptCount val="12"/>
                <c:pt idx="0">
                  <c:v>45839</c:v>
                </c:pt>
                <c:pt idx="1">
                  <c:v>45870</c:v>
                </c:pt>
                <c:pt idx="2">
                  <c:v>45901</c:v>
                </c:pt>
                <c:pt idx="3">
                  <c:v>45931</c:v>
                </c:pt>
                <c:pt idx="4">
                  <c:v>45962</c:v>
                </c:pt>
                <c:pt idx="5">
                  <c:v>45992</c:v>
                </c:pt>
                <c:pt idx="6">
                  <c:v>46023</c:v>
                </c:pt>
                <c:pt idx="7">
                  <c:v>46054</c:v>
                </c:pt>
                <c:pt idx="8">
                  <c:v>46082</c:v>
                </c:pt>
                <c:pt idx="9">
                  <c:v>46113</c:v>
                </c:pt>
                <c:pt idx="10">
                  <c:v>46143</c:v>
                </c:pt>
                <c:pt idx="11">
                  <c:v>46174</c:v>
                </c:pt>
              </c:numCache>
            </c:numRef>
          </c:cat>
          <c:val>
            <c:numRef>
              <c:f>'KPI 107'!$E$20:$P$20</c:f>
              <c:numCache>
                <c:formatCode>0</c:formatCode>
                <c:ptCount val="12"/>
                <c:pt idx="0">
                  <c:v>127.28780299051989</c:v>
                </c:pt>
                <c:pt idx="1">
                  <c:v>128.5162373358238</c:v>
                </c:pt>
                <c:pt idx="2">
                  <c:v>127.52958914436488</c:v>
                </c:pt>
                <c:pt idx="3">
                  <c:v>128.14314847859842</c:v>
                </c:pt>
                <c:pt idx="4">
                  <c:v>127.71825700187644</c:v>
                </c:pt>
                <c:pt idx="5">
                  <c:v>127.20509860357724</c:v>
                </c:pt>
                <c:pt idx="6">
                  <c:v>129.73172297871537</c:v>
                </c:pt>
                <c:pt idx="7">
                  <c:v>128.23777796385124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708-44D1-A204-1A17124077CC}"/>
            </c:ext>
          </c:extLst>
        </c:ser>
        <c:ser>
          <c:idx val="4"/>
          <c:order val="2"/>
          <c:tx>
            <c:strRef>
              <c:f>'KPI 107'!$D$21</c:f>
              <c:strCache>
                <c:ptCount val="1"/>
                <c:pt idx="0">
                  <c:v>Actual 2024-25</c:v>
                </c:pt>
              </c:strCache>
            </c:strRef>
          </c:tx>
          <c:spPr>
            <a:solidFill>
              <a:schemeClr val="accent3"/>
            </a:solidFill>
          </c:spPr>
          <c:invertIfNegative val="0"/>
          <c:cat>
            <c:numRef>
              <c:f>'KPI 107'!$E$18:$P$18</c:f>
              <c:numCache>
                <c:formatCode>mmm\-yy</c:formatCode>
                <c:ptCount val="12"/>
                <c:pt idx="0">
                  <c:v>45839</c:v>
                </c:pt>
                <c:pt idx="1">
                  <c:v>45870</c:v>
                </c:pt>
                <c:pt idx="2">
                  <c:v>45901</c:v>
                </c:pt>
                <c:pt idx="3">
                  <c:v>45931</c:v>
                </c:pt>
                <c:pt idx="4">
                  <c:v>45962</c:v>
                </c:pt>
                <c:pt idx="5">
                  <c:v>45992</c:v>
                </c:pt>
                <c:pt idx="6">
                  <c:v>46023</c:v>
                </c:pt>
                <c:pt idx="7">
                  <c:v>46054</c:v>
                </c:pt>
                <c:pt idx="8">
                  <c:v>46082</c:v>
                </c:pt>
                <c:pt idx="9">
                  <c:v>46113</c:v>
                </c:pt>
                <c:pt idx="10">
                  <c:v>46143</c:v>
                </c:pt>
                <c:pt idx="11">
                  <c:v>46174</c:v>
                </c:pt>
              </c:numCache>
            </c:numRef>
          </c:cat>
          <c:val>
            <c:numRef>
              <c:f>'KPI 107'!$E$21:$P$21</c:f>
              <c:numCache>
                <c:formatCode>0</c:formatCode>
                <c:ptCount val="12"/>
                <c:pt idx="0">
                  <c:v>79.713141703387407</c:v>
                </c:pt>
                <c:pt idx="1">
                  <c:v>84.603704494501969</c:v>
                </c:pt>
                <c:pt idx="2">
                  <c:v>80.951856776989757</c:v>
                </c:pt>
                <c:pt idx="3">
                  <c:v>80.450398936170217</c:v>
                </c:pt>
                <c:pt idx="4">
                  <c:v>81.030308236830351</c:v>
                </c:pt>
                <c:pt idx="5">
                  <c:v>79.360721544715446</c:v>
                </c:pt>
                <c:pt idx="6">
                  <c:v>83.552180083190606</c:v>
                </c:pt>
                <c:pt idx="7">
                  <c:v>81.684250834438302</c:v>
                </c:pt>
                <c:pt idx="8">
                  <c:v>82.587420886075947</c:v>
                </c:pt>
                <c:pt idx="9">
                  <c:v>127.42607724003072</c:v>
                </c:pt>
                <c:pt idx="10">
                  <c:v>128.75514032176611</c:v>
                </c:pt>
                <c:pt idx="11">
                  <c:v>128.69205605308338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708-44D1-A204-1A17124077C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29761280"/>
        <c:axId val="129762816"/>
      </c:barChart>
      <c:lineChart>
        <c:grouping val="standard"/>
        <c:varyColors val="0"/>
        <c:ser>
          <c:idx val="0"/>
          <c:order val="0"/>
          <c:tx>
            <c:strRef>
              <c:f>'KPI 107'!$D$19</c:f>
              <c:strCache>
                <c:ptCount val="1"/>
                <c:pt idx="0">
                  <c:v>Budget 2025-26</c:v>
                </c:pt>
              </c:strCache>
            </c:strRef>
          </c:tx>
          <c:spPr>
            <a:ln>
              <a:solidFill>
                <a:srgbClr val="FF0000"/>
              </a:solidFill>
            </a:ln>
          </c:spPr>
          <c:marker>
            <c:symbol val="none"/>
          </c:marker>
          <c:cat>
            <c:numRef>
              <c:f>'KPI 107'!$E$18:$P$18</c:f>
              <c:numCache>
                <c:formatCode>mmm\-yy</c:formatCode>
                <c:ptCount val="12"/>
                <c:pt idx="0">
                  <c:v>45839</c:v>
                </c:pt>
                <c:pt idx="1">
                  <c:v>45870</c:v>
                </c:pt>
                <c:pt idx="2">
                  <c:v>45901</c:v>
                </c:pt>
                <c:pt idx="3">
                  <c:v>45931</c:v>
                </c:pt>
                <c:pt idx="4">
                  <c:v>45962</c:v>
                </c:pt>
                <c:pt idx="5">
                  <c:v>45992</c:v>
                </c:pt>
                <c:pt idx="6">
                  <c:v>46023</c:v>
                </c:pt>
                <c:pt idx="7">
                  <c:v>46054</c:v>
                </c:pt>
                <c:pt idx="8">
                  <c:v>46082</c:v>
                </c:pt>
                <c:pt idx="9">
                  <c:v>46113</c:v>
                </c:pt>
                <c:pt idx="10">
                  <c:v>46143</c:v>
                </c:pt>
                <c:pt idx="11">
                  <c:v>46174</c:v>
                </c:pt>
              </c:numCache>
            </c:numRef>
          </c:cat>
          <c:val>
            <c:numRef>
              <c:f>'KPI 107'!$E$19:$P$19</c:f>
              <c:numCache>
                <c:formatCode>0</c:formatCode>
                <c:ptCount val="12"/>
                <c:pt idx="0">
                  <c:v>127.53089643746527</c:v>
                </c:pt>
                <c:pt idx="1">
                  <c:v>127.53089643746527</c:v>
                </c:pt>
                <c:pt idx="2">
                  <c:v>127.53089643746527</c:v>
                </c:pt>
                <c:pt idx="3">
                  <c:v>127.53089643746527</c:v>
                </c:pt>
                <c:pt idx="4">
                  <c:v>127.53089643746527</c:v>
                </c:pt>
                <c:pt idx="5">
                  <c:v>127.53089643746527</c:v>
                </c:pt>
                <c:pt idx="6">
                  <c:v>127.53089643746527</c:v>
                </c:pt>
                <c:pt idx="7">
                  <c:v>127.53089643746527</c:v>
                </c:pt>
                <c:pt idx="8">
                  <c:v>127.53089643746527</c:v>
                </c:pt>
                <c:pt idx="9">
                  <c:v>127.53089643746527</c:v>
                </c:pt>
                <c:pt idx="10">
                  <c:v>127.53089643746527</c:v>
                </c:pt>
                <c:pt idx="11">
                  <c:v>127.53089643746527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708-44D1-A204-1A17124077C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29761280"/>
        <c:axId val="129762816"/>
      </c:lineChart>
      <c:dateAx>
        <c:axId val="129761280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crossAx val="129762816"/>
        <c:crosses val="autoZero"/>
        <c:auto val="1"/>
        <c:lblOffset val="100"/>
        <c:baseTimeUnit val="months"/>
      </c:dateAx>
      <c:valAx>
        <c:axId val="129762816"/>
        <c:scaling>
          <c:orientation val="minMax"/>
        </c:scaling>
        <c:delete val="0"/>
        <c:axPos val="l"/>
        <c:majorGridlines/>
        <c:numFmt formatCode="0" sourceLinked="1"/>
        <c:majorTickMark val="out"/>
        <c:minorTickMark val="none"/>
        <c:tickLblPos val="nextTo"/>
        <c:crossAx val="12976128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000000000000822" l="0.70000000000000062" r="0.70000000000000062" t="0.75000000000000822" header="0.30000000000000032" footer="0.30000000000000032"/>
    <c:pageSetup/>
  </c:printSettings>
</c:chartSpace>
</file>

<file path=xl/charts/chart13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1"/>
          <c:order val="1"/>
          <c:tx>
            <c:strRef>
              <c:f>'KPI 108'!$D$20</c:f>
              <c:strCache>
                <c:ptCount val="1"/>
                <c:pt idx="0">
                  <c:v>Actual 2025-26</c:v>
                </c:pt>
              </c:strCache>
            </c:strRef>
          </c:tx>
          <c:spPr>
            <a:solidFill>
              <a:schemeClr val="accent1"/>
            </a:solidFill>
          </c:spPr>
          <c:invertIfNegative val="0"/>
          <c:cat>
            <c:numRef>
              <c:f>'KPI 108'!$E$18:$P$18</c:f>
              <c:numCache>
                <c:formatCode>mmm\-yy</c:formatCode>
                <c:ptCount val="12"/>
                <c:pt idx="0">
                  <c:v>45839</c:v>
                </c:pt>
                <c:pt idx="1">
                  <c:v>45870</c:v>
                </c:pt>
                <c:pt idx="2">
                  <c:v>45901</c:v>
                </c:pt>
                <c:pt idx="3">
                  <c:v>45931</c:v>
                </c:pt>
                <c:pt idx="4">
                  <c:v>45962</c:v>
                </c:pt>
                <c:pt idx="5">
                  <c:v>45992</c:v>
                </c:pt>
                <c:pt idx="6">
                  <c:v>46023</c:v>
                </c:pt>
                <c:pt idx="7">
                  <c:v>46054</c:v>
                </c:pt>
                <c:pt idx="8">
                  <c:v>46082</c:v>
                </c:pt>
                <c:pt idx="9">
                  <c:v>46113</c:v>
                </c:pt>
                <c:pt idx="10">
                  <c:v>46143</c:v>
                </c:pt>
                <c:pt idx="11">
                  <c:v>46174</c:v>
                </c:pt>
              </c:numCache>
            </c:numRef>
          </c:cat>
          <c:val>
            <c:numRef>
              <c:f>'KPI 108'!$E$20:$P$20</c:f>
              <c:numCache>
                <c:formatCode>0</c:formatCode>
                <c:ptCount val="12"/>
                <c:pt idx="0">
                  <c:v>121.68670706305623</c:v>
                </c:pt>
                <c:pt idx="1">
                  <c:v>126.56776827508534</c:v>
                </c:pt>
                <c:pt idx="2">
                  <c:v>123.57065140262075</c:v>
                </c:pt>
                <c:pt idx="3">
                  <c:v>124.95588813087116</c:v>
                </c:pt>
                <c:pt idx="4">
                  <c:v>123.28087598675835</c:v>
                </c:pt>
                <c:pt idx="5">
                  <c:v>122.90742123994903</c:v>
                </c:pt>
                <c:pt idx="6">
                  <c:v>125.47297503277139</c:v>
                </c:pt>
                <c:pt idx="7">
                  <c:v>124.61492537313433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018-49B7-A15F-0A6599DCB51D}"/>
            </c:ext>
          </c:extLst>
        </c:ser>
        <c:ser>
          <c:idx val="4"/>
          <c:order val="2"/>
          <c:tx>
            <c:strRef>
              <c:f>'KPI 108'!$D$21</c:f>
              <c:strCache>
                <c:ptCount val="1"/>
                <c:pt idx="0">
                  <c:v>Actual 2024-25</c:v>
                </c:pt>
              </c:strCache>
            </c:strRef>
          </c:tx>
          <c:spPr>
            <a:solidFill>
              <a:schemeClr val="accent3"/>
            </a:solidFill>
          </c:spPr>
          <c:invertIfNegative val="0"/>
          <c:cat>
            <c:numRef>
              <c:f>'KPI 108'!$E$18:$P$18</c:f>
              <c:numCache>
                <c:formatCode>mmm\-yy</c:formatCode>
                <c:ptCount val="12"/>
                <c:pt idx="0">
                  <c:v>45839</c:v>
                </c:pt>
                <c:pt idx="1">
                  <c:v>45870</c:v>
                </c:pt>
                <c:pt idx="2">
                  <c:v>45901</c:v>
                </c:pt>
                <c:pt idx="3">
                  <c:v>45931</c:v>
                </c:pt>
                <c:pt idx="4">
                  <c:v>45962</c:v>
                </c:pt>
                <c:pt idx="5">
                  <c:v>45992</c:v>
                </c:pt>
                <c:pt idx="6">
                  <c:v>46023</c:v>
                </c:pt>
                <c:pt idx="7">
                  <c:v>46054</c:v>
                </c:pt>
                <c:pt idx="8">
                  <c:v>46082</c:v>
                </c:pt>
                <c:pt idx="9">
                  <c:v>46113</c:v>
                </c:pt>
                <c:pt idx="10">
                  <c:v>46143</c:v>
                </c:pt>
                <c:pt idx="11">
                  <c:v>46174</c:v>
                </c:pt>
              </c:numCache>
            </c:numRef>
          </c:cat>
          <c:val>
            <c:numRef>
              <c:f>'KPI 108'!$E$21:$P$21</c:f>
              <c:numCache>
                <c:formatCode>0</c:formatCode>
                <c:ptCount val="12"/>
                <c:pt idx="0">
                  <c:v>75.296468123316373</c:v>
                </c:pt>
                <c:pt idx="1">
                  <c:v>73.642352941176469</c:v>
                </c:pt>
                <c:pt idx="2">
                  <c:v>74.732525356083627</c:v>
                </c:pt>
                <c:pt idx="3">
                  <c:v>74.326210665159223</c:v>
                </c:pt>
                <c:pt idx="4">
                  <c:v>76.474396548885309</c:v>
                </c:pt>
                <c:pt idx="5">
                  <c:v>72.691556640408294</c:v>
                </c:pt>
                <c:pt idx="6">
                  <c:v>76.406583172768137</c:v>
                </c:pt>
                <c:pt idx="7">
                  <c:v>75.199051967515942</c:v>
                </c:pt>
                <c:pt idx="8">
                  <c:v>74.589852565066948</c:v>
                </c:pt>
                <c:pt idx="9">
                  <c:v>75.438237643091668</c:v>
                </c:pt>
                <c:pt idx="10">
                  <c:v>123.72111998625783</c:v>
                </c:pt>
                <c:pt idx="11">
                  <c:v>123.80945604610623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018-49B7-A15F-0A6599DCB51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29807488"/>
        <c:axId val="129809024"/>
      </c:barChart>
      <c:lineChart>
        <c:grouping val="standard"/>
        <c:varyColors val="0"/>
        <c:ser>
          <c:idx val="0"/>
          <c:order val="0"/>
          <c:tx>
            <c:strRef>
              <c:f>'KPI 108'!$D$19</c:f>
              <c:strCache>
                <c:ptCount val="1"/>
                <c:pt idx="0">
                  <c:v>Budget 2025-26</c:v>
                </c:pt>
              </c:strCache>
            </c:strRef>
          </c:tx>
          <c:spPr>
            <a:ln>
              <a:solidFill>
                <a:srgbClr val="FF0000"/>
              </a:solidFill>
            </a:ln>
          </c:spPr>
          <c:marker>
            <c:symbol val="none"/>
          </c:marker>
          <c:cat>
            <c:numRef>
              <c:f>'KPI 108'!$E$18:$P$18</c:f>
              <c:numCache>
                <c:formatCode>mmm\-yy</c:formatCode>
                <c:ptCount val="12"/>
                <c:pt idx="0">
                  <c:v>45839</c:v>
                </c:pt>
                <c:pt idx="1">
                  <c:v>45870</c:v>
                </c:pt>
                <c:pt idx="2">
                  <c:v>45901</c:v>
                </c:pt>
                <c:pt idx="3">
                  <c:v>45931</c:v>
                </c:pt>
                <c:pt idx="4">
                  <c:v>45962</c:v>
                </c:pt>
                <c:pt idx="5">
                  <c:v>45992</c:v>
                </c:pt>
                <c:pt idx="6">
                  <c:v>46023</c:v>
                </c:pt>
                <c:pt idx="7">
                  <c:v>46054</c:v>
                </c:pt>
                <c:pt idx="8">
                  <c:v>46082</c:v>
                </c:pt>
                <c:pt idx="9">
                  <c:v>46113</c:v>
                </c:pt>
                <c:pt idx="10">
                  <c:v>46143</c:v>
                </c:pt>
                <c:pt idx="11">
                  <c:v>46174</c:v>
                </c:pt>
              </c:numCache>
            </c:numRef>
          </c:cat>
          <c:val>
            <c:numRef>
              <c:f>'KPI 108'!$E$19:$P$19</c:f>
              <c:numCache>
                <c:formatCode>0</c:formatCode>
                <c:ptCount val="12"/>
                <c:pt idx="0">
                  <c:v>123.76528801618204</c:v>
                </c:pt>
                <c:pt idx="1">
                  <c:v>123.76528801618204</c:v>
                </c:pt>
                <c:pt idx="2">
                  <c:v>123.76528801618204</c:v>
                </c:pt>
                <c:pt idx="3">
                  <c:v>123.76528801618204</c:v>
                </c:pt>
                <c:pt idx="4">
                  <c:v>123.76528801618204</c:v>
                </c:pt>
                <c:pt idx="5">
                  <c:v>123.76528801618204</c:v>
                </c:pt>
                <c:pt idx="6">
                  <c:v>123.76528801618204</c:v>
                </c:pt>
                <c:pt idx="7">
                  <c:v>123.76528801618204</c:v>
                </c:pt>
                <c:pt idx="8">
                  <c:v>123.76528801618204</c:v>
                </c:pt>
                <c:pt idx="9">
                  <c:v>123.76528801618204</c:v>
                </c:pt>
                <c:pt idx="10">
                  <c:v>123.76528801618204</c:v>
                </c:pt>
                <c:pt idx="11">
                  <c:v>123.76528801618204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4018-49B7-A15F-0A6599DCB51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29807488"/>
        <c:axId val="129809024"/>
      </c:lineChart>
      <c:dateAx>
        <c:axId val="129807488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crossAx val="129809024"/>
        <c:crosses val="autoZero"/>
        <c:auto val="1"/>
        <c:lblOffset val="100"/>
        <c:baseTimeUnit val="months"/>
      </c:dateAx>
      <c:valAx>
        <c:axId val="129809024"/>
        <c:scaling>
          <c:orientation val="minMax"/>
        </c:scaling>
        <c:delete val="0"/>
        <c:axPos val="l"/>
        <c:majorGridlines/>
        <c:numFmt formatCode="0" sourceLinked="1"/>
        <c:majorTickMark val="out"/>
        <c:minorTickMark val="none"/>
        <c:tickLblPos val="nextTo"/>
        <c:crossAx val="129807488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000000000000822" l="0.70000000000000062" r="0.70000000000000062" t="0.75000000000000822" header="0.30000000000000032" footer="0.30000000000000032"/>
    <c:pageSetup/>
  </c:printSettings>
</c:chartSpace>
</file>

<file path=xl/charts/chart13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1"/>
          <c:order val="1"/>
          <c:tx>
            <c:strRef>
              <c:f>'KPI 109'!$D$20</c:f>
              <c:strCache>
                <c:ptCount val="1"/>
                <c:pt idx="0">
                  <c:v>Actual 2025-26</c:v>
                </c:pt>
              </c:strCache>
            </c:strRef>
          </c:tx>
          <c:spPr>
            <a:solidFill>
              <a:schemeClr val="accent1"/>
            </a:solidFill>
          </c:spPr>
          <c:invertIfNegative val="0"/>
          <c:cat>
            <c:numRef>
              <c:f>'KPI 109'!$E$18:$P$18</c:f>
              <c:numCache>
                <c:formatCode>mmm\-yy</c:formatCode>
                <c:ptCount val="12"/>
                <c:pt idx="0">
                  <c:v>45839</c:v>
                </c:pt>
                <c:pt idx="1">
                  <c:v>45870</c:v>
                </c:pt>
                <c:pt idx="2">
                  <c:v>45901</c:v>
                </c:pt>
                <c:pt idx="3">
                  <c:v>45931</c:v>
                </c:pt>
                <c:pt idx="4">
                  <c:v>45962</c:v>
                </c:pt>
                <c:pt idx="5">
                  <c:v>45992</c:v>
                </c:pt>
                <c:pt idx="6">
                  <c:v>46023</c:v>
                </c:pt>
                <c:pt idx="7">
                  <c:v>46054</c:v>
                </c:pt>
                <c:pt idx="8">
                  <c:v>46082</c:v>
                </c:pt>
                <c:pt idx="9">
                  <c:v>46113</c:v>
                </c:pt>
                <c:pt idx="10">
                  <c:v>46143</c:v>
                </c:pt>
                <c:pt idx="11">
                  <c:v>46174</c:v>
                </c:pt>
              </c:numCache>
            </c:numRef>
          </c:cat>
          <c:val>
            <c:numRef>
              <c:f>'KPI 109'!$E$20:$P$20</c:f>
              <c:numCache>
                <c:formatCode>0</c:formatCode>
                <c:ptCount val="12"/>
                <c:pt idx="0">
                  <c:v>122.00760193503801</c:v>
                </c:pt>
                <c:pt idx="1">
                  <c:v>123.66144668158091</c:v>
                </c:pt>
                <c:pt idx="2">
                  <c:v>123.02418506834911</c:v>
                </c:pt>
                <c:pt idx="3">
                  <c:v>123.098862361801</c:v>
                </c:pt>
                <c:pt idx="4">
                  <c:v>122.77059617981864</c:v>
                </c:pt>
                <c:pt idx="5">
                  <c:v>121.59876643402045</c:v>
                </c:pt>
                <c:pt idx="6">
                  <c:v>124.21422897991603</c:v>
                </c:pt>
                <c:pt idx="7">
                  <c:v>124.20972009469433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EE5-41AC-A34D-7B42F7619E8E}"/>
            </c:ext>
          </c:extLst>
        </c:ser>
        <c:ser>
          <c:idx val="4"/>
          <c:order val="2"/>
          <c:tx>
            <c:strRef>
              <c:f>'KPI 109'!$D$21</c:f>
              <c:strCache>
                <c:ptCount val="1"/>
                <c:pt idx="0">
                  <c:v>Actual 2024-25</c:v>
                </c:pt>
              </c:strCache>
            </c:strRef>
          </c:tx>
          <c:spPr>
            <a:solidFill>
              <a:schemeClr val="accent3"/>
            </a:solidFill>
          </c:spPr>
          <c:invertIfNegative val="0"/>
          <c:cat>
            <c:numRef>
              <c:f>'KPI 109'!$E$18:$P$18</c:f>
              <c:numCache>
                <c:formatCode>mmm\-yy</c:formatCode>
                <c:ptCount val="12"/>
                <c:pt idx="0">
                  <c:v>45839</c:v>
                </c:pt>
                <c:pt idx="1">
                  <c:v>45870</c:v>
                </c:pt>
                <c:pt idx="2">
                  <c:v>45901</c:v>
                </c:pt>
                <c:pt idx="3">
                  <c:v>45931</c:v>
                </c:pt>
                <c:pt idx="4">
                  <c:v>45962</c:v>
                </c:pt>
                <c:pt idx="5">
                  <c:v>45992</c:v>
                </c:pt>
                <c:pt idx="6">
                  <c:v>46023</c:v>
                </c:pt>
                <c:pt idx="7">
                  <c:v>46054</c:v>
                </c:pt>
                <c:pt idx="8">
                  <c:v>46082</c:v>
                </c:pt>
                <c:pt idx="9">
                  <c:v>46113</c:v>
                </c:pt>
                <c:pt idx="10">
                  <c:v>46143</c:v>
                </c:pt>
                <c:pt idx="11">
                  <c:v>46174</c:v>
                </c:pt>
              </c:numCache>
            </c:numRef>
          </c:cat>
          <c:val>
            <c:numRef>
              <c:f>'KPI 109'!$E$21:$P$21</c:f>
              <c:numCache>
                <c:formatCode>0</c:formatCode>
                <c:ptCount val="12"/>
                <c:pt idx="0">
                  <c:v>69.973588342440806</c:v>
                </c:pt>
                <c:pt idx="1">
                  <c:v>71.332023289665216</c:v>
                </c:pt>
                <c:pt idx="2">
                  <c:v>72.476063038953313</c:v>
                </c:pt>
                <c:pt idx="3">
                  <c:v>72.428796787609343</c:v>
                </c:pt>
                <c:pt idx="4">
                  <c:v>73.236722103004297</c:v>
                </c:pt>
                <c:pt idx="5">
                  <c:v>73.423155320016306</c:v>
                </c:pt>
                <c:pt idx="6">
                  <c:v>72.138455734406435</c:v>
                </c:pt>
                <c:pt idx="7">
                  <c:v>72.39384174722521</c:v>
                </c:pt>
                <c:pt idx="8">
                  <c:v>72.264871706362911</c:v>
                </c:pt>
                <c:pt idx="9">
                  <c:v>73.628215499110183</c:v>
                </c:pt>
                <c:pt idx="10">
                  <c:v>123.86067613054296</c:v>
                </c:pt>
                <c:pt idx="11">
                  <c:v>122.34005512839113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EE5-41AC-A34D-7B42F7619E8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30201856"/>
        <c:axId val="130211840"/>
      </c:barChart>
      <c:lineChart>
        <c:grouping val="standard"/>
        <c:varyColors val="0"/>
        <c:ser>
          <c:idx val="0"/>
          <c:order val="0"/>
          <c:tx>
            <c:strRef>
              <c:f>'KPI 109'!$D$19</c:f>
              <c:strCache>
                <c:ptCount val="1"/>
                <c:pt idx="0">
                  <c:v>Budget 2025-26</c:v>
                </c:pt>
              </c:strCache>
            </c:strRef>
          </c:tx>
          <c:spPr>
            <a:ln>
              <a:solidFill>
                <a:srgbClr val="FF0000"/>
              </a:solidFill>
            </a:ln>
          </c:spPr>
          <c:marker>
            <c:symbol val="none"/>
          </c:marker>
          <c:cat>
            <c:numRef>
              <c:f>'KPI 109'!$E$18:$P$18</c:f>
              <c:numCache>
                <c:formatCode>mmm\-yy</c:formatCode>
                <c:ptCount val="12"/>
                <c:pt idx="0">
                  <c:v>45839</c:v>
                </c:pt>
                <c:pt idx="1">
                  <c:v>45870</c:v>
                </c:pt>
                <c:pt idx="2">
                  <c:v>45901</c:v>
                </c:pt>
                <c:pt idx="3">
                  <c:v>45931</c:v>
                </c:pt>
                <c:pt idx="4">
                  <c:v>45962</c:v>
                </c:pt>
                <c:pt idx="5">
                  <c:v>45992</c:v>
                </c:pt>
                <c:pt idx="6">
                  <c:v>46023</c:v>
                </c:pt>
                <c:pt idx="7">
                  <c:v>46054</c:v>
                </c:pt>
                <c:pt idx="8">
                  <c:v>46082</c:v>
                </c:pt>
                <c:pt idx="9">
                  <c:v>46113</c:v>
                </c:pt>
                <c:pt idx="10">
                  <c:v>46143</c:v>
                </c:pt>
                <c:pt idx="11">
                  <c:v>46174</c:v>
                </c:pt>
              </c:numCache>
            </c:numRef>
          </c:cat>
          <c:val>
            <c:numRef>
              <c:f>'KPI 109'!$E$19:$P$19</c:f>
              <c:numCache>
                <c:formatCode>0</c:formatCode>
                <c:ptCount val="12"/>
                <c:pt idx="0">
                  <c:v>123.10036562946703</c:v>
                </c:pt>
                <c:pt idx="1">
                  <c:v>123.10036562946703</c:v>
                </c:pt>
                <c:pt idx="2">
                  <c:v>123.10036562946703</c:v>
                </c:pt>
                <c:pt idx="3">
                  <c:v>123.10036562946703</c:v>
                </c:pt>
                <c:pt idx="4">
                  <c:v>123.10036562946703</c:v>
                </c:pt>
                <c:pt idx="5">
                  <c:v>123.10036562946703</c:v>
                </c:pt>
                <c:pt idx="6">
                  <c:v>123.10036562946703</c:v>
                </c:pt>
                <c:pt idx="7">
                  <c:v>123.10036562946703</c:v>
                </c:pt>
                <c:pt idx="8">
                  <c:v>123.10036562946703</c:v>
                </c:pt>
                <c:pt idx="9">
                  <c:v>123.10036562946703</c:v>
                </c:pt>
                <c:pt idx="10">
                  <c:v>123.10036562946703</c:v>
                </c:pt>
                <c:pt idx="11">
                  <c:v>123.10036562946703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1EE5-41AC-A34D-7B42F7619E8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0201856"/>
        <c:axId val="130211840"/>
      </c:lineChart>
      <c:dateAx>
        <c:axId val="130201856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crossAx val="130211840"/>
        <c:crosses val="autoZero"/>
        <c:auto val="1"/>
        <c:lblOffset val="100"/>
        <c:baseTimeUnit val="months"/>
      </c:dateAx>
      <c:valAx>
        <c:axId val="130211840"/>
        <c:scaling>
          <c:orientation val="minMax"/>
        </c:scaling>
        <c:delete val="0"/>
        <c:axPos val="l"/>
        <c:majorGridlines/>
        <c:numFmt formatCode="0" sourceLinked="1"/>
        <c:majorTickMark val="out"/>
        <c:minorTickMark val="none"/>
        <c:tickLblPos val="nextTo"/>
        <c:crossAx val="130201856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000000000000822" l="0.70000000000000062" r="0.70000000000000062" t="0.75000000000000822" header="0.30000000000000032" footer="0.30000000000000032"/>
    <c:pageSetup/>
  </c:printSettings>
</c:chartSpace>
</file>

<file path=xl/charts/chart13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1"/>
          <c:order val="1"/>
          <c:tx>
            <c:strRef>
              <c:f>'KPI 110'!$D$20</c:f>
              <c:strCache>
                <c:ptCount val="1"/>
                <c:pt idx="0">
                  <c:v>Actual 2025-26</c:v>
                </c:pt>
              </c:strCache>
            </c:strRef>
          </c:tx>
          <c:spPr>
            <a:solidFill>
              <a:schemeClr val="accent1"/>
            </a:solidFill>
          </c:spPr>
          <c:invertIfNegative val="0"/>
          <c:cat>
            <c:numRef>
              <c:f>'KPI 110'!$E$18:$P$18</c:f>
              <c:numCache>
                <c:formatCode>mmm\-yy</c:formatCode>
                <c:ptCount val="12"/>
                <c:pt idx="0">
                  <c:v>45839</c:v>
                </c:pt>
                <c:pt idx="1">
                  <c:v>45870</c:v>
                </c:pt>
                <c:pt idx="2">
                  <c:v>45901</c:v>
                </c:pt>
                <c:pt idx="3">
                  <c:v>45931</c:v>
                </c:pt>
                <c:pt idx="4">
                  <c:v>45962</c:v>
                </c:pt>
                <c:pt idx="5">
                  <c:v>45992</c:v>
                </c:pt>
                <c:pt idx="6">
                  <c:v>46023</c:v>
                </c:pt>
                <c:pt idx="7">
                  <c:v>46054</c:v>
                </c:pt>
                <c:pt idx="8">
                  <c:v>46082</c:v>
                </c:pt>
                <c:pt idx="9">
                  <c:v>46113</c:v>
                </c:pt>
                <c:pt idx="10">
                  <c:v>46143</c:v>
                </c:pt>
                <c:pt idx="11">
                  <c:v>46174</c:v>
                </c:pt>
              </c:numCache>
            </c:numRef>
          </c:cat>
          <c:val>
            <c:numRef>
              <c:f>'KPI 110'!$E$20:$P$20</c:f>
              <c:numCache>
                <c:formatCode>0</c:formatCode>
                <c:ptCount val="12"/>
                <c:pt idx="0">
                  <c:v>123.78631528814097</c:v>
                </c:pt>
                <c:pt idx="1">
                  <c:v>122.91388540083273</c:v>
                </c:pt>
                <c:pt idx="2">
                  <c:v>122.34974142884505</c:v>
                </c:pt>
                <c:pt idx="3">
                  <c:v>123.26305186008545</c:v>
                </c:pt>
                <c:pt idx="4">
                  <c:v>122.45023032245143</c:v>
                </c:pt>
                <c:pt idx="5">
                  <c:v>122.82637025680337</c:v>
                </c:pt>
                <c:pt idx="6">
                  <c:v>122.57498950631236</c:v>
                </c:pt>
                <c:pt idx="7">
                  <c:v>122.68679922260428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A9A-491F-B595-79282827E2D9}"/>
            </c:ext>
          </c:extLst>
        </c:ser>
        <c:ser>
          <c:idx val="4"/>
          <c:order val="2"/>
          <c:tx>
            <c:strRef>
              <c:f>'KPI 110'!$D$21</c:f>
              <c:strCache>
                <c:ptCount val="1"/>
                <c:pt idx="0">
                  <c:v>Actual 2024-25</c:v>
                </c:pt>
              </c:strCache>
            </c:strRef>
          </c:tx>
          <c:spPr>
            <a:solidFill>
              <a:schemeClr val="accent3"/>
            </a:solidFill>
          </c:spPr>
          <c:invertIfNegative val="0"/>
          <c:cat>
            <c:numRef>
              <c:f>'KPI 110'!$E$18:$P$18</c:f>
              <c:numCache>
                <c:formatCode>mmm\-yy</c:formatCode>
                <c:ptCount val="12"/>
                <c:pt idx="0">
                  <c:v>45839</c:v>
                </c:pt>
                <c:pt idx="1">
                  <c:v>45870</c:v>
                </c:pt>
                <c:pt idx="2">
                  <c:v>45901</c:v>
                </c:pt>
                <c:pt idx="3">
                  <c:v>45931</c:v>
                </c:pt>
                <c:pt idx="4">
                  <c:v>45962</c:v>
                </c:pt>
                <c:pt idx="5">
                  <c:v>45992</c:v>
                </c:pt>
                <c:pt idx="6">
                  <c:v>46023</c:v>
                </c:pt>
                <c:pt idx="7">
                  <c:v>46054</c:v>
                </c:pt>
                <c:pt idx="8">
                  <c:v>46082</c:v>
                </c:pt>
                <c:pt idx="9">
                  <c:v>46113</c:v>
                </c:pt>
                <c:pt idx="10">
                  <c:v>46143</c:v>
                </c:pt>
                <c:pt idx="11">
                  <c:v>46174</c:v>
                </c:pt>
              </c:numCache>
            </c:numRef>
          </c:cat>
          <c:val>
            <c:numRef>
              <c:f>'KPI 110'!$E$21:$P$21</c:f>
              <c:numCache>
                <c:formatCode>0</c:formatCode>
                <c:ptCount val="12"/>
                <c:pt idx="0">
                  <c:v>80.420349473525306</c:v>
                </c:pt>
                <c:pt idx="1">
                  <c:v>83.950837876034726</c:v>
                </c:pt>
                <c:pt idx="2">
                  <c:v>80.225389243843438</c:v>
                </c:pt>
                <c:pt idx="3">
                  <c:v>76.573344370860923</c:v>
                </c:pt>
                <c:pt idx="4">
                  <c:v>74.442641194472785</c:v>
                </c:pt>
                <c:pt idx="5">
                  <c:v>71.921601058551104</c:v>
                </c:pt>
                <c:pt idx="6">
                  <c:v>73.575052274363287</c:v>
                </c:pt>
                <c:pt idx="7">
                  <c:v>73.279267425320057</c:v>
                </c:pt>
                <c:pt idx="8">
                  <c:v>73.201644149455888</c:v>
                </c:pt>
                <c:pt idx="9">
                  <c:v>74.142770213736981</c:v>
                </c:pt>
                <c:pt idx="10">
                  <c:v>123.95923786285837</c:v>
                </c:pt>
                <c:pt idx="11">
                  <c:v>124.20209990869962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A9A-491F-B595-79282827E2D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29998208"/>
        <c:axId val="130139264"/>
      </c:barChart>
      <c:lineChart>
        <c:grouping val="standard"/>
        <c:varyColors val="0"/>
        <c:ser>
          <c:idx val="0"/>
          <c:order val="0"/>
          <c:tx>
            <c:strRef>
              <c:f>'KPI 110'!$D$19</c:f>
              <c:strCache>
                <c:ptCount val="1"/>
                <c:pt idx="0">
                  <c:v>Budget 2025-26</c:v>
                </c:pt>
              </c:strCache>
            </c:strRef>
          </c:tx>
          <c:spPr>
            <a:ln>
              <a:solidFill>
                <a:srgbClr val="FF0000"/>
              </a:solidFill>
            </a:ln>
          </c:spPr>
          <c:marker>
            <c:symbol val="none"/>
          </c:marker>
          <c:cat>
            <c:numRef>
              <c:f>'KPI 110'!$E$18:$P$18</c:f>
              <c:numCache>
                <c:formatCode>mmm\-yy</c:formatCode>
                <c:ptCount val="12"/>
                <c:pt idx="0">
                  <c:v>45839</c:v>
                </c:pt>
                <c:pt idx="1">
                  <c:v>45870</c:v>
                </c:pt>
                <c:pt idx="2">
                  <c:v>45901</c:v>
                </c:pt>
                <c:pt idx="3">
                  <c:v>45931</c:v>
                </c:pt>
                <c:pt idx="4">
                  <c:v>45962</c:v>
                </c:pt>
                <c:pt idx="5">
                  <c:v>45992</c:v>
                </c:pt>
                <c:pt idx="6">
                  <c:v>46023</c:v>
                </c:pt>
                <c:pt idx="7">
                  <c:v>46054</c:v>
                </c:pt>
                <c:pt idx="8">
                  <c:v>46082</c:v>
                </c:pt>
                <c:pt idx="9">
                  <c:v>46113</c:v>
                </c:pt>
                <c:pt idx="10">
                  <c:v>46143</c:v>
                </c:pt>
                <c:pt idx="11">
                  <c:v>46174</c:v>
                </c:pt>
              </c:numCache>
            </c:numRef>
          </c:cat>
          <c:val>
            <c:numRef>
              <c:f>'KPI 110'!$E$19:$P$19</c:f>
              <c:numCache>
                <c:formatCode>0</c:formatCode>
                <c:ptCount val="12"/>
                <c:pt idx="0">
                  <c:v>124.080668885779</c:v>
                </c:pt>
                <c:pt idx="1">
                  <c:v>124.080668885779</c:v>
                </c:pt>
                <c:pt idx="2">
                  <c:v>124.080668885779</c:v>
                </c:pt>
                <c:pt idx="3">
                  <c:v>124.080668885779</c:v>
                </c:pt>
                <c:pt idx="4">
                  <c:v>124.080668885779</c:v>
                </c:pt>
                <c:pt idx="5">
                  <c:v>124.080668885779</c:v>
                </c:pt>
                <c:pt idx="6">
                  <c:v>124.080668885779</c:v>
                </c:pt>
                <c:pt idx="7">
                  <c:v>124.080668885779</c:v>
                </c:pt>
                <c:pt idx="8">
                  <c:v>124.080668885779</c:v>
                </c:pt>
                <c:pt idx="9">
                  <c:v>124.080668885779</c:v>
                </c:pt>
                <c:pt idx="10">
                  <c:v>124.080668885779</c:v>
                </c:pt>
                <c:pt idx="11">
                  <c:v>124.080668885779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A9A-491F-B595-79282827E2D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29998208"/>
        <c:axId val="130139264"/>
      </c:lineChart>
      <c:dateAx>
        <c:axId val="129998208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crossAx val="130139264"/>
        <c:crosses val="autoZero"/>
        <c:auto val="1"/>
        <c:lblOffset val="100"/>
        <c:baseTimeUnit val="months"/>
      </c:dateAx>
      <c:valAx>
        <c:axId val="130139264"/>
        <c:scaling>
          <c:orientation val="minMax"/>
        </c:scaling>
        <c:delete val="0"/>
        <c:axPos val="l"/>
        <c:majorGridlines/>
        <c:numFmt formatCode="0" sourceLinked="1"/>
        <c:majorTickMark val="out"/>
        <c:minorTickMark val="none"/>
        <c:tickLblPos val="nextTo"/>
        <c:crossAx val="129998208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000000000000822" l="0.70000000000000062" r="0.70000000000000062" t="0.75000000000000822" header="0.30000000000000032" footer="0.30000000000000032"/>
    <c:pageSetup/>
  </c:printSettings>
</c:chartSpace>
</file>

<file path=xl/charts/chart13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1"/>
          <c:order val="1"/>
          <c:tx>
            <c:strRef>
              <c:f>'KPI 110'!$D$20</c:f>
              <c:strCache>
                <c:ptCount val="1"/>
                <c:pt idx="0">
                  <c:v>Actual 2025-26</c:v>
                </c:pt>
              </c:strCache>
            </c:strRef>
          </c:tx>
          <c:spPr>
            <a:solidFill>
              <a:schemeClr val="accent1"/>
            </a:solidFill>
          </c:spPr>
          <c:invertIfNegative val="0"/>
          <c:cat>
            <c:numRef>
              <c:f>'KPI 110'!$E$18:$P$18</c:f>
              <c:numCache>
                <c:formatCode>mmm\-yy</c:formatCode>
                <c:ptCount val="12"/>
                <c:pt idx="0">
                  <c:v>45839</c:v>
                </c:pt>
                <c:pt idx="1">
                  <c:v>45870</c:v>
                </c:pt>
                <c:pt idx="2">
                  <c:v>45901</c:v>
                </c:pt>
                <c:pt idx="3">
                  <c:v>45931</c:v>
                </c:pt>
                <c:pt idx="4">
                  <c:v>45962</c:v>
                </c:pt>
                <c:pt idx="5">
                  <c:v>45992</c:v>
                </c:pt>
                <c:pt idx="6">
                  <c:v>46023</c:v>
                </c:pt>
                <c:pt idx="7">
                  <c:v>46054</c:v>
                </c:pt>
                <c:pt idx="8">
                  <c:v>46082</c:v>
                </c:pt>
                <c:pt idx="9">
                  <c:v>46113</c:v>
                </c:pt>
                <c:pt idx="10">
                  <c:v>46143</c:v>
                </c:pt>
                <c:pt idx="11">
                  <c:v>46174</c:v>
                </c:pt>
              </c:numCache>
            </c:numRef>
          </c:cat>
          <c:val>
            <c:numRef>
              <c:f>'KPI 110'!$E$20:$P$20</c:f>
              <c:numCache>
                <c:formatCode>0</c:formatCode>
                <c:ptCount val="12"/>
                <c:pt idx="0">
                  <c:v>123.78631528814097</c:v>
                </c:pt>
                <c:pt idx="1">
                  <c:v>122.91388540083273</c:v>
                </c:pt>
                <c:pt idx="2">
                  <c:v>122.34974142884505</c:v>
                </c:pt>
                <c:pt idx="3">
                  <c:v>123.26305186008545</c:v>
                </c:pt>
                <c:pt idx="4">
                  <c:v>122.45023032245143</c:v>
                </c:pt>
                <c:pt idx="5">
                  <c:v>122.82637025680337</c:v>
                </c:pt>
                <c:pt idx="6">
                  <c:v>122.57498950631236</c:v>
                </c:pt>
                <c:pt idx="7">
                  <c:v>122.68679922260428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439-4049-BCC7-8FC376C52FA4}"/>
            </c:ext>
          </c:extLst>
        </c:ser>
        <c:ser>
          <c:idx val="4"/>
          <c:order val="2"/>
          <c:tx>
            <c:strRef>
              <c:f>'KPI 110'!$D$21</c:f>
              <c:strCache>
                <c:ptCount val="1"/>
                <c:pt idx="0">
                  <c:v>Actual 2024-25</c:v>
                </c:pt>
              </c:strCache>
            </c:strRef>
          </c:tx>
          <c:spPr>
            <a:solidFill>
              <a:schemeClr val="accent3"/>
            </a:solidFill>
          </c:spPr>
          <c:invertIfNegative val="0"/>
          <c:cat>
            <c:numRef>
              <c:f>'KPI 110'!$E$18:$P$18</c:f>
              <c:numCache>
                <c:formatCode>mmm\-yy</c:formatCode>
                <c:ptCount val="12"/>
                <c:pt idx="0">
                  <c:v>45839</c:v>
                </c:pt>
                <c:pt idx="1">
                  <c:v>45870</c:v>
                </c:pt>
                <c:pt idx="2">
                  <c:v>45901</c:v>
                </c:pt>
                <c:pt idx="3">
                  <c:v>45931</c:v>
                </c:pt>
                <c:pt idx="4">
                  <c:v>45962</c:v>
                </c:pt>
                <c:pt idx="5">
                  <c:v>45992</c:v>
                </c:pt>
                <c:pt idx="6">
                  <c:v>46023</c:v>
                </c:pt>
                <c:pt idx="7">
                  <c:v>46054</c:v>
                </c:pt>
                <c:pt idx="8">
                  <c:v>46082</c:v>
                </c:pt>
                <c:pt idx="9">
                  <c:v>46113</c:v>
                </c:pt>
                <c:pt idx="10">
                  <c:v>46143</c:v>
                </c:pt>
                <c:pt idx="11">
                  <c:v>46174</c:v>
                </c:pt>
              </c:numCache>
            </c:numRef>
          </c:cat>
          <c:val>
            <c:numRef>
              <c:f>'KPI 110'!$E$21:$P$21</c:f>
              <c:numCache>
                <c:formatCode>0</c:formatCode>
                <c:ptCount val="12"/>
                <c:pt idx="0">
                  <c:v>80.420349473525306</c:v>
                </c:pt>
                <c:pt idx="1">
                  <c:v>83.950837876034726</c:v>
                </c:pt>
                <c:pt idx="2">
                  <c:v>80.225389243843438</c:v>
                </c:pt>
                <c:pt idx="3">
                  <c:v>76.573344370860923</c:v>
                </c:pt>
                <c:pt idx="4">
                  <c:v>74.442641194472785</c:v>
                </c:pt>
                <c:pt idx="5">
                  <c:v>71.921601058551104</c:v>
                </c:pt>
                <c:pt idx="6">
                  <c:v>73.575052274363287</c:v>
                </c:pt>
                <c:pt idx="7">
                  <c:v>73.279267425320057</c:v>
                </c:pt>
                <c:pt idx="8">
                  <c:v>73.201644149455888</c:v>
                </c:pt>
                <c:pt idx="9">
                  <c:v>74.142770213736981</c:v>
                </c:pt>
                <c:pt idx="10">
                  <c:v>123.95923786285837</c:v>
                </c:pt>
                <c:pt idx="11">
                  <c:v>124.20209990869962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439-4049-BCC7-8FC376C52FA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29998208"/>
        <c:axId val="130139264"/>
      </c:barChart>
      <c:lineChart>
        <c:grouping val="standard"/>
        <c:varyColors val="0"/>
        <c:ser>
          <c:idx val="0"/>
          <c:order val="0"/>
          <c:tx>
            <c:strRef>
              <c:f>'KPI 110'!$D$19</c:f>
              <c:strCache>
                <c:ptCount val="1"/>
                <c:pt idx="0">
                  <c:v>Budget 2025-26</c:v>
                </c:pt>
              </c:strCache>
            </c:strRef>
          </c:tx>
          <c:spPr>
            <a:ln>
              <a:solidFill>
                <a:srgbClr val="FF0000"/>
              </a:solidFill>
            </a:ln>
          </c:spPr>
          <c:marker>
            <c:symbol val="none"/>
          </c:marker>
          <c:cat>
            <c:numRef>
              <c:f>'KPI 110'!$E$18:$P$18</c:f>
              <c:numCache>
                <c:formatCode>mmm\-yy</c:formatCode>
                <c:ptCount val="12"/>
                <c:pt idx="0">
                  <c:v>45839</c:v>
                </c:pt>
                <c:pt idx="1">
                  <c:v>45870</c:v>
                </c:pt>
                <c:pt idx="2">
                  <c:v>45901</c:v>
                </c:pt>
                <c:pt idx="3">
                  <c:v>45931</c:v>
                </c:pt>
                <c:pt idx="4">
                  <c:v>45962</c:v>
                </c:pt>
                <c:pt idx="5">
                  <c:v>45992</c:v>
                </c:pt>
                <c:pt idx="6">
                  <c:v>46023</c:v>
                </c:pt>
                <c:pt idx="7">
                  <c:v>46054</c:v>
                </c:pt>
                <c:pt idx="8">
                  <c:v>46082</c:v>
                </c:pt>
                <c:pt idx="9">
                  <c:v>46113</c:v>
                </c:pt>
                <c:pt idx="10">
                  <c:v>46143</c:v>
                </c:pt>
                <c:pt idx="11">
                  <c:v>46174</c:v>
                </c:pt>
              </c:numCache>
            </c:numRef>
          </c:cat>
          <c:val>
            <c:numRef>
              <c:f>'KPI 110'!$E$19:$P$19</c:f>
              <c:numCache>
                <c:formatCode>0</c:formatCode>
                <c:ptCount val="12"/>
                <c:pt idx="0">
                  <c:v>124.080668885779</c:v>
                </c:pt>
                <c:pt idx="1">
                  <c:v>124.080668885779</c:v>
                </c:pt>
                <c:pt idx="2">
                  <c:v>124.080668885779</c:v>
                </c:pt>
                <c:pt idx="3">
                  <c:v>124.080668885779</c:v>
                </c:pt>
                <c:pt idx="4">
                  <c:v>124.080668885779</c:v>
                </c:pt>
                <c:pt idx="5">
                  <c:v>124.080668885779</c:v>
                </c:pt>
                <c:pt idx="6">
                  <c:v>124.080668885779</c:v>
                </c:pt>
                <c:pt idx="7">
                  <c:v>124.080668885779</c:v>
                </c:pt>
                <c:pt idx="8">
                  <c:v>124.080668885779</c:v>
                </c:pt>
                <c:pt idx="9">
                  <c:v>124.080668885779</c:v>
                </c:pt>
                <c:pt idx="10">
                  <c:v>124.080668885779</c:v>
                </c:pt>
                <c:pt idx="11">
                  <c:v>124.080668885779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E439-4049-BCC7-8FC376C52FA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29998208"/>
        <c:axId val="130139264"/>
      </c:lineChart>
      <c:dateAx>
        <c:axId val="129998208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crossAx val="130139264"/>
        <c:crosses val="autoZero"/>
        <c:auto val="1"/>
        <c:lblOffset val="100"/>
        <c:baseTimeUnit val="months"/>
      </c:dateAx>
      <c:valAx>
        <c:axId val="130139264"/>
        <c:scaling>
          <c:orientation val="minMax"/>
        </c:scaling>
        <c:delete val="0"/>
        <c:axPos val="l"/>
        <c:majorGridlines/>
        <c:numFmt formatCode="0" sourceLinked="1"/>
        <c:majorTickMark val="out"/>
        <c:minorTickMark val="none"/>
        <c:tickLblPos val="nextTo"/>
        <c:crossAx val="129998208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000000000000822" l="0.70000000000000062" r="0.70000000000000062" t="0.75000000000000822" header="0.30000000000000032" footer="0.30000000000000032"/>
    <c:pageSetup/>
  </c:printSettings>
</c:chartSpace>
</file>

<file path=xl/charts/chart13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1"/>
          <c:order val="1"/>
          <c:tx>
            <c:strRef>
              <c:f>'KPI 111'!$D$20</c:f>
              <c:strCache>
                <c:ptCount val="1"/>
                <c:pt idx="0">
                  <c:v>Actual 2025-26</c:v>
                </c:pt>
              </c:strCache>
            </c:strRef>
          </c:tx>
          <c:spPr>
            <a:solidFill>
              <a:schemeClr val="accent1"/>
            </a:solidFill>
          </c:spPr>
          <c:invertIfNegative val="0"/>
          <c:cat>
            <c:numRef>
              <c:f>'KPI 111'!$E$18:$P$18</c:f>
              <c:numCache>
                <c:formatCode>mmm\-yy</c:formatCode>
                <c:ptCount val="12"/>
                <c:pt idx="0">
                  <c:v>45839</c:v>
                </c:pt>
                <c:pt idx="1">
                  <c:v>45870</c:v>
                </c:pt>
                <c:pt idx="2">
                  <c:v>45901</c:v>
                </c:pt>
                <c:pt idx="3">
                  <c:v>45931</c:v>
                </c:pt>
                <c:pt idx="4">
                  <c:v>45962</c:v>
                </c:pt>
                <c:pt idx="5">
                  <c:v>45992</c:v>
                </c:pt>
                <c:pt idx="6">
                  <c:v>46023</c:v>
                </c:pt>
                <c:pt idx="7">
                  <c:v>46054</c:v>
                </c:pt>
                <c:pt idx="8">
                  <c:v>46082</c:v>
                </c:pt>
                <c:pt idx="9">
                  <c:v>46113</c:v>
                </c:pt>
                <c:pt idx="10">
                  <c:v>46143</c:v>
                </c:pt>
                <c:pt idx="11">
                  <c:v>46174</c:v>
                </c:pt>
              </c:numCache>
            </c:numRef>
          </c:cat>
          <c:val>
            <c:numRef>
              <c:f>'KPI 111'!$E$20:$P$20</c:f>
              <c:numCache>
                <c:formatCode>0</c:formatCode>
                <c:ptCount val="12"/>
                <c:pt idx="0">
                  <c:v>124.57979953739398</c:v>
                </c:pt>
                <c:pt idx="1">
                  <c:v>126.91408504906677</c:v>
                </c:pt>
                <c:pt idx="2">
                  <c:v>127.13315572271848</c:v>
                </c:pt>
                <c:pt idx="3">
                  <c:v>127.07139231159721</c:v>
                </c:pt>
                <c:pt idx="4">
                  <c:v>125.68060971286778</c:v>
                </c:pt>
                <c:pt idx="5">
                  <c:v>124.99430103922226</c:v>
                </c:pt>
                <c:pt idx="6">
                  <c:v>128.22981723437681</c:v>
                </c:pt>
                <c:pt idx="7">
                  <c:v>127.02497285559174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FBE-42AC-A80F-BDDEF3CCA704}"/>
            </c:ext>
          </c:extLst>
        </c:ser>
        <c:ser>
          <c:idx val="4"/>
          <c:order val="2"/>
          <c:tx>
            <c:strRef>
              <c:f>'KPI 111'!$D$21</c:f>
              <c:strCache>
                <c:ptCount val="1"/>
                <c:pt idx="0">
                  <c:v>Actual 2024-25</c:v>
                </c:pt>
              </c:strCache>
            </c:strRef>
          </c:tx>
          <c:spPr>
            <a:solidFill>
              <a:schemeClr val="accent3"/>
            </a:solidFill>
          </c:spPr>
          <c:invertIfNegative val="0"/>
          <c:cat>
            <c:numRef>
              <c:f>'KPI 111'!$E$18:$P$18</c:f>
              <c:numCache>
                <c:formatCode>mmm\-yy</c:formatCode>
                <c:ptCount val="12"/>
                <c:pt idx="0">
                  <c:v>45839</c:v>
                </c:pt>
                <c:pt idx="1">
                  <c:v>45870</c:v>
                </c:pt>
                <c:pt idx="2">
                  <c:v>45901</c:v>
                </c:pt>
                <c:pt idx="3">
                  <c:v>45931</c:v>
                </c:pt>
                <c:pt idx="4">
                  <c:v>45962</c:v>
                </c:pt>
                <c:pt idx="5">
                  <c:v>45992</c:v>
                </c:pt>
                <c:pt idx="6">
                  <c:v>46023</c:v>
                </c:pt>
                <c:pt idx="7">
                  <c:v>46054</c:v>
                </c:pt>
                <c:pt idx="8">
                  <c:v>46082</c:v>
                </c:pt>
                <c:pt idx="9">
                  <c:v>46113</c:v>
                </c:pt>
                <c:pt idx="10">
                  <c:v>46143</c:v>
                </c:pt>
                <c:pt idx="11">
                  <c:v>46174</c:v>
                </c:pt>
              </c:numCache>
            </c:numRef>
          </c:cat>
          <c:val>
            <c:numRef>
              <c:f>'KPI 111'!$E$21:$P$21</c:f>
              <c:numCache>
                <c:formatCode>0</c:formatCode>
                <c:ptCount val="12"/>
                <c:pt idx="0">
                  <c:v>78.508863864421897</c:v>
                </c:pt>
                <c:pt idx="1">
                  <c:v>81.823117950511502</c:v>
                </c:pt>
                <c:pt idx="2">
                  <c:v>79.939052459959726</c:v>
                </c:pt>
                <c:pt idx="3">
                  <c:v>80.190248857287969</c:v>
                </c:pt>
                <c:pt idx="4">
                  <c:v>81.371681810083729</c:v>
                </c:pt>
                <c:pt idx="5">
                  <c:v>77.381219494427043</c:v>
                </c:pt>
                <c:pt idx="6">
                  <c:v>82.971663100903811</c:v>
                </c:pt>
                <c:pt idx="7">
                  <c:v>82.034720999823975</c:v>
                </c:pt>
                <c:pt idx="8">
                  <c:v>82.856932215528502</c:v>
                </c:pt>
                <c:pt idx="9">
                  <c:v>124.60249363185413</c:v>
                </c:pt>
                <c:pt idx="10">
                  <c:v>126.40647556197155</c:v>
                </c:pt>
                <c:pt idx="11">
                  <c:v>127.13467469525628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FBE-42AC-A80F-BDDEF3CCA70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30364160"/>
        <c:axId val="130365696"/>
      </c:barChart>
      <c:lineChart>
        <c:grouping val="standard"/>
        <c:varyColors val="0"/>
        <c:ser>
          <c:idx val="0"/>
          <c:order val="0"/>
          <c:tx>
            <c:strRef>
              <c:f>'KPI 111'!$D$19</c:f>
              <c:strCache>
                <c:ptCount val="1"/>
                <c:pt idx="0">
                  <c:v>Budget 2025-26</c:v>
                </c:pt>
              </c:strCache>
            </c:strRef>
          </c:tx>
          <c:spPr>
            <a:ln>
              <a:solidFill>
                <a:srgbClr val="FF0000"/>
              </a:solidFill>
            </a:ln>
          </c:spPr>
          <c:marker>
            <c:symbol val="none"/>
          </c:marker>
          <c:cat>
            <c:numRef>
              <c:f>'KPI 111'!$E$18:$P$18</c:f>
              <c:numCache>
                <c:formatCode>mmm\-yy</c:formatCode>
                <c:ptCount val="12"/>
                <c:pt idx="0">
                  <c:v>45839</c:v>
                </c:pt>
                <c:pt idx="1">
                  <c:v>45870</c:v>
                </c:pt>
                <c:pt idx="2">
                  <c:v>45901</c:v>
                </c:pt>
                <c:pt idx="3">
                  <c:v>45931</c:v>
                </c:pt>
                <c:pt idx="4">
                  <c:v>45962</c:v>
                </c:pt>
                <c:pt idx="5">
                  <c:v>45992</c:v>
                </c:pt>
                <c:pt idx="6">
                  <c:v>46023</c:v>
                </c:pt>
                <c:pt idx="7">
                  <c:v>46054</c:v>
                </c:pt>
                <c:pt idx="8">
                  <c:v>46082</c:v>
                </c:pt>
                <c:pt idx="9">
                  <c:v>46113</c:v>
                </c:pt>
                <c:pt idx="10">
                  <c:v>46143</c:v>
                </c:pt>
                <c:pt idx="11">
                  <c:v>46174</c:v>
                </c:pt>
              </c:numCache>
            </c:numRef>
          </c:cat>
          <c:val>
            <c:numRef>
              <c:f>'KPI 111'!$E$19:$P$19</c:f>
              <c:numCache>
                <c:formatCode>0</c:formatCode>
                <c:ptCount val="12"/>
                <c:pt idx="0">
                  <c:v>126.77057512861391</c:v>
                </c:pt>
                <c:pt idx="1">
                  <c:v>126.77057512861391</c:v>
                </c:pt>
                <c:pt idx="2">
                  <c:v>126.77057512861391</c:v>
                </c:pt>
                <c:pt idx="3">
                  <c:v>126.77057512861391</c:v>
                </c:pt>
                <c:pt idx="4">
                  <c:v>126.77057512861391</c:v>
                </c:pt>
                <c:pt idx="5">
                  <c:v>126.77057512861391</c:v>
                </c:pt>
                <c:pt idx="6">
                  <c:v>126.77057512861391</c:v>
                </c:pt>
                <c:pt idx="7">
                  <c:v>126.77057512861391</c:v>
                </c:pt>
                <c:pt idx="8">
                  <c:v>126.77057512861391</c:v>
                </c:pt>
                <c:pt idx="9">
                  <c:v>126.77057512861391</c:v>
                </c:pt>
                <c:pt idx="10">
                  <c:v>126.77057512861391</c:v>
                </c:pt>
                <c:pt idx="11">
                  <c:v>126.77057512861391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FFBE-42AC-A80F-BDDEF3CCA70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0364160"/>
        <c:axId val="130365696"/>
      </c:lineChart>
      <c:dateAx>
        <c:axId val="130364160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crossAx val="130365696"/>
        <c:crosses val="autoZero"/>
        <c:auto val="1"/>
        <c:lblOffset val="100"/>
        <c:baseTimeUnit val="months"/>
      </c:dateAx>
      <c:valAx>
        <c:axId val="130365696"/>
        <c:scaling>
          <c:orientation val="minMax"/>
        </c:scaling>
        <c:delete val="0"/>
        <c:axPos val="l"/>
        <c:majorGridlines/>
        <c:numFmt formatCode="0" sourceLinked="1"/>
        <c:majorTickMark val="out"/>
        <c:minorTickMark val="none"/>
        <c:tickLblPos val="nextTo"/>
        <c:crossAx val="13036416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000000000000822" l="0.70000000000000062" r="0.70000000000000062" t="0.75000000000000822" header="0.30000000000000032" footer="0.30000000000000032"/>
    <c:pageSetup/>
  </c:printSettings>
</c:chartSpace>
</file>

<file path=xl/charts/chart13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1"/>
          <c:order val="1"/>
          <c:tx>
            <c:strRef>
              <c:f>'KPI 111'!$D$20</c:f>
              <c:strCache>
                <c:ptCount val="1"/>
                <c:pt idx="0">
                  <c:v>Actual 2025-26</c:v>
                </c:pt>
              </c:strCache>
            </c:strRef>
          </c:tx>
          <c:spPr>
            <a:solidFill>
              <a:schemeClr val="accent1"/>
            </a:solidFill>
          </c:spPr>
          <c:invertIfNegative val="0"/>
          <c:cat>
            <c:numRef>
              <c:f>'KPI 111'!$E$18:$P$18</c:f>
              <c:numCache>
                <c:formatCode>mmm\-yy</c:formatCode>
                <c:ptCount val="12"/>
                <c:pt idx="0">
                  <c:v>45839</c:v>
                </c:pt>
                <c:pt idx="1">
                  <c:v>45870</c:v>
                </c:pt>
                <c:pt idx="2">
                  <c:v>45901</c:v>
                </c:pt>
                <c:pt idx="3">
                  <c:v>45931</c:v>
                </c:pt>
                <c:pt idx="4">
                  <c:v>45962</c:v>
                </c:pt>
                <c:pt idx="5">
                  <c:v>45992</c:v>
                </c:pt>
                <c:pt idx="6">
                  <c:v>46023</c:v>
                </c:pt>
                <c:pt idx="7">
                  <c:v>46054</c:v>
                </c:pt>
                <c:pt idx="8">
                  <c:v>46082</c:v>
                </c:pt>
                <c:pt idx="9">
                  <c:v>46113</c:v>
                </c:pt>
                <c:pt idx="10">
                  <c:v>46143</c:v>
                </c:pt>
                <c:pt idx="11">
                  <c:v>46174</c:v>
                </c:pt>
              </c:numCache>
            </c:numRef>
          </c:cat>
          <c:val>
            <c:numRef>
              <c:f>'KPI 111'!$E$20:$P$20</c:f>
              <c:numCache>
                <c:formatCode>0</c:formatCode>
                <c:ptCount val="12"/>
                <c:pt idx="0">
                  <c:v>124.57979953739398</c:v>
                </c:pt>
                <c:pt idx="1">
                  <c:v>126.91408504906677</c:v>
                </c:pt>
                <c:pt idx="2">
                  <c:v>127.13315572271848</c:v>
                </c:pt>
                <c:pt idx="3">
                  <c:v>127.07139231159721</c:v>
                </c:pt>
                <c:pt idx="4">
                  <c:v>125.68060971286778</c:v>
                </c:pt>
                <c:pt idx="5">
                  <c:v>124.99430103922226</c:v>
                </c:pt>
                <c:pt idx="6">
                  <c:v>128.22981723437681</c:v>
                </c:pt>
                <c:pt idx="7">
                  <c:v>127.02497285559174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CED-4A5E-97C6-3A23D84226D5}"/>
            </c:ext>
          </c:extLst>
        </c:ser>
        <c:ser>
          <c:idx val="4"/>
          <c:order val="2"/>
          <c:tx>
            <c:strRef>
              <c:f>'KPI 111'!$D$21</c:f>
              <c:strCache>
                <c:ptCount val="1"/>
                <c:pt idx="0">
                  <c:v>Actual 2024-25</c:v>
                </c:pt>
              </c:strCache>
            </c:strRef>
          </c:tx>
          <c:spPr>
            <a:solidFill>
              <a:schemeClr val="accent3"/>
            </a:solidFill>
          </c:spPr>
          <c:invertIfNegative val="0"/>
          <c:cat>
            <c:numRef>
              <c:f>'KPI 111'!$E$18:$P$18</c:f>
              <c:numCache>
                <c:formatCode>mmm\-yy</c:formatCode>
                <c:ptCount val="12"/>
                <c:pt idx="0">
                  <c:v>45839</c:v>
                </c:pt>
                <c:pt idx="1">
                  <c:v>45870</c:v>
                </c:pt>
                <c:pt idx="2">
                  <c:v>45901</c:v>
                </c:pt>
                <c:pt idx="3">
                  <c:v>45931</c:v>
                </c:pt>
                <c:pt idx="4">
                  <c:v>45962</c:v>
                </c:pt>
                <c:pt idx="5">
                  <c:v>45992</c:v>
                </c:pt>
                <c:pt idx="6">
                  <c:v>46023</c:v>
                </c:pt>
                <c:pt idx="7">
                  <c:v>46054</c:v>
                </c:pt>
                <c:pt idx="8">
                  <c:v>46082</c:v>
                </c:pt>
                <c:pt idx="9">
                  <c:v>46113</c:v>
                </c:pt>
                <c:pt idx="10">
                  <c:v>46143</c:v>
                </c:pt>
                <c:pt idx="11">
                  <c:v>46174</c:v>
                </c:pt>
              </c:numCache>
            </c:numRef>
          </c:cat>
          <c:val>
            <c:numRef>
              <c:f>'KPI 111'!$E$21:$P$21</c:f>
              <c:numCache>
                <c:formatCode>0</c:formatCode>
                <c:ptCount val="12"/>
                <c:pt idx="0">
                  <c:v>78.508863864421897</c:v>
                </c:pt>
                <c:pt idx="1">
                  <c:v>81.823117950511502</c:v>
                </c:pt>
                <c:pt idx="2">
                  <c:v>79.939052459959726</c:v>
                </c:pt>
                <c:pt idx="3">
                  <c:v>80.190248857287969</c:v>
                </c:pt>
                <c:pt idx="4">
                  <c:v>81.371681810083729</c:v>
                </c:pt>
                <c:pt idx="5">
                  <c:v>77.381219494427043</c:v>
                </c:pt>
                <c:pt idx="6">
                  <c:v>82.971663100903811</c:v>
                </c:pt>
                <c:pt idx="7">
                  <c:v>82.034720999823975</c:v>
                </c:pt>
                <c:pt idx="8">
                  <c:v>82.856932215528502</c:v>
                </c:pt>
                <c:pt idx="9">
                  <c:v>124.60249363185413</c:v>
                </c:pt>
                <c:pt idx="10">
                  <c:v>126.40647556197155</c:v>
                </c:pt>
                <c:pt idx="11">
                  <c:v>127.13467469525628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CED-4A5E-97C6-3A23D84226D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30364160"/>
        <c:axId val="130365696"/>
      </c:barChart>
      <c:lineChart>
        <c:grouping val="standard"/>
        <c:varyColors val="0"/>
        <c:ser>
          <c:idx val="0"/>
          <c:order val="0"/>
          <c:tx>
            <c:strRef>
              <c:f>'KPI 111'!$D$19</c:f>
              <c:strCache>
                <c:ptCount val="1"/>
                <c:pt idx="0">
                  <c:v>Budget 2025-26</c:v>
                </c:pt>
              </c:strCache>
            </c:strRef>
          </c:tx>
          <c:spPr>
            <a:ln>
              <a:solidFill>
                <a:srgbClr val="FF0000"/>
              </a:solidFill>
            </a:ln>
          </c:spPr>
          <c:marker>
            <c:symbol val="none"/>
          </c:marker>
          <c:cat>
            <c:numRef>
              <c:f>'KPI 111'!$E$18:$P$18</c:f>
              <c:numCache>
                <c:formatCode>mmm\-yy</c:formatCode>
                <c:ptCount val="12"/>
                <c:pt idx="0">
                  <c:v>45839</c:v>
                </c:pt>
                <c:pt idx="1">
                  <c:v>45870</c:v>
                </c:pt>
                <c:pt idx="2">
                  <c:v>45901</c:v>
                </c:pt>
                <c:pt idx="3">
                  <c:v>45931</c:v>
                </c:pt>
                <c:pt idx="4">
                  <c:v>45962</c:v>
                </c:pt>
                <c:pt idx="5">
                  <c:v>45992</c:v>
                </c:pt>
                <c:pt idx="6">
                  <c:v>46023</c:v>
                </c:pt>
                <c:pt idx="7">
                  <c:v>46054</c:v>
                </c:pt>
                <c:pt idx="8">
                  <c:v>46082</c:v>
                </c:pt>
                <c:pt idx="9">
                  <c:v>46113</c:v>
                </c:pt>
                <c:pt idx="10">
                  <c:v>46143</c:v>
                </c:pt>
                <c:pt idx="11">
                  <c:v>46174</c:v>
                </c:pt>
              </c:numCache>
            </c:numRef>
          </c:cat>
          <c:val>
            <c:numRef>
              <c:f>'KPI 111'!$E$19:$P$19</c:f>
              <c:numCache>
                <c:formatCode>0</c:formatCode>
                <c:ptCount val="12"/>
                <c:pt idx="0">
                  <c:v>126.77057512861391</c:v>
                </c:pt>
                <c:pt idx="1">
                  <c:v>126.77057512861391</c:v>
                </c:pt>
                <c:pt idx="2">
                  <c:v>126.77057512861391</c:v>
                </c:pt>
                <c:pt idx="3">
                  <c:v>126.77057512861391</c:v>
                </c:pt>
                <c:pt idx="4">
                  <c:v>126.77057512861391</c:v>
                </c:pt>
                <c:pt idx="5">
                  <c:v>126.77057512861391</c:v>
                </c:pt>
                <c:pt idx="6">
                  <c:v>126.77057512861391</c:v>
                </c:pt>
                <c:pt idx="7">
                  <c:v>126.77057512861391</c:v>
                </c:pt>
                <c:pt idx="8">
                  <c:v>126.77057512861391</c:v>
                </c:pt>
                <c:pt idx="9">
                  <c:v>126.77057512861391</c:v>
                </c:pt>
                <c:pt idx="10">
                  <c:v>126.77057512861391</c:v>
                </c:pt>
                <c:pt idx="11">
                  <c:v>126.77057512861391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2CED-4A5E-97C6-3A23D84226D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0364160"/>
        <c:axId val="130365696"/>
      </c:lineChart>
      <c:dateAx>
        <c:axId val="130364160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crossAx val="130365696"/>
        <c:crosses val="autoZero"/>
        <c:auto val="1"/>
        <c:lblOffset val="100"/>
        <c:baseTimeUnit val="months"/>
      </c:dateAx>
      <c:valAx>
        <c:axId val="130365696"/>
        <c:scaling>
          <c:orientation val="minMax"/>
        </c:scaling>
        <c:delete val="0"/>
        <c:axPos val="l"/>
        <c:majorGridlines/>
        <c:numFmt formatCode="0" sourceLinked="1"/>
        <c:majorTickMark val="out"/>
        <c:minorTickMark val="none"/>
        <c:tickLblPos val="nextTo"/>
        <c:crossAx val="13036416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000000000000822" l="0.70000000000000062" r="0.70000000000000062" t="0.75000000000000822" header="0.30000000000000032" footer="0.30000000000000032"/>
    <c:pageSetup/>
  </c:printSettings>
</c:chartSpace>
</file>

<file path=xl/charts/chart14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1"/>
          <c:order val="1"/>
          <c:tx>
            <c:strRef>
              <c:f>'KPI 112'!$D$20</c:f>
              <c:strCache>
                <c:ptCount val="1"/>
                <c:pt idx="0">
                  <c:v>Actual 2025-26</c:v>
                </c:pt>
              </c:strCache>
            </c:strRef>
          </c:tx>
          <c:spPr>
            <a:solidFill>
              <a:schemeClr val="accent1"/>
            </a:solidFill>
          </c:spPr>
          <c:invertIfNegative val="0"/>
          <c:cat>
            <c:numRef>
              <c:f>'KPI 112'!$E$18:$P$18</c:f>
              <c:numCache>
                <c:formatCode>mmm\-yy</c:formatCode>
                <c:ptCount val="12"/>
                <c:pt idx="0">
                  <c:v>45839</c:v>
                </c:pt>
                <c:pt idx="1">
                  <c:v>45870</c:v>
                </c:pt>
                <c:pt idx="2">
                  <c:v>45901</c:v>
                </c:pt>
                <c:pt idx="3">
                  <c:v>45931</c:v>
                </c:pt>
                <c:pt idx="4">
                  <c:v>45962</c:v>
                </c:pt>
                <c:pt idx="5">
                  <c:v>45992</c:v>
                </c:pt>
                <c:pt idx="6">
                  <c:v>46023</c:v>
                </c:pt>
                <c:pt idx="7">
                  <c:v>46054</c:v>
                </c:pt>
                <c:pt idx="8">
                  <c:v>46082</c:v>
                </c:pt>
                <c:pt idx="9">
                  <c:v>46113</c:v>
                </c:pt>
                <c:pt idx="10">
                  <c:v>46143</c:v>
                </c:pt>
                <c:pt idx="11">
                  <c:v>46174</c:v>
                </c:pt>
              </c:numCache>
            </c:numRef>
          </c:cat>
          <c:val>
            <c:numRef>
              <c:f>'KPI 112'!$E$20:$P$20</c:f>
              <c:numCache>
                <c:formatCode>0</c:formatCode>
                <c:ptCount val="12"/>
                <c:pt idx="0">
                  <c:v>129.52372980664603</c:v>
                </c:pt>
                <c:pt idx="1">
                  <c:v>133.26089379248859</c:v>
                </c:pt>
                <c:pt idx="2">
                  <c:v>131.35343053940423</c:v>
                </c:pt>
                <c:pt idx="3">
                  <c:v>130.78923937929281</c:v>
                </c:pt>
                <c:pt idx="4">
                  <c:v>131.00940897049421</c:v>
                </c:pt>
                <c:pt idx="5">
                  <c:v>131.86279180562173</c:v>
                </c:pt>
                <c:pt idx="6">
                  <c:v>132.17274857716774</c:v>
                </c:pt>
                <c:pt idx="7">
                  <c:v>133.29191734240126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05F-4C0B-9AAF-85676A2431F1}"/>
            </c:ext>
          </c:extLst>
        </c:ser>
        <c:ser>
          <c:idx val="4"/>
          <c:order val="2"/>
          <c:tx>
            <c:strRef>
              <c:f>'KPI 112'!$D$21</c:f>
              <c:strCache>
                <c:ptCount val="1"/>
                <c:pt idx="0">
                  <c:v>Actual 2024-25</c:v>
                </c:pt>
              </c:strCache>
            </c:strRef>
          </c:tx>
          <c:spPr>
            <a:solidFill>
              <a:schemeClr val="accent3"/>
            </a:solidFill>
          </c:spPr>
          <c:invertIfNegative val="0"/>
          <c:cat>
            <c:numRef>
              <c:f>'KPI 112'!$E$18:$P$18</c:f>
              <c:numCache>
                <c:formatCode>mmm\-yy</c:formatCode>
                <c:ptCount val="12"/>
                <c:pt idx="0">
                  <c:v>45839</c:v>
                </c:pt>
                <c:pt idx="1">
                  <c:v>45870</c:v>
                </c:pt>
                <c:pt idx="2">
                  <c:v>45901</c:v>
                </c:pt>
                <c:pt idx="3">
                  <c:v>45931</c:v>
                </c:pt>
                <c:pt idx="4">
                  <c:v>45962</c:v>
                </c:pt>
                <c:pt idx="5">
                  <c:v>45992</c:v>
                </c:pt>
                <c:pt idx="6">
                  <c:v>46023</c:v>
                </c:pt>
                <c:pt idx="7">
                  <c:v>46054</c:v>
                </c:pt>
                <c:pt idx="8">
                  <c:v>46082</c:v>
                </c:pt>
                <c:pt idx="9">
                  <c:v>46113</c:v>
                </c:pt>
                <c:pt idx="10">
                  <c:v>46143</c:v>
                </c:pt>
                <c:pt idx="11">
                  <c:v>46174</c:v>
                </c:pt>
              </c:numCache>
            </c:numRef>
          </c:cat>
          <c:val>
            <c:numRef>
              <c:f>'KPI 112'!$E$21:$P$21</c:f>
              <c:numCache>
                <c:formatCode>0</c:formatCode>
                <c:ptCount val="12"/>
                <c:pt idx="0">
                  <c:v>85.134535705581285</c:v>
                </c:pt>
                <c:pt idx="1">
                  <c:v>83.333820840950636</c:v>
                </c:pt>
                <c:pt idx="2">
                  <c:v>80.866616356947461</c:v>
                </c:pt>
                <c:pt idx="3">
                  <c:v>76.912778020061054</c:v>
                </c:pt>
                <c:pt idx="4">
                  <c:v>80.495490747247601</c:v>
                </c:pt>
                <c:pt idx="5">
                  <c:v>79.680173092053508</c:v>
                </c:pt>
                <c:pt idx="6">
                  <c:v>82.783839136101278</c:v>
                </c:pt>
                <c:pt idx="7">
                  <c:v>88.883772171422279</c:v>
                </c:pt>
                <c:pt idx="8">
                  <c:v>84.804178359837849</c:v>
                </c:pt>
                <c:pt idx="9">
                  <c:v>84.917909367308525</c:v>
                </c:pt>
                <c:pt idx="10">
                  <c:v>130.77474757006701</c:v>
                </c:pt>
                <c:pt idx="11">
                  <c:v>129.85241365173721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05F-4C0B-9AAF-85676A2431F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30684800"/>
        <c:axId val="130686336"/>
      </c:barChart>
      <c:lineChart>
        <c:grouping val="standard"/>
        <c:varyColors val="0"/>
        <c:ser>
          <c:idx val="0"/>
          <c:order val="0"/>
          <c:tx>
            <c:strRef>
              <c:f>'KPI 112'!$D$19</c:f>
              <c:strCache>
                <c:ptCount val="1"/>
                <c:pt idx="0">
                  <c:v>Budget 2025-26</c:v>
                </c:pt>
              </c:strCache>
            </c:strRef>
          </c:tx>
          <c:spPr>
            <a:ln>
              <a:solidFill>
                <a:srgbClr val="FF0000"/>
              </a:solidFill>
            </a:ln>
          </c:spPr>
          <c:marker>
            <c:symbol val="none"/>
          </c:marker>
          <c:cat>
            <c:numRef>
              <c:f>'KPI 112'!$E$18:$P$18</c:f>
              <c:numCache>
                <c:formatCode>mmm\-yy</c:formatCode>
                <c:ptCount val="12"/>
                <c:pt idx="0">
                  <c:v>45839</c:v>
                </c:pt>
                <c:pt idx="1">
                  <c:v>45870</c:v>
                </c:pt>
                <c:pt idx="2">
                  <c:v>45901</c:v>
                </c:pt>
                <c:pt idx="3">
                  <c:v>45931</c:v>
                </c:pt>
                <c:pt idx="4">
                  <c:v>45962</c:v>
                </c:pt>
                <c:pt idx="5">
                  <c:v>45992</c:v>
                </c:pt>
                <c:pt idx="6">
                  <c:v>46023</c:v>
                </c:pt>
                <c:pt idx="7">
                  <c:v>46054</c:v>
                </c:pt>
                <c:pt idx="8">
                  <c:v>46082</c:v>
                </c:pt>
                <c:pt idx="9">
                  <c:v>46113</c:v>
                </c:pt>
                <c:pt idx="10">
                  <c:v>46143</c:v>
                </c:pt>
                <c:pt idx="11">
                  <c:v>46174</c:v>
                </c:pt>
              </c:numCache>
            </c:numRef>
          </c:cat>
          <c:val>
            <c:numRef>
              <c:f>'KPI 112'!$E$19:$P$19</c:f>
              <c:numCache>
                <c:formatCode>0</c:formatCode>
                <c:ptCount val="12"/>
                <c:pt idx="0">
                  <c:v>130.31358061090211</c:v>
                </c:pt>
                <c:pt idx="1">
                  <c:v>130.31358061090211</c:v>
                </c:pt>
                <c:pt idx="2">
                  <c:v>130.31358061090211</c:v>
                </c:pt>
                <c:pt idx="3">
                  <c:v>130.31358061090211</c:v>
                </c:pt>
                <c:pt idx="4">
                  <c:v>130.31358061090211</c:v>
                </c:pt>
                <c:pt idx="5">
                  <c:v>130.31358061090211</c:v>
                </c:pt>
                <c:pt idx="6">
                  <c:v>130.31358061090211</c:v>
                </c:pt>
                <c:pt idx="7">
                  <c:v>130.31358061090211</c:v>
                </c:pt>
                <c:pt idx="8">
                  <c:v>130.31358061090211</c:v>
                </c:pt>
                <c:pt idx="9">
                  <c:v>130.31358061090211</c:v>
                </c:pt>
                <c:pt idx="10">
                  <c:v>130.31358061090211</c:v>
                </c:pt>
                <c:pt idx="11">
                  <c:v>130.31358061090211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805F-4C0B-9AAF-85676A2431F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0684800"/>
        <c:axId val="130686336"/>
      </c:lineChart>
      <c:dateAx>
        <c:axId val="130684800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crossAx val="130686336"/>
        <c:crosses val="autoZero"/>
        <c:auto val="1"/>
        <c:lblOffset val="100"/>
        <c:baseTimeUnit val="months"/>
      </c:dateAx>
      <c:valAx>
        <c:axId val="130686336"/>
        <c:scaling>
          <c:orientation val="minMax"/>
        </c:scaling>
        <c:delete val="0"/>
        <c:axPos val="l"/>
        <c:majorGridlines/>
        <c:numFmt formatCode="0" sourceLinked="1"/>
        <c:majorTickMark val="out"/>
        <c:minorTickMark val="none"/>
        <c:tickLblPos val="nextTo"/>
        <c:crossAx val="13068480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000000000000822" l="0.70000000000000062" r="0.70000000000000062" t="0.75000000000000822" header="0.30000000000000032" footer="0.30000000000000032"/>
    <c:pageSetup/>
  </c:printSettings>
</c:chartSpace>
</file>

<file path=xl/charts/chart14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1"/>
          <c:order val="1"/>
          <c:tx>
            <c:strRef>
              <c:f>'KPI 112'!$D$20</c:f>
              <c:strCache>
                <c:ptCount val="1"/>
                <c:pt idx="0">
                  <c:v>Actual 2025-26</c:v>
                </c:pt>
              </c:strCache>
            </c:strRef>
          </c:tx>
          <c:spPr>
            <a:solidFill>
              <a:schemeClr val="accent1"/>
            </a:solidFill>
          </c:spPr>
          <c:invertIfNegative val="0"/>
          <c:cat>
            <c:numRef>
              <c:f>'KPI 112'!$E$18:$P$18</c:f>
              <c:numCache>
                <c:formatCode>mmm\-yy</c:formatCode>
                <c:ptCount val="12"/>
                <c:pt idx="0">
                  <c:v>45839</c:v>
                </c:pt>
                <c:pt idx="1">
                  <c:v>45870</c:v>
                </c:pt>
                <c:pt idx="2">
                  <c:v>45901</c:v>
                </c:pt>
                <c:pt idx="3">
                  <c:v>45931</c:v>
                </c:pt>
                <c:pt idx="4">
                  <c:v>45962</c:v>
                </c:pt>
                <c:pt idx="5">
                  <c:v>45992</c:v>
                </c:pt>
                <c:pt idx="6">
                  <c:v>46023</c:v>
                </c:pt>
                <c:pt idx="7">
                  <c:v>46054</c:v>
                </c:pt>
                <c:pt idx="8">
                  <c:v>46082</c:v>
                </c:pt>
                <c:pt idx="9">
                  <c:v>46113</c:v>
                </c:pt>
                <c:pt idx="10">
                  <c:v>46143</c:v>
                </c:pt>
                <c:pt idx="11">
                  <c:v>46174</c:v>
                </c:pt>
              </c:numCache>
            </c:numRef>
          </c:cat>
          <c:val>
            <c:numRef>
              <c:f>'KPI 112'!$E$20:$P$20</c:f>
              <c:numCache>
                <c:formatCode>0</c:formatCode>
                <c:ptCount val="12"/>
                <c:pt idx="0">
                  <c:v>129.52372980664603</c:v>
                </c:pt>
                <c:pt idx="1">
                  <c:v>133.26089379248859</c:v>
                </c:pt>
                <c:pt idx="2">
                  <c:v>131.35343053940423</c:v>
                </c:pt>
                <c:pt idx="3">
                  <c:v>130.78923937929281</c:v>
                </c:pt>
                <c:pt idx="4">
                  <c:v>131.00940897049421</c:v>
                </c:pt>
                <c:pt idx="5">
                  <c:v>131.86279180562173</c:v>
                </c:pt>
                <c:pt idx="6">
                  <c:v>132.17274857716774</c:v>
                </c:pt>
                <c:pt idx="7">
                  <c:v>133.29191734240126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4F9-48B7-8224-A30C75EBA01B}"/>
            </c:ext>
          </c:extLst>
        </c:ser>
        <c:ser>
          <c:idx val="4"/>
          <c:order val="2"/>
          <c:tx>
            <c:strRef>
              <c:f>'KPI 112'!$D$21</c:f>
              <c:strCache>
                <c:ptCount val="1"/>
                <c:pt idx="0">
                  <c:v>Actual 2024-25</c:v>
                </c:pt>
              </c:strCache>
            </c:strRef>
          </c:tx>
          <c:spPr>
            <a:solidFill>
              <a:schemeClr val="accent3"/>
            </a:solidFill>
          </c:spPr>
          <c:invertIfNegative val="0"/>
          <c:cat>
            <c:numRef>
              <c:f>'KPI 112'!$E$18:$P$18</c:f>
              <c:numCache>
                <c:formatCode>mmm\-yy</c:formatCode>
                <c:ptCount val="12"/>
                <c:pt idx="0">
                  <c:v>45839</c:v>
                </c:pt>
                <c:pt idx="1">
                  <c:v>45870</c:v>
                </c:pt>
                <c:pt idx="2">
                  <c:v>45901</c:v>
                </c:pt>
                <c:pt idx="3">
                  <c:v>45931</c:v>
                </c:pt>
                <c:pt idx="4">
                  <c:v>45962</c:v>
                </c:pt>
                <c:pt idx="5">
                  <c:v>45992</c:v>
                </c:pt>
                <c:pt idx="6">
                  <c:v>46023</c:v>
                </c:pt>
                <c:pt idx="7">
                  <c:v>46054</c:v>
                </c:pt>
                <c:pt idx="8">
                  <c:v>46082</c:v>
                </c:pt>
                <c:pt idx="9">
                  <c:v>46113</c:v>
                </c:pt>
                <c:pt idx="10">
                  <c:v>46143</c:v>
                </c:pt>
                <c:pt idx="11">
                  <c:v>46174</c:v>
                </c:pt>
              </c:numCache>
            </c:numRef>
          </c:cat>
          <c:val>
            <c:numRef>
              <c:f>'KPI 112'!$E$21:$P$21</c:f>
              <c:numCache>
                <c:formatCode>0</c:formatCode>
                <c:ptCount val="12"/>
                <c:pt idx="0">
                  <c:v>85.134535705581285</c:v>
                </c:pt>
                <c:pt idx="1">
                  <c:v>83.333820840950636</c:v>
                </c:pt>
                <c:pt idx="2">
                  <c:v>80.866616356947461</c:v>
                </c:pt>
                <c:pt idx="3">
                  <c:v>76.912778020061054</c:v>
                </c:pt>
                <c:pt idx="4">
                  <c:v>80.495490747247601</c:v>
                </c:pt>
                <c:pt idx="5">
                  <c:v>79.680173092053508</c:v>
                </c:pt>
                <c:pt idx="6">
                  <c:v>82.783839136101278</c:v>
                </c:pt>
                <c:pt idx="7">
                  <c:v>88.883772171422279</c:v>
                </c:pt>
                <c:pt idx="8">
                  <c:v>84.804178359837849</c:v>
                </c:pt>
                <c:pt idx="9">
                  <c:v>84.917909367308525</c:v>
                </c:pt>
                <c:pt idx="10">
                  <c:v>130.77474757006701</c:v>
                </c:pt>
                <c:pt idx="11">
                  <c:v>129.85241365173721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4F9-48B7-8224-A30C75EBA01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30684800"/>
        <c:axId val="130686336"/>
      </c:barChart>
      <c:lineChart>
        <c:grouping val="standard"/>
        <c:varyColors val="0"/>
        <c:ser>
          <c:idx val="0"/>
          <c:order val="0"/>
          <c:tx>
            <c:strRef>
              <c:f>'KPI 112'!$D$19</c:f>
              <c:strCache>
                <c:ptCount val="1"/>
                <c:pt idx="0">
                  <c:v>Budget 2025-26</c:v>
                </c:pt>
              </c:strCache>
            </c:strRef>
          </c:tx>
          <c:spPr>
            <a:ln>
              <a:solidFill>
                <a:srgbClr val="FF0000"/>
              </a:solidFill>
            </a:ln>
          </c:spPr>
          <c:marker>
            <c:symbol val="none"/>
          </c:marker>
          <c:cat>
            <c:numRef>
              <c:f>'KPI 112'!$E$18:$P$18</c:f>
              <c:numCache>
                <c:formatCode>mmm\-yy</c:formatCode>
                <c:ptCount val="12"/>
                <c:pt idx="0">
                  <c:v>45839</c:v>
                </c:pt>
                <c:pt idx="1">
                  <c:v>45870</c:v>
                </c:pt>
                <c:pt idx="2">
                  <c:v>45901</c:v>
                </c:pt>
                <c:pt idx="3">
                  <c:v>45931</c:v>
                </c:pt>
                <c:pt idx="4">
                  <c:v>45962</c:v>
                </c:pt>
                <c:pt idx="5">
                  <c:v>45992</c:v>
                </c:pt>
                <c:pt idx="6">
                  <c:v>46023</c:v>
                </c:pt>
                <c:pt idx="7">
                  <c:v>46054</c:v>
                </c:pt>
                <c:pt idx="8">
                  <c:v>46082</c:v>
                </c:pt>
                <c:pt idx="9">
                  <c:v>46113</c:v>
                </c:pt>
                <c:pt idx="10">
                  <c:v>46143</c:v>
                </c:pt>
                <c:pt idx="11">
                  <c:v>46174</c:v>
                </c:pt>
              </c:numCache>
            </c:numRef>
          </c:cat>
          <c:val>
            <c:numRef>
              <c:f>'KPI 112'!$E$19:$P$19</c:f>
              <c:numCache>
                <c:formatCode>0</c:formatCode>
                <c:ptCount val="12"/>
                <c:pt idx="0">
                  <c:v>130.31358061090211</c:v>
                </c:pt>
                <c:pt idx="1">
                  <c:v>130.31358061090211</c:v>
                </c:pt>
                <c:pt idx="2">
                  <c:v>130.31358061090211</c:v>
                </c:pt>
                <c:pt idx="3">
                  <c:v>130.31358061090211</c:v>
                </c:pt>
                <c:pt idx="4">
                  <c:v>130.31358061090211</c:v>
                </c:pt>
                <c:pt idx="5">
                  <c:v>130.31358061090211</c:v>
                </c:pt>
                <c:pt idx="6">
                  <c:v>130.31358061090211</c:v>
                </c:pt>
                <c:pt idx="7">
                  <c:v>130.31358061090211</c:v>
                </c:pt>
                <c:pt idx="8">
                  <c:v>130.31358061090211</c:v>
                </c:pt>
                <c:pt idx="9">
                  <c:v>130.31358061090211</c:v>
                </c:pt>
                <c:pt idx="10">
                  <c:v>130.31358061090211</c:v>
                </c:pt>
                <c:pt idx="11">
                  <c:v>130.31358061090211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F4F9-48B7-8224-A30C75EBA01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0684800"/>
        <c:axId val="130686336"/>
      </c:lineChart>
      <c:dateAx>
        <c:axId val="130684800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crossAx val="130686336"/>
        <c:crosses val="autoZero"/>
        <c:auto val="1"/>
        <c:lblOffset val="100"/>
        <c:baseTimeUnit val="months"/>
      </c:dateAx>
      <c:valAx>
        <c:axId val="130686336"/>
        <c:scaling>
          <c:orientation val="minMax"/>
        </c:scaling>
        <c:delete val="0"/>
        <c:axPos val="l"/>
        <c:majorGridlines/>
        <c:numFmt formatCode="0" sourceLinked="1"/>
        <c:majorTickMark val="out"/>
        <c:minorTickMark val="none"/>
        <c:tickLblPos val="nextTo"/>
        <c:crossAx val="13068480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000000000000822" l="0.70000000000000062" r="0.70000000000000062" t="0.75000000000000822" header="0.30000000000000032" footer="0.30000000000000032"/>
    <c:pageSetup/>
  </c:printSettings>
</c:chartSpace>
</file>

<file path=xl/charts/chart14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1"/>
          <c:order val="1"/>
          <c:tx>
            <c:strRef>
              <c:f>'KPI 113'!$D$20</c:f>
              <c:strCache>
                <c:ptCount val="1"/>
                <c:pt idx="0">
                  <c:v>Actual 2025-26</c:v>
                </c:pt>
              </c:strCache>
            </c:strRef>
          </c:tx>
          <c:spPr>
            <a:solidFill>
              <a:schemeClr val="accent1"/>
            </a:solidFill>
          </c:spPr>
          <c:invertIfNegative val="0"/>
          <c:cat>
            <c:numRef>
              <c:f>'KPI 113'!$E$18:$P$18</c:f>
              <c:numCache>
                <c:formatCode>mmm\-yy</c:formatCode>
                <c:ptCount val="12"/>
                <c:pt idx="0">
                  <c:v>45839</c:v>
                </c:pt>
                <c:pt idx="1">
                  <c:v>45870</c:v>
                </c:pt>
                <c:pt idx="2">
                  <c:v>45901</c:v>
                </c:pt>
                <c:pt idx="3">
                  <c:v>45931</c:v>
                </c:pt>
                <c:pt idx="4">
                  <c:v>45962</c:v>
                </c:pt>
                <c:pt idx="5">
                  <c:v>45992</c:v>
                </c:pt>
                <c:pt idx="6">
                  <c:v>46023</c:v>
                </c:pt>
                <c:pt idx="7">
                  <c:v>46054</c:v>
                </c:pt>
                <c:pt idx="8">
                  <c:v>46082</c:v>
                </c:pt>
                <c:pt idx="9">
                  <c:v>46113</c:v>
                </c:pt>
                <c:pt idx="10">
                  <c:v>46143</c:v>
                </c:pt>
                <c:pt idx="11">
                  <c:v>46174</c:v>
                </c:pt>
              </c:numCache>
            </c:numRef>
          </c:cat>
          <c:val>
            <c:numRef>
              <c:f>'KPI 113'!$E$20:$P$20</c:f>
              <c:numCache>
                <c:formatCode>0</c:formatCode>
                <c:ptCount val="12"/>
                <c:pt idx="0">
                  <c:v>124.03825342304616</c:v>
                </c:pt>
                <c:pt idx="1">
                  <c:v>128.0368718916138</c:v>
                </c:pt>
                <c:pt idx="2">
                  <c:v>125.49943967127382</c:v>
                </c:pt>
                <c:pt idx="3">
                  <c:v>126.28850340864476</c:v>
                </c:pt>
                <c:pt idx="4">
                  <c:v>125.35046178802229</c:v>
                </c:pt>
                <c:pt idx="5">
                  <c:v>124.57252110338857</c:v>
                </c:pt>
                <c:pt idx="6">
                  <c:v>126.84621327993189</c:v>
                </c:pt>
                <c:pt idx="7">
                  <c:v>126.98247973537858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9DD-45A5-8E26-9141D24D0979}"/>
            </c:ext>
          </c:extLst>
        </c:ser>
        <c:ser>
          <c:idx val="4"/>
          <c:order val="2"/>
          <c:tx>
            <c:strRef>
              <c:f>'KPI 113'!$D$21</c:f>
              <c:strCache>
                <c:ptCount val="1"/>
                <c:pt idx="0">
                  <c:v>Actual 2024-25</c:v>
                </c:pt>
              </c:strCache>
            </c:strRef>
          </c:tx>
          <c:spPr>
            <a:solidFill>
              <a:schemeClr val="accent3"/>
            </a:solidFill>
          </c:spPr>
          <c:invertIfNegative val="0"/>
          <c:cat>
            <c:numRef>
              <c:f>'KPI 113'!$E$18:$P$18</c:f>
              <c:numCache>
                <c:formatCode>mmm\-yy</c:formatCode>
                <c:ptCount val="12"/>
                <c:pt idx="0">
                  <c:v>45839</c:v>
                </c:pt>
                <c:pt idx="1">
                  <c:v>45870</c:v>
                </c:pt>
                <c:pt idx="2">
                  <c:v>45901</c:v>
                </c:pt>
                <c:pt idx="3">
                  <c:v>45931</c:v>
                </c:pt>
                <c:pt idx="4">
                  <c:v>45962</c:v>
                </c:pt>
                <c:pt idx="5">
                  <c:v>45992</c:v>
                </c:pt>
                <c:pt idx="6">
                  <c:v>46023</c:v>
                </c:pt>
                <c:pt idx="7">
                  <c:v>46054</c:v>
                </c:pt>
                <c:pt idx="8">
                  <c:v>46082</c:v>
                </c:pt>
                <c:pt idx="9">
                  <c:v>46113</c:v>
                </c:pt>
                <c:pt idx="10">
                  <c:v>46143</c:v>
                </c:pt>
                <c:pt idx="11">
                  <c:v>46174</c:v>
                </c:pt>
              </c:numCache>
            </c:numRef>
          </c:cat>
          <c:val>
            <c:numRef>
              <c:f>'KPI 113'!$E$21:$P$21</c:f>
              <c:numCache>
                <c:formatCode>0</c:formatCode>
                <c:ptCount val="12"/>
                <c:pt idx="0">
                  <c:v>77.117329040319092</c:v>
                </c:pt>
                <c:pt idx="1">
                  <c:v>77.60077570921986</c:v>
                </c:pt>
                <c:pt idx="2">
                  <c:v>76.818084047002586</c:v>
                </c:pt>
                <c:pt idx="3">
                  <c:v>75.89992287328289</c:v>
                </c:pt>
                <c:pt idx="4">
                  <c:v>77.89940239043824</c:v>
                </c:pt>
                <c:pt idx="5">
                  <c:v>76.579973602111835</c:v>
                </c:pt>
                <c:pt idx="6">
                  <c:v>76.918422687983735</c:v>
                </c:pt>
                <c:pt idx="7">
                  <c:v>77.279303845691146</c:v>
                </c:pt>
                <c:pt idx="8">
                  <c:v>76.800079574089168</c:v>
                </c:pt>
                <c:pt idx="9">
                  <c:v>76.711534881246848</c:v>
                </c:pt>
                <c:pt idx="10">
                  <c:v>125.47551513162522</c:v>
                </c:pt>
                <c:pt idx="11">
                  <c:v>124.82274818376736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9DD-45A5-8E26-9141D24D097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30731008"/>
        <c:axId val="130736896"/>
      </c:barChart>
      <c:lineChart>
        <c:grouping val="standard"/>
        <c:varyColors val="0"/>
        <c:ser>
          <c:idx val="0"/>
          <c:order val="0"/>
          <c:tx>
            <c:strRef>
              <c:f>'KPI 113'!$D$19</c:f>
              <c:strCache>
                <c:ptCount val="1"/>
                <c:pt idx="0">
                  <c:v>Budget 2025-26</c:v>
                </c:pt>
              </c:strCache>
            </c:strRef>
          </c:tx>
          <c:spPr>
            <a:ln>
              <a:solidFill>
                <a:srgbClr val="FF0000"/>
              </a:solidFill>
            </a:ln>
          </c:spPr>
          <c:marker>
            <c:symbol val="none"/>
          </c:marker>
          <c:cat>
            <c:numRef>
              <c:f>'KPI 113'!$E$18:$P$18</c:f>
              <c:numCache>
                <c:formatCode>mmm\-yy</c:formatCode>
                <c:ptCount val="12"/>
                <c:pt idx="0">
                  <c:v>45839</c:v>
                </c:pt>
                <c:pt idx="1">
                  <c:v>45870</c:v>
                </c:pt>
                <c:pt idx="2">
                  <c:v>45901</c:v>
                </c:pt>
                <c:pt idx="3">
                  <c:v>45931</c:v>
                </c:pt>
                <c:pt idx="4">
                  <c:v>45962</c:v>
                </c:pt>
                <c:pt idx="5">
                  <c:v>45992</c:v>
                </c:pt>
                <c:pt idx="6">
                  <c:v>46023</c:v>
                </c:pt>
                <c:pt idx="7">
                  <c:v>46054</c:v>
                </c:pt>
                <c:pt idx="8">
                  <c:v>46082</c:v>
                </c:pt>
                <c:pt idx="9">
                  <c:v>46113</c:v>
                </c:pt>
                <c:pt idx="10">
                  <c:v>46143</c:v>
                </c:pt>
                <c:pt idx="11">
                  <c:v>46174</c:v>
                </c:pt>
              </c:numCache>
            </c:numRef>
          </c:cat>
          <c:val>
            <c:numRef>
              <c:f>'KPI 113'!$E$19:$P$19</c:f>
              <c:numCache>
                <c:formatCode>0</c:formatCode>
                <c:ptCount val="12"/>
                <c:pt idx="0">
                  <c:v>125.17488738052683</c:v>
                </c:pt>
                <c:pt idx="1">
                  <c:v>125.17488738052683</c:v>
                </c:pt>
                <c:pt idx="2">
                  <c:v>125.17488738052683</c:v>
                </c:pt>
                <c:pt idx="3">
                  <c:v>125.17488738052683</c:v>
                </c:pt>
                <c:pt idx="4">
                  <c:v>125.17488738052683</c:v>
                </c:pt>
                <c:pt idx="5">
                  <c:v>125.17488738052683</c:v>
                </c:pt>
                <c:pt idx="6">
                  <c:v>125.17488738052683</c:v>
                </c:pt>
                <c:pt idx="7">
                  <c:v>125.17488738052683</c:v>
                </c:pt>
                <c:pt idx="8">
                  <c:v>125.17488738052683</c:v>
                </c:pt>
                <c:pt idx="9">
                  <c:v>125.17488738052683</c:v>
                </c:pt>
                <c:pt idx="10">
                  <c:v>125.17488738052683</c:v>
                </c:pt>
                <c:pt idx="11">
                  <c:v>125.17488738052683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C9DD-45A5-8E26-9141D24D097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0731008"/>
        <c:axId val="130736896"/>
      </c:lineChart>
      <c:dateAx>
        <c:axId val="130731008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crossAx val="130736896"/>
        <c:crosses val="autoZero"/>
        <c:auto val="1"/>
        <c:lblOffset val="100"/>
        <c:baseTimeUnit val="months"/>
      </c:dateAx>
      <c:valAx>
        <c:axId val="130736896"/>
        <c:scaling>
          <c:orientation val="minMax"/>
        </c:scaling>
        <c:delete val="0"/>
        <c:axPos val="l"/>
        <c:majorGridlines/>
        <c:numFmt formatCode="0" sourceLinked="1"/>
        <c:majorTickMark val="out"/>
        <c:minorTickMark val="none"/>
        <c:tickLblPos val="nextTo"/>
        <c:crossAx val="130731008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000000000000822" l="0.70000000000000062" r="0.70000000000000062" t="0.75000000000000822" header="0.30000000000000032" footer="0.30000000000000032"/>
    <c:pageSetup/>
  </c:printSettings>
</c:chartSpace>
</file>

<file path=xl/charts/chart14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1"/>
          <c:order val="1"/>
          <c:tx>
            <c:strRef>
              <c:f>'KPI 113'!$D$20</c:f>
              <c:strCache>
                <c:ptCount val="1"/>
                <c:pt idx="0">
                  <c:v>Actual 2025-26</c:v>
                </c:pt>
              </c:strCache>
            </c:strRef>
          </c:tx>
          <c:spPr>
            <a:solidFill>
              <a:schemeClr val="accent1"/>
            </a:solidFill>
          </c:spPr>
          <c:invertIfNegative val="0"/>
          <c:cat>
            <c:numRef>
              <c:f>'KPI 113'!$E$18:$P$18</c:f>
              <c:numCache>
                <c:formatCode>mmm\-yy</c:formatCode>
                <c:ptCount val="12"/>
                <c:pt idx="0">
                  <c:v>45839</c:v>
                </c:pt>
                <c:pt idx="1">
                  <c:v>45870</c:v>
                </c:pt>
                <c:pt idx="2">
                  <c:v>45901</c:v>
                </c:pt>
                <c:pt idx="3">
                  <c:v>45931</c:v>
                </c:pt>
                <c:pt idx="4">
                  <c:v>45962</c:v>
                </c:pt>
                <c:pt idx="5">
                  <c:v>45992</c:v>
                </c:pt>
                <c:pt idx="6">
                  <c:v>46023</c:v>
                </c:pt>
                <c:pt idx="7">
                  <c:v>46054</c:v>
                </c:pt>
                <c:pt idx="8">
                  <c:v>46082</c:v>
                </c:pt>
                <c:pt idx="9">
                  <c:v>46113</c:v>
                </c:pt>
                <c:pt idx="10">
                  <c:v>46143</c:v>
                </c:pt>
                <c:pt idx="11">
                  <c:v>46174</c:v>
                </c:pt>
              </c:numCache>
            </c:numRef>
          </c:cat>
          <c:val>
            <c:numRef>
              <c:f>'KPI 113'!$E$20:$P$20</c:f>
              <c:numCache>
                <c:formatCode>0</c:formatCode>
                <c:ptCount val="12"/>
                <c:pt idx="0">
                  <c:v>124.03825342304616</c:v>
                </c:pt>
                <c:pt idx="1">
                  <c:v>128.0368718916138</c:v>
                </c:pt>
                <c:pt idx="2">
                  <c:v>125.49943967127382</c:v>
                </c:pt>
                <c:pt idx="3">
                  <c:v>126.28850340864476</c:v>
                </c:pt>
                <c:pt idx="4">
                  <c:v>125.35046178802229</c:v>
                </c:pt>
                <c:pt idx="5">
                  <c:v>124.57252110338857</c:v>
                </c:pt>
                <c:pt idx="6">
                  <c:v>126.84621327993189</c:v>
                </c:pt>
                <c:pt idx="7">
                  <c:v>126.98247973537858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4B5-47B8-B5DF-72651CDAAC8A}"/>
            </c:ext>
          </c:extLst>
        </c:ser>
        <c:ser>
          <c:idx val="4"/>
          <c:order val="2"/>
          <c:tx>
            <c:strRef>
              <c:f>'KPI 113'!$D$21</c:f>
              <c:strCache>
                <c:ptCount val="1"/>
                <c:pt idx="0">
                  <c:v>Actual 2024-25</c:v>
                </c:pt>
              </c:strCache>
            </c:strRef>
          </c:tx>
          <c:spPr>
            <a:solidFill>
              <a:schemeClr val="accent3"/>
            </a:solidFill>
          </c:spPr>
          <c:invertIfNegative val="0"/>
          <c:cat>
            <c:numRef>
              <c:f>'KPI 113'!$E$18:$P$18</c:f>
              <c:numCache>
                <c:formatCode>mmm\-yy</c:formatCode>
                <c:ptCount val="12"/>
                <c:pt idx="0">
                  <c:v>45839</c:v>
                </c:pt>
                <c:pt idx="1">
                  <c:v>45870</c:v>
                </c:pt>
                <c:pt idx="2">
                  <c:v>45901</c:v>
                </c:pt>
                <c:pt idx="3">
                  <c:v>45931</c:v>
                </c:pt>
                <c:pt idx="4">
                  <c:v>45962</c:v>
                </c:pt>
                <c:pt idx="5">
                  <c:v>45992</c:v>
                </c:pt>
                <c:pt idx="6">
                  <c:v>46023</c:v>
                </c:pt>
                <c:pt idx="7">
                  <c:v>46054</c:v>
                </c:pt>
                <c:pt idx="8">
                  <c:v>46082</c:v>
                </c:pt>
                <c:pt idx="9">
                  <c:v>46113</c:v>
                </c:pt>
                <c:pt idx="10">
                  <c:v>46143</c:v>
                </c:pt>
                <c:pt idx="11">
                  <c:v>46174</c:v>
                </c:pt>
              </c:numCache>
            </c:numRef>
          </c:cat>
          <c:val>
            <c:numRef>
              <c:f>'KPI 113'!$E$21:$P$21</c:f>
              <c:numCache>
                <c:formatCode>0</c:formatCode>
                <c:ptCount val="12"/>
                <c:pt idx="0">
                  <c:v>77.117329040319092</c:v>
                </c:pt>
                <c:pt idx="1">
                  <c:v>77.60077570921986</c:v>
                </c:pt>
                <c:pt idx="2">
                  <c:v>76.818084047002586</c:v>
                </c:pt>
                <c:pt idx="3">
                  <c:v>75.89992287328289</c:v>
                </c:pt>
                <c:pt idx="4">
                  <c:v>77.89940239043824</c:v>
                </c:pt>
                <c:pt idx="5">
                  <c:v>76.579973602111835</c:v>
                </c:pt>
                <c:pt idx="6">
                  <c:v>76.918422687983735</c:v>
                </c:pt>
                <c:pt idx="7">
                  <c:v>77.279303845691146</c:v>
                </c:pt>
                <c:pt idx="8">
                  <c:v>76.800079574089168</c:v>
                </c:pt>
                <c:pt idx="9">
                  <c:v>76.711534881246848</c:v>
                </c:pt>
                <c:pt idx="10">
                  <c:v>125.47551513162522</c:v>
                </c:pt>
                <c:pt idx="11">
                  <c:v>124.82274818376736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4B5-47B8-B5DF-72651CDAAC8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30731008"/>
        <c:axId val="130736896"/>
      </c:barChart>
      <c:lineChart>
        <c:grouping val="standard"/>
        <c:varyColors val="0"/>
        <c:ser>
          <c:idx val="0"/>
          <c:order val="0"/>
          <c:tx>
            <c:strRef>
              <c:f>'KPI 113'!$D$19</c:f>
              <c:strCache>
                <c:ptCount val="1"/>
                <c:pt idx="0">
                  <c:v>Budget 2025-26</c:v>
                </c:pt>
              </c:strCache>
            </c:strRef>
          </c:tx>
          <c:spPr>
            <a:ln>
              <a:solidFill>
                <a:srgbClr val="FF0000"/>
              </a:solidFill>
            </a:ln>
          </c:spPr>
          <c:marker>
            <c:symbol val="none"/>
          </c:marker>
          <c:cat>
            <c:numRef>
              <c:f>'KPI 113'!$E$18:$P$18</c:f>
              <c:numCache>
                <c:formatCode>mmm\-yy</c:formatCode>
                <c:ptCount val="12"/>
                <c:pt idx="0">
                  <c:v>45839</c:v>
                </c:pt>
                <c:pt idx="1">
                  <c:v>45870</c:v>
                </c:pt>
                <c:pt idx="2">
                  <c:v>45901</c:v>
                </c:pt>
                <c:pt idx="3">
                  <c:v>45931</c:v>
                </c:pt>
                <c:pt idx="4">
                  <c:v>45962</c:v>
                </c:pt>
                <c:pt idx="5">
                  <c:v>45992</c:v>
                </c:pt>
                <c:pt idx="6">
                  <c:v>46023</c:v>
                </c:pt>
                <c:pt idx="7">
                  <c:v>46054</c:v>
                </c:pt>
                <c:pt idx="8">
                  <c:v>46082</c:v>
                </c:pt>
                <c:pt idx="9">
                  <c:v>46113</c:v>
                </c:pt>
                <c:pt idx="10">
                  <c:v>46143</c:v>
                </c:pt>
                <c:pt idx="11">
                  <c:v>46174</c:v>
                </c:pt>
              </c:numCache>
            </c:numRef>
          </c:cat>
          <c:val>
            <c:numRef>
              <c:f>'KPI 113'!$E$19:$P$19</c:f>
              <c:numCache>
                <c:formatCode>0</c:formatCode>
                <c:ptCount val="12"/>
                <c:pt idx="0">
                  <c:v>125.17488738052683</c:v>
                </c:pt>
                <c:pt idx="1">
                  <c:v>125.17488738052683</c:v>
                </c:pt>
                <c:pt idx="2">
                  <c:v>125.17488738052683</c:v>
                </c:pt>
                <c:pt idx="3">
                  <c:v>125.17488738052683</c:v>
                </c:pt>
                <c:pt idx="4">
                  <c:v>125.17488738052683</c:v>
                </c:pt>
                <c:pt idx="5">
                  <c:v>125.17488738052683</c:v>
                </c:pt>
                <c:pt idx="6">
                  <c:v>125.17488738052683</c:v>
                </c:pt>
                <c:pt idx="7">
                  <c:v>125.17488738052683</c:v>
                </c:pt>
                <c:pt idx="8">
                  <c:v>125.17488738052683</c:v>
                </c:pt>
                <c:pt idx="9">
                  <c:v>125.17488738052683</c:v>
                </c:pt>
                <c:pt idx="10">
                  <c:v>125.17488738052683</c:v>
                </c:pt>
                <c:pt idx="11">
                  <c:v>125.17488738052683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4B5-47B8-B5DF-72651CDAAC8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0731008"/>
        <c:axId val="130736896"/>
      </c:lineChart>
      <c:dateAx>
        <c:axId val="130731008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crossAx val="130736896"/>
        <c:crosses val="autoZero"/>
        <c:auto val="1"/>
        <c:lblOffset val="100"/>
        <c:baseTimeUnit val="months"/>
      </c:dateAx>
      <c:valAx>
        <c:axId val="130736896"/>
        <c:scaling>
          <c:orientation val="minMax"/>
        </c:scaling>
        <c:delete val="0"/>
        <c:axPos val="l"/>
        <c:majorGridlines/>
        <c:numFmt formatCode="0" sourceLinked="1"/>
        <c:majorTickMark val="out"/>
        <c:minorTickMark val="none"/>
        <c:tickLblPos val="nextTo"/>
        <c:crossAx val="130731008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000000000000822" l="0.70000000000000062" r="0.70000000000000062" t="0.75000000000000822" header="0.30000000000000032" footer="0.30000000000000032"/>
    <c:pageSetup/>
  </c:printSettings>
</c:chartSpace>
</file>

<file path=xl/charts/chart14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1"/>
          <c:order val="1"/>
          <c:tx>
            <c:strRef>
              <c:f>'KPI 114'!$D$20</c:f>
              <c:strCache>
                <c:ptCount val="1"/>
                <c:pt idx="0">
                  <c:v>Actual 2025-26</c:v>
                </c:pt>
              </c:strCache>
            </c:strRef>
          </c:tx>
          <c:spPr>
            <a:solidFill>
              <a:schemeClr val="accent1"/>
            </a:solidFill>
          </c:spPr>
          <c:invertIfNegative val="0"/>
          <c:cat>
            <c:numRef>
              <c:f>'KPI 114'!$E$18:$P$18</c:f>
              <c:numCache>
                <c:formatCode>mmm\-yy</c:formatCode>
                <c:ptCount val="12"/>
                <c:pt idx="0">
                  <c:v>45839</c:v>
                </c:pt>
                <c:pt idx="1">
                  <c:v>45870</c:v>
                </c:pt>
                <c:pt idx="2">
                  <c:v>45901</c:v>
                </c:pt>
                <c:pt idx="3">
                  <c:v>45931</c:v>
                </c:pt>
                <c:pt idx="4">
                  <c:v>45962</c:v>
                </c:pt>
                <c:pt idx="5">
                  <c:v>45992</c:v>
                </c:pt>
                <c:pt idx="6">
                  <c:v>46023</c:v>
                </c:pt>
                <c:pt idx="7">
                  <c:v>46054</c:v>
                </c:pt>
                <c:pt idx="8">
                  <c:v>46082</c:v>
                </c:pt>
                <c:pt idx="9">
                  <c:v>46113</c:v>
                </c:pt>
                <c:pt idx="10">
                  <c:v>46143</c:v>
                </c:pt>
                <c:pt idx="11">
                  <c:v>46174</c:v>
                </c:pt>
              </c:numCache>
            </c:numRef>
          </c:cat>
          <c:val>
            <c:numRef>
              <c:f>'KPI 114'!$E$20:$P$20</c:f>
              <c:numCache>
                <c:formatCode>0</c:formatCode>
                <c:ptCount val="12"/>
                <c:pt idx="0">
                  <c:v>1879087.7</c:v>
                </c:pt>
                <c:pt idx="1">
                  <c:v>2186275.2000000002</c:v>
                </c:pt>
                <c:pt idx="2">
                  <c:v>2055082.7</c:v>
                </c:pt>
                <c:pt idx="3">
                  <c:v>2107947.7000000002</c:v>
                </c:pt>
                <c:pt idx="4">
                  <c:v>1855425.2</c:v>
                </c:pt>
                <c:pt idx="5">
                  <c:v>1700500.5</c:v>
                </c:pt>
                <c:pt idx="6">
                  <c:v>2758407.7</c:v>
                </c:pt>
                <c:pt idx="7">
                  <c:v>2163125.2000000002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83C-4F56-BC20-7018756B6C84}"/>
            </c:ext>
          </c:extLst>
        </c:ser>
        <c:ser>
          <c:idx val="4"/>
          <c:order val="2"/>
          <c:tx>
            <c:strRef>
              <c:f>'KPI 114'!$D$21</c:f>
              <c:strCache>
                <c:ptCount val="1"/>
                <c:pt idx="0">
                  <c:v>Actual 2024-25</c:v>
                </c:pt>
              </c:strCache>
            </c:strRef>
          </c:tx>
          <c:spPr>
            <a:solidFill>
              <a:schemeClr val="accent3"/>
            </a:solidFill>
          </c:spPr>
          <c:invertIfNegative val="0"/>
          <c:cat>
            <c:numRef>
              <c:f>'KPI 114'!$E$18:$P$18</c:f>
              <c:numCache>
                <c:formatCode>mmm\-yy</c:formatCode>
                <c:ptCount val="12"/>
                <c:pt idx="0">
                  <c:v>45839</c:v>
                </c:pt>
                <c:pt idx="1">
                  <c:v>45870</c:v>
                </c:pt>
                <c:pt idx="2">
                  <c:v>45901</c:v>
                </c:pt>
                <c:pt idx="3">
                  <c:v>45931</c:v>
                </c:pt>
                <c:pt idx="4">
                  <c:v>45962</c:v>
                </c:pt>
                <c:pt idx="5">
                  <c:v>45992</c:v>
                </c:pt>
                <c:pt idx="6">
                  <c:v>46023</c:v>
                </c:pt>
                <c:pt idx="7">
                  <c:v>46054</c:v>
                </c:pt>
                <c:pt idx="8">
                  <c:v>46082</c:v>
                </c:pt>
                <c:pt idx="9">
                  <c:v>46113</c:v>
                </c:pt>
                <c:pt idx="10">
                  <c:v>46143</c:v>
                </c:pt>
                <c:pt idx="11">
                  <c:v>46174</c:v>
                </c:pt>
              </c:numCache>
            </c:numRef>
          </c:cat>
          <c:val>
            <c:numRef>
              <c:f>'KPI 114'!$E$21:$P$21</c:f>
              <c:numCache>
                <c:formatCode>0</c:formatCode>
                <c:ptCount val="12"/>
                <c:pt idx="0">
                  <c:v>1441805.75</c:v>
                </c:pt>
                <c:pt idx="1">
                  <c:v>1717555.7499999998</c:v>
                </c:pt>
                <c:pt idx="2">
                  <c:v>1411385.3</c:v>
                </c:pt>
                <c:pt idx="3">
                  <c:v>1634794.55</c:v>
                </c:pt>
                <c:pt idx="4">
                  <c:v>1605025.3</c:v>
                </c:pt>
                <c:pt idx="5">
                  <c:v>1194815.05</c:v>
                </c:pt>
                <c:pt idx="6">
                  <c:v>2190020.5499999998</c:v>
                </c:pt>
                <c:pt idx="7">
                  <c:v>1715172.55</c:v>
                </c:pt>
                <c:pt idx="8">
                  <c:v>1785029.05</c:v>
                </c:pt>
                <c:pt idx="9">
                  <c:v>2082507.7</c:v>
                </c:pt>
                <c:pt idx="10">
                  <c:v>2259747.7000000002</c:v>
                </c:pt>
                <c:pt idx="11">
                  <c:v>2125200.2000000002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83C-4F56-BC20-7018756B6C8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30720128"/>
        <c:axId val="130721664"/>
      </c:barChart>
      <c:lineChart>
        <c:grouping val="standard"/>
        <c:varyColors val="0"/>
        <c:ser>
          <c:idx val="0"/>
          <c:order val="0"/>
          <c:tx>
            <c:strRef>
              <c:f>'KPI 114'!$D$19</c:f>
              <c:strCache>
                <c:ptCount val="1"/>
                <c:pt idx="0">
                  <c:v>Budget 2025-26</c:v>
                </c:pt>
              </c:strCache>
            </c:strRef>
          </c:tx>
          <c:spPr>
            <a:ln>
              <a:solidFill>
                <a:srgbClr val="FF0000"/>
              </a:solidFill>
            </a:ln>
          </c:spPr>
          <c:marker>
            <c:symbol val="none"/>
          </c:marker>
          <c:cat>
            <c:numRef>
              <c:f>'KPI 114'!$E$18:$P$18</c:f>
              <c:numCache>
                <c:formatCode>mmm\-yy</c:formatCode>
                <c:ptCount val="12"/>
                <c:pt idx="0">
                  <c:v>45839</c:v>
                </c:pt>
                <c:pt idx="1">
                  <c:v>45870</c:v>
                </c:pt>
                <c:pt idx="2">
                  <c:v>45901</c:v>
                </c:pt>
                <c:pt idx="3">
                  <c:v>45931</c:v>
                </c:pt>
                <c:pt idx="4">
                  <c:v>45962</c:v>
                </c:pt>
                <c:pt idx="5">
                  <c:v>45992</c:v>
                </c:pt>
                <c:pt idx="6">
                  <c:v>46023</c:v>
                </c:pt>
                <c:pt idx="7">
                  <c:v>46054</c:v>
                </c:pt>
                <c:pt idx="8">
                  <c:v>46082</c:v>
                </c:pt>
                <c:pt idx="9">
                  <c:v>46113</c:v>
                </c:pt>
                <c:pt idx="10">
                  <c:v>46143</c:v>
                </c:pt>
                <c:pt idx="11">
                  <c:v>46174</c:v>
                </c:pt>
              </c:numCache>
            </c:numRef>
          </c:cat>
          <c:val>
            <c:numRef>
              <c:f>'KPI 114'!$E$19:$P$19</c:f>
              <c:numCache>
                <c:formatCode>0</c:formatCode>
                <c:ptCount val="12"/>
                <c:pt idx="0">
                  <c:v>1691651.722903348</c:v>
                </c:pt>
                <c:pt idx="1">
                  <c:v>1694694.4053062443</c:v>
                </c:pt>
                <c:pt idx="2">
                  <c:v>1697740.0137370352</c:v>
                </c:pt>
                <c:pt idx="3">
                  <c:v>1700788.5041692217</c:v>
                </c:pt>
                <c:pt idx="4">
                  <c:v>1703839.8334551535</c:v>
                </c:pt>
                <c:pt idx="5">
                  <c:v>1706893.9593042135</c:v>
                </c:pt>
                <c:pt idx="6">
                  <c:v>1709950.8402616431</c:v>
                </c:pt>
                <c:pt idx="7">
                  <c:v>1713010.4356879916</c:v>
                </c:pt>
                <c:pt idx="8">
                  <c:v>1716072.7057391726</c:v>
                </c:pt>
                <c:pt idx="9">
                  <c:v>1719137.6113470991</c:v>
                </c:pt>
                <c:pt idx="10">
                  <c:v>1722205.1142008854</c:v>
                </c:pt>
                <c:pt idx="11">
                  <c:v>1725275.1767285895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83C-4F56-BC20-7018756B6C8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0720128"/>
        <c:axId val="130721664"/>
      </c:lineChart>
      <c:dateAx>
        <c:axId val="130720128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crossAx val="130721664"/>
        <c:crosses val="autoZero"/>
        <c:auto val="1"/>
        <c:lblOffset val="100"/>
        <c:baseTimeUnit val="months"/>
      </c:dateAx>
      <c:valAx>
        <c:axId val="130721664"/>
        <c:scaling>
          <c:orientation val="minMax"/>
        </c:scaling>
        <c:delete val="0"/>
        <c:axPos val="l"/>
        <c:majorGridlines/>
        <c:numFmt formatCode="0" sourceLinked="1"/>
        <c:majorTickMark val="out"/>
        <c:minorTickMark val="none"/>
        <c:tickLblPos val="nextTo"/>
        <c:crossAx val="130720128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000000000000822" l="0.70000000000000062" r="0.70000000000000062" t="0.75000000000000822" header="0.30000000000000032" footer="0.30000000000000032"/>
    <c:pageSetup/>
  </c:printSettings>
</c:chartSpace>
</file>

<file path=xl/charts/chart14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1"/>
          <c:order val="1"/>
          <c:tx>
            <c:strRef>
              <c:f>'KPI 115'!$D$20</c:f>
              <c:strCache>
                <c:ptCount val="1"/>
                <c:pt idx="0">
                  <c:v>Actual 2025-26</c:v>
                </c:pt>
              </c:strCache>
            </c:strRef>
          </c:tx>
          <c:spPr>
            <a:solidFill>
              <a:schemeClr val="accent1"/>
            </a:solidFill>
          </c:spPr>
          <c:invertIfNegative val="0"/>
          <c:cat>
            <c:numRef>
              <c:f>'KPI 115'!$E$18:$P$18</c:f>
              <c:numCache>
                <c:formatCode>mmm\-yy</c:formatCode>
                <c:ptCount val="12"/>
                <c:pt idx="0">
                  <c:v>45839</c:v>
                </c:pt>
                <c:pt idx="1">
                  <c:v>45870</c:v>
                </c:pt>
                <c:pt idx="2">
                  <c:v>45901</c:v>
                </c:pt>
                <c:pt idx="3">
                  <c:v>45931</c:v>
                </c:pt>
                <c:pt idx="4">
                  <c:v>45962</c:v>
                </c:pt>
                <c:pt idx="5">
                  <c:v>45992</c:v>
                </c:pt>
                <c:pt idx="6">
                  <c:v>46023</c:v>
                </c:pt>
                <c:pt idx="7">
                  <c:v>46054</c:v>
                </c:pt>
                <c:pt idx="8">
                  <c:v>46082</c:v>
                </c:pt>
                <c:pt idx="9">
                  <c:v>46113</c:v>
                </c:pt>
                <c:pt idx="10">
                  <c:v>46143</c:v>
                </c:pt>
                <c:pt idx="11">
                  <c:v>46174</c:v>
                </c:pt>
              </c:numCache>
            </c:numRef>
          </c:cat>
          <c:val>
            <c:numRef>
              <c:f>'KPI 115'!$E$20:$P$20</c:f>
              <c:numCache>
                <c:formatCode>0</c:formatCode>
                <c:ptCount val="12"/>
                <c:pt idx="0">
                  <c:v>2298467.6</c:v>
                </c:pt>
                <c:pt idx="1">
                  <c:v>2188802.6</c:v>
                </c:pt>
                <c:pt idx="2">
                  <c:v>1957705.1</c:v>
                </c:pt>
                <c:pt idx="3">
                  <c:v>2053492.6</c:v>
                </c:pt>
                <c:pt idx="4">
                  <c:v>2035522.6</c:v>
                </c:pt>
                <c:pt idx="5">
                  <c:v>1905857.6</c:v>
                </c:pt>
                <c:pt idx="6">
                  <c:v>2170877.6</c:v>
                </c:pt>
                <c:pt idx="7">
                  <c:v>2014342.6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E76-4F32-B6FE-53DDF90F5C96}"/>
            </c:ext>
          </c:extLst>
        </c:ser>
        <c:ser>
          <c:idx val="4"/>
          <c:order val="2"/>
          <c:tx>
            <c:strRef>
              <c:f>'KPI 115'!$D$21</c:f>
              <c:strCache>
                <c:ptCount val="1"/>
                <c:pt idx="0">
                  <c:v>Actual 2024-25</c:v>
                </c:pt>
              </c:strCache>
            </c:strRef>
          </c:tx>
          <c:spPr>
            <a:solidFill>
              <a:schemeClr val="accent3"/>
            </a:solidFill>
          </c:spPr>
          <c:invertIfNegative val="0"/>
          <c:cat>
            <c:numRef>
              <c:f>'KPI 115'!$E$18:$P$18</c:f>
              <c:numCache>
                <c:formatCode>mmm\-yy</c:formatCode>
                <c:ptCount val="12"/>
                <c:pt idx="0">
                  <c:v>45839</c:v>
                </c:pt>
                <c:pt idx="1">
                  <c:v>45870</c:v>
                </c:pt>
                <c:pt idx="2">
                  <c:v>45901</c:v>
                </c:pt>
                <c:pt idx="3">
                  <c:v>45931</c:v>
                </c:pt>
                <c:pt idx="4">
                  <c:v>45962</c:v>
                </c:pt>
                <c:pt idx="5">
                  <c:v>45992</c:v>
                </c:pt>
                <c:pt idx="6">
                  <c:v>46023</c:v>
                </c:pt>
                <c:pt idx="7">
                  <c:v>46054</c:v>
                </c:pt>
                <c:pt idx="8">
                  <c:v>46082</c:v>
                </c:pt>
                <c:pt idx="9">
                  <c:v>46113</c:v>
                </c:pt>
                <c:pt idx="10">
                  <c:v>46143</c:v>
                </c:pt>
                <c:pt idx="11">
                  <c:v>46174</c:v>
                </c:pt>
              </c:numCache>
            </c:numRef>
          </c:cat>
          <c:val>
            <c:numRef>
              <c:f>'KPI 115'!$E$21:$P$21</c:f>
              <c:numCache>
                <c:formatCode>0</c:formatCode>
                <c:ptCount val="12"/>
                <c:pt idx="0">
                  <c:v>1682437.2</c:v>
                </c:pt>
                <c:pt idx="1">
                  <c:v>2133742.7000000002</c:v>
                </c:pt>
                <c:pt idx="2">
                  <c:v>1789043.45</c:v>
                </c:pt>
                <c:pt idx="3">
                  <c:v>1716374.95</c:v>
                </c:pt>
                <c:pt idx="4">
                  <c:v>1712536.2</c:v>
                </c:pt>
                <c:pt idx="5">
                  <c:v>1764648.7</c:v>
                </c:pt>
                <c:pt idx="6">
                  <c:v>1955637.2</c:v>
                </c:pt>
                <c:pt idx="7">
                  <c:v>1763817.85</c:v>
                </c:pt>
                <c:pt idx="8">
                  <c:v>1874122.1</c:v>
                </c:pt>
                <c:pt idx="9">
                  <c:v>2160182.6</c:v>
                </c:pt>
                <c:pt idx="10">
                  <c:v>2178065.1</c:v>
                </c:pt>
                <c:pt idx="11">
                  <c:v>2294902.6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E76-4F32-B6FE-53DDF90F5C9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29713664"/>
        <c:axId val="129715200"/>
      </c:barChart>
      <c:lineChart>
        <c:grouping val="standard"/>
        <c:varyColors val="0"/>
        <c:ser>
          <c:idx val="0"/>
          <c:order val="0"/>
          <c:tx>
            <c:strRef>
              <c:f>'KPI 115'!$D$19</c:f>
              <c:strCache>
                <c:ptCount val="1"/>
                <c:pt idx="0">
                  <c:v>Budget 2025-26</c:v>
                </c:pt>
              </c:strCache>
            </c:strRef>
          </c:tx>
          <c:spPr>
            <a:ln>
              <a:solidFill>
                <a:srgbClr val="FF0000"/>
              </a:solidFill>
            </a:ln>
          </c:spPr>
          <c:marker>
            <c:symbol val="none"/>
          </c:marker>
          <c:cat>
            <c:numRef>
              <c:f>'KPI 115'!$E$18:$P$18</c:f>
              <c:numCache>
                <c:formatCode>mmm\-yy</c:formatCode>
                <c:ptCount val="12"/>
                <c:pt idx="0">
                  <c:v>45839</c:v>
                </c:pt>
                <c:pt idx="1">
                  <c:v>45870</c:v>
                </c:pt>
                <c:pt idx="2">
                  <c:v>45901</c:v>
                </c:pt>
                <c:pt idx="3">
                  <c:v>45931</c:v>
                </c:pt>
                <c:pt idx="4">
                  <c:v>45962</c:v>
                </c:pt>
                <c:pt idx="5">
                  <c:v>45992</c:v>
                </c:pt>
                <c:pt idx="6">
                  <c:v>46023</c:v>
                </c:pt>
                <c:pt idx="7">
                  <c:v>46054</c:v>
                </c:pt>
                <c:pt idx="8">
                  <c:v>46082</c:v>
                </c:pt>
                <c:pt idx="9">
                  <c:v>46113</c:v>
                </c:pt>
                <c:pt idx="10">
                  <c:v>46143</c:v>
                </c:pt>
                <c:pt idx="11">
                  <c:v>46174</c:v>
                </c:pt>
              </c:numCache>
            </c:numRef>
          </c:cat>
          <c:val>
            <c:numRef>
              <c:f>'KPI 115'!$E$19:$P$19</c:f>
              <c:numCache>
                <c:formatCode>0</c:formatCode>
                <c:ptCount val="12"/>
                <c:pt idx="0">
                  <c:v>1796286.6210640594</c:v>
                </c:pt>
                <c:pt idx="1">
                  <c:v>1806883.9788652488</c:v>
                </c:pt>
                <c:pt idx="2">
                  <c:v>1817480.1977979443</c:v>
                </c:pt>
                <c:pt idx="3">
                  <c:v>1828075.2949981415</c:v>
                </c:pt>
                <c:pt idx="4">
                  <c:v>1838669.287259765</c:v>
                </c:pt>
                <c:pt idx="5">
                  <c:v>1849262.1910431692</c:v>
                </c:pt>
                <c:pt idx="6">
                  <c:v>1859854.0224833733</c:v>
                </c:pt>
                <c:pt idx="7">
                  <c:v>1870444.7973980627</c:v>
                </c:pt>
                <c:pt idx="8">
                  <c:v>1881034.5312953533</c:v>
                </c:pt>
                <c:pt idx="9">
                  <c:v>1891623.2393813224</c:v>
                </c:pt>
                <c:pt idx="10">
                  <c:v>1902210.9365673335</c:v>
                </c:pt>
                <c:pt idx="11">
                  <c:v>1912797.6374771369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CE76-4F32-B6FE-53DDF90F5C9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29713664"/>
        <c:axId val="129715200"/>
      </c:lineChart>
      <c:dateAx>
        <c:axId val="129713664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crossAx val="129715200"/>
        <c:crosses val="autoZero"/>
        <c:auto val="1"/>
        <c:lblOffset val="100"/>
        <c:baseTimeUnit val="months"/>
      </c:dateAx>
      <c:valAx>
        <c:axId val="129715200"/>
        <c:scaling>
          <c:orientation val="minMax"/>
        </c:scaling>
        <c:delete val="0"/>
        <c:axPos val="l"/>
        <c:majorGridlines/>
        <c:numFmt formatCode="0" sourceLinked="1"/>
        <c:majorTickMark val="out"/>
        <c:minorTickMark val="none"/>
        <c:tickLblPos val="nextTo"/>
        <c:crossAx val="129713664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000000000000822" l="0.70000000000000062" r="0.70000000000000062" t="0.75000000000000822" header="0.30000000000000032" footer="0.30000000000000032"/>
    <c:pageSetup/>
  </c:printSettings>
</c:chartSpace>
</file>

<file path=xl/charts/chart14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1"/>
          <c:order val="1"/>
          <c:tx>
            <c:strRef>
              <c:f>'KPI 116'!$D$20</c:f>
              <c:strCache>
                <c:ptCount val="1"/>
                <c:pt idx="0">
                  <c:v>Actual 2025-26</c:v>
                </c:pt>
              </c:strCache>
            </c:strRef>
          </c:tx>
          <c:spPr>
            <a:solidFill>
              <a:schemeClr val="accent1"/>
            </a:solidFill>
          </c:spPr>
          <c:invertIfNegative val="0"/>
          <c:cat>
            <c:numRef>
              <c:f>'KPI 116'!$E$18:$P$18</c:f>
              <c:numCache>
                <c:formatCode>mmm\-yy</c:formatCode>
                <c:ptCount val="12"/>
                <c:pt idx="0">
                  <c:v>45839</c:v>
                </c:pt>
                <c:pt idx="1">
                  <c:v>45870</c:v>
                </c:pt>
                <c:pt idx="2">
                  <c:v>45901</c:v>
                </c:pt>
                <c:pt idx="3">
                  <c:v>45931</c:v>
                </c:pt>
                <c:pt idx="4">
                  <c:v>45962</c:v>
                </c:pt>
                <c:pt idx="5">
                  <c:v>45992</c:v>
                </c:pt>
                <c:pt idx="6">
                  <c:v>46023</c:v>
                </c:pt>
                <c:pt idx="7">
                  <c:v>46054</c:v>
                </c:pt>
                <c:pt idx="8">
                  <c:v>46082</c:v>
                </c:pt>
                <c:pt idx="9">
                  <c:v>46113</c:v>
                </c:pt>
                <c:pt idx="10">
                  <c:v>46143</c:v>
                </c:pt>
                <c:pt idx="11">
                  <c:v>46174</c:v>
                </c:pt>
              </c:numCache>
            </c:numRef>
          </c:cat>
          <c:val>
            <c:numRef>
              <c:f>'KPI 116'!$E$20:$P$20</c:f>
              <c:numCache>
                <c:formatCode>0</c:formatCode>
                <c:ptCount val="12"/>
                <c:pt idx="0">
                  <c:v>410922.5</c:v>
                </c:pt>
                <c:pt idx="1">
                  <c:v>498605</c:v>
                </c:pt>
                <c:pt idx="2">
                  <c:v>519187.5</c:v>
                </c:pt>
                <c:pt idx="3">
                  <c:v>506627.5</c:v>
                </c:pt>
                <c:pt idx="4">
                  <c:v>451342.5</c:v>
                </c:pt>
                <c:pt idx="5">
                  <c:v>407750</c:v>
                </c:pt>
                <c:pt idx="6">
                  <c:v>628212.5</c:v>
                </c:pt>
                <c:pt idx="7">
                  <c:v>496112.5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AE8-41F4-87BF-D5201628E247}"/>
            </c:ext>
          </c:extLst>
        </c:ser>
        <c:ser>
          <c:idx val="4"/>
          <c:order val="2"/>
          <c:tx>
            <c:strRef>
              <c:f>'KPI 116'!$D$21</c:f>
              <c:strCache>
                <c:ptCount val="1"/>
                <c:pt idx="0">
                  <c:v>Actual 2024-25</c:v>
                </c:pt>
              </c:strCache>
            </c:strRef>
          </c:tx>
          <c:spPr>
            <a:solidFill>
              <a:schemeClr val="accent3"/>
            </a:solidFill>
          </c:spPr>
          <c:invertIfNegative val="0"/>
          <c:cat>
            <c:numRef>
              <c:f>'KPI 116'!$E$18:$P$18</c:f>
              <c:numCache>
                <c:formatCode>mmm\-yy</c:formatCode>
                <c:ptCount val="12"/>
                <c:pt idx="0">
                  <c:v>45839</c:v>
                </c:pt>
                <c:pt idx="1">
                  <c:v>45870</c:v>
                </c:pt>
                <c:pt idx="2">
                  <c:v>45901</c:v>
                </c:pt>
                <c:pt idx="3">
                  <c:v>45931</c:v>
                </c:pt>
                <c:pt idx="4">
                  <c:v>45962</c:v>
                </c:pt>
                <c:pt idx="5">
                  <c:v>45992</c:v>
                </c:pt>
                <c:pt idx="6">
                  <c:v>46023</c:v>
                </c:pt>
                <c:pt idx="7">
                  <c:v>46054</c:v>
                </c:pt>
                <c:pt idx="8">
                  <c:v>46082</c:v>
                </c:pt>
                <c:pt idx="9">
                  <c:v>46113</c:v>
                </c:pt>
                <c:pt idx="10">
                  <c:v>46143</c:v>
                </c:pt>
                <c:pt idx="11">
                  <c:v>46174</c:v>
                </c:pt>
              </c:numCache>
            </c:numRef>
          </c:cat>
          <c:val>
            <c:numRef>
              <c:f>'KPI 116'!$E$21:$P$21</c:f>
              <c:numCache>
                <c:formatCode>0</c:formatCode>
                <c:ptCount val="12"/>
                <c:pt idx="0">
                  <c:v>276781.5</c:v>
                </c:pt>
                <c:pt idx="1">
                  <c:v>367548.25</c:v>
                </c:pt>
                <c:pt idx="2">
                  <c:v>313322.25</c:v>
                </c:pt>
                <c:pt idx="3">
                  <c:v>304947.5</c:v>
                </c:pt>
                <c:pt idx="4">
                  <c:v>352755.25</c:v>
                </c:pt>
                <c:pt idx="5">
                  <c:v>254609</c:v>
                </c:pt>
                <c:pt idx="6">
                  <c:v>399086</c:v>
                </c:pt>
                <c:pt idx="7">
                  <c:v>364406.75</c:v>
                </c:pt>
                <c:pt idx="8">
                  <c:v>389054.25</c:v>
                </c:pt>
                <c:pt idx="9">
                  <c:v>479920</c:v>
                </c:pt>
                <c:pt idx="10">
                  <c:v>512235</c:v>
                </c:pt>
                <c:pt idx="11">
                  <c:v>527542.5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AE8-41F4-87BF-D5201628E24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31676800"/>
        <c:axId val="131694976"/>
      </c:barChart>
      <c:lineChart>
        <c:grouping val="standard"/>
        <c:varyColors val="0"/>
        <c:ser>
          <c:idx val="0"/>
          <c:order val="0"/>
          <c:tx>
            <c:strRef>
              <c:f>'KPI 116'!$D$19</c:f>
              <c:strCache>
                <c:ptCount val="1"/>
                <c:pt idx="0">
                  <c:v>Budget 2025-26</c:v>
                </c:pt>
              </c:strCache>
            </c:strRef>
          </c:tx>
          <c:spPr>
            <a:ln>
              <a:solidFill>
                <a:srgbClr val="FF0000"/>
              </a:solidFill>
            </a:ln>
          </c:spPr>
          <c:marker>
            <c:symbol val="none"/>
          </c:marker>
          <c:cat>
            <c:numRef>
              <c:f>'KPI 116'!$E$18:$P$18</c:f>
              <c:numCache>
                <c:formatCode>mmm\-yy</c:formatCode>
                <c:ptCount val="12"/>
                <c:pt idx="0">
                  <c:v>45839</c:v>
                </c:pt>
                <c:pt idx="1">
                  <c:v>45870</c:v>
                </c:pt>
                <c:pt idx="2">
                  <c:v>45901</c:v>
                </c:pt>
                <c:pt idx="3">
                  <c:v>45931</c:v>
                </c:pt>
                <c:pt idx="4">
                  <c:v>45962</c:v>
                </c:pt>
                <c:pt idx="5">
                  <c:v>45992</c:v>
                </c:pt>
                <c:pt idx="6">
                  <c:v>46023</c:v>
                </c:pt>
                <c:pt idx="7">
                  <c:v>46054</c:v>
                </c:pt>
                <c:pt idx="8">
                  <c:v>46082</c:v>
                </c:pt>
                <c:pt idx="9">
                  <c:v>46113</c:v>
                </c:pt>
                <c:pt idx="10">
                  <c:v>46143</c:v>
                </c:pt>
                <c:pt idx="11">
                  <c:v>46174</c:v>
                </c:pt>
              </c:numCache>
            </c:numRef>
          </c:cat>
          <c:val>
            <c:numRef>
              <c:f>'KPI 116'!$E$19:$P$19</c:f>
              <c:numCache>
                <c:formatCode>0</c:formatCode>
                <c:ptCount val="12"/>
                <c:pt idx="0">
                  <c:v>486956.78858548333</c:v>
                </c:pt>
                <c:pt idx="1">
                  <c:v>493558.23612630012</c:v>
                </c:pt>
                <c:pt idx="2">
                  <c:v>500157.22584239591</c:v>
                </c:pt>
                <c:pt idx="3">
                  <c:v>506753.79471544962</c:v>
                </c:pt>
                <c:pt idx="4">
                  <c:v>513347.97898891487</c:v>
                </c:pt>
                <c:pt idx="5">
                  <c:v>519939.81418635079</c:v>
                </c:pt>
                <c:pt idx="6">
                  <c:v>526529.33512920677</c:v>
                </c:pt>
                <c:pt idx="7">
                  <c:v>533116.57595408289</c:v>
                </c:pt>
                <c:pt idx="8">
                  <c:v>539701.57012948545</c:v>
                </c:pt>
                <c:pt idx="9">
                  <c:v>546284.35047208972</c:v>
                </c:pt>
                <c:pt idx="10">
                  <c:v>552864.94916253351</c:v>
                </c:pt>
                <c:pt idx="11">
                  <c:v>559443.39776075142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0AE8-41F4-87BF-D5201628E24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1676800"/>
        <c:axId val="131694976"/>
      </c:lineChart>
      <c:dateAx>
        <c:axId val="131676800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crossAx val="131694976"/>
        <c:crosses val="autoZero"/>
        <c:auto val="1"/>
        <c:lblOffset val="100"/>
        <c:baseTimeUnit val="months"/>
      </c:dateAx>
      <c:valAx>
        <c:axId val="131694976"/>
        <c:scaling>
          <c:orientation val="minMax"/>
        </c:scaling>
        <c:delete val="0"/>
        <c:axPos val="l"/>
        <c:majorGridlines/>
        <c:numFmt formatCode="0" sourceLinked="1"/>
        <c:majorTickMark val="out"/>
        <c:minorTickMark val="none"/>
        <c:tickLblPos val="nextTo"/>
        <c:crossAx val="13167680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000000000000822" l="0.70000000000000062" r="0.70000000000000062" t="0.75000000000000822" header="0.30000000000000032" footer="0.30000000000000032"/>
    <c:pageSetup/>
  </c:printSettings>
</c:chartSpace>
</file>

<file path=xl/charts/chart14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1"/>
          <c:order val="1"/>
          <c:tx>
            <c:strRef>
              <c:f>'KPI 117'!$D$20</c:f>
              <c:strCache>
                <c:ptCount val="1"/>
                <c:pt idx="0">
                  <c:v>Actual 2025-26</c:v>
                </c:pt>
              </c:strCache>
            </c:strRef>
          </c:tx>
          <c:spPr>
            <a:solidFill>
              <a:schemeClr val="accent1"/>
            </a:solidFill>
          </c:spPr>
          <c:invertIfNegative val="0"/>
          <c:cat>
            <c:numRef>
              <c:f>'KPI 117'!$E$18:$P$18</c:f>
              <c:numCache>
                <c:formatCode>mmm\-yy</c:formatCode>
                <c:ptCount val="12"/>
                <c:pt idx="0">
                  <c:v>45839</c:v>
                </c:pt>
                <c:pt idx="1">
                  <c:v>45870</c:v>
                </c:pt>
                <c:pt idx="2">
                  <c:v>45901</c:v>
                </c:pt>
                <c:pt idx="3">
                  <c:v>45931</c:v>
                </c:pt>
                <c:pt idx="4">
                  <c:v>45962</c:v>
                </c:pt>
                <c:pt idx="5">
                  <c:v>45992</c:v>
                </c:pt>
                <c:pt idx="6">
                  <c:v>46023</c:v>
                </c:pt>
                <c:pt idx="7">
                  <c:v>46054</c:v>
                </c:pt>
                <c:pt idx="8">
                  <c:v>46082</c:v>
                </c:pt>
                <c:pt idx="9">
                  <c:v>46113</c:v>
                </c:pt>
                <c:pt idx="10">
                  <c:v>46143</c:v>
                </c:pt>
                <c:pt idx="11">
                  <c:v>46174</c:v>
                </c:pt>
              </c:numCache>
            </c:numRef>
          </c:cat>
          <c:val>
            <c:numRef>
              <c:f>'KPI 117'!$E$20:$P$20</c:f>
              <c:numCache>
                <c:formatCode>0</c:formatCode>
                <c:ptCount val="12"/>
                <c:pt idx="0">
                  <c:v>514120.7</c:v>
                </c:pt>
                <c:pt idx="1">
                  <c:v>573548.19999999995</c:v>
                </c:pt>
                <c:pt idx="2">
                  <c:v>603948.19999999995</c:v>
                </c:pt>
                <c:pt idx="3">
                  <c:v>602835.69999999995</c:v>
                </c:pt>
                <c:pt idx="4">
                  <c:v>528985.69999999995</c:v>
                </c:pt>
                <c:pt idx="5">
                  <c:v>450343.2</c:v>
                </c:pt>
                <c:pt idx="6">
                  <c:v>694193.2</c:v>
                </c:pt>
                <c:pt idx="7">
                  <c:v>555623.19999999995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8B3-4196-BEBB-5C9A35A3DA1C}"/>
            </c:ext>
          </c:extLst>
        </c:ser>
        <c:ser>
          <c:idx val="4"/>
          <c:order val="2"/>
          <c:tx>
            <c:strRef>
              <c:f>'KPI 117'!$D$21</c:f>
              <c:strCache>
                <c:ptCount val="1"/>
                <c:pt idx="0">
                  <c:v>Actual 2024-25</c:v>
                </c:pt>
              </c:strCache>
            </c:strRef>
          </c:tx>
          <c:spPr>
            <a:solidFill>
              <a:schemeClr val="accent3"/>
            </a:solidFill>
          </c:spPr>
          <c:invertIfNegative val="0"/>
          <c:cat>
            <c:numRef>
              <c:f>'KPI 117'!$E$18:$P$18</c:f>
              <c:numCache>
                <c:formatCode>mmm\-yy</c:formatCode>
                <c:ptCount val="12"/>
                <c:pt idx="0">
                  <c:v>45839</c:v>
                </c:pt>
                <c:pt idx="1">
                  <c:v>45870</c:v>
                </c:pt>
                <c:pt idx="2">
                  <c:v>45901</c:v>
                </c:pt>
                <c:pt idx="3">
                  <c:v>45931</c:v>
                </c:pt>
                <c:pt idx="4">
                  <c:v>45962</c:v>
                </c:pt>
                <c:pt idx="5">
                  <c:v>45992</c:v>
                </c:pt>
                <c:pt idx="6">
                  <c:v>46023</c:v>
                </c:pt>
                <c:pt idx="7">
                  <c:v>46054</c:v>
                </c:pt>
                <c:pt idx="8">
                  <c:v>46082</c:v>
                </c:pt>
                <c:pt idx="9">
                  <c:v>46113</c:v>
                </c:pt>
                <c:pt idx="10">
                  <c:v>46143</c:v>
                </c:pt>
                <c:pt idx="11">
                  <c:v>46174</c:v>
                </c:pt>
              </c:numCache>
            </c:numRef>
          </c:cat>
          <c:val>
            <c:numRef>
              <c:f>'KPI 117'!$E$21:$P$21</c:f>
              <c:numCache>
                <c:formatCode>0</c:formatCode>
                <c:ptCount val="12"/>
                <c:pt idx="0">
                  <c:v>349643.55</c:v>
                </c:pt>
                <c:pt idx="1">
                  <c:v>363926.05</c:v>
                </c:pt>
                <c:pt idx="2">
                  <c:v>345124.3</c:v>
                </c:pt>
                <c:pt idx="3">
                  <c:v>358520.05</c:v>
                </c:pt>
                <c:pt idx="4">
                  <c:v>352542.55</c:v>
                </c:pt>
                <c:pt idx="5">
                  <c:v>288917.8</c:v>
                </c:pt>
                <c:pt idx="6">
                  <c:v>434046.8</c:v>
                </c:pt>
                <c:pt idx="7">
                  <c:v>348356.55</c:v>
                </c:pt>
                <c:pt idx="8">
                  <c:v>408688.8</c:v>
                </c:pt>
                <c:pt idx="9">
                  <c:v>553820.69999999995</c:v>
                </c:pt>
                <c:pt idx="10">
                  <c:v>559153.19999999995</c:v>
                </c:pt>
                <c:pt idx="11">
                  <c:v>589243.19999999995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8B3-4196-BEBB-5C9A35A3DA1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31174400"/>
        <c:axId val="131175936"/>
      </c:barChart>
      <c:lineChart>
        <c:grouping val="standard"/>
        <c:varyColors val="0"/>
        <c:ser>
          <c:idx val="0"/>
          <c:order val="0"/>
          <c:tx>
            <c:strRef>
              <c:f>'KPI 117'!$D$19</c:f>
              <c:strCache>
                <c:ptCount val="1"/>
                <c:pt idx="0">
                  <c:v>Budget 2025-26</c:v>
                </c:pt>
              </c:strCache>
            </c:strRef>
          </c:tx>
          <c:spPr>
            <a:ln>
              <a:solidFill>
                <a:srgbClr val="FF0000"/>
              </a:solidFill>
            </a:ln>
          </c:spPr>
          <c:marker>
            <c:symbol val="none"/>
          </c:marker>
          <c:cat>
            <c:numRef>
              <c:f>'KPI 117'!$E$18:$P$18</c:f>
              <c:numCache>
                <c:formatCode>mmm\-yy</c:formatCode>
                <c:ptCount val="12"/>
                <c:pt idx="0">
                  <c:v>45839</c:v>
                </c:pt>
                <c:pt idx="1">
                  <c:v>45870</c:v>
                </c:pt>
                <c:pt idx="2">
                  <c:v>45901</c:v>
                </c:pt>
                <c:pt idx="3">
                  <c:v>45931</c:v>
                </c:pt>
                <c:pt idx="4">
                  <c:v>45962</c:v>
                </c:pt>
                <c:pt idx="5">
                  <c:v>45992</c:v>
                </c:pt>
                <c:pt idx="6">
                  <c:v>46023</c:v>
                </c:pt>
                <c:pt idx="7">
                  <c:v>46054</c:v>
                </c:pt>
                <c:pt idx="8">
                  <c:v>46082</c:v>
                </c:pt>
                <c:pt idx="9">
                  <c:v>46113</c:v>
                </c:pt>
                <c:pt idx="10">
                  <c:v>46143</c:v>
                </c:pt>
                <c:pt idx="11">
                  <c:v>46174</c:v>
                </c:pt>
              </c:numCache>
            </c:numRef>
          </c:cat>
          <c:val>
            <c:numRef>
              <c:f>'KPI 117'!$E$19:$P$19</c:f>
              <c:numCache>
                <c:formatCode>0</c:formatCode>
                <c:ptCount val="12"/>
                <c:pt idx="0">
                  <c:v>525759.16892081895</c:v>
                </c:pt>
                <c:pt idx="1">
                  <c:v>526925.09022857412</c:v>
                </c:pt>
                <c:pt idx="2">
                  <c:v>528091.79397794453</c:v>
                </c:pt>
                <c:pt idx="3">
                  <c:v>529259.26839591714</c:v>
                </c:pt>
                <c:pt idx="4">
                  <c:v>530427.50194448896</c:v>
                </c:pt>
                <c:pt idx="5">
                  <c:v>531596.48331483477</c:v>
                </c:pt>
                <c:pt idx="6">
                  <c:v>532766.20142164396</c:v>
                </c:pt>
                <c:pt idx="7">
                  <c:v>533936.64539762505</c:v>
                </c:pt>
                <c:pt idx="8">
                  <c:v>535107.80458817352</c:v>
                </c:pt>
                <c:pt idx="9">
                  <c:v>536279.66854619177</c:v>
                </c:pt>
                <c:pt idx="10">
                  <c:v>537452.22702706465</c:v>
                </c:pt>
                <c:pt idx="11">
                  <c:v>538625.46998377517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48B3-4196-BEBB-5C9A35A3DA1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1174400"/>
        <c:axId val="131175936"/>
      </c:lineChart>
      <c:dateAx>
        <c:axId val="131174400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crossAx val="131175936"/>
        <c:crosses val="autoZero"/>
        <c:auto val="1"/>
        <c:lblOffset val="100"/>
        <c:baseTimeUnit val="months"/>
      </c:dateAx>
      <c:valAx>
        <c:axId val="131175936"/>
        <c:scaling>
          <c:orientation val="minMax"/>
        </c:scaling>
        <c:delete val="0"/>
        <c:axPos val="l"/>
        <c:majorGridlines/>
        <c:numFmt formatCode="0" sourceLinked="1"/>
        <c:majorTickMark val="out"/>
        <c:minorTickMark val="none"/>
        <c:tickLblPos val="nextTo"/>
        <c:crossAx val="13117440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000000000000822" l="0.70000000000000062" r="0.70000000000000062" t="0.75000000000000822" header="0.30000000000000032" footer="0.30000000000000032"/>
    <c:pageSetup/>
  </c:printSettings>
</c:chartSpace>
</file>

<file path=xl/charts/chart14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1"/>
          <c:order val="1"/>
          <c:tx>
            <c:strRef>
              <c:f>'KPI 118'!$D$20</c:f>
              <c:strCache>
                <c:ptCount val="1"/>
                <c:pt idx="0">
                  <c:v>Actual 2025-26</c:v>
                </c:pt>
              </c:strCache>
            </c:strRef>
          </c:tx>
          <c:spPr>
            <a:solidFill>
              <a:schemeClr val="accent1"/>
            </a:solidFill>
          </c:spPr>
          <c:invertIfNegative val="0"/>
          <c:cat>
            <c:numRef>
              <c:f>'KPI 118'!$E$18:$P$18</c:f>
              <c:numCache>
                <c:formatCode>mmm\-yy</c:formatCode>
                <c:ptCount val="12"/>
                <c:pt idx="0">
                  <c:v>45839</c:v>
                </c:pt>
                <c:pt idx="1">
                  <c:v>45870</c:v>
                </c:pt>
                <c:pt idx="2">
                  <c:v>45901</c:v>
                </c:pt>
                <c:pt idx="3">
                  <c:v>45931</c:v>
                </c:pt>
                <c:pt idx="4">
                  <c:v>45962</c:v>
                </c:pt>
                <c:pt idx="5">
                  <c:v>45992</c:v>
                </c:pt>
                <c:pt idx="6">
                  <c:v>46023</c:v>
                </c:pt>
                <c:pt idx="7">
                  <c:v>46054</c:v>
                </c:pt>
                <c:pt idx="8">
                  <c:v>46082</c:v>
                </c:pt>
                <c:pt idx="9">
                  <c:v>46113</c:v>
                </c:pt>
                <c:pt idx="10">
                  <c:v>46143</c:v>
                </c:pt>
                <c:pt idx="11">
                  <c:v>46174</c:v>
                </c:pt>
              </c:numCache>
            </c:numRef>
          </c:cat>
          <c:val>
            <c:numRef>
              <c:f>'KPI 118'!$E$20:$P$20</c:f>
              <c:numCache>
                <c:formatCode>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5A1-4D98-A6C7-7F17502C9A0A}"/>
            </c:ext>
          </c:extLst>
        </c:ser>
        <c:ser>
          <c:idx val="4"/>
          <c:order val="2"/>
          <c:tx>
            <c:strRef>
              <c:f>'KPI 118'!$D$21</c:f>
              <c:strCache>
                <c:ptCount val="1"/>
                <c:pt idx="0">
                  <c:v>Actual 2024-25</c:v>
                </c:pt>
              </c:strCache>
            </c:strRef>
          </c:tx>
          <c:spPr>
            <a:solidFill>
              <a:schemeClr val="accent3"/>
            </a:solidFill>
          </c:spPr>
          <c:invertIfNegative val="0"/>
          <c:cat>
            <c:numRef>
              <c:f>'KPI 118'!$E$18:$P$18</c:f>
              <c:numCache>
                <c:formatCode>mmm\-yy</c:formatCode>
                <c:ptCount val="12"/>
                <c:pt idx="0">
                  <c:v>45839</c:v>
                </c:pt>
                <c:pt idx="1">
                  <c:v>45870</c:v>
                </c:pt>
                <c:pt idx="2">
                  <c:v>45901</c:v>
                </c:pt>
                <c:pt idx="3">
                  <c:v>45931</c:v>
                </c:pt>
                <c:pt idx="4">
                  <c:v>45962</c:v>
                </c:pt>
                <c:pt idx="5">
                  <c:v>45992</c:v>
                </c:pt>
                <c:pt idx="6">
                  <c:v>46023</c:v>
                </c:pt>
                <c:pt idx="7">
                  <c:v>46054</c:v>
                </c:pt>
                <c:pt idx="8">
                  <c:v>46082</c:v>
                </c:pt>
                <c:pt idx="9">
                  <c:v>46113</c:v>
                </c:pt>
                <c:pt idx="10">
                  <c:v>46143</c:v>
                </c:pt>
                <c:pt idx="11">
                  <c:v>46174</c:v>
                </c:pt>
              </c:numCache>
            </c:numRef>
          </c:cat>
          <c:val>
            <c:numRef>
              <c:f>'KPI 118'!$E$21:$P$21</c:f>
              <c:numCache>
                <c:formatCode>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5A1-4D98-A6C7-7F17502C9A0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31085440"/>
        <c:axId val="131086976"/>
      </c:barChart>
      <c:lineChart>
        <c:grouping val="standard"/>
        <c:varyColors val="0"/>
        <c:ser>
          <c:idx val="0"/>
          <c:order val="0"/>
          <c:tx>
            <c:strRef>
              <c:f>'KPI 118'!$D$19</c:f>
              <c:strCache>
                <c:ptCount val="1"/>
                <c:pt idx="0">
                  <c:v>Budget 2025-26</c:v>
                </c:pt>
              </c:strCache>
            </c:strRef>
          </c:tx>
          <c:spPr>
            <a:ln>
              <a:solidFill>
                <a:srgbClr val="FF0000"/>
              </a:solidFill>
            </a:ln>
          </c:spPr>
          <c:marker>
            <c:symbol val="none"/>
          </c:marker>
          <c:cat>
            <c:numRef>
              <c:f>'KPI 118'!$E$18:$P$18</c:f>
              <c:numCache>
                <c:formatCode>mmm\-yy</c:formatCode>
                <c:ptCount val="12"/>
                <c:pt idx="0">
                  <c:v>45839</c:v>
                </c:pt>
                <c:pt idx="1">
                  <c:v>45870</c:v>
                </c:pt>
                <c:pt idx="2">
                  <c:v>45901</c:v>
                </c:pt>
                <c:pt idx="3">
                  <c:v>45931</c:v>
                </c:pt>
                <c:pt idx="4">
                  <c:v>45962</c:v>
                </c:pt>
                <c:pt idx="5">
                  <c:v>45992</c:v>
                </c:pt>
                <c:pt idx="6">
                  <c:v>46023</c:v>
                </c:pt>
                <c:pt idx="7">
                  <c:v>46054</c:v>
                </c:pt>
                <c:pt idx="8">
                  <c:v>46082</c:v>
                </c:pt>
                <c:pt idx="9">
                  <c:v>46113</c:v>
                </c:pt>
                <c:pt idx="10">
                  <c:v>46143</c:v>
                </c:pt>
                <c:pt idx="11">
                  <c:v>46174</c:v>
                </c:pt>
              </c:numCache>
            </c:numRef>
          </c:cat>
          <c:val>
            <c:numRef>
              <c:f>'KPI 118'!$E$19:$P$19</c:f>
              <c:numCache>
                <c:formatCode>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E5A1-4D98-A6C7-7F17502C9A0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1085440"/>
        <c:axId val="131086976"/>
      </c:lineChart>
      <c:dateAx>
        <c:axId val="131085440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crossAx val="131086976"/>
        <c:crosses val="autoZero"/>
        <c:auto val="1"/>
        <c:lblOffset val="100"/>
        <c:baseTimeUnit val="months"/>
      </c:dateAx>
      <c:valAx>
        <c:axId val="131086976"/>
        <c:scaling>
          <c:orientation val="minMax"/>
        </c:scaling>
        <c:delete val="0"/>
        <c:axPos val="l"/>
        <c:majorGridlines/>
        <c:numFmt formatCode="0" sourceLinked="1"/>
        <c:majorTickMark val="out"/>
        <c:minorTickMark val="none"/>
        <c:tickLblPos val="nextTo"/>
        <c:crossAx val="13108544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000000000000822" l="0.70000000000000062" r="0.70000000000000062" t="0.75000000000000822" header="0.30000000000000032" footer="0.30000000000000032"/>
    <c:pageSetup/>
  </c:printSettings>
</c:chartSpace>
</file>

<file path=xl/charts/chart14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1"/>
          <c:order val="1"/>
          <c:tx>
            <c:strRef>
              <c:f>'KPI 119'!$D$20</c:f>
              <c:strCache>
                <c:ptCount val="1"/>
                <c:pt idx="0">
                  <c:v>Actual 2025-26</c:v>
                </c:pt>
              </c:strCache>
            </c:strRef>
          </c:tx>
          <c:spPr>
            <a:solidFill>
              <a:schemeClr val="accent1"/>
            </a:solidFill>
          </c:spPr>
          <c:invertIfNegative val="0"/>
          <c:cat>
            <c:numRef>
              <c:f>'KPI 119'!$E$18:$P$18</c:f>
              <c:numCache>
                <c:formatCode>mmm\-yy</c:formatCode>
                <c:ptCount val="12"/>
                <c:pt idx="0">
                  <c:v>45839</c:v>
                </c:pt>
                <c:pt idx="1">
                  <c:v>45870</c:v>
                </c:pt>
                <c:pt idx="2">
                  <c:v>45901</c:v>
                </c:pt>
                <c:pt idx="3">
                  <c:v>45931</c:v>
                </c:pt>
                <c:pt idx="4">
                  <c:v>45962</c:v>
                </c:pt>
                <c:pt idx="5">
                  <c:v>45992</c:v>
                </c:pt>
                <c:pt idx="6">
                  <c:v>46023</c:v>
                </c:pt>
                <c:pt idx="7">
                  <c:v>46054</c:v>
                </c:pt>
                <c:pt idx="8">
                  <c:v>46082</c:v>
                </c:pt>
                <c:pt idx="9">
                  <c:v>46113</c:v>
                </c:pt>
                <c:pt idx="10">
                  <c:v>46143</c:v>
                </c:pt>
                <c:pt idx="11">
                  <c:v>46174</c:v>
                </c:pt>
              </c:numCache>
            </c:numRef>
          </c:cat>
          <c:val>
            <c:numRef>
              <c:f>'KPI 119'!$E$20:$P$20</c:f>
              <c:numCache>
                <c:formatCode>0</c:formatCode>
                <c:ptCount val="12"/>
                <c:pt idx="0">
                  <c:v>5560946</c:v>
                </c:pt>
                <c:pt idx="1">
                  <c:v>5918138.5000000009</c:v>
                </c:pt>
                <c:pt idx="2">
                  <c:v>5609031</c:v>
                </c:pt>
                <c:pt idx="3">
                  <c:v>5721311.0000000009</c:v>
                </c:pt>
                <c:pt idx="4">
                  <c:v>5243878.5</c:v>
                </c:pt>
                <c:pt idx="5">
                  <c:v>4788131.3</c:v>
                </c:pt>
                <c:pt idx="6">
                  <c:v>6824426.0000000009</c:v>
                </c:pt>
                <c:pt idx="7">
                  <c:v>5693803.5000000009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D9F-4BC5-ACDD-8CAF6B4C87DC}"/>
            </c:ext>
          </c:extLst>
        </c:ser>
        <c:ser>
          <c:idx val="4"/>
          <c:order val="2"/>
          <c:tx>
            <c:strRef>
              <c:f>'KPI 119'!$D$21</c:f>
              <c:strCache>
                <c:ptCount val="1"/>
                <c:pt idx="0">
                  <c:v>Actual 2024-25</c:v>
                </c:pt>
              </c:strCache>
            </c:strRef>
          </c:tx>
          <c:spPr>
            <a:solidFill>
              <a:schemeClr val="accent3"/>
            </a:solidFill>
          </c:spPr>
          <c:invertIfNegative val="0"/>
          <c:cat>
            <c:numRef>
              <c:f>'KPI 119'!$E$18:$P$18</c:f>
              <c:numCache>
                <c:formatCode>mmm\-yy</c:formatCode>
                <c:ptCount val="12"/>
                <c:pt idx="0">
                  <c:v>45839</c:v>
                </c:pt>
                <c:pt idx="1">
                  <c:v>45870</c:v>
                </c:pt>
                <c:pt idx="2">
                  <c:v>45901</c:v>
                </c:pt>
                <c:pt idx="3">
                  <c:v>45931</c:v>
                </c:pt>
                <c:pt idx="4">
                  <c:v>45962</c:v>
                </c:pt>
                <c:pt idx="5">
                  <c:v>45992</c:v>
                </c:pt>
                <c:pt idx="6">
                  <c:v>46023</c:v>
                </c:pt>
                <c:pt idx="7">
                  <c:v>46054</c:v>
                </c:pt>
                <c:pt idx="8">
                  <c:v>46082</c:v>
                </c:pt>
                <c:pt idx="9">
                  <c:v>46113</c:v>
                </c:pt>
                <c:pt idx="10">
                  <c:v>46143</c:v>
                </c:pt>
                <c:pt idx="11">
                  <c:v>46174</c:v>
                </c:pt>
              </c:numCache>
            </c:numRef>
          </c:cat>
          <c:val>
            <c:numRef>
              <c:f>'KPI 119'!$E$21:$P$21</c:f>
              <c:numCache>
                <c:formatCode>0</c:formatCode>
                <c:ptCount val="12"/>
                <c:pt idx="0">
                  <c:v>4056522.9</c:v>
                </c:pt>
                <c:pt idx="1">
                  <c:v>4980879.6500000004</c:v>
                </c:pt>
                <c:pt idx="2">
                  <c:v>4222869.45</c:v>
                </c:pt>
                <c:pt idx="3">
                  <c:v>4378066.2</c:v>
                </c:pt>
                <c:pt idx="4">
                  <c:v>4413150</c:v>
                </c:pt>
                <c:pt idx="5">
                  <c:v>3714209.1999999997</c:v>
                </c:pt>
                <c:pt idx="6">
                  <c:v>5355862.7</c:v>
                </c:pt>
                <c:pt idx="7">
                  <c:v>4592748.95</c:v>
                </c:pt>
                <c:pt idx="8">
                  <c:v>4885076.95</c:v>
                </c:pt>
                <c:pt idx="9">
                  <c:v>5635043.5</c:v>
                </c:pt>
                <c:pt idx="10">
                  <c:v>6022758.5000000009</c:v>
                </c:pt>
                <c:pt idx="11">
                  <c:v>6114211.0000000009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D9F-4BC5-ACDD-8CAF6B4C87D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31123456"/>
        <c:axId val="131125248"/>
      </c:barChart>
      <c:lineChart>
        <c:grouping val="standard"/>
        <c:varyColors val="0"/>
        <c:ser>
          <c:idx val="0"/>
          <c:order val="0"/>
          <c:tx>
            <c:strRef>
              <c:f>'KPI 119'!$D$19</c:f>
              <c:strCache>
                <c:ptCount val="1"/>
                <c:pt idx="0">
                  <c:v>Budget 2025-26</c:v>
                </c:pt>
              </c:strCache>
            </c:strRef>
          </c:tx>
          <c:spPr>
            <a:ln>
              <a:solidFill>
                <a:srgbClr val="FF0000"/>
              </a:solidFill>
            </a:ln>
          </c:spPr>
          <c:marker>
            <c:symbol val="none"/>
          </c:marker>
          <c:cat>
            <c:numRef>
              <c:f>'KPI 119'!$E$18:$P$18</c:f>
              <c:numCache>
                <c:formatCode>mmm\-yy</c:formatCode>
                <c:ptCount val="12"/>
                <c:pt idx="0">
                  <c:v>45839</c:v>
                </c:pt>
                <c:pt idx="1">
                  <c:v>45870</c:v>
                </c:pt>
                <c:pt idx="2">
                  <c:v>45901</c:v>
                </c:pt>
                <c:pt idx="3">
                  <c:v>45931</c:v>
                </c:pt>
                <c:pt idx="4">
                  <c:v>45962</c:v>
                </c:pt>
                <c:pt idx="5">
                  <c:v>45992</c:v>
                </c:pt>
                <c:pt idx="6">
                  <c:v>46023</c:v>
                </c:pt>
                <c:pt idx="7">
                  <c:v>46054</c:v>
                </c:pt>
                <c:pt idx="8">
                  <c:v>46082</c:v>
                </c:pt>
                <c:pt idx="9">
                  <c:v>46113</c:v>
                </c:pt>
                <c:pt idx="10">
                  <c:v>46143</c:v>
                </c:pt>
                <c:pt idx="11">
                  <c:v>46174</c:v>
                </c:pt>
              </c:numCache>
            </c:numRef>
          </c:cat>
          <c:val>
            <c:numRef>
              <c:f>'KPI 119'!$E$19:$P$19</c:f>
              <c:numCache>
                <c:formatCode>0</c:formatCode>
                <c:ptCount val="12"/>
                <c:pt idx="0">
                  <c:v>4973474.5859431289</c:v>
                </c:pt>
                <c:pt idx="1">
                  <c:v>4996935.182052915</c:v>
                </c:pt>
                <c:pt idx="2">
                  <c:v>5020396.0145296101</c:v>
                </c:pt>
                <c:pt idx="3">
                  <c:v>5043857.079816726</c:v>
                </c:pt>
                <c:pt idx="4">
                  <c:v>5067318.3744287556</c:v>
                </c:pt>
                <c:pt idx="5">
                  <c:v>5090779.8949494297</c:v>
                </c:pt>
                <c:pt idx="6">
                  <c:v>5114241.6380299972</c:v>
                </c:pt>
                <c:pt idx="7">
                  <c:v>5137703.6003875732</c:v>
                </c:pt>
                <c:pt idx="8">
                  <c:v>5161165.778803519</c:v>
                </c:pt>
                <c:pt idx="9">
                  <c:v>5184628.1701218812</c:v>
                </c:pt>
                <c:pt idx="10">
                  <c:v>5208090.7712478768</c:v>
                </c:pt>
                <c:pt idx="11">
                  <c:v>5231553.5791464159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D9F-4BC5-ACDD-8CAF6B4C87D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1123456"/>
        <c:axId val="131125248"/>
      </c:lineChart>
      <c:dateAx>
        <c:axId val="131123456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crossAx val="131125248"/>
        <c:crosses val="autoZero"/>
        <c:auto val="1"/>
        <c:lblOffset val="100"/>
        <c:baseTimeUnit val="months"/>
      </c:dateAx>
      <c:valAx>
        <c:axId val="131125248"/>
        <c:scaling>
          <c:orientation val="minMax"/>
        </c:scaling>
        <c:delete val="0"/>
        <c:axPos val="l"/>
        <c:majorGridlines/>
        <c:numFmt formatCode="0" sourceLinked="1"/>
        <c:majorTickMark val="out"/>
        <c:minorTickMark val="none"/>
        <c:tickLblPos val="nextTo"/>
        <c:crossAx val="131123456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000000000000822" l="0.70000000000000062" r="0.70000000000000062" t="0.75000000000000822" header="0.30000000000000032" footer="0.30000000000000032"/>
    <c:pageSetup/>
  </c:printSettings>
</c:chartSpace>
</file>

<file path=xl/charts/chart15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1"/>
          <c:order val="1"/>
          <c:tx>
            <c:strRef>
              <c:f>'KPI 120'!$D$20</c:f>
              <c:strCache>
                <c:ptCount val="1"/>
                <c:pt idx="0">
                  <c:v>Actual 2025-26</c:v>
                </c:pt>
              </c:strCache>
            </c:strRef>
          </c:tx>
          <c:spPr>
            <a:solidFill>
              <a:schemeClr val="accent1"/>
            </a:solidFill>
          </c:spPr>
          <c:invertIfNegative val="0"/>
          <c:cat>
            <c:numRef>
              <c:f>'KPI 120'!$E$18:$P$18</c:f>
              <c:numCache>
                <c:formatCode>mmm\-yy</c:formatCode>
                <c:ptCount val="12"/>
                <c:pt idx="0">
                  <c:v>45839</c:v>
                </c:pt>
                <c:pt idx="1">
                  <c:v>45870</c:v>
                </c:pt>
                <c:pt idx="2">
                  <c:v>45901</c:v>
                </c:pt>
                <c:pt idx="3">
                  <c:v>45931</c:v>
                </c:pt>
                <c:pt idx="4">
                  <c:v>45962</c:v>
                </c:pt>
                <c:pt idx="5">
                  <c:v>45992</c:v>
                </c:pt>
                <c:pt idx="6">
                  <c:v>46023</c:v>
                </c:pt>
                <c:pt idx="7">
                  <c:v>46054</c:v>
                </c:pt>
                <c:pt idx="8">
                  <c:v>46082</c:v>
                </c:pt>
                <c:pt idx="9">
                  <c:v>46113</c:v>
                </c:pt>
                <c:pt idx="10">
                  <c:v>46143</c:v>
                </c:pt>
                <c:pt idx="11">
                  <c:v>46174</c:v>
                </c:pt>
              </c:numCache>
            </c:numRef>
          </c:cat>
          <c:val>
            <c:numRef>
              <c:f>'KPI 120'!$E$20:$P$20</c:f>
              <c:numCache>
                <c:formatCode>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6AC-4DD3-ADE9-5A25F61C05D7}"/>
            </c:ext>
          </c:extLst>
        </c:ser>
        <c:ser>
          <c:idx val="4"/>
          <c:order val="2"/>
          <c:tx>
            <c:strRef>
              <c:f>'KPI 120'!$D$21</c:f>
              <c:strCache>
                <c:ptCount val="1"/>
                <c:pt idx="0">
                  <c:v>Actual 2024-25</c:v>
                </c:pt>
              </c:strCache>
            </c:strRef>
          </c:tx>
          <c:spPr>
            <a:solidFill>
              <a:schemeClr val="accent3"/>
            </a:solidFill>
          </c:spPr>
          <c:invertIfNegative val="0"/>
          <c:cat>
            <c:numRef>
              <c:f>'KPI 120'!$E$18:$P$18</c:f>
              <c:numCache>
                <c:formatCode>mmm\-yy</c:formatCode>
                <c:ptCount val="12"/>
                <c:pt idx="0">
                  <c:v>45839</c:v>
                </c:pt>
                <c:pt idx="1">
                  <c:v>45870</c:v>
                </c:pt>
                <c:pt idx="2">
                  <c:v>45901</c:v>
                </c:pt>
                <c:pt idx="3">
                  <c:v>45931</c:v>
                </c:pt>
                <c:pt idx="4">
                  <c:v>45962</c:v>
                </c:pt>
                <c:pt idx="5">
                  <c:v>45992</c:v>
                </c:pt>
                <c:pt idx="6">
                  <c:v>46023</c:v>
                </c:pt>
                <c:pt idx="7">
                  <c:v>46054</c:v>
                </c:pt>
                <c:pt idx="8">
                  <c:v>46082</c:v>
                </c:pt>
                <c:pt idx="9">
                  <c:v>46113</c:v>
                </c:pt>
                <c:pt idx="10">
                  <c:v>46143</c:v>
                </c:pt>
                <c:pt idx="11">
                  <c:v>46174</c:v>
                </c:pt>
              </c:numCache>
            </c:numRef>
          </c:cat>
          <c:val>
            <c:numRef>
              <c:f>'KPI 120'!$E$21:$P$21</c:f>
              <c:numCache>
                <c:formatCode>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6AC-4DD3-ADE9-5A25F61C05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30542976"/>
        <c:axId val="130544768"/>
      </c:barChart>
      <c:lineChart>
        <c:grouping val="standard"/>
        <c:varyColors val="0"/>
        <c:ser>
          <c:idx val="0"/>
          <c:order val="0"/>
          <c:tx>
            <c:strRef>
              <c:f>'KPI 120'!$D$19</c:f>
              <c:strCache>
                <c:ptCount val="1"/>
                <c:pt idx="0">
                  <c:v>Budget 2025-26</c:v>
                </c:pt>
              </c:strCache>
            </c:strRef>
          </c:tx>
          <c:spPr>
            <a:ln>
              <a:solidFill>
                <a:srgbClr val="FF0000"/>
              </a:solidFill>
            </a:ln>
          </c:spPr>
          <c:marker>
            <c:symbol val="none"/>
          </c:marker>
          <c:cat>
            <c:numRef>
              <c:f>'KPI 120'!$E$18:$P$18</c:f>
              <c:numCache>
                <c:formatCode>mmm\-yy</c:formatCode>
                <c:ptCount val="12"/>
                <c:pt idx="0">
                  <c:v>45839</c:v>
                </c:pt>
                <c:pt idx="1">
                  <c:v>45870</c:v>
                </c:pt>
                <c:pt idx="2">
                  <c:v>45901</c:v>
                </c:pt>
                <c:pt idx="3">
                  <c:v>45931</c:v>
                </c:pt>
                <c:pt idx="4">
                  <c:v>45962</c:v>
                </c:pt>
                <c:pt idx="5">
                  <c:v>45992</c:v>
                </c:pt>
                <c:pt idx="6">
                  <c:v>46023</c:v>
                </c:pt>
                <c:pt idx="7">
                  <c:v>46054</c:v>
                </c:pt>
                <c:pt idx="8">
                  <c:v>46082</c:v>
                </c:pt>
                <c:pt idx="9">
                  <c:v>46113</c:v>
                </c:pt>
                <c:pt idx="10">
                  <c:v>46143</c:v>
                </c:pt>
                <c:pt idx="11">
                  <c:v>46174</c:v>
                </c:pt>
              </c:numCache>
            </c:numRef>
          </c:cat>
          <c:val>
            <c:numRef>
              <c:f>'KPI 120'!$E$19:$P$19</c:f>
              <c:numCache>
                <c:formatCode>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6AC-4DD3-ADE9-5A25F61C05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0542976"/>
        <c:axId val="130544768"/>
      </c:lineChart>
      <c:dateAx>
        <c:axId val="130542976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crossAx val="130544768"/>
        <c:crosses val="autoZero"/>
        <c:auto val="1"/>
        <c:lblOffset val="100"/>
        <c:baseTimeUnit val="months"/>
      </c:dateAx>
      <c:valAx>
        <c:axId val="130544768"/>
        <c:scaling>
          <c:orientation val="minMax"/>
        </c:scaling>
        <c:delete val="0"/>
        <c:axPos val="l"/>
        <c:majorGridlines/>
        <c:numFmt formatCode="0" sourceLinked="1"/>
        <c:majorTickMark val="out"/>
        <c:minorTickMark val="none"/>
        <c:tickLblPos val="nextTo"/>
        <c:crossAx val="130542976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000000000000822" l="0.70000000000000062" r="0.70000000000000062" t="0.75000000000000822" header="0.30000000000000032" footer="0.30000000000000032"/>
    <c:pageSetup/>
  </c:printSettings>
</c:chartSpace>
</file>

<file path=xl/charts/chart15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1"/>
          <c:order val="1"/>
          <c:tx>
            <c:strRef>
              <c:f>'KPI 121'!$D$20</c:f>
              <c:strCache>
                <c:ptCount val="1"/>
                <c:pt idx="0">
                  <c:v>Actual 2025-26</c:v>
                </c:pt>
              </c:strCache>
            </c:strRef>
          </c:tx>
          <c:spPr>
            <a:solidFill>
              <a:schemeClr val="accent1"/>
            </a:solidFill>
          </c:spPr>
          <c:invertIfNegative val="0"/>
          <c:cat>
            <c:numRef>
              <c:f>'KPI 121'!$E$18:$P$18</c:f>
              <c:numCache>
                <c:formatCode>mmm\-yy</c:formatCode>
                <c:ptCount val="12"/>
                <c:pt idx="0">
                  <c:v>45839</c:v>
                </c:pt>
                <c:pt idx="1">
                  <c:v>45870</c:v>
                </c:pt>
                <c:pt idx="2">
                  <c:v>45901</c:v>
                </c:pt>
                <c:pt idx="3">
                  <c:v>45931</c:v>
                </c:pt>
                <c:pt idx="4">
                  <c:v>45962</c:v>
                </c:pt>
                <c:pt idx="5">
                  <c:v>45992</c:v>
                </c:pt>
                <c:pt idx="6">
                  <c:v>46023</c:v>
                </c:pt>
                <c:pt idx="7">
                  <c:v>46054</c:v>
                </c:pt>
                <c:pt idx="8">
                  <c:v>46082</c:v>
                </c:pt>
                <c:pt idx="9">
                  <c:v>46113</c:v>
                </c:pt>
                <c:pt idx="10">
                  <c:v>46143</c:v>
                </c:pt>
                <c:pt idx="11">
                  <c:v>46174</c:v>
                </c:pt>
              </c:numCache>
            </c:numRef>
          </c:cat>
          <c:val>
            <c:numRef>
              <c:f>'KPI 121'!$E$20:$P$20</c:f>
              <c:numCache>
                <c:formatCode>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B99-46B6-B8E7-9ABD990F7DED}"/>
            </c:ext>
          </c:extLst>
        </c:ser>
        <c:ser>
          <c:idx val="4"/>
          <c:order val="2"/>
          <c:tx>
            <c:strRef>
              <c:f>'KPI 121'!$D$21</c:f>
              <c:strCache>
                <c:ptCount val="1"/>
                <c:pt idx="0">
                  <c:v>Actual 2024-25</c:v>
                </c:pt>
              </c:strCache>
            </c:strRef>
          </c:tx>
          <c:spPr>
            <a:solidFill>
              <a:schemeClr val="accent3"/>
            </a:solidFill>
          </c:spPr>
          <c:invertIfNegative val="0"/>
          <c:cat>
            <c:numRef>
              <c:f>'KPI 121'!$E$18:$P$18</c:f>
              <c:numCache>
                <c:formatCode>mmm\-yy</c:formatCode>
                <c:ptCount val="12"/>
                <c:pt idx="0">
                  <c:v>45839</c:v>
                </c:pt>
                <c:pt idx="1">
                  <c:v>45870</c:v>
                </c:pt>
                <c:pt idx="2">
                  <c:v>45901</c:v>
                </c:pt>
                <c:pt idx="3">
                  <c:v>45931</c:v>
                </c:pt>
                <c:pt idx="4">
                  <c:v>45962</c:v>
                </c:pt>
                <c:pt idx="5">
                  <c:v>45992</c:v>
                </c:pt>
                <c:pt idx="6">
                  <c:v>46023</c:v>
                </c:pt>
                <c:pt idx="7">
                  <c:v>46054</c:v>
                </c:pt>
                <c:pt idx="8">
                  <c:v>46082</c:v>
                </c:pt>
                <c:pt idx="9">
                  <c:v>46113</c:v>
                </c:pt>
                <c:pt idx="10">
                  <c:v>46143</c:v>
                </c:pt>
                <c:pt idx="11">
                  <c:v>46174</c:v>
                </c:pt>
              </c:numCache>
            </c:numRef>
          </c:cat>
          <c:val>
            <c:numRef>
              <c:f>'KPI 121'!$E$21:$P$21</c:f>
              <c:numCache>
                <c:formatCode>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B99-46B6-B8E7-9ABD990F7DE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30827008"/>
        <c:axId val="130828544"/>
      </c:barChart>
      <c:lineChart>
        <c:grouping val="standard"/>
        <c:varyColors val="0"/>
        <c:ser>
          <c:idx val="0"/>
          <c:order val="0"/>
          <c:tx>
            <c:strRef>
              <c:f>'KPI 121'!$D$19</c:f>
              <c:strCache>
                <c:ptCount val="1"/>
                <c:pt idx="0">
                  <c:v>Budget 2025-26</c:v>
                </c:pt>
              </c:strCache>
            </c:strRef>
          </c:tx>
          <c:spPr>
            <a:ln>
              <a:solidFill>
                <a:srgbClr val="FF0000"/>
              </a:solidFill>
            </a:ln>
          </c:spPr>
          <c:marker>
            <c:symbol val="none"/>
          </c:marker>
          <c:cat>
            <c:numRef>
              <c:f>'KPI 121'!$E$18:$P$18</c:f>
              <c:numCache>
                <c:formatCode>mmm\-yy</c:formatCode>
                <c:ptCount val="12"/>
                <c:pt idx="0">
                  <c:v>45839</c:v>
                </c:pt>
                <c:pt idx="1">
                  <c:v>45870</c:v>
                </c:pt>
                <c:pt idx="2">
                  <c:v>45901</c:v>
                </c:pt>
                <c:pt idx="3">
                  <c:v>45931</c:v>
                </c:pt>
                <c:pt idx="4">
                  <c:v>45962</c:v>
                </c:pt>
                <c:pt idx="5">
                  <c:v>45992</c:v>
                </c:pt>
                <c:pt idx="6">
                  <c:v>46023</c:v>
                </c:pt>
                <c:pt idx="7">
                  <c:v>46054</c:v>
                </c:pt>
                <c:pt idx="8">
                  <c:v>46082</c:v>
                </c:pt>
                <c:pt idx="9">
                  <c:v>46113</c:v>
                </c:pt>
                <c:pt idx="10">
                  <c:v>46143</c:v>
                </c:pt>
                <c:pt idx="11">
                  <c:v>46174</c:v>
                </c:pt>
              </c:numCache>
            </c:numRef>
          </c:cat>
          <c:val>
            <c:numRef>
              <c:f>'KPI 121'!$E$19:$P$19</c:f>
              <c:numCache>
                <c:formatCode>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AB99-46B6-B8E7-9ABD990F7DE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0827008"/>
        <c:axId val="130828544"/>
      </c:lineChart>
      <c:dateAx>
        <c:axId val="130827008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crossAx val="130828544"/>
        <c:crosses val="autoZero"/>
        <c:auto val="1"/>
        <c:lblOffset val="100"/>
        <c:baseTimeUnit val="months"/>
      </c:dateAx>
      <c:valAx>
        <c:axId val="130828544"/>
        <c:scaling>
          <c:orientation val="minMax"/>
        </c:scaling>
        <c:delete val="0"/>
        <c:axPos val="l"/>
        <c:majorGridlines/>
        <c:numFmt formatCode="0" sourceLinked="1"/>
        <c:majorTickMark val="out"/>
        <c:minorTickMark val="none"/>
        <c:tickLblPos val="nextTo"/>
        <c:crossAx val="130827008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000000000000822" l="0.70000000000000062" r="0.70000000000000062" t="0.75000000000000822" header="0.30000000000000032" footer="0.30000000000000032"/>
    <c:pageSetup/>
  </c:printSettings>
</c:chartSpace>
</file>

<file path=xl/charts/chart15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1"/>
          <c:order val="1"/>
          <c:tx>
            <c:strRef>
              <c:f>'KPI 122'!$D$20</c:f>
              <c:strCache>
                <c:ptCount val="1"/>
                <c:pt idx="0">
                  <c:v>Actual 2025-26</c:v>
                </c:pt>
              </c:strCache>
            </c:strRef>
          </c:tx>
          <c:spPr>
            <a:solidFill>
              <a:schemeClr val="accent1"/>
            </a:solidFill>
          </c:spPr>
          <c:invertIfNegative val="0"/>
          <c:cat>
            <c:numRef>
              <c:f>'KPI 122'!$E$18:$P$18</c:f>
              <c:numCache>
                <c:formatCode>mmm\-yy</c:formatCode>
                <c:ptCount val="12"/>
                <c:pt idx="0">
                  <c:v>45839</c:v>
                </c:pt>
                <c:pt idx="1">
                  <c:v>45870</c:v>
                </c:pt>
                <c:pt idx="2">
                  <c:v>45901</c:v>
                </c:pt>
                <c:pt idx="3">
                  <c:v>45931</c:v>
                </c:pt>
                <c:pt idx="4">
                  <c:v>45962</c:v>
                </c:pt>
                <c:pt idx="5">
                  <c:v>45992</c:v>
                </c:pt>
                <c:pt idx="6">
                  <c:v>46023</c:v>
                </c:pt>
                <c:pt idx="7">
                  <c:v>46054</c:v>
                </c:pt>
                <c:pt idx="8">
                  <c:v>46082</c:v>
                </c:pt>
                <c:pt idx="9">
                  <c:v>46113</c:v>
                </c:pt>
                <c:pt idx="10">
                  <c:v>46143</c:v>
                </c:pt>
                <c:pt idx="11">
                  <c:v>46174</c:v>
                </c:pt>
              </c:numCache>
            </c:numRef>
          </c:cat>
          <c:val>
            <c:numRef>
              <c:f>'KPI 122'!$E$20:$P$20</c:f>
              <c:numCache>
                <c:formatCode>0</c:formatCode>
                <c:ptCount val="12"/>
                <c:pt idx="0">
                  <c:v>142375</c:v>
                </c:pt>
                <c:pt idx="1">
                  <c:v>128227.5</c:v>
                </c:pt>
                <c:pt idx="2">
                  <c:v>111505</c:v>
                </c:pt>
                <c:pt idx="3">
                  <c:v>110110</c:v>
                </c:pt>
                <c:pt idx="4">
                  <c:v>99255</c:v>
                </c:pt>
                <c:pt idx="5">
                  <c:v>117272.5</c:v>
                </c:pt>
                <c:pt idx="6">
                  <c:v>133717.5</c:v>
                </c:pt>
                <c:pt idx="7">
                  <c:v>132787.5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2AE-4DA5-9824-E63BFEA91B40}"/>
            </c:ext>
          </c:extLst>
        </c:ser>
        <c:ser>
          <c:idx val="4"/>
          <c:order val="2"/>
          <c:tx>
            <c:strRef>
              <c:f>'KPI 122'!$D$21</c:f>
              <c:strCache>
                <c:ptCount val="1"/>
                <c:pt idx="0">
                  <c:v>Actual 2024-25</c:v>
                </c:pt>
              </c:strCache>
            </c:strRef>
          </c:tx>
          <c:spPr>
            <a:solidFill>
              <a:schemeClr val="accent3"/>
            </a:solidFill>
          </c:spPr>
          <c:invertIfNegative val="0"/>
          <c:cat>
            <c:numRef>
              <c:f>'KPI 122'!$E$18:$P$18</c:f>
              <c:numCache>
                <c:formatCode>mmm\-yy</c:formatCode>
                <c:ptCount val="12"/>
                <c:pt idx="0">
                  <c:v>45839</c:v>
                </c:pt>
                <c:pt idx="1">
                  <c:v>45870</c:v>
                </c:pt>
                <c:pt idx="2">
                  <c:v>45901</c:v>
                </c:pt>
                <c:pt idx="3">
                  <c:v>45931</c:v>
                </c:pt>
                <c:pt idx="4">
                  <c:v>45962</c:v>
                </c:pt>
                <c:pt idx="5">
                  <c:v>45992</c:v>
                </c:pt>
                <c:pt idx="6">
                  <c:v>46023</c:v>
                </c:pt>
                <c:pt idx="7">
                  <c:v>46054</c:v>
                </c:pt>
                <c:pt idx="8">
                  <c:v>46082</c:v>
                </c:pt>
                <c:pt idx="9">
                  <c:v>46113</c:v>
                </c:pt>
                <c:pt idx="10">
                  <c:v>46143</c:v>
                </c:pt>
                <c:pt idx="11">
                  <c:v>46174</c:v>
                </c:pt>
              </c:numCache>
            </c:numRef>
          </c:cat>
          <c:val>
            <c:numRef>
              <c:f>'KPI 122'!$E$21:$P$21</c:f>
              <c:numCache>
                <c:formatCode>0</c:formatCode>
                <c:ptCount val="12"/>
                <c:pt idx="0">
                  <c:v>52477.5</c:v>
                </c:pt>
                <c:pt idx="1">
                  <c:v>64442.5</c:v>
                </c:pt>
                <c:pt idx="2">
                  <c:v>60608.25</c:v>
                </c:pt>
                <c:pt idx="3">
                  <c:v>59066.5</c:v>
                </c:pt>
                <c:pt idx="4">
                  <c:v>69893.5</c:v>
                </c:pt>
                <c:pt idx="5">
                  <c:v>49893.5</c:v>
                </c:pt>
                <c:pt idx="6">
                  <c:v>68763.5</c:v>
                </c:pt>
                <c:pt idx="7">
                  <c:v>74154.25</c:v>
                </c:pt>
                <c:pt idx="8">
                  <c:v>78705.5</c:v>
                </c:pt>
                <c:pt idx="9">
                  <c:v>75535.25</c:v>
                </c:pt>
                <c:pt idx="10">
                  <c:v>110252.5</c:v>
                </c:pt>
                <c:pt idx="11">
                  <c:v>110152.5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2AE-4DA5-9824-E63BFEA91B4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30918272"/>
        <c:axId val="130919808"/>
      </c:barChart>
      <c:lineChart>
        <c:grouping val="standard"/>
        <c:varyColors val="0"/>
        <c:ser>
          <c:idx val="0"/>
          <c:order val="0"/>
          <c:tx>
            <c:strRef>
              <c:f>'KPI 122'!$D$19</c:f>
              <c:strCache>
                <c:ptCount val="1"/>
                <c:pt idx="0">
                  <c:v>Budget 2025-26</c:v>
                </c:pt>
              </c:strCache>
            </c:strRef>
          </c:tx>
          <c:spPr>
            <a:ln>
              <a:solidFill>
                <a:srgbClr val="FF0000"/>
              </a:solidFill>
            </a:ln>
          </c:spPr>
          <c:marker>
            <c:symbol val="none"/>
          </c:marker>
          <c:cat>
            <c:numRef>
              <c:f>'KPI 122'!$E$18:$P$18</c:f>
              <c:numCache>
                <c:formatCode>mmm\-yy</c:formatCode>
                <c:ptCount val="12"/>
                <c:pt idx="0">
                  <c:v>45839</c:v>
                </c:pt>
                <c:pt idx="1">
                  <c:v>45870</c:v>
                </c:pt>
                <c:pt idx="2">
                  <c:v>45901</c:v>
                </c:pt>
                <c:pt idx="3">
                  <c:v>45931</c:v>
                </c:pt>
                <c:pt idx="4">
                  <c:v>45962</c:v>
                </c:pt>
                <c:pt idx="5">
                  <c:v>45992</c:v>
                </c:pt>
                <c:pt idx="6">
                  <c:v>46023</c:v>
                </c:pt>
                <c:pt idx="7">
                  <c:v>46054</c:v>
                </c:pt>
                <c:pt idx="8">
                  <c:v>46082</c:v>
                </c:pt>
                <c:pt idx="9">
                  <c:v>46113</c:v>
                </c:pt>
                <c:pt idx="10">
                  <c:v>46143</c:v>
                </c:pt>
                <c:pt idx="11">
                  <c:v>46174</c:v>
                </c:pt>
              </c:numCache>
            </c:numRef>
          </c:cat>
          <c:val>
            <c:numRef>
              <c:f>'KPI 122'!$E$19:$P$19</c:f>
              <c:numCache>
                <c:formatCode>0</c:formatCode>
                <c:ptCount val="12"/>
                <c:pt idx="0">
                  <c:v>96809.505999981353</c:v>
                </c:pt>
                <c:pt idx="1">
                  <c:v>97684.242144150659</c:v>
                </c:pt>
                <c:pt idx="2">
                  <c:v>98558.741921406414</c:v>
                </c:pt>
                <c:pt idx="3">
                  <c:v>99433.008888245269</c:v>
                </c:pt>
                <c:pt idx="4">
                  <c:v>100307.04653016933</c:v>
                </c:pt>
                <c:pt idx="5">
                  <c:v>101180.85826344904</c:v>
                </c:pt>
                <c:pt idx="6">
                  <c:v>102054.44743683365</c:v>
                </c:pt>
                <c:pt idx="7">
                  <c:v>102927.8173332109</c:v>
                </c:pt>
                <c:pt idx="8">
                  <c:v>103800.97117121863</c:v>
                </c:pt>
                <c:pt idx="9">
                  <c:v>104673.91210680854</c:v>
                </c:pt>
                <c:pt idx="10">
                  <c:v>105546.64323476522</c:v>
                </c:pt>
                <c:pt idx="11">
                  <c:v>106419.1675901808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E2AE-4DA5-9824-E63BFEA91B4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0918272"/>
        <c:axId val="130919808"/>
      </c:lineChart>
      <c:dateAx>
        <c:axId val="130918272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crossAx val="130919808"/>
        <c:crosses val="autoZero"/>
        <c:auto val="1"/>
        <c:lblOffset val="100"/>
        <c:baseTimeUnit val="months"/>
      </c:dateAx>
      <c:valAx>
        <c:axId val="130919808"/>
        <c:scaling>
          <c:orientation val="minMax"/>
        </c:scaling>
        <c:delete val="0"/>
        <c:axPos val="l"/>
        <c:majorGridlines/>
        <c:numFmt formatCode="0" sourceLinked="1"/>
        <c:majorTickMark val="out"/>
        <c:minorTickMark val="none"/>
        <c:tickLblPos val="nextTo"/>
        <c:crossAx val="130918272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000000000000822" l="0.70000000000000062" r="0.70000000000000062" t="0.75000000000000822" header="0.30000000000000032" footer="0.30000000000000032"/>
    <c:pageSetup/>
  </c:printSettings>
</c:chartSpace>
</file>

<file path=xl/charts/chart15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1"/>
          <c:order val="1"/>
          <c:tx>
            <c:strRef>
              <c:f>'KPI 123'!$D$20</c:f>
              <c:strCache>
                <c:ptCount val="1"/>
                <c:pt idx="0">
                  <c:v>Actual 2025-26</c:v>
                </c:pt>
              </c:strCache>
            </c:strRef>
          </c:tx>
          <c:spPr>
            <a:solidFill>
              <a:schemeClr val="accent1"/>
            </a:solidFill>
          </c:spPr>
          <c:invertIfNegative val="0"/>
          <c:cat>
            <c:numRef>
              <c:f>'KPI 123'!$E$18:$P$18</c:f>
              <c:numCache>
                <c:formatCode>mmm\-yy</c:formatCode>
                <c:ptCount val="12"/>
                <c:pt idx="0">
                  <c:v>45839</c:v>
                </c:pt>
                <c:pt idx="1">
                  <c:v>45870</c:v>
                </c:pt>
                <c:pt idx="2">
                  <c:v>45901</c:v>
                </c:pt>
                <c:pt idx="3">
                  <c:v>45931</c:v>
                </c:pt>
                <c:pt idx="4">
                  <c:v>45962</c:v>
                </c:pt>
                <c:pt idx="5">
                  <c:v>45992</c:v>
                </c:pt>
                <c:pt idx="6">
                  <c:v>46023</c:v>
                </c:pt>
                <c:pt idx="7">
                  <c:v>46054</c:v>
                </c:pt>
                <c:pt idx="8">
                  <c:v>46082</c:v>
                </c:pt>
                <c:pt idx="9">
                  <c:v>46113</c:v>
                </c:pt>
                <c:pt idx="10">
                  <c:v>46143</c:v>
                </c:pt>
                <c:pt idx="11">
                  <c:v>46174</c:v>
                </c:pt>
              </c:numCache>
            </c:numRef>
          </c:cat>
          <c:val>
            <c:numRef>
              <c:f>'KPI 123'!$E$20:$P$20</c:f>
              <c:numCache>
                <c:formatCode>0</c:formatCode>
                <c:ptCount val="12"/>
                <c:pt idx="0">
                  <c:v>457647.5</c:v>
                </c:pt>
                <c:pt idx="1">
                  <c:v>470207.5</c:v>
                </c:pt>
                <c:pt idx="2">
                  <c:v>472407.5</c:v>
                </c:pt>
                <c:pt idx="3">
                  <c:v>449707.5</c:v>
                </c:pt>
                <c:pt idx="4">
                  <c:v>371902.5</c:v>
                </c:pt>
                <c:pt idx="5">
                  <c:v>322980</c:v>
                </c:pt>
                <c:pt idx="6">
                  <c:v>572035</c:v>
                </c:pt>
                <c:pt idx="7">
                  <c:v>463900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B30-48D6-8FD8-C722E70D37E5}"/>
            </c:ext>
          </c:extLst>
        </c:ser>
        <c:ser>
          <c:idx val="4"/>
          <c:order val="2"/>
          <c:tx>
            <c:strRef>
              <c:f>'KPI 123'!$D$21</c:f>
              <c:strCache>
                <c:ptCount val="1"/>
                <c:pt idx="0">
                  <c:v>Actual 2024-25</c:v>
                </c:pt>
              </c:strCache>
            </c:strRef>
          </c:tx>
          <c:spPr>
            <a:solidFill>
              <a:schemeClr val="accent3"/>
            </a:solidFill>
          </c:spPr>
          <c:invertIfNegative val="0"/>
          <c:cat>
            <c:numRef>
              <c:f>'KPI 123'!$E$18:$P$18</c:f>
              <c:numCache>
                <c:formatCode>mmm\-yy</c:formatCode>
                <c:ptCount val="12"/>
                <c:pt idx="0">
                  <c:v>45839</c:v>
                </c:pt>
                <c:pt idx="1">
                  <c:v>45870</c:v>
                </c:pt>
                <c:pt idx="2">
                  <c:v>45901</c:v>
                </c:pt>
                <c:pt idx="3">
                  <c:v>45931</c:v>
                </c:pt>
                <c:pt idx="4">
                  <c:v>45962</c:v>
                </c:pt>
                <c:pt idx="5">
                  <c:v>45992</c:v>
                </c:pt>
                <c:pt idx="6">
                  <c:v>46023</c:v>
                </c:pt>
                <c:pt idx="7">
                  <c:v>46054</c:v>
                </c:pt>
                <c:pt idx="8">
                  <c:v>46082</c:v>
                </c:pt>
                <c:pt idx="9">
                  <c:v>46113</c:v>
                </c:pt>
                <c:pt idx="10">
                  <c:v>46143</c:v>
                </c:pt>
                <c:pt idx="11">
                  <c:v>46174</c:v>
                </c:pt>
              </c:numCache>
            </c:numRef>
          </c:cat>
          <c:val>
            <c:numRef>
              <c:f>'KPI 123'!$E$21:$P$21</c:f>
              <c:numCache>
                <c:formatCode>0</c:formatCode>
                <c:ptCount val="12"/>
                <c:pt idx="0">
                  <c:v>295062.90000000002</c:v>
                </c:pt>
                <c:pt idx="1">
                  <c:v>386582.75</c:v>
                </c:pt>
                <c:pt idx="2">
                  <c:v>352413.75</c:v>
                </c:pt>
                <c:pt idx="3">
                  <c:v>352298.75</c:v>
                </c:pt>
                <c:pt idx="4">
                  <c:v>369135.5</c:v>
                </c:pt>
                <c:pt idx="5">
                  <c:v>198469.5</c:v>
                </c:pt>
                <c:pt idx="6">
                  <c:v>366123</c:v>
                </c:pt>
                <c:pt idx="7">
                  <c:v>400295.25</c:v>
                </c:pt>
                <c:pt idx="8">
                  <c:v>427482.75</c:v>
                </c:pt>
                <c:pt idx="9">
                  <c:v>357912.5</c:v>
                </c:pt>
                <c:pt idx="10">
                  <c:v>512857.5</c:v>
                </c:pt>
                <c:pt idx="11">
                  <c:v>576622.5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B30-48D6-8FD8-C722E70D37E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31664896"/>
        <c:axId val="131007232"/>
      </c:barChart>
      <c:lineChart>
        <c:grouping val="standard"/>
        <c:varyColors val="0"/>
        <c:ser>
          <c:idx val="0"/>
          <c:order val="0"/>
          <c:tx>
            <c:strRef>
              <c:f>'KPI 123'!$D$19</c:f>
              <c:strCache>
                <c:ptCount val="1"/>
                <c:pt idx="0">
                  <c:v>Budget 2025-26</c:v>
                </c:pt>
              </c:strCache>
            </c:strRef>
          </c:tx>
          <c:spPr>
            <a:ln>
              <a:solidFill>
                <a:srgbClr val="FF0000"/>
              </a:solidFill>
            </a:ln>
          </c:spPr>
          <c:marker>
            <c:symbol val="none"/>
          </c:marker>
          <c:cat>
            <c:numRef>
              <c:f>'KPI 123'!$E$18:$P$18</c:f>
              <c:numCache>
                <c:formatCode>mmm\-yy</c:formatCode>
                <c:ptCount val="12"/>
                <c:pt idx="0">
                  <c:v>45839</c:v>
                </c:pt>
                <c:pt idx="1">
                  <c:v>45870</c:v>
                </c:pt>
                <c:pt idx="2">
                  <c:v>45901</c:v>
                </c:pt>
                <c:pt idx="3">
                  <c:v>45931</c:v>
                </c:pt>
                <c:pt idx="4">
                  <c:v>45962</c:v>
                </c:pt>
                <c:pt idx="5">
                  <c:v>45992</c:v>
                </c:pt>
                <c:pt idx="6">
                  <c:v>46023</c:v>
                </c:pt>
                <c:pt idx="7">
                  <c:v>46054</c:v>
                </c:pt>
                <c:pt idx="8">
                  <c:v>46082</c:v>
                </c:pt>
                <c:pt idx="9">
                  <c:v>46113</c:v>
                </c:pt>
                <c:pt idx="10">
                  <c:v>46143</c:v>
                </c:pt>
                <c:pt idx="11">
                  <c:v>46174</c:v>
                </c:pt>
              </c:numCache>
            </c:numRef>
          </c:cat>
          <c:val>
            <c:numRef>
              <c:f>'KPI 123'!$E$19:$P$19</c:f>
              <c:numCache>
                <c:formatCode>0</c:formatCode>
                <c:ptCount val="12"/>
                <c:pt idx="0">
                  <c:v>472494.51673396066</c:v>
                </c:pt>
                <c:pt idx="1">
                  <c:v>474547.79860247305</c:v>
                </c:pt>
                <c:pt idx="2">
                  <c:v>476601.20410575392</c:v>
                </c:pt>
                <c:pt idx="3">
                  <c:v>478654.73138353234</c:v>
                </c:pt>
                <c:pt idx="4">
                  <c:v>480708.37861267093</c:v>
                </c:pt>
                <c:pt idx="5">
                  <c:v>482762.14400624548</c:v>
                </c:pt>
                <c:pt idx="6">
                  <c:v>484816.02581264934</c:v>
                </c:pt>
                <c:pt idx="7">
                  <c:v>486870.02231472556</c:v>
                </c:pt>
                <c:pt idx="8">
                  <c:v>488924.13182892435</c:v>
                </c:pt>
                <c:pt idx="9">
                  <c:v>490978.35270448396</c:v>
                </c:pt>
                <c:pt idx="10">
                  <c:v>493032.68332263757</c:v>
                </c:pt>
                <c:pt idx="11">
                  <c:v>495087.12209584104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B30-48D6-8FD8-C722E70D37E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1664896"/>
        <c:axId val="131007232"/>
      </c:lineChart>
      <c:dateAx>
        <c:axId val="131664896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crossAx val="131007232"/>
        <c:crosses val="autoZero"/>
        <c:auto val="1"/>
        <c:lblOffset val="100"/>
        <c:baseTimeUnit val="months"/>
      </c:dateAx>
      <c:valAx>
        <c:axId val="131007232"/>
        <c:scaling>
          <c:orientation val="minMax"/>
        </c:scaling>
        <c:delete val="0"/>
        <c:axPos val="l"/>
        <c:majorGridlines/>
        <c:numFmt formatCode="0" sourceLinked="1"/>
        <c:majorTickMark val="out"/>
        <c:minorTickMark val="none"/>
        <c:tickLblPos val="nextTo"/>
        <c:crossAx val="131664896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000000000000822" l="0.70000000000000062" r="0.70000000000000062" t="0.75000000000000822" header="0.30000000000000032" footer="0.30000000000000032"/>
    <c:pageSetup/>
  </c:printSettings>
</c:chartSpace>
</file>

<file path=xl/charts/chart15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1"/>
          <c:order val="1"/>
          <c:tx>
            <c:strRef>
              <c:f>'KPI 123'!$D$20</c:f>
              <c:strCache>
                <c:ptCount val="1"/>
                <c:pt idx="0">
                  <c:v>Actual 2025-26</c:v>
                </c:pt>
              </c:strCache>
            </c:strRef>
          </c:tx>
          <c:spPr>
            <a:solidFill>
              <a:schemeClr val="accent1"/>
            </a:solidFill>
          </c:spPr>
          <c:invertIfNegative val="0"/>
          <c:cat>
            <c:numRef>
              <c:f>'KPI 123'!$E$18:$P$18</c:f>
              <c:numCache>
                <c:formatCode>mmm\-yy</c:formatCode>
                <c:ptCount val="12"/>
                <c:pt idx="0">
                  <c:v>45839</c:v>
                </c:pt>
                <c:pt idx="1">
                  <c:v>45870</c:v>
                </c:pt>
                <c:pt idx="2">
                  <c:v>45901</c:v>
                </c:pt>
                <c:pt idx="3">
                  <c:v>45931</c:v>
                </c:pt>
                <c:pt idx="4">
                  <c:v>45962</c:v>
                </c:pt>
                <c:pt idx="5">
                  <c:v>45992</c:v>
                </c:pt>
                <c:pt idx="6">
                  <c:v>46023</c:v>
                </c:pt>
                <c:pt idx="7">
                  <c:v>46054</c:v>
                </c:pt>
                <c:pt idx="8">
                  <c:v>46082</c:v>
                </c:pt>
                <c:pt idx="9">
                  <c:v>46113</c:v>
                </c:pt>
                <c:pt idx="10">
                  <c:v>46143</c:v>
                </c:pt>
                <c:pt idx="11">
                  <c:v>46174</c:v>
                </c:pt>
              </c:numCache>
            </c:numRef>
          </c:cat>
          <c:val>
            <c:numRef>
              <c:f>'KPI 123'!$E$20:$P$20</c:f>
              <c:numCache>
                <c:formatCode>0</c:formatCode>
                <c:ptCount val="12"/>
                <c:pt idx="0">
                  <c:v>457647.5</c:v>
                </c:pt>
                <c:pt idx="1">
                  <c:v>470207.5</c:v>
                </c:pt>
                <c:pt idx="2">
                  <c:v>472407.5</c:v>
                </c:pt>
                <c:pt idx="3">
                  <c:v>449707.5</c:v>
                </c:pt>
                <c:pt idx="4">
                  <c:v>371902.5</c:v>
                </c:pt>
                <c:pt idx="5">
                  <c:v>322980</c:v>
                </c:pt>
                <c:pt idx="6">
                  <c:v>572035</c:v>
                </c:pt>
                <c:pt idx="7">
                  <c:v>463900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18C-482B-91DF-FF0337E6A844}"/>
            </c:ext>
          </c:extLst>
        </c:ser>
        <c:ser>
          <c:idx val="4"/>
          <c:order val="2"/>
          <c:tx>
            <c:strRef>
              <c:f>'KPI 123'!$D$21</c:f>
              <c:strCache>
                <c:ptCount val="1"/>
                <c:pt idx="0">
                  <c:v>Actual 2024-25</c:v>
                </c:pt>
              </c:strCache>
            </c:strRef>
          </c:tx>
          <c:spPr>
            <a:solidFill>
              <a:schemeClr val="accent3"/>
            </a:solidFill>
          </c:spPr>
          <c:invertIfNegative val="0"/>
          <c:cat>
            <c:numRef>
              <c:f>'KPI 123'!$E$18:$P$18</c:f>
              <c:numCache>
                <c:formatCode>mmm\-yy</c:formatCode>
                <c:ptCount val="12"/>
                <c:pt idx="0">
                  <c:v>45839</c:v>
                </c:pt>
                <c:pt idx="1">
                  <c:v>45870</c:v>
                </c:pt>
                <c:pt idx="2">
                  <c:v>45901</c:v>
                </c:pt>
                <c:pt idx="3">
                  <c:v>45931</c:v>
                </c:pt>
                <c:pt idx="4">
                  <c:v>45962</c:v>
                </c:pt>
                <c:pt idx="5">
                  <c:v>45992</c:v>
                </c:pt>
                <c:pt idx="6">
                  <c:v>46023</c:v>
                </c:pt>
                <c:pt idx="7">
                  <c:v>46054</c:v>
                </c:pt>
                <c:pt idx="8">
                  <c:v>46082</c:v>
                </c:pt>
                <c:pt idx="9">
                  <c:v>46113</c:v>
                </c:pt>
                <c:pt idx="10">
                  <c:v>46143</c:v>
                </c:pt>
                <c:pt idx="11">
                  <c:v>46174</c:v>
                </c:pt>
              </c:numCache>
            </c:numRef>
          </c:cat>
          <c:val>
            <c:numRef>
              <c:f>'KPI 123'!$E$21:$P$21</c:f>
              <c:numCache>
                <c:formatCode>0</c:formatCode>
                <c:ptCount val="12"/>
                <c:pt idx="0">
                  <c:v>295062.90000000002</c:v>
                </c:pt>
                <c:pt idx="1">
                  <c:v>386582.75</c:v>
                </c:pt>
                <c:pt idx="2">
                  <c:v>352413.75</c:v>
                </c:pt>
                <c:pt idx="3">
                  <c:v>352298.75</c:v>
                </c:pt>
                <c:pt idx="4">
                  <c:v>369135.5</c:v>
                </c:pt>
                <c:pt idx="5">
                  <c:v>198469.5</c:v>
                </c:pt>
                <c:pt idx="6">
                  <c:v>366123</c:v>
                </c:pt>
                <c:pt idx="7">
                  <c:v>400295.25</c:v>
                </c:pt>
                <c:pt idx="8">
                  <c:v>427482.75</c:v>
                </c:pt>
                <c:pt idx="9">
                  <c:v>357912.5</c:v>
                </c:pt>
                <c:pt idx="10">
                  <c:v>512857.5</c:v>
                </c:pt>
                <c:pt idx="11">
                  <c:v>576622.5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18C-482B-91DF-FF0337E6A84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31664896"/>
        <c:axId val="131007232"/>
      </c:barChart>
      <c:lineChart>
        <c:grouping val="standard"/>
        <c:varyColors val="0"/>
        <c:ser>
          <c:idx val="0"/>
          <c:order val="0"/>
          <c:tx>
            <c:strRef>
              <c:f>'KPI 123'!$D$19</c:f>
              <c:strCache>
                <c:ptCount val="1"/>
                <c:pt idx="0">
                  <c:v>Budget 2025-26</c:v>
                </c:pt>
              </c:strCache>
            </c:strRef>
          </c:tx>
          <c:spPr>
            <a:ln>
              <a:solidFill>
                <a:srgbClr val="FF0000"/>
              </a:solidFill>
            </a:ln>
          </c:spPr>
          <c:marker>
            <c:symbol val="none"/>
          </c:marker>
          <c:cat>
            <c:numRef>
              <c:f>'KPI 123'!$E$18:$P$18</c:f>
              <c:numCache>
                <c:formatCode>mmm\-yy</c:formatCode>
                <c:ptCount val="12"/>
                <c:pt idx="0">
                  <c:v>45839</c:v>
                </c:pt>
                <c:pt idx="1">
                  <c:v>45870</c:v>
                </c:pt>
                <c:pt idx="2">
                  <c:v>45901</c:v>
                </c:pt>
                <c:pt idx="3">
                  <c:v>45931</c:v>
                </c:pt>
                <c:pt idx="4">
                  <c:v>45962</c:v>
                </c:pt>
                <c:pt idx="5">
                  <c:v>45992</c:v>
                </c:pt>
                <c:pt idx="6">
                  <c:v>46023</c:v>
                </c:pt>
                <c:pt idx="7">
                  <c:v>46054</c:v>
                </c:pt>
                <c:pt idx="8">
                  <c:v>46082</c:v>
                </c:pt>
                <c:pt idx="9">
                  <c:v>46113</c:v>
                </c:pt>
                <c:pt idx="10">
                  <c:v>46143</c:v>
                </c:pt>
                <c:pt idx="11">
                  <c:v>46174</c:v>
                </c:pt>
              </c:numCache>
            </c:numRef>
          </c:cat>
          <c:val>
            <c:numRef>
              <c:f>'KPI 123'!$E$19:$P$19</c:f>
              <c:numCache>
                <c:formatCode>0</c:formatCode>
                <c:ptCount val="12"/>
                <c:pt idx="0">
                  <c:v>472494.51673396066</c:v>
                </c:pt>
                <c:pt idx="1">
                  <c:v>474547.79860247305</c:v>
                </c:pt>
                <c:pt idx="2">
                  <c:v>476601.20410575392</c:v>
                </c:pt>
                <c:pt idx="3">
                  <c:v>478654.73138353234</c:v>
                </c:pt>
                <c:pt idx="4">
                  <c:v>480708.37861267093</c:v>
                </c:pt>
                <c:pt idx="5">
                  <c:v>482762.14400624548</c:v>
                </c:pt>
                <c:pt idx="6">
                  <c:v>484816.02581264934</c:v>
                </c:pt>
                <c:pt idx="7">
                  <c:v>486870.02231472556</c:v>
                </c:pt>
                <c:pt idx="8">
                  <c:v>488924.13182892435</c:v>
                </c:pt>
                <c:pt idx="9">
                  <c:v>490978.35270448396</c:v>
                </c:pt>
                <c:pt idx="10">
                  <c:v>493032.68332263757</c:v>
                </c:pt>
                <c:pt idx="11">
                  <c:v>495087.12209584104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18C-482B-91DF-FF0337E6A84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1664896"/>
        <c:axId val="131007232"/>
      </c:lineChart>
      <c:dateAx>
        <c:axId val="131664896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crossAx val="131007232"/>
        <c:crosses val="autoZero"/>
        <c:auto val="1"/>
        <c:lblOffset val="100"/>
        <c:baseTimeUnit val="months"/>
      </c:dateAx>
      <c:valAx>
        <c:axId val="131007232"/>
        <c:scaling>
          <c:orientation val="minMax"/>
        </c:scaling>
        <c:delete val="0"/>
        <c:axPos val="l"/>
        <c:majorGridlines/>
        <c:numFmt formatCode="0" sourceLinked="1"/>
        <c:majorTickMark val="out"/>
        <c:minorTickMark val="none"/>
        <c:tickLblPos val="nextTo"/>
        <c:crossAx val="131664896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000000000000822" l="0.70000000000000062" r="0.70000000000000062" t="0.75000000000000822" header="0.30000000000000032" footer="0.30000000000000032"/>
    <c:pageSetup/>
  </c:printSettings>
</c:chartSpace>
</file>

<file path=xl/charts/chart15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1"/>
          <c:order val="1"/>
          <c:tx>
            <c:strRef>
              <c:f>'KPI 124'!$D$20</c:f>
              <c:strCache>
                <c:ptCount val="1"/>
                <c:pt idx="0">
                  <c:v>Actual 2025-26</c:v>
                </c:pt>
              </c:strCache>
            </c:strRef>
          </c:tx>
          <c:spPr>
            <a:solidFill>
              <a:schemeClr val="accent1"/>
            </a:solidFill>
          </c:spPr>
          <c:invertIfNegative val="0"/>
          <c:cat>
            <c:numRef>
              <c:f>'KPI 124'!$E$18:$P$18</c:f>
              <c:numCache>
                <c:formatCode>mmm\-yy</c:formatCode>
                <c:ptCount val="12"/>
                <c:pt idx="0">
                  <c:v>45839</c:v>
                </c:pt>
                <c:pt idx="1">
                  <c:v>45870</c:v>
                </c:pt>
                <c:pt idx="2">
                  <c:v>45901</c:v>
                </c:pt>
                <c:pt idx="3">
                  <c:v>45931</c:v>
                </c:pt>
                <c:pt idx="4">
                  <c:v>45962</c:v>
                </c:pt>
                <c:pt idx="5">
                  <c:v>45992</c:v>
                </c:pt>
                <c:pt idx="6">
                  <c:v>46023</c:v>
                </c:pt>
                <c:pt idx="7">
                  <c:v>46054</c:v>
                </c:pt>
                <c:pt idx="8">
                  <c:v>46082</c:v>
                </c:pt>
                <c:pt idx="9">
                  <c:v>46113</c:v>
                </c:pt>
                <c:pt idx="10">
                  <c:v>46143</c:v>
                </c:pt>
                <c:pt idx="11">
                  <c:v>46174</c:v>
                </c:pt>
              </c:numCache>
            </c:numRef>
          </c:cat>
          <c:val>
            <c:numRef>
              <c:f>'KPI 124'!$E$20:$P$20</c:f>
              <c:numCache>
                <c:formatCode>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7DE-4F17-8ABB-735B3E1CB40D}"/>
            </c:ext>
          </c:extLst>
        </c:ser>
        <c:ser>
          <c:idx val="4"/>
          <c:order val="2"/>
          <c:tx>
            <c:strRef>
              <c:f>'KPI 124'!$D$21</c:f>
              <c:strCache>
                <c:ptCount val="1"/>
                <c:pt idx="0">
                  <c:v>Actual 2024-25</c:v>
                </c:pt>
              </c:strCache>
            </c:strRef>
          </c:tx>
          <c:spPr>
            <a:solidFill>
              <a:schemeClr val="accent3"/>
            </a:solidFill>
          </c:spPr>
          <c:invertIfNegative val="0"/>
          <c:cat>
            <c:numRef>
              <c:f>'KPI 124'!$E$18:$P$18</c:f>
              <c:numCache>
                <c:formatCode>mmm\-yy</c:formatCode>
                <c:ptCount val="12"/>
                <c:pt idx="0">
                  <c:v>45839</c:v>
                </c:pt>
                <c:pt idx="1">
                  <c:v>45870</c:v>
                </c:pt>
                <c:pt idx="2">
                  <c:v>45901</c:v>
                </c:pt>
                <c:pt idx="3">
                  <c:v>45931</c:v>
                </c:pt>
                <c:pt idx="4">
                  <c:v>45962</c:v>
                </c:pt>
                <c:pt idx="5">
                  <c:v>45992</c:v>
                </c:pt>
                <c:pt idx="6">
                  <c:v>46023</c:v>
                </c:pt>
                <c:pt idx="7">
                  <c:v>46054</c:v>
                </c:pt>
                <c:pt idx="8">
                  <c:v>46082</c:v>
                </c:pt>
                <c:pt idx="9">
                  <c:v>46113</c:v>
                </c:pt>
                <c:pt idx="10">
                  <c:v>46143</c:v>
                </c:pt>
                <c:pt idx="11">
                  <c:v>46174</c:v>
                </c:pt>
              </c:numCache>
            </c:numRef>
          </c:cat>
          <c:val>
            <c:numRef>
              <c:f>'KPI 124'!$E$21:$P$21</c:f>
              <c:numCache>
                <c:formatCode>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7DE-4F17-8ABB-735B3E1CB40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32059520"/>
        <c:axId val="132061056"/>
      </c:barChart>
      <c:lineChart>
        <c:grouping val="standard"/>
        <c:varyColors val="0"/>
        <c:ser>
          <c:idx val="0"/>
          <c:order val="0"/>
          <c:tx>
            <c:strRef>
              <c:f>'KPI 124'!$D$19</c:f>
              <c:strCache>
                <c:ptCount val="1"/>
                <c:pt idx="0">
                  <c:v>Budget 2025-26</c:v>
                </c:pt>
              </c:strCache>
            </c:strRef>
          </c:tx>
          <c:spPr>
            <a:ln>
              <a:solidFill>
                <a:srgbClr val="FF0000"/>
              </a:solidFill>
            </a:ln>
          </c:spPr>
          <c:marker>
            <c:symbol val="none"/>
          </c:marker>
          <c:cat>
            <c:numRef>
              <c:f>'KPI 124'!$E$18:$P$18</c:f>
              <c:numCache>
                <c:formatCode>mmm\-yy</c:formatCode>
                <c:ptCount val="12"/>
                <c:pt idx="0">
                  <c:v>45839</c:v>
                </c:pt>
                <c:pt idx="1">
                  <c:v>45870</c:v>
                </c:pt>
                <c:pt idx="2">
                  <c:v>45901</c:v>
                </c:pt>
                <c:pt idx="3">
                  <c:v>45931</c:v>
                </c:pt>
                <c:pt idx="4">
                  <c:v>45962</c:v>
                </c:pt>
                <c:pt idx="5">
                  <c:v>45992</c:v>
                </c:pt>
                <c:pt idx="6">
                  <c:v>46023</c:v>
                </c:pt>
                <c:pt idx="7">
                  <c:v>46054</c:v>
                </c:pt>
                <c:pt idx="8">
                  <c:v>46082</c:v>
                </c:pt>
                <c:pt idx="9">
                  <c:v>46113</c:v>
                </c:pt>
                <c:pt idx="10">
                  <c:v>46143</c:v>
                </c:pt>
                <c:pt idx="11">
                  <c:v>46174</c:v>
                </c:pt>
              </c:numCache>
            </c:numRef>
          </c:cat>
          <c:val>
            <c:numRef>
              <c:f>'KPI 124'!$E$19:$P$19</c:f>
              <c:numCache>
                <c:formatCode>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97DE-4F17-8ABB-735B3E1CB40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2059520"/>
        <c:axId val="132061056"/>
      </c:lineChart>
      <c:dateAx>
        <c:axId val="132059520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crossAx val="132061056"/>
        <c:crosses val="autoZero"/>
        <c:auto val="1"/>
        <c:lblOffset val="100"/>
        <c:baseTimeUnit val="months"/>
      </c:dateAx>
      <c:valAx>
        <c:axId val="132061056"/>
        <c:scaling>
          <c:orientation val="minMax"/>
        </c:scaling>
        <c:delete val="0"/>
        <c:axPos val="l"/>
        <c:majorGridlines/>
        <c:numFmt formatCode="0" sourceLinked="1"/>
        <c:majorTickMark val="out"/>
        <c:minorTickMark val="none"/>
        <c:tickLblPos val="nextTo"/>
        <c:crossAx val="13205952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000000000000822" l="0.70000000000000062" r="0.70000000000000062" t="0.75000000000000822" header="0.30000000000000032" footer="0.30000000000000032"/>
    <c:pageSetup/>
  </c:printSettings>
</c:chartSpace>
</file>

<file path=xl/charts/chart15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1"/>
          <c:order val="1"/>
          <c:tx>
            <c:strRef>
              <c:f>'KPI 125'!$D$20</c:f>
              <c:strCache>
                <c:ptCount val="1"/>
                <c:pt idx="0">
                  <c:v>Actual 2025-26</c:v>
                </c:pt>
              </c:strCache>
            </c:strRef>
          </c:tx>
          <c:spPr>
            <a:solidFill>
              <a:schemeClr val="accent1"/>
            </a:solidFill>
          </c:spPr>
          <c:invertIfNegative val="0"/>
          <c:cat>
            <c:numRef>
              <c:f>'KPI 125'!$E$18:$P$18</c:f>
              <c:numCache>
                <c:formatCode>mmm\-yy</c:formatCode>
                <c:ptCount val="12"/>
                <c:pt idx="0">
                  <c:v>45839</c:v>
                </c:pt>
                <c:pt idx="1">
                  <c:v>45870</c:v>
                </c:pt>
                <c:pt idx="2">
                  <c:v>45901</c:v>
                </c:pt>
                <c:pt idx="3">
                  <c:v>45931</c:v>
                </c:pt>
                <c:pt idx="4">
                  <c:v>45962</c:v>
                </c:pt>
                <c:pt idx="5">
                  <c:v>45992</c:v>
                </c:pt>
                <c:pt idx="6">
                  <c:v>46023</c:v>
                </c:pt>
                <c:pt idx="7">
                  <c:v>46054</c:v>
                </c:pt>
                <c:pt idx="8">
                  <c:v>46082</c:v>
                </c:pt>
                <c:pt idx="9">
                  <c:v>46113</c:v>
                </c:pt>
                <c:pt idx="10">
                  <c:v>46143</c:v>
                </c:pt>
                <c:pt idx="11">
                  <c:v>46174</c:v>
                </c:pt>
              </c:numCache>
            </c:numRef>
          </c:cat>
          <c:val>
            <c:numRef>
              <c:f>'KPI 125'!$E$20:$P$20</c:f>
              <c:numCache>
                <c:formatCode>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92B-43B3-A2E0-5C45E7A6B497}"/>
            </c:ext>
          </c:extLst>
        </c:ser>
        <c:ser>
          <c:idx val="4"/>
          <c:order val="2"/>
          <c:tx>
            <c:strRef>
              <c:f>'KPI 125'!$D$21</c:f>
              <c:strCache>
                <c:ptCount val="1"/>
                <c:pt idx="0">
                  <c:v>Actual 2024-25</c:v>
                </c:pt>
              </c:strCache>
            </c:strRef>
          </c:tx>
          <c:spPr>
            <a:solidFill>
              <a:schemeClr val="accent3"/>
            </a:solidFill>
          </c:spPr>
          <c:invertIfNegative val="0"/>
          <c:cat>
            <c:numRef>
              <c:f>'KPI 125'!$E$18:$P$18</c:f>
              <c:numCache>
                <c:formatCode>mmm\-yy</c:formatCode>
                <c:ptCount val="12"/>
                <c:pt idx="0">
                  <c:v>45839</c:v>
                </c:pt>
                <c:pt idx="1">
                  <c:v>45870</c:v>
                </c:pt>
                <c:pt idx="2">
                  <c:v>45901</c:v>
                </c:pt>
                <c:pt idx="3">
                  <c:v>45931</c:v>
                </c:pt>
                <c:pt idx="4">
                  <c:v>45962</c:v>
                </c:pt>
                <c:pt idx="5">
                  <c:v>45992</c:v>
                </c:pt>
                <c:pt idx="6">
                  <c:v>46023</c:v>
                </c:pt>
                <c:pt idx="7">
                  <c:v>46054</c:v>
                </c:pt>
                <c:pt idx="8">
                  <c:v>46082</c:v>
                </c:pt>
                <c:pt idx="9">
                  <c:v>46113</c:v>
                </c:pt>
                <c:pt idx="10">
                  <c:v>46143</c:v>
                </c:pt>
                <c:pt idx="11">
                  <c:v>46174</c:v>
                </c:pt>
              </c:numCache>
            </c:numRef>
          </c:cat>
          <c:val>
            <c:numRef>
              <c:f>'KPI 125'!$E$21:$P$21</c:f>
              <c:numCache>
                <c:formatCode>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92B-43B3-A2E0-5C45E7A6B49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31847680"/>
        <c:axId val="131849216"/>
      </c:barChart>
      <c:lineChart>
        <c:grouping val="standard"/>
        <c:varyColors val="0"/>
        <c:ser>
          <c:idx val="0"/>
          <c:order val="0"/>
          <c:tx>
            <c:strRef>
              <c:f>'KPI 125'!$D$19</c:f>
              <c:strCache>
                <c:ptCount val="1"/>
                <c:pt idx="0">
                  <c:v>Budget 2025-26</c:v>
                </c:pt>
              </c:strCache>
            </c:strRef>
          </c:tx>
          <c:spPr>
            <a:ln>
              <a:solidFill>
                <a:srgbClr val="FF0000"/>
              </a:solidFill>
            </a:ln>
          </c:spPr>
          <c:marker>
            <c:symbol val="none"/>
          </c:marker>
          <c:cat>
            <c:numRef>
              <c:f>'KPI 125'!$E$18:$P$18</c:f>
              <c:numCache>
                <c:formatCode>mmm\-yy</c:formatCode>
                <c:ptCount val="12"/>
                <c:pt idx="0">
                  <c:v>45839</c:v>
                </c:pt>
                <c:pt idx="1">
                  <c:v>45870</c:v>
                </c:pt>
                <c:pt idx="2">
                  <c:v>45901</c:v>
                </c:pt>
                <c:pt idx="3">
                  <c:v>45931</c:v>
                </c:pt>
                <c:pt idx="4">
                  <c:v>45962</c:v>
                </c:pt>
                <c:pt idx="5">
                  <c:v>45992</c:v>
                </c:pt>
                <c:pt idx="6">
                  <c:v>46023</c:v>
                </c:pt>
                <c:pt idx="7">
                  <c:v>46054</c:v>
                </c:pt>
                <c:pt idx="8">
                  <c:v>46082</c:v>
                </c:pt>
                <c:pt idx="9">
                  <c:v>46113</c:v>
                </c:pt>
                <c:pt idx="10">
                  <c:v>46143</c:v>
                </c:pt>
                <c:pt idx="11">
                  <c:v>46174</c:v>
                </c:pt>
              </c:numCache>
            </c:numRef>
          </c:cat>
          <c:val>
            <c:numRef>
              <c:f>'KPI 125'!$E$19:$P$19</c:f>
              <c:numCache>
                <c:formatCode>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92B-43B3-A2E0-5C45E7A6B49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1847680"/>
        <c:axId val="131849216"/>
      </c:lineChart>
      <c:dateAx>
        <c:axId val="131847680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crossAx val="131849216"/>
        <c:crosses val="autoZero"/>
        <c:auto val="1"/>
        <c:lblOffset val="100"/>
        <c:baseTimeUnit val="months"/>
      </c:dateAx>
      <c:valAx>
        <c:axId val="131849216"/>
        <c:scaling>
          <c:orientation val="minMax"/>
        </c:scaling>
        <c:delete val="0"/>
        <c:axPos val="l"/>
        <c:majorGridlines/>
        <c:numFmt formatCode="0" sourceLinked="1"/>
        <c:majorTickMark val="out"/>
        <c:minorTickMark val="none"/>
        <c:tickLblPos val="nextTo"/>
        <c:crossAx val="13184768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000000000000822" l="0.70000000000000062" r="0.70000000000000062" t="0.75000000000000822" header="0.30000000000000032" footer="0.30000000000000032"/>
    <c:pageSetup/>
  </c:printSettings>
</c:chartSpace>
</file>

<file path=xl/charts/chart15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1"/>
          <c:order val="1"/>
          <c:tx>
            <c:strRef>
              <c:f>'KPI 126'!$D$20</c:f>
              <c:strCache>
                <c:ptCount val="1"/>
                <c:pt idx="0">
                  <c:v>Actual 2025-26</c:v>
                </c:pt>
              </c:strCache>
            </c:strRef>
          </c:tx>
          <c:spPr>
            <a:solidFill>
              <a:schemeClr val="accent1"/>
            </a:solidFill>
          </c:spPr>
          <c:invertIfNegative val="0"/>
          <c:cat>
            <c:numRef>
              <c:f>'KPI 126'!$E$18:$P$18</c:f>
              <c:numCache>
                <c:formatCode>mmm\-yy</c:formatCode>
                <c:ptCount val="12"/>
                <c:pt idx="0">
                  <c:v>45839</c:v>
                </c:pt>
                <c:pt idx="1">
                  <c:v>45870</c:v>
                </c:pt>
                <c:pt idx="2">
                  <c:v>45901</c:v>
                </c:pt>
                <c:pt idx="3">
                  <c:v>45931</c:v>
                </c:pt>
                <c:pt idx="4">
                  <c:v>45962</c:v>
                </c:pt>
                <c:pt idx="5">
                  <c:v>45992</c:v>
                </c:pt>
                <c:pt idx="6">
                  <c:v>46023</c:v>
                </c:pt>
                <c:pt idx="7">
                  <c:v>46054</c:v>
                </c:pt>
                <c:pt idx="8">
                  <c:v>46082</c:v>
                </c:pt>
                <c:pt idx="9">
                  <c:v>46113</c:v>
                </c:pt>
                <c:pt idx="10">
                  <c:v>46143</c:v>
                </c:pt>
                <c:pt idx="11">
                  <c:v>46174</c:v>
                </c:pt>
              </c:numCache>
            </c:numRef>
          </c:cat>
          <c:val>
            <c:numRef>
              <c:f>'KPI 126'!$E$20:$P$20</c:f>
              <c:numCache>
                <c:formatCode>0</c:formatCode>
                <c:ptCount val="12"/>
                <c:pt idx="0">
                  <c:v>146435</c:v>
                </c:pt>
                <c:pt idx="1">
                  <c:v>173295</c:v>
                </c:pt>
                <c:pt idx="2">
                  <c:v>145988</c:v>
                </c:pt>
                <c:pt idx="3">
                  <c:v>171125</c:v>
                </c:pt>
                <c:pt idx="4">
                  <c:v>135132</c:v>
                </c:pt>
                <c:pt idx="5">
                  <c:v>131036</c:v>
                </c:pt>
                <c:pt idx="6">
                  <c:v>200570</c:v>
                </c:pt>
                <c:pt idx="7">
                  <c:v>172265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E15-41EB-A2EC-574E1A59E3A6}"/>
            </c:ext>
          </c:extLst>
        </c:ser>
        <c:ser>
          <c:idx val="4"/>
          <c:order val="2"/>
          <c:tx>
            <c:strRef>
              <c:f>'KPI 126'!$D$21</c:f>
              <c:strCache>
                <c:ptCount val="1"/>
                <c:pt idx="0">
                  <c:v>Actual 2024-25</c:v>
                </c:pt>
              </c:strCache>
            </c:strRef>
          </c:tx>
          <c:spPr>
            <a:solidFill>
              <a:schemeClr val="accent3"/>
            </a:solidFill>
          </c:spPr>
          <c:invertIfNegative val="0"/>
          <c:cat>
            <c:numRef>
              <c:f>'KPI 126'!$E$18:$P$18</c:f>
              <c:numCache>
                <c:formatCode>mmm\-yy</c:formatCode>
                <c:ptCount val="12"/>
                <c:pt idx="0">
                  <c:v>45839</c:v>
                </c:pt>
                <c:pt idx="1">
                  <c:v>45870</c:v>
                </c:pt>
                <c:pt idx="2">
                  <c:v>45901</c:v>
                </c:pt>
                <c:pt idx="3">
                  <c:v>45931</c:v>
                </c:pt>
                <c:pt idx="4">
                  <c:v>45962</c:v>
                </c:pt>
                <c:pt idx="5">
                  <c:v>45992</c:v>
                </c:pt>
                <c:pt idx="6">
                  <c:v>46023</c:v>
                </c:pt>
                <c:pt idx="7">
                  <c:v>46054</c:v>
                </c:pt>
                <c:pt idx="8">
                  <c:v>46082</c:v>
                </c:pt>
                <c:pt idx="9">
                  <c:v>46113</c:v>
                </c:pt>
                <c:pt idx="10">
                  <c:v>46143</c:v>
                </c:pt>
                <c:pt idx="11">
                  <c:v>46174</c:v>
                </c:pt>
              </c:numCache>
            </c:numRef>
          </c:cat>
          <c:val>
            <c:numRef>
              <c:f>'KPI 126'!$E$21:$P$21</c:f>
              <c:numCache>
                <c:formatCode>0</c:formatCode>
                <c:ptCount val="12"/>
                <c:pt idx="0">
                  <c:v>141416</c:v>
                </c:pt>
                <c:pt idx="1">
                  <c:v>168508</c:v>
                </c:pt>
                <c:pt idx="2">
                  <c:v>163668</c:v>
                </c:pt>
                <c:pt idx="3">
                  <c:v>160893</c:v>
                </c:pt>
                <c:pt idx="4">
                  <c:v>179892</c:v>
                </c:pt>
                <c:pt idx="5">
                  <c:v>116560</c:v>
                </c:pt>
                <c:pt idx="6">
                  <c:v>184451</c:v>
                </c:pt>
                <c:pt idx="7">
                  <c:v>165478</c:v>
                </c:pt>
                <c:pt idx="8">
                  <c:v>175998</c:v>
                </c:pt>
                <c:pt idx="9">
                  <c:v>135488</c:v>
                </c:pt>
                <c:pt idx="10">
                  <c:v>153694</c:v>
                </c:pt>
                <c:pt idx="11">
                  <c:v>164911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E15-41EB-A2EC-574E1A59E3A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34504832"/>
        <c:axId val="134507520"/>
      </c:barChart>
      <c:lineChart>
        <c:grouping val="standard"/>
        <c:varyColors val="0"/>
        <c:ser>
          <c:idx val="0"/>
          <c:order val="0"/>
          <c:tx>
            <c:strRef>
              <c:f>'KPI 126'!$D$19</c:f>
              <c:strCache>
                <c:ptCount val="1"/>
                <c:pt idx="0">
                  <c:v>Budget 2025-26</c:v>
                </c:pt>
              </c:strCache>
            </c:strRef>
          </c:tx>
          <c:spPr>
            <a:ln>
              <a:solidFill>
                <a:srgbClr val="FF0000"/>
              </a:solidFill>
            </a:ln>
          </c:spPr>
          <c:marker>
            <c:symbol val="none"/>
          </c:marker>
          <c:cat>
            <c:numRef>
              <c:f>'KPI 126'!$E$18:$P$18</c:f>
              <c:numCache>
                <c:formatCode>mmm\-yy</c:formatCode>
                <c:ptCount val="12"/>
                <c:pt idx="0">
                  <c:v>45839</c:v>
                </c:pt>
                <c:pt idx="1">
                  <c:v>45870</c:v>
                </c:pt>
                <c:pt idx="2">
                  <c:v>45901</c:v>
                </c:pt>
                <c:pt idx="3">
                  <c:v>45931</c:v>
                </c:pt>
                <c:pt idx="4">
                  <c:v>45962</c:v>
                </c:pt>
                <c:pt idx="5">
                  <c:v>45992</c:v>
                </c:pt>
                <c:pt idx="6">
                  <c:v>46023</c:v>
                </c:pt>
                <c:pt idx="7">
                  <c:v>46054</c:v>
                </c:pt>
                <c:pt idx="8">
                  <c:v>46082</c:v>
                </c:pt>
                <c:pt idx="9">
                  <c:v>46113</c:v>
                </c:pt>
                <c:pt idx="10">
                  <c:v>46143</c:v>
                </c:pt>
                <c:pt idx="11">
                  <c:v>46174</c:v>
                </c:pt>
              </c:numCache>
            </c:numRef>
          </c:cat>
          <c:val>
            <c:numRef>
              <c:f>'KPI 126'!$E$19:$P$19</c:f>
              <c:numCache>
                <c:formatCode>0</c:formatCode>
                <c:ptCount val="12"/>
                <c:pt idx="0">
                  <c:v>162967.7442335966</c:v>
                </c:pt>
                <c:pt idx="1">
                  <c:v>164996.22762758762</c:v>
                </c:pt>
                <c:pt idx="2">
                  <c:v>167133.6122432423</c:v>
                </c:pt>
                <c:pt idx="3">
                  <c:v>170794.24754748362</c:v>
                </c:pt>
                <c:pt idx="4">
                  <c:v>174251.4018390667</c:v>
                </c:pt>
                <c:pt idx="5">
                  <c:v>177638.11139871617</c:v>
                </c:pt>
                <c:pt idx="6">
                  <c:v>180823.43914382733</c:v>
                </c:pt>
                <c:pt idx="7">
                  <c:v>183888.91262962579</c:v>
                </c:pt>
                <c:pt idx="8">
                  <c:v>186764.48642215959</c:v>
                </c:pt>
                <c:pt idx="9">
                  <c:v>189206.27401245051</c:v>
                </c:pt>
                <c:pt idx="10">
                  <c:v>191648.06160274136</c:v>
                </c:pt>
                <c:pt idx="11">
                  <c:v>194059.95820076609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8E15-41EB-A2EC-574E1A59E3A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4504832"/>
        <c:axId val="134507520"/>
      </c:lineChart>
      <c:dateAx>
        <c:axId val="134504832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crossAx val="134507520"/>
        <c:crosses val="autoZero"/>
        <c:auto val="1"/>
        <c:lblOffset val="100"/>
        <c:baseTimeUnit val="months"/>
      </c:dateAx>
      <c:valAx>
        <c:axId val="134507520"/>
        <c:scaling>
          <c:orientation val="minMax"/>
        </c:scaling>
        <c:delete val="0"/>
        <c:axPos val="l"/>
        <c:majorGridlines/>
        <c:numFmt formatCode="0" sourceLinked="1"/>
        <c:majorTickMark val="out"/>
        <c:minorTickMark val="none"/>
        <c:tickLblPos val="nextTo"/>
        <c:crossAx val="134504832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000000000000822" l="0.70000000000000062" r="0.70000000000000062" t="0.75000000000000822" header="0.30000000000000032" footer="0.30000000000000032"/>
    <c:pageSetup/>
  </c:printSettings>
</c:chartSpace>
</file>

<file path=xl/charts/chart15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1"/>
          <c:order val="1"/>
          <c:tx>
            <c:strRef>
              <c:f>'KPI 126'!$D$20</c:f>
              <c:strCache>
                <c:ptCount val="1"/>
                <c:pt idx="0">
                  <c:v>Actual 2025-26</c:v>
                </c:pt>
              </c:strCache>
            </c:strRef>
          </c:tx>
          <c:spPr>
            <a:solidFill>
              <a:schemeClr val="accent1"/>
            </a:solidFill>
          </c:spPr>
          <c:invertIfNegative val="0"/>
          <c:cat>
            <c:numRef>
              <c:f>'KPI 126'!$E$18:$P$18</c:f>
              <c:numCache>
                <c:formatCode>mmm\-yy</c:formatCode>
                <c:ptCount val="12"/>
                <c:pt idx="0">
                  <c:v>45839</c:v>
                </c:pt>
                <c:pt idx="1">
                  <c:v>45870</c:v>
                </c:pt>
                <c:pt idx="2">
                  <c:v>45901</c:v>
                </c:pt>
                <c:pt idx="3">
                  <c:v>45931</c:v>
                </c:pt>
                <c:pt idx="4">
                  <c:v>45962</c:v>
                </c:pt>
                <c:pt idx="5">
                  <c:v>45992</c:v>
                </c:pt>
                <c:pt idx="6">
                  <c:v>46023</c:v>
                </c:pt>
                <c:pt idx="7">
                  <c:v>46054</c:v>
                </c:pt>
                <c:pt idx="8">
                  <c:v>46082</c:v>
                </c:pt>
                <c:pt idx="9">
                  <c:v>46113</c:v>
                </c:pt>
                <c:pt idx="10">
                  <c:v>46143</c:v>
                </c:pt>
                <c:pt idx="11">
                  <c:v>46174</c:v>
                </c:pt>
              </c:numCache>
            </c:numRef>
          </c:cat>
          <c:val>
            <c:numRef>
              <c:f>'KPI 126'!$E$20:$P$20</c:f>
              <c:numCache>
                <c:formatCode>0</c:formatCode>
                <c:ptCount val="12"/>
                <c:pt idx="0">
                  <c:v>146435</c:v>
                </c:pt>
                <c:pt idx="1">
                  <c:v>173295</c:v>
                </c:pt>
                <c:pt idx="2">
                  <c:v>145988</c:v>
                </c:pt>
                <c:pt idx="3">
                  <c:v>171125</c:v>
                </c:pt>
                <c:pt idx="4">
                  <c:v>135132</c:v>
                </c:pt>
                <c:pt idx="5">
                  <c:v>131036</c:v>
                </c:pt>
                <c:pt idx="6">
                  <c:v>200570</c:v>
                </c:pt>
                <c:pt idx="7">
                  <c:v>172265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E15-41EB-A2EC-574E1A59E3A6}"/>
            </c:ext>
          </c:extLst>
        </c:ser>
        <c:ser>
          <c:idx val="4"/>
          <c:order val="2"/>
          <c:tx>
            <c:strRef>
              <c:f>'KPI 126'!$D$21</c:f>
              <c:strCache>
                <c:ptCount val="1"/>
                <c:pt idx="0">
                  <c:v>Actual 2024-25</c:v>
                </c:pt>
              </c:strCache>
            </c:strRef>
          </c:tx>
          <c:spPr>
            <a:solidFill>
              <a:schemeClr val="accent3"/>
            </a:solidFill>
          </c:spPr>
          <c:invertIfNegative val="0"/>
          <c:cat>
            <c:numRef>
              <c:f>'KPI 126'!$E$18:$P$18</c:f>
              <c:numCache>
                <c:formatCode>mmm\-yy</c:formatCode>
                <c:ptCount val="12"/>
                <c:pt idx="0">
                  <c:v>45839</c:v>
                </c:pt>
                <c:pt idx="1">
                  <c:v>45870</c:v>
                </c:pt>
                <c:pt idx="2">
                  <c:v>45901</c:v>
                </c:pt>
                <c:pt idx="3">
                  <c:v>45931</c:v>
                </c:pt>
                <c:pt idx="4">
                  <c:v>45962</c:v>
                </c:pt>
                <c:pt idx="5">
                  <c:v>45992</c:v>
                </c:pt>
                <c:pt idx="6">
                  <c:v>46023</c:v>
                </c:pt>
                <c:pt idx="7">
                  <c:v>46054</c:v>
                </c:pt>
                <c:pt idx="8">
                  <c:v>46082</c:v>
                </c:pt>
                <c:pt idx="9">
                  <c:v>46113</c:v>
                </c:pt>
                <c:pt idx="10">
                  <c:v>46143</c:v>
                </c:pt>
                <c:pt idx="11">
                  <c:v>46174</c:v>
                </c:pt>
              </c:numCache>
            </c:numRef>
          </c:cat>
          <c:val>
            <c:numRef>
              <c:f>'KPI 126'!$E$21:$P$21</c:f>
              <c:numCache>
                <c:formatCode>0</c:formatCode>
                <c:ptCount val="12"/>
                <c:pt idx="0">
                  <c:v>141416</c:v>
                </c:pt>
                <c:pt idx="1">
                  <c:v>168508</c:v>
                </c:pt>
                <c:pt idx="2">
                  <c:v>163668</c:v>
                </c:pt>
                <c:pt idx="3">
                  <c:v>160893</c:v>
                </c:pt>
                <c:pt idx="4">
                  <c:v>179892</c:v>
                </c:pt>
                <c:pt idx="5">
                  <c:v>116560</c:v>
                </c:pt>
                <c:pt idx="6">
                  <c:v>184451</c:v>
                </c:pt>
                <c:pt idx="7">
                  <c:v>165478</c:v>
                </c:pt>
                <c:pt idx="8">
                  <c:v>175998</c:v>
                </c:pt>
                <c:pt idx="9">
                  <c:v>135488</c:v>
                </c:pt>
                <c:pt idx="10">
                  <c:v>153694</c:v>
                </c:pt>
                <c:pt idx="11">
                  <c:v>164911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E15-41EB-A2EC-574E1A59E3A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77987584"/>
        <c:axId val="177989120"/>
      </c:barChart>
      <c:lineChart>
        <c:grouping val="standard"/>
        <c:varyColors val="0"/>
        <c:ser>
          <c:idx val="0"/>
          <c:order val="0"/>
          <c:tx>
            <c:strRef>
              <c:f>'KPI 126'!$D$19</c:f>
              <c:strCache>
                <c:ptCount val="1"/>
                <c:pt idx="0">
                  <c:v>Budget 2025-26</c:v>
                </c:pt>
              </c:strCache>
            </c:strRef>
          </c:tx>
          <c:spPr>
            <a:ln>
              <a:solidFill>
                <a:srgbClr val="FF0000"/>
              </a:solidFill>
            </a:ln>
          </c:spPr>
          <c:marker>
            <c:symbol val="none"/>
          </c:marker>
          <c:cat>
            <c:numRef>
              <c:f>'KPI 126'!$E$18:$P$18</c:f>
              <c:numCache>
                <c:formatCode>mmm\-yy</c:formatCode>
                <c:ptCount val="12"/>
                <c:pt idx="0">
                  <c:v>45839</c:v>
                </c:pt>
                <c:pt idx="1">
                  <c:v>45870</c:v>
                </c:pt>
                <c:pt idx="2">
                  <c:v>45901</c:v>
                </c:pt>
                <c:pt idx="3">
                  <c:v>45931</c:v>
                </c:pt>
                <c:pt idx="4">
                  <c:v>45962</c:v>
                </c:pt>
                <c:pt idx="5">
                  <c:v>45992</c:v>
                </c:pt>
                <c:pt idx="6">
                  <c:v>46023</c:v>
                </c:pt>
                <c:pt idx="7">
                  <c:v>46054</c:v>
                </c:pt>
                <c:pt idx="8">
                  <c:v>46082</c:v>
                </c:pt>
                <c:pt idx="9">
                  <c:v>46113</c:v>
                </c:pt>
                <c:pt idx="10">
                  <c:v>46143</c:v>
                </c:pt>
                <c:pt idx="11">
                  <c:v>46174</c:v>
                </c:pt>
              </c:numCache>
            </c:numRef>
          </c:cat>
          <c:val>
            <c:numRef>
              <c:f>'KPI 126'!$E$19:$P$19</c:f>
              <c:numCache>
                <c:formatCode>0</c:formatCode>
                <c:ptCount val="12"/>
                <c:pt idx="0">
                  <c:v>162967.7442335966</c:v>
                </c:pt>
                <c:pt idx="1">
                  <c:v>164996.22762758762</c:v>
                </c:pt>
                <c:pt idx="2">
                  <c:v>167133.6122432423</c:v>
                </c:pt>
                <c:pt idx="3">
                  <c:v>170794.24754748362</c:v>
                </c:pt>
                <c:pt idx="4">
                  <c:v>174251.4018390667</c:v>
                </c:pt>
                <c:pt idx="5">
                  <c:v>177638.11139871617</c:v>
                </c:pt>
                <c:pt idx="6">
                  <c:v>180823.43914382733</c:v>
                </c:pt>
                <c:pt idx="7">
                  <c:v>183888.91262962579</c:v>
                </c:pt>
                <c:pt idx="8">
                  <c:v>186764.48642215959</c:v>
                </c:pt>
                <c:pt idx="9">
                  <c:v>189206.27401245051</c:v>
                </c:pt>
                <c:pt idx="10">
                  <c:v>191648.06160274136</c:v>
                </c:pt>
                <c:pt idx="11">
                  <c:v>194059.95820076609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8E15-41EB-A2EC-574E1A59E3A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77987584"/>
        <c:axId val="177989120"/>
      </c:lineChart>
      <c:dateAx>
        <c:axId val="177987584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crossAx val="177989120"/>
        <c:crosses val="autoZero"/>
        <c:auto val="1"/>
        <c:lblOffset val="100"/>
        <c:baseTimeUnit val="months"/>
      </c:dateAx>
      <c:valAx>
        <c:axId val="177989120"/>
        <c:scaling>
          <c:orientation val="minMax"/>
        </c:scaling>
        <c:delete val="0"/>
        <c:axPos val="l"/>
        <c:majorGridlines/>
        <c:numFmt formatCode="0" sourceLinked="1"/>
        <c:majorTickMark val="out"/>
        <c:minorTickMark val="none"/>
        <c:tickLblPos val="nextTo"/>
        <c:crossAx val="177987584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000000000000822" l="0.70000000000000062" r="0.70000000000000062" t="0.75000000000000822" header="0.30000000000000032" footer="0.30000000000000032"/>
    <c:pageSetup/>
  </c:printSettings>
</c:chartSpace>
</file>

<file path=xl/charts/chart15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1"/>
          <c:order val="1"/>
          <c:tx>
            <c:strRef>
              <c:f>'KPI 126'!$D$20</c:f>
              <c:strCache>
                <c:ptCount val="1"/>
                <c:pt idx="0">
                  <c:v>Actual 2025-26</c:v>
                </c:pt>
              </c:strCache>
            </c:strRef>
          </c:tx>
          <c:spPr>
            <a:solidFill>
              <a:schemeClr val="accent1"/>
            </a:solidFill>
          </c:spPr>
          <c:invertIfNegative val="0"/>
          <c:cat>
            <c:numRef>
              <c:f>'KPI 126'!$E$18:$P$18</c:f>
              <c:numCache>
                <c:formatCode>mmm\-yy</c:formatCode>
                <c:ptCount val="12"/>
                <c:pt idx="0">
                  <c:v>45839</c:v>
                </c:pt>
                <c:pt idx="1">
                  <c:v>45870</c:v>
                </c:pt>
                <c:pt idx="2">
                  <c:v>45901</c:v>
                </c:pt>
                <c:pt idx="3">
                  <c:v>45931</c:v>
                </c:pt>
                <c:pt idx="4">
                  <c:v>45962</c:v>
                </c:pt>
                <c:pt idx="5">
                  <c:v>45992</c:v>
                </c:pt>
                <c:pt idx="6">
                  <c:v>46023</c:v>
                </c:pt>
                <c:pt idx="7">
                  <c:v>46054</c:v>
                </c:pt>
                <c:pt idx="8">
                  <c:v>46082</c:v>
                </c:pt>
                <c:pt idx="9">
                  <c:v>46113</c:v>
                </c:pt>
                <c:pt idx="10">
                  <c:v>46143</c:v>
                </c:pt>
                <c:pt idx="11">
                  <c:v>46174</c:v>
                </c:pt>
              </c:numCache>
            </c:numRef>
          </c:cat>
          <c:val>
            <c:numRef>
              <c:f>'KPI 126'!$E$20:$P$20</c:f>
              <c:numCache>
                <c:formatCode>0</c:formatCode>
                <c:ptCount val="12"/>
                <c:pt idx="0">
                  <c:v>146435</c:v>
                </c:pt>
                <c:pt idx="1">
                  <c:v>173295</c:v>
                </c:pt>
                <c:pt idx="2">
                  <c:v>145988</c:v>
                </c:pt>
                <c:pt idx="3">
                  <c:v>171125</c:v>
                </c:pt>
                <c:pt idx="4">
                  <c:v>135132</c:v>
                </c:pt>
                <c:pt idx="5">
                  <c:v>131036</c:v>
                </c:pt>
                <c:pt idx="6">
                  <c:v>200570</c:v>
                </c:pt>
                <c:pt idx="7">
                  <c:v>172265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987-42D0-8520-31EF7491750D}"/>
            </c:ext>
          </c:extLst>
        </c:ser>
        <c:ser>
          <c:idx val="4"/>
          <c:order val="2"/>
          <c:tx>
            <c:strRef>
              <c:f>'KPI 126'!$D$21</c:f>
              <c:strCache>
                <c:ptCount val="1"/>
                <c:pt idx="0">
                  <c:v>Actual 2024-25</c:v>
                </c:pt>
              </c:strCache>
            </c:strRef>
          </c:tx>
          <c:spPr>
            <a:solidFill>
              <a:schemeClr val="accent3"/>
            </a:solidFill>
          </c:spPr>
          <c:invertIfNegative val="0"/>
          <c:cat>
            <c:numRef>
              <c:f>'KPI 126'!$E$18:$P$18</c:f>
              <c:numCache>
                <c:formatCode>mmm\-yy</c:formatCode>
                <c:ptCount val="12"/>
                <c:pt idx="0">
                  <c:v>45839</c:v>
                </c:pt>
                <c:pt idx="1">
                  <c:v>45870</c:v>
                </c:pt>
                <c:pt idx="2">
                  <c:v>45901</c:v>
                </c:pt>
                <c:pt idx="3">
                  <c:v>45931</c:v>
                </c:pt>
                <c:pt idx="4">
                  <c:v>45962</c:v>
                </c:pt>
                <c:pt idx="5">
                  <c:v>45992</c:v>
                </c:pt>
                <c:pt idx="6">
                  <c:v>46023</c:v>
                </c:pt>
                <c:pt idx="7">
                  <c:v>46054</c:v>
                </c:pt>
                <c:pt idx="8">
                  <c:v>46082</c:v>
                </c:pt>
                <c:pt idx="9">
                  <c:v>46113</c:v>
                </c:pt>
                <c:pt idx="10">
                  <c:v>46143</c:v>
                </c:pt>
                <c:pt idx="11">
                  <c:v>46174</c:v>
                </c:pt>
              </c:numCache>
            </c:numRef>
          </c:cat>
          <c:val>
            <c:numRef>
              <c:f>'KPI 126'!$E$21:$P$21</c:f>
              <c:numCache>
                <c:formatCode>0</c:formatCode>
                <c:ptCount val="12"/>
                <c:pt idx="0">
                  <c:v>141416</c:v>
                </c:pt>
                <c:pt idx="1">
                  <c:v>168508</c:v>
                </c:pt>
                <c:pt idx="2">
                  <c:v>163668</c:v>
                </c:pt>
                <c:pt idx="3">
                  <c:v>160893</c:v>
                </c:pt>
                <c:pt idx="4">
                  <c:v>179892</c:v>
                </c:pt>
                <c:pt idx="5">
                  <c:v>116560</c:v>
                </c:pt>
                <c:pt idx="6">
                  <c:v>184451</c:v>
                </c:pt>
                <c:pt idx="7">
                  <c:v>165478</c:v>
                </c:pt>
                <c:pt idx="8">
                  <c:v>175998</c:v>
                </c:pt>
                <c:pt idx="9">
                  <c:v>135488</c:v>
                </c:pt>
                <c:pt idx="10">
                  <c:v>153694</c:v>
                </c:pt>
                <c:pt idx="11">
                  <c:v>164911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987-42D0-8520-31EF7491750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84277504"/>
        <c:axId val="86626304"/>
      </c:barChart>
      <c:lineChart>
        <c:grouping val="standard"/>
        <c:varyColors val="0"/>
        <c:ser>
          <c:idx val="0"/>
          <c:order val="0"/>
          <c:tx>
            <c:strRef>
              <c:f>'KPI 126'!$D$19</c:f>
              <c:strCache>
                <c:ptCount val="1"/>
                <c:pt idx="0">
                  <c:v>Budget 2025-26</c:v>
                </c:pt>
              </c:strCache>
            </c:strRef>
          </c:tx>
          <c:spPr>
            <a:ln>
              <a:solidFill>
                <a:srgbClr val="FF0000"/>
              </a:solidFill>
            </a:ln>
          </c:spPr>
          <c:marker>
            <c:symbol val="none"/>
          </c:marker>
          <c:cat>
            <c:numRef>
              <c:f>'KPI 126'!$E$18:$P$18</c:f>
              <c:numCache>
                <c:formatCode>mmm\-yy</c:formatCode>
                <c:ptCount val="12"/>
                <c:pt idx="0">
                  <c:v>45839</c:v>
                </c:pt>
                <c:pt idx="1">
                  <c:v>45870</c:v>
                </c:pt>
                <c:pt idx="2">
                  <c:v>45901</c:v>
                </c:pt>
                <c:pt idx="3">
                  <c:v>45931</c:v>
                </c:pt>
                <c:pt idx="4">
                  <c:v>45962</c:v>
                </c:pt>
                <c:pt idx="5">
                  <c:v>45992</c:v>
                </c:pt>
                <c:pt idx="6">
                  <c:v>46023</c:v>
                </c:pt>
                <c:pt idx="7">
                  <c:v>46054</c:v>
                </c:pt>
                <c:pt idx="8">
                  <c:v>46082</c:v>
                </c:pt>
                <c:pt idx="9">
                  <c:v>46113</c:v>
                </c:pt>
                <c:pt idx="10">
                  <c:v>46143</c:v>
                </c:pt>
                <c:pt idx="11">
                  <c:v>46174</c:v>
                </c:pt>
              </c:numCache>
            </c:numRef>
          </c:cat>
          <c:val>
            <c:numRef>
              <c:f>'KPI 126'!$E$19:$P$19</c:f>
              <c:numCache>
                <c:formatCode>0</c:formatCode>
                <c:ptCount val="12"/>
                <c:pt idx="0">
                  <c:v>162967.7442335966</c:v>
                </c:pt>
                <c:pt idx="1">
                  <c:v>164996.22762758762</c:v>
                </c:pt>
                <c:pt idx="2">
                  <c:v>167133.6122432423</c:v>
                </c:pt>
                <c:pt idx="3">
                  <c:v>170794.24754748362</c:v>
                </c:pt>
                <c:pt idx="4">
                  <c:v>174251.4018390667</c:v>
                </c:pt>
                <c:pt idx="5">
                  <c:v>177638.11139871617</c:v>
                </c:pt>
                <c:pt idx="6">
                  <c:v>180823.43914382733</c:v>
                </c:pt>
                <c:pt idx="7">
                  <c:v>183888.91262962579</c:v>
                </c:pt>
                <c:pt idx="8">
                  <c:v>186764.48642215959</c:v>
                </c:pt>
                <c:pt idx="9">
                  <c:v>189206.27401245051</c:v>
                </c:pt>
                <c:pt idx="10">
                  <c:v>191648.06160274136</c:v>
                </c:pt>
                <c:pt idx="11">
                  <c:v>194059.95820076609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987-42D0-8520-31EF7491750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4277504"/>
        <c:axId val="86626304"/>
      </c:lineChart>
      <c:dateAx>
        <c:axId val="84277504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crossAx val="86626304"/>
        <c:crosses val="autoZero"/>
        <c:auto val="1"/>
        <c:lblOffset val="100"/>
        <c:baseTimeUnit val="months"/>
      </c:dateAx>
      <c:valAx>
        <c:axId val="86626304"/>
        <c:scaling>
          <c:orientation val="minMax"/>
        </c:scaling>
        <c:delete val="0"/>
        <c:axPos val="l"/>
        <c:majorGridlines/>
        <c:numFmt formatCode="0" sourceLinked="1"/>
        <c:majorTickMark val="out"/>
        <c:minorTickMark val="none"/>
        <c:tickLblPos val="nextTo"/>
        <c:crossAx val="84277504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000000000000822" l="0.70000000000000062" r="0.70000000000000062" t="0.75000000000000822" header="0.30000000000000032" footer="0.30000000000000032"/>
    <c:pageSetup/>
  </c:printSettings>
</c:chartSpace>
</file>

<file path=xl/charts/chart16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1"/>
          <c:order val="1"/>
          <c:tx>
            <c:strRef>
              <c:f>'KPI 126'!$D$20</c:f>
              <c:strCache>
                <c:ptCount val="1"/>
                <c:pt idx="0">
                  <c:v>Actual 2025-26</c:v>
                </c:pt>
              </c:strCache>
            </c:strRef>
          </c:tx>
          <c:spPr>
            <a:solidFill>
              <a:schemeClr val="accent1"/>
            </a:solidFill>
          </c:spPr>
          <c:invertIfNegative val="0"/>
          <c:cat>
            <c:numRef>
              <c:f>'KPI 126'!$E$18:$P$18</c:f>
              <c:numCache>
                <c:formatCode>mmm\-yy</c:formatCode>
                <c:ptCount val="12"/>
                <c:pt idx="0">
                  <c:v>45839</c:v>
                </c:pt>
                <c:pt idx="1">
                  <c:v>45870</c:v>
                </c:pt>
                <c:pt idx="2">
                  <c:v>45901</c:v>
                </c:pt>
                <c:pt idx="3">
                  <c:v>45931</c:v>
                </c:pt>
                <c:pt idx="4">
                  <c:v>45962</c:v>
                </c:pt>
                <c:pt idx="5">
                  <c:v>45992</c:v>
                </c:pt>
                <c:pt idx="6">
                  <c:v>46023</c:v>
                </c:pt>
                <c:pt idx="7">
                  <c:v>46054</c:v>
                </c:pt>
                <c:pt idx="8">
                  <c:v>46082</c:v>
                </c:pt>
                <c:pt idx="9">
                  <c:v>46113</c:v>
                </c:pt>
                <c:pt idx="10">
                  <c:v>46143</c:v>
                </c:pt>
                <c:pt idx="11">
                  <c:v>46174</c:v>
                </c:pt>
              </c:numCache>
            </c:numRef>
          </c:cat>
          <c:val>
            <c:numRef>
              <c:f>'KPI 126'!$E$20:$P$20</c:f>
              <c:numCache>
                <c:formatCode>0</c:formatCode>
                <c:ptCount val="12"/>
                <c:pt idx="0">
                  <c:v>146435</c:v>
                </c:pt>
                <c:pt idx="1">
                  <c:v>173295</c:v>
                </c:pt>
                <c:pt idx="2">
                  <c:v>145988</c:v>
                </c:pt>
                <c:pt idx="3">
                  <c:v>171125</c:v>
                </c:pt>
                <c:pt idx="4">
                  <c:v>135132</c:v>
                </c:pt>
                <c:pt idx="5">
                  <c:v>131036</c:v>
                </c:pt>
                <c:pt idx="6">
                  <c:v>200570</c:v>
                </c:pt>
                <c:pt idx="7">
                  <c:v>172265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E15-41EB-A2EC-574E1A59E3A6}"/>
            </c:ext>
          </c:extLst>
        </c:ser>
        <c:ser>
          <c:idx val="4"/>
          <c:order val="2"/>
          <c:tx>
            <c:strRef>
              <c:f>'KPI 126'!$D$21</c:f>
              <c:strCache>
                <c:ptCount val="1"/>
                <c:pt idx="0">
                  <c:v>Actual 2024-25</c:v>
                </c:pt>
              </c:strCache>
            </c:strRef>
          </c:tx>
          <c:spPr>
            <a:solidFill>
              <a:schemeClr val="accent3"/>
            </a:solidFill>
          </c:spPr>
          <c:invertIfNegative val="0"/>
          <c:cat>
            <c:numRef>
              <c:f>'KPI 126'!$E$18:$P$18</c:f>
              <c:numCache>
                <c:formatCode>mmm\-yy</c:formatCode>
                <c:ptCount val="12"/>
                <c:pt idx="0">
                  <c:v>45839</c:v>
                </c:pt>
                <c:pt idx="1">
                  <c:v>45870</c:v>
                </c:pt>
                <c:pt idx="2">
                  <c:v>45901</c:v>
                </c:pt>
                <c:pt idx="3">
                  <c:v>45931</c:v>
                </c:pt>
                <c:pt idx="4">
                  <c:v>45962</c:v>
                </c:pt>
                <c:pt idx="5">
                  <c:v>45992</c:v>
                </c:pt>
                <c:pt idx="6">
                  <c:v>46023</c:v>
                </c:pt>
                <c:pt idx="7">
                  <c:v>46054</c:v>
                </c:pt>
                <c:pt idx="8">
                  <c:v>46082</c:v>
                </c:pt>
                <c:pt idx="9">
                  <c:v>46113</c:v>
                </c:pt>
                <c:pt idx="10">
                  <c:v>46143</c:v>
                </c:pt>
                <c:pt idx="11">
                  <c:v>46174</c:v>
                </c:pt>
              </c:numCache>
            </c:numRef>
          </c:cat>
          <c:val>
            <c:numRef>
              <c:f>'KPI 126'!$E$21:$P$21</c:f>
              <c:numCache>
                <c:formatCode>0</c:formatCode>
                <c:ptCount val="12"/>
                <c:pt idx="0">
                  <c:v>141416</c:v>
                </c:pt>
                <c:pt idx="1">
                  <c:v>168508</c:v>
                </c:pt>
                <c:pt idx="2">
                  <c:v>163668</c:v>
                </c:pt>
                <c:pt idx="3">
                  <c:v>160893</c:v>
                </c:pt>
                <c:pt idx="4">
                  <c:v>179892</c:v>
                </c:pt>
                <c:pt idx="5">
                  <c:v>116560</c:v>
                </c:pt>
                <c:pt idx="6">
                  <c:v>184451</c:v>
                </c:pt>
                <c:pt idx="7">
                  <c:v>165478</c:v>
                </c:pt>
                <c:pt idx="8">
                  <c:v>175998</c:v>
                </c:pt>
                <c:pt idx="9">
                  <c:v>135488</c:v>
                </c:pt>
                <c:pt idx="10">
                  <c:v>153694</c:v>
                </c:pt>
                <c:pt idx="11">
                  <c:v>164911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E15-41EB-A2EC-574E1A59E3A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84277504"/>
        <c:axId val="86626304"/>
      </c:barChart>
      <c:lineChart>
        <c:grouping val="standard"/>
        <c:varyColors val="0"/>
        <c:ser>
          <c:idx val="0"/>
          <c:order val="0"/>
          <c:tx>
            <c:strRef>
              <c:f>'KPI 126'!$D$19</c:f>
              <c:strCache>
                <c:ptCount val="1"/>
                <c:pt idx="0">
                  <c:v>Budget 2025-26</c:v>
                </c:pt>
              </c:strCache>
            </c:strRef>
          </c:tx>
          <c:spPr>
            <a:ln>
              <a:solidFill>
                <a:srgbClr val="FF0000"/>
              </a:solidFill>
            </a:ln>
          </c:spPr>
          <c:marker>
            <c:symbol val="none"/>
          </c:marker>
          <c:cat>
            <c:numRef>
              <c:f>'KPI 126'!$E$18:$P$18</c:f>
              <c:numCache>
                <c:formatCode>mmm\-yy</c:formatCode>
                <c:ptCount val="12"/>
                <c:pt idx="0">
                  <c:v>45839</c:v>
                </c:pt>
                <c:pt idx="1">
                  <c:v>45870</c:v>
                </c:pt>
                <c:pt idx="2">
                  <c:v>45901</c:v>
                </c:pt>
                <c:pt idx="3">
                  <c:v>45931</c:v>
                </c:pt>
                <c:pt idx="4">
                  <c:v>45962</c:v>
                </c:pt>
                <c:pt idx="5">
                  <c:v>45992</c:v>
                </c:pt>
                <c:pt idx="6">
                  <c:v>46023</c:v>
                </c:pt>
                <c:pt idx="7">
                  <c:v>46054</c:v>
                </c:pt>
                <c:pt idx="8">
                  <c:v>46082</c:v>
                </c:pt>
                <c:pt idx="9">
                  <c:v>46113</c:v>
                </c:pt>
                <c:pt idx="10">
                  <c:v>46143</c:v>
                </c:pt>
                <c:pt idx="11">
                  <c:v>46174</c:v>
                </c:pt>
              </c:numCache>
            </c:numRef>
          </c:cat>
          <c:val>
            <c:numRef>
              <c:f>'KPI 126'!$E$19:$P$19</c:f>
              <c:numCache>
                <c:formatCode>0</c:formatCode>
                <c:ptCount val="12"/>
                <c:pt idx="0">
                  <c:v>162967.7442335966</c:v>
                </c:pt>
                <c:pt idx="1">
                  <c:v>164996.22762758762</c:v>
                </c:pt>
                <c:pt idx="2">
                  <c:v>167133.6122432423</c:v>
                </c:pt>
                <c:pt idx="3">
                  <c:v>170794.24754748362</c:v>
                </c:pt>
                <c:pt idx="4">
                  <c:v>174251.4018390667</c:v>
                </c:pt>
                <c:pt idx="5">
                  <c:v>177638.11139871617</c:v>
                </c:pt>
                <c:pt idx="6">
                  <c:v>180823.43914382733</c:v>
                </c:pt>
                <c:pt idx="7">
                  <c:v>183888.91262962579</c:v>
                </c:pt>
                <c:pt idx="8">
                  <c:v>186764.48642215959</c:v>
                </c:pt>
                <c:pt idx="9">
                  <c:v>189206.27401245051</c:v>
                </c:pt>
                <c:pt idx="10">
                  <c:v>191648.06160274136</c:v>
                </c:pt>
                <c:pt idx="11">
                  <c:v>194059.95820076609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8E15-41EB-A2EC-574E1A59E3A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4277504"/>
        <c:axId val="86626304"/>
      </c:lineChart>
      <c:dateAx>
        <c:axId val="84277504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crossAx val="86626304"/>
        <c:crosses val="autoZero"/>
        <c:auto val="1"/>
        <c:lblOffset val="100"/>
        <c:baseTimeUnit val="months"/>
      </c:dateAx>
      <c:valAx>
        <c:axId val="86626304"/>
        <c:scaling>
          <c:orientation val="minMax"/>
        </c:scaling>
        <c:delete val="0"/>
        <c:axPos val="l"/>
        <c:majorGridlines/>
        <c:numFmt formatCode="0" sourceLinked="1"/>
        <c:majorTickMark val="out"/>
        <c:minorTickMark val="none"/>
        <c:tickLblPos val="nextTo"/>
        <c:crossAx val="84277504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000000000000822" l="0.70000000000000062" r="0.70000000000000062" t="0.75000000000000822" header="0.30000000000000032" footer="0.30000000000000032"/>
    <c:pageSetup/>
  </c:printSettings>
</c:chartSpace>
</file>

<file path=xl/charts/chart16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1"/>
          <c:order val="1"/>
          <c:tx>
            <c:strRef>
              <c:f>'KPI 126'!$D$20</c:f>
              <c:strCache>
                <c:ptCount val="1"/>
                <c:pt idx="0">
                  <c:v>Actual 2025-26</c:v>
                </c:pt>
              </c:strCache>
            </c:strRef>
          </c:tx>
          <c:spPr>
            <a:solidFill>
              <a:schemeClr val="accent1"/>
            </a:solidFill>
          </c:spPr>
          <c:invertIfNegative val="0"/>
          <c:cat>
            <c:numRef>
              <c:f>'KPI 126'!$E$18:$P$18</c:f>
              <c:numCache>
                <c:formatCode>mmm\-yy</c:formatCode>
                <c:ptCount val="12"/>
                <c:pt idx="0">
                  <c:v>45839</c:v>
                </c:pt>
                <c:pt idx="1">
                  <c:v>45870</c:v>
                </c:pt>
                <c:pt idx="2">
                  <c:v>45901</c:v>
                </c:pt>
                <c:pt idx="3">
                  <c:v>45931</c:v>
                </c:pt>
                <c:pt idx="4">
                  <c:v>45962</c:v>
                </c:pt>
                <c:pt idx="5">
                  <c:v>45992</c:v>
                </c:pt>
                <c:pt idx="6">
                  <c:v>46023</c:v>
                </c:pt>
                <c:pt idx="7">
                  <c:v>46054</c:v>
                </c:pt>
                <c:pt idx="8">
                  <c:v>46082</c:v>
                </c:pt>
                <c:pt idx="9">
                  <c:v>46113</c:v>
                </c:pt>
                <c:pt idx="10">
                  <c:v>46143</c:v>
                </c:pt>
                <c:pt idx="11">
                  <c:v>46174</c:v>
                </c:pt>
              </c:numCache>
            </c:numRef>
          </c:cat>
          <c:val>
            <c:numRef>
              <c:f>'KPI 126'!$E$20:$P$20</c:f>
              <c:numCache>
                <c:formatCode>0</c:formatCode>
                <c:ptCount val="12"/>
                <c:pt idx="0">
                  <c:v>146435</c:v>
                </c:pt>
                <c:pt idx="1">
                  <c:v>173295</c:v>
                </c:pt>
                <c:pt idx="2">
                  <c:v>145988</c:v>
                </c:pt>
                <c:pt idx="3">
                  <c:v>171125</c:v>
                </c:pt>
                <c:pt idx="4">
                  <c:v>135132</c:v>
                </c:pt>
                <c:pt idx="5">
                  <c:v>131036</c:v>
                </c:pt>
                <c:pt idx="6">
                  <c:v>200570</c:v>
                </c:pt>
                <c:pt idx="7">
                  <c:v>172265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E15-41EB-A2EC-574E1A59E3A6}"/>
            </c:ext>
          </c:extLst>
        </c:ser>
        <c:ser>
          <c:idx val="4"/>
          <c:order val="2"/>
          <c:tx>
            <c:strRef>
              <c:f>'KPI 126'!$D$21</c:f>
              <c:strCache>
                <c:ptCount val="1"/>
                <c:pt idx="0">
                  <c:v>Actual 2024-25</c:v>
                </c:pt>
              </c:strCache>
            </c:strRef>
          </c:tx>
          <c:spPr>
            <a:solidFill>
              <a:schemeClr val="accent3"/>
            </a:solidFill>
          </c:spPr>
          <c:invertIfNegative val="0"/>
          <c:cat>
            <c:numRef>
              <c:f>'KPI 126'!$E$18:$P$18</c:f>
              <c:numCache>
                <c:formatCode>mmm\-yy</c:formatCode>
                <c:ptCount val="12"/>
                <c:pt idx="0">
                  <c:v>45839</c:v>
                </c:pt>
                <c:pt idx="1">
                  <c:v>45870</c:v>
                </c:pt>
                <c:pt idx="2">
                  <c:v>45901</c:v>
                </c:pt>
                <c:pt idx="3">
                  <c:v>45931</c:v>
                </c:pt>
                <c:pt idx="4">
                  <c:v>45962</c:v>
                </c:pt>
                <c:pt idx="5">
                  <c:v>45992</c:v>
                </c:pt>
                <c:pt idx="6">
                  <c:v>46023</c:v>
                </c:pt>
                <c:pt idx="7">
                  <c:v>46054</c:v>
                </c:pt>
                <c:pt idx="8">
                  <c:v>46082</c:v>
                </c:pt>
                <c:pt idx="9">
                  <c:v>46113</c:v>
                </c:pt>
                <c:pt idx="10">
                  <c:v>46143</c:v>
                </c:pt>
                <c:pt idx="11">
                  <c:v>46174</c:v>
                </c:pt>
              </c:numCache>
            </c:numRef>
          </c:cat>
          <c:val>
            <c:numRef>
              <c:f>'KPI 126'!$E$21:$P$21</c:f>
              <c:numCache>
                <c:formatCode>0</c:formatCode>
                <c:ptCount val="12"/>
                <c:pt idx="0">
                  <c:v>141416</c:v>
                </c:pt>
                <c:pt idx="1">
                  <c:v>168508</c:v>
                </c:pt>
                <c:pt idx="2">
                  <c:v>163668</c:v>
                </c:pt>
                <c:pt idx="3">
                  <c:v>160893</c:v>
                </c:pt>
                <c:pt idx="4">
                  <c:v>179892</c:v>
                </c:pt>
                <c:pt idx="5">
                  <c:v>116560</c:v>
                </c:pt>
                <c:pt idx="6">
                  <c:v>184451</c:v>
                </c:pt>
                <c:pt idx="7">
                  <c:v>165478</c:v>
                </c:pt>
                <c:pt idx="8">
                  <c:v>175998</c:v>
                </c:pt>
                <c:pt idx="9">
                  <c:v>135488</c:v>
                </c:pt>
                <c:pt idx="10">
                  <c:v>153694</c:v>
                </c:pt>
                <c:pt idx="11">
                  <c:v>164911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E15-41EB-A2EC-574E1A59E3A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2484096"/>
        <c:axId val="42485632"/>
      </c:barChart>
      <c:lineChart>
        <c:grouping val="standard"/>
        <c:varyColors val="0"/>
        <c:ser>
          <c:idx val="0"/>
          <c:order val="0"/>
          <c:tx>
            <c:strRef>
              <c:f>'KPI 126'!$D$19</c:f>
              <c:strCache>
                <c:ptCount val="1"/>
                <c:pt idx="0">
                  <c:v>Budget 2025-26</c:v>
                </c:pt>
              </c:strCache>
            </c:strRef>
          </c:tx>
          <c:spPr>
            <a:ln>
              <a:solidFill>
                <a:srgbClr val="FF0000"/>
              </a:solidFill>
            </a:ln>
          </c:spPr>
          <c:marker>
            <c:symbol val="none"/>
          </c:marker>
          <c:cat>
            <c:numRef>
              <c:f>'KPI 126'!$E$18:$P$18</c:f>
              <c:numCache>
                <c:formatCode>mmm\-yy</c:formatCode>
                <c:ptCount val="12"/>
                <c:pt idx="0">
                  <c:v>45839</c:v>
                </c:pt>
                <c:pt idx="1">
                  <c:v>45870</c:v>
                </c:pt>
                <c:pt idx="2">
                  <c:v>45901</c:v>
                </c:pt>
                <c:pt idx="3">
                  <c:v>45931</c:v>
                </c:pt>
                <c:pt idx="4">
                  <c:v>45962</c:v>
                </c:pt>
                <c:pt idx="5">
                  <c:v>45992</c:v>
                </c:pt>
                <c:pt idx="6">
                  <c:v>46023</c:v>
                </c:pt>
                <c:pt idx="7">
                  <c:v>46054</c:v>
                </c:pt>
                <c:pt idx="8">
                  <c:v>46082</c:v>
                </c:pt>
                <c:pt idx="9">
                  <c:v>46113</c:v>
                </c:pt>
                <c:pt idx="10">
                  <c:v>46143</c:v>
                </c:pt>
                <c:pt idx="11">
                  <c:v>46174</c:v>
                </c:pt>
              </c:numCache>
            </c:numRef>
          </c:cat>
          <c:val>
            <c:numRef>
              <c:f>'KPI 126'!$E$19:$P$19</c:f>
              <c:numCache>
                <c:formatCode>0</c:formatCode>
                <c:ptCount val="12"/>
                <c:pt idx="0">
                  <c:v>162967.7442335966</c:v>
                </c:pt>
                <c:pt idx="1">
                  <c:v>164996.22762758762</c:v>
                </c:pt>
                <c:pt idx="2">
                  <c:v>167133.6122432423</c:v>
                </c:pt>
                <c:pt idx="3">
                  <c:v>170794.24754748362</c:v>
                </c:pt>
                <c:pt idx="4">
                  <c:v>174251.4018390667</c:v>
                </c:pt>
                <c:pt idx="5">
                  <c:v>177638.11139871617</c:v>
                </c:pt>
                <c:pt idx="6">
                  <c:v>180823.43914382733</c:v>
                </c:pt>
                <c:pt idx="7">
                  <c:v>183888.91262962579</c:v>
                </c:pt>
                <c:pt idx="8">
                  <c:v>186764.48642215959</c:v>
                </c:pt>
                <c:pt idx="9">
                  <c:v>189206.27401245051</c:v>
                </c:pt>
                <c:pt idx="10">
                  <c:v>191648.06160274136</c:v>
                </c:pt>
                <c:pt idx="11">
                  <c:v>194059.95820076609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8E15-41EB-A2EC-574E1A59E3A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2484096"/>
        <c:axId val="42485632"/>
      </c:lineChart>
      <c:dateAx>
        <c:axId val="42484096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crossAx val="42485632"/>
        <c:crosses val="autoZero"/>
        <c:auto val="1"/>
        <c:lblOffset val="100"/>
        <c:baseTimeUnit val="months"/>
      </c:dateAx>
      <c:valAx>
        <c:axId val="42485632"/>
        <c:scaling>
          <c:orientation val="minMax"/>
        </c:scaling>
        <c:delete val="0"/>
        <c:axPos val="l"/>
        <c:majorGridlines/>
        <c:numFmt formatCode="0" sourceLinked="1"/>
        <c:majorTickMark val="out"/>
        <c:minorTickMark val="none"/>
        <c:tickLblPos val="nextTo"/>
        <c:crossAx val="42484096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000000000000822" l="0.70000000000000062" r="0.70000000000000062" t="0.75000000000000822" header="0.30000000000000032" footer="0.30000000000000032"/>
    <c:pageSetup/>
  </c:printSettings>
</c:chartSpace>
</file>

<file path=xl/charts/chart16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1"/>
          <c:order val="1"/>
          <c:tx>
            <c:strRef>
              <c:f>'KPI 126'!$D$20</c:f>
              <c:strCache>
                <c:ptCount val="1"/>
                <c:pt idx="0">
                  <c:v>Actual 2025-26</c:v>
                </c:pt>
              </c:strCache>
            </c:strRef>
          </c:tx>
          <c:spPr>
            <a:solidFill>
              <a:schemeClr val="accent1"/>
            </a:solidFill>
          </c:spPr>
          <c:invertIfNegative val="0"/>
          <c:cat>
            <c:numRef>
              <c:f>'KPI 126'!$E$18:$P$18</c:f>
              <c:numCache>
                <c:formatCode>mmm\-yy</c:formatCode>
                <c:ptCount val="12"/>
                <c:pt idx="0">
                  <c:v>45839</c:v>
                </c:pt>
                <c:pt idx="1">
                  <c:v>45870</c:v>
                </c:pt>
                <c:pt idx="2">
                  <c:v>45901</c:v>
                </c:pt>
                <c:pt idx="3">
                  <c:v>45931</c:v>
                </c:pt>
                <c:pt idx="4">
                  <c:v>45962</c:v>
                </c:pt>
                <c:pt idx="5">
                  <c:v>45992</c:v>
                </c:pt>
                <c:pt idx="6">
                  <c:v>46023</c:v>
                </c:pt>
                <c:pt idx="7">
                  <c:v>46054</c:v>
                </c:pt>
                <c:pt idx="8">
                  <c:v>46082</c:v>
                </c:pt>
                <c:pt idx="9">
                  <c:v>46113</c:v>
                </c:pt>
                <c:pt idx="10">
                  <c:v>46143</c:v>
                </c:pt>
                <c:pt idx="11">
                  <c:v>46174</c:v>
                </c:pt>
              </c:numCache>
            </c:numRef>
          </c:cat>
          <c:val>
            <c:numRef>
              <c:f>'KPI 126'!$E$20:$P$20</c:f>
              <c:numCache>
                <c:formatCode>0</c:formatCode>
                <c:ptCount val="12"/>
                <c:pt idx="0">
                  <c:v>146435</c:v>
                </c:pt>
                <c:pt idx="1">
                  <c:v>173295</c:v>
                </c:pt>
                <c:pt idx="2">
                  <c:v>145988</c:v>
                </c:pt>
                <c:pt idx="3">
                  <c:v>171125</c:v>
                </c:pt>
                <c:pt idx="4">
                  <c:v>135132</c:v>
                </c:pt>
                <c:pt idx="5">
                  <c:v>131036</c:v>
                </c:pt>
                <c:pt idx="6">
                  <c:v>200570</c:v>
                </c:pt>
                <c:pt idx="7">
                  <c:v>172265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E15-41EB-A2EC-574E1A59E3A6}"/>
            </c:ext>
          </c:extLst>
        </c:ser>
        <c:ser>
          <c:idx val="4"/>
          <c:order val="2"/>
          <c:tx>
            <c:strRef>
              <c:f>'KPI 126'!$D$21</c:f>
              <c:strCache>
                <c:ptCount val="1"/>
                <c:pt idx="0">
                  <c:v>Actual 2024-25</c:v>
                </c:pt>
              </c:strCache>
            </c:strRef>
          </c:tx>
          <c:spPr>
            <a:solidFill>
              <a:schemeClr val="accent3"/>
            </a:solidFill>
          </c:spPr>
          <c:invertIfNegative val="0"/>
          <c:cat>
            <c:numRef>
              <c:f>'KPI 126'!$E$18:$P$18</c:f>
              <c:numCache>
                <c:formatCode>mmm\-yy</c:formatCode>
                <c:ptCount val="12"/>
                <c:pt idx="0">
                  <c:v>45839</c:v>
                </c:pt>
                <c:pt idx="1">
                  <c:v>45870</c:v>
                </c:pt>
                <c:pt idx="2">
                  <c:v>45901</c:v>
                </c:pt>
                <c:pt idx="3">
                  <c:v>45931</c:v>
                </c:pt>
                <c:pt idx="4">
                  <c:v>45962</c:v>
                </c:pt>
                <c:pt idx="5">
                  <c:v>45992</c:v>
                </c:pt>
                <c:pt idx="6">
                  <c:v>46023</c:v>
                </c:pt>
                <c:pt idx="7">
                  <c:v>46054</c:v>
                </c:pt>
                <c:pt idx="8">
                  <c:v>46082</c:v>
                </c:pt>
                <c:pt idx="9">
                  <c:v>46113</c:v>
                </c:pt>
                <c:pt idx="10">
                  <c:v>46143</c:v>
                </c:pt>
                <c:pt idx="11">
                  <c:v>46174</c:v>
                </c:pt>
              </c:numCache>
            </c:numRef>
          </c:cat>
          <c:val>
            <c:numRef>
              <c:f>'KPI 126'!$E$21:$P$21</c:f>
              <c:numCache>
                <c:formatCode>0</c:formatCode>
                <c:ptCount val="12"/>
                <c:pt idx="0">
                  <c:v>141416</c:v>
                </c:pt>
                <c:pt idx="1">
                  <c:v>168508</c:v>
                </c:pt>
                <c:pt idx="2">
                  <c:v>163668</c:v>
                </c:pt>
                <c:pt idx="3">
                  <c:v>160893</c:v>
                </c:pt>
                <c:pt idx="4">
                  <c:v>179892</c:v>
                </c:pt>
                <c:pt idx="5">
                  <c:v>116560</c:v>
                </c:pt>
                <c:pt idx="6">
                  <c:v>184451</c:v>
                </c:pt>
                <c:pt idx="7">
                  <c:v>165478</c:v>
                </c:pt>
                <c:pt idx="8">
                  <c:v>175998</c:v>
                </c:pt>
                <c:pt idx="9">
                  <c:v>135488</c:v>
                </c:pt>
                <c:pt idx="10">
                  <c:v>153694</c:v>
                </c:pt>
                <c:pt idx="11">
                  <c:v>164911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E15-41EB-A2EC-574E1A59E3A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31795584"/>
        <c:axId val="131821952"/>
      </c:barChart>
      <c:lineChart>
        <c:grouping val="standard"/>
        <c:varyColors val="0"/>
        <c:ser>
          <c:idx val="0"/>
          <c:order val="0"/>
          <c:tx>
            <c:strRef>
              <c:f>'KPI 126'!$D$19</c:f>
              <c:strCache>
                <c:ptCount val="1"/>
                <c:pt idx="0">
                  <c:v>Budget 2025-26</c:v>
                </c:pt>
              </c:strCache>
            </c:strRef>
          </c:tx>
          <c:spPr>
            <a:ln>
              <a:solidFill>
                <a:srgbClr val="FF0000"/>
              </a:solidFill>
            </a:ln>
          </c:spPr>
          <c:marker>
            <c:symbol val="none"/>
          </c:marker>
          <c:cat>
            <c:numRef>
              <c:f>'KPI 126'!$E$18:$P$18</c:f>
              <c:numCache>
                <c:formatCode>mmm\-yy</c:formatCode>
                <c:ptCount val="12"/>
                <c:pt idx="0">
                  <c:v>45839</c:v>
                </c:pt>
                <c:pt idx="1">
                  <c:v>45870</c:v>
                </c:pt>
                <c:pt idx="2">
                  <c:v>45901</c:v>
                </c:pt>
                <c:pt idx="3">
                  <c:v>45931</c:v>
                </c:pt>
                <c:pt idx="4">
                  <c:v>45962</c:v>
                </c:pt>
                <c:pt idx="5">
                  <c:v>45992</c:v>
                </c:pt>
                <c:pt idx="6">
                  <c:v>46023</c:v>
                </c:pt>
                <c:pt idx="7">
                  <c:v>46054</c:v>
                </c:pt>
                <c:pt idx="8">
                  <c:v>46082</c:v>
                </c:pt>
                <c:pt idx="9">
                  <c:v>46113</c:v>
                </c:pt>
                <c:pt idx="10">
                  <c:v>46143</c:v>
                </c:pt>
                <c:pt idx="11">
                  <c:v>46174</c:v>
                </c:pt>
              </c:numCache>
            </c:numRef>
          </c:cat>
          <c:val>
            <c:numRef>
              <c:f>'KPI 126'!$E$19:$P$19</c:f>
              <c:numCache>
                <c:formatCode>0</c:formatCode>
                <c:ptCount val="12"/>
                <c:pt idx="0">
                  <c:v>162967.7442335966</c:v>
                </c:pt>
                <c:pt idx="1">
                  <c:v>164996.22762758762</c:v>
                </c:pt>
                <c:pt idx="2">
                  <c:v>167133.6122432423</c:v>
                </c:pt>
                <c:pt idx="3">
                  <c:v>170794.24754748362</c:v>
                </c:pt>
                <c:pt idx="4">
                  <c:v>174251.4018390667</c:v>
                </c:pt>
                <c:pt idx="5">
                  <c:v>177638.11139871617</c:v>
                </c:pt>
                <c:pt idx="6">
                  <c:v>180823.43914382733</c:v>
                </c:pt>
                <c:pt idx="7">
                  <c:v>183888.91262962579</c:v>
                </c:pt>
                <c:pt idx="8">
                  <c:v>186764.48642215959</c:v>
                </c:pt>
                <c:pt idx="9">
                  <c:v>189206.27401245051</c:v>
                </c:pt>
                <c:pt idx="10">
                  <c:v>191648.06160274136</c:v>
                </c:pt>
                <c:pt idx="11">
                  <c:v>194059.95820076609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8E15-41EB-A2EC-574E1A59E3A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1795584"/>
        <c:axId val="131821952"/>
      </c:lineChart>
      <c:dateAx>
        <c:axId val="131795584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crossAx val="131821952"/>
        <c:crosses val="autoZero"/>
        <c:auto val="1"/>
        <c:lblOffset val="100"/>
        <c:baseTimeUnit val="months"/>
      </c:dateAx>
      <c:valAx>
        <c:axId val="131821952"/>
        <c:scaling>
          <c:orientation val="minMax"/>
        </c:scaling>
        <c:delete val="0"/>
        <c:axPos val="l"/>
        <c:majorGridlines/>
        <c:numFmt formatCode="0" sourceLinked="1"/>
        <c:majorTickMark val="out"/>
        <c:minorTickMark val="none"/>
        <c:tickLblPos val="nextTo"/>
        <c:crossAx val="131795584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000000000000822" l="0.70000000000000062" r="0.70000000000000062" t="0.75000000000000822" header="0.30000000000000032" footer="0.30000000000000032"/>
    <c:pageSetup/>
  </c:printSettings>
</c:chartSpace>
</file>

<file path=xl/charts/chart16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1"/>
          <c:order val="1"/>
          <c:tx>
            <c:strRef>
              <c:f>'KPI 126'!$D$20</c:f>
              <c:strCache>
                <c:ptCount val="1"/>
                <c:pt idx="0">
                  <c:v>Actual 2025-26</c:v>
                </c:pt>
              </c:strCache>
            </c:strRef>
          </c:tx>
          <c:spPr>
            <a:solidFill>
              <a:schemeClr val="accent1"/>
            </a:solidFill>
          </c:spPr>
          <c:invertIfNegative val="0"/>
          <c:cat>
            <c:numRef>
              <c:f>'KPI 126'!$E$18:$P$18</c:f>
              <c:numCache>
                <c:formatCode>mmm\-yy</c:formatCode>
                <c:ptCount val="12"/>
                <c:pt idx="0">
                  <c:v>45839</c:v>
                </c:pt>
                <c:pt idx="1">
                  <c:v>45870</c:v>
                </c:pt>
                <c:pt idx="2">
                  <c:v>45901</c:v>
                </c:pt>
                <c:pt idx="3">
                  <c:v>45931</c:v>
                </c:pt>
                <c:pt idx="4">
                  <c:v>45962</c:v>
                </c:pt>
                <c:pt idx="5">
                  <c:v>45992</c:v>
                </c:pt>
                <c:pt idx="6">
                  <c:v>46023</c:v>
                </c:pt>
                <c:pt idx="7">
                  <c:v>46054</c:v>
                </c:pt>
                <c:pt idx="8">
                  <c:v>46082</c:v>
                </c:pt>
                <c:pt idx="9">
                  <c:v>46113</c:v>
                </c:pt>
                <c:pt idx="10">
                  <c:v>46143</c:v>
                </c:pt>
                <c:pt idx="11">
                  <c:v>46174</c:v>
                </c:pt>
              </c:numCache>
            </c:numRef>
          </c:cat>
          <c:val>
            <c:numRef>
              <c:f>'KPI 126'!$E$20:$P$20</c:f>
              <c:numCache>
                <c:formatCode>0</c:formatCode>
                <c:ptCount val="12"/>
                <c:pt idx="0">
                  <c:v>146435</c:v>
                </c:pt>
                <c:pt idx="1">
                  <c:v>173295</c:v>
                </c:pt>
                <c:pt idx="2">
                  <c:v>145988</c:v>
                </c:pt>
                <c:pt idx="3">
                  <c:v>171125</c:v>
                </c:pt>
                <c:pt idx="4">
                  <c:v>135132</c:v>
                </c:pt>
                <c:pt idx="5">
                  <c:v>131036</c:v>
                </c:pt>
                <c:pt idx="6">
                  <c:v>200570</c:v>
                </c:pt>
                <c:pt idx="7">
                  <c:v>172265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E15-41EB-A2EC-574E1A59E3A6}"/>
            </c:ext>
          </c:extLst>
        </c:ser>
        <c:ser>
          <c:idx val="4"/>
          <c:order val="2"/>
          <c:tx>
            <c:strRef>
              <c:f>'KPI 126'!$D$21</c:f>
              <c:strCache>
                <c:ptCount val="1"/>
                <c:pt idx="0">
                  <c:v>Actual 2024-25</c:v>
                </c:pt>
              </c:strCache>
            </c:strRef>
          </c:tx>
          <c:spPr>
            <a:solidFill>
              <a:schemeClr val="accent3"/>
            </a:solidFill>
          </c:spPr>
          <c:invertIfNegative val="0"/>
          <c:cat>
            <c:numRef>
              <c:f>'KPI 126'!$E$18:$P$18</c:f>
              <c:numCache>
                <c:formatCode>mmm\-yy</c:formatCode>
                <c:ptCount val="12"/>
                <c:pt idx="0">
                  <c:v>45839</c:v>
                </c:pt>
                <c:pt idx="1">
                  <c:v>45870</c:v>
                </c:pt>
                <c:pt idx="2">
                  <c:v>45901</c:v>
                </c:pt>
                <c:pt idx="3">
                  <c:v>45931</c:v>
                </c:pt>
                <c:pt idx="4">
                  <c:v>45962</c:v>
                </c:pt>
                <c:pt idx="5">
                  <c:v>45992</c:v>
                </c:pt>
                <c:pt idx="6">
                  <c:v>46023</c:v>
                </c:pt>
                <c:pt idx="7">
                  <c:v>46054</c:v>
                </c:pt>
                <c:pt idx="8">
                  <c:v>46082</c:v>
                </c:pt>
                <c:pt idx="9">
                  <c:v>46113</c:v>
                </c:pt>
                <c:pt idx="10">
                  <c:v>46143</c:v>
                </c:pt>
                <c:pt idx="11">
                  <c:v>46174</c:v>
                </c:pt>
              </c:numCache>
            </c:numRef>
          </c:cat>
          <c:val>
            <c:numRef>
              <c:f>'KPI 126'!$E$21:$P$21</c:f>
              <c:numCache>
                <c:formatCode>0</c:formatCode>
                <c:ptCount val="12"/>
                <c:pt idx="0">
                  <c:v>141416</c:v>
                </c:pt>
                <c:pt idx="1">
                  <c:v>168508</c:v>
                </c:pt>
                <c:pt idx="2">
                  <c:v>163668</c:v>
                </c:pt>
                <c:pt idx="3">
                  <c:v>160893</c:v>
                </c:pt>
                <c:pt idx="4">
                  <c:v>179892</c:v>
                </c:pt>
                <c:pt idx="5">
                  <c:v>116560</c:v>
                </c:pt>
                <c:pt idx="6">
                  <c:v>184451</c:v>
                </c:pt>
                <c:pt idx="7">
                  <c:v>165478</c:v>
                </c:pt>
                <c:pt idx="8">
                  <c:v>175998</c:v>
                </c:pt>
                <c:pt idx="9">
                  <c:v>135488</c:v>
                </c:pt>
                <c:pt idx="10">
                  <c:v>153694</c:v>
                </c:pt>
                <c:pt idx="11">
                  <c:v>164911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E15-41EB-A2EC-574E1A59E3A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36148480"/>
        <c:axId val="136151040"/>
      </c:barChart>
      <c:lineChart>
        <c:grouping val="standard"/>
        <c:varyColors val="0"/>
        <c:ser>
          <c:idx val="0"/>
          <c:order val="0"/>
          <c:tx>
            <c:strRef>
              <c:f>'KPI 126'!$D$19</c:f>
              <c:strCache>
                <c:ptCount val="1"/>
                <c:pt idx="0">
                  <c:v>Budget 2025-26</c:v>
                </c:pt>
              </c:strCache>
            </c:strRef>
          </c:tx>
          <c:spPr>
            <a:ln>
              <a:solidFill>
                <a:srgbClr val="FF0000"/>
              </a:solidFill>
            </a:ln>
          </c:spPr>
          <c:marker>
            <c:symbol val="none"/>
          </c:marker>
          <c:cat>
            <c:numRef>
              <c:f>'KPI 126'!$E$18:$P$18</c:f>
              <c:numCache>
                <c:formatCode>mmm\-yy</c:formatCode>
                <c:ptCount val="12"/>
                <c:pt idx="0">
                  <c:v>45839</c:v>
                </c:pt>
                <c:pt idx="1">
                  <c:v>45870</c:v>
                </c:pt>
                <c:pt idx="2">
                  <c:v>45901</c:v>
                </c:pt>
                <c:pt idx="3">
                  <c:v>45931</c:v>
                </c:pt>
                <c:pt idx="4">
                  <c:v>45962</c:v>
                </c:pt>
                <c:pt idx="5">
                  <c:v>45992</c:v>
                </c:pt>
                <c:pt idx="6">
                  <c:v>46023</c:v>
                </c:pt>
                <c:pt idx="7">
                  <c:v>46054</c:v>
                </c:pt>
                <c:pt idx="8">
                  <c:v>46082</c:v>
                </c:pt>
                <c:pt idx="9">
                  <c:v>46113</c:v>
                </c:pt>
                <c:pt idx="10">
                  <c:v>46143</c:v>
                </c:pt>
                <c:pt idx="11">
                  <c:v>46174</c:v>
                </c:pt>
              </c:numCache>
            </c:numRef>
          </c:cat>
          <c:val>
            <c:numRef>
              <c:f>'KPI 126'!$E$19:$P$19</c:f>
              <c:numCache>
                <c:formatCode>0</c:formatCode>
                <c:ptCount val="12"/>
                <c:pt idx="0">
                  <c:v>162967.7442335966</c:v>
                </c:pt>
                <c:pt idx="1">
                  <c:v>164996.22762758762</c:v>
                </c:pt>
                <c:pt idx="2">
                  <c:v>167133.6122432423</c:v>
                </c:pt>
                <c:pt idx="3">
                  <c:v>170794.24754748362</c:v>
                </c:pt>
                <c:pt idx="4">
                  <c:v>174251.4018390667</c:v>
                </c:pt>
                <c:pt idx="5">
                  <c:v>177638.11139871617</c:v>
                </c:pt>
                <c:pt idx="6">
                  <c:v>180823.43914382733</c:v>
                </c:pt>
                <c:pt idx="7">
                  <c:v>183888.91262962579</c:v>
                </c:pt>
                <c:pt idx="8">
                  <c:v>186764.48642215959</c:v>
                </c:pt>
                <c:pt idx="9">
                  <c:v>189206.27401245051</c:v>
                </c:pt>
                <c:pt idx="10">
                  <c:v>191648.06160274136</c:v>
                </c:pt>
                <c:pt idx="11">
                  <c:v>194059.95820076609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8E15-41EB-A2EC-574E1A59E3A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6148480"/>
        <c:axId val="136151040"/>
      </c:lineChart>
      <c:dateAx>
        <c:axId val="136148480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crossAx val="136151040"/>
        <c:crosses val="autoZero"/>
        <c:auto val="1"/>
        <c:lblOffset val="100"/>
        <c:baseTimeUnit val="months"/>
      </c:dateAx>
      <c:valAx>
        <c:axId val="136151040"/>
        <c:scaling>
          <c:orientation val="minMax"/>
        </c:scaling>
        <c:delete val="0"/>
        <c:axPos val="l"/>
        <c:majorGridlines/>
        <c:numFmt formatCode="0" sourceLinked="1"/>
        <c:majorTickMark val="out"/>
        <c:minorTickMark val="none"/>
        <c:tickLblPos val="nextTo"/>
        <c:crossAx val="13614848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000000000000822" l="0.70000000000000062" r="0.70000000000000062" t="0.75000000000000822" header="0.30000000000000032" footer="0.30000000000000032"/>
    <c:pageSetup/>
  </c:printSettings>
</c:chartSpace>
</file>

<file path=xl/charts/chart16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1"/>
          <c:order val="1"/>
          <c:tx>
            <c:strRef>
              <c:f>'KPI 126'!$D$20</c:f>
              <c:strCache>
                <c:ptCount val="1"/>
                <c:pt idx="0">
                  <c:v>Actual 2025-26</c:v>
                </c:pt>
              </c:strCache>
            </c:strRef>
          </c:tx>
          <c:spPr>
            <a:solidFill>
              <a:schemeClr val="accent1"/>
            </a:solidFill>
          </c:spPr>
          <c:invertIfNegative val="0"/>
          <c:cat>
            <c:numRef>
              <c:f>'KPI 126'!$E$18:$P$18</c:f>
              <c:numCache>
                <c:formatCode>mmm\-yy</c:formatCode>
                <c:ptCount val="12"/>
                <c:pt idx="0">
                  <c:v>45839</c:v>
                </c:pt>
                <c:pt idx="1">
                  <c:v>45870</c:v>
                </c:pt>
                <c:pt idx="2">
                  <c:v>45901</c:v>
                </c:pt>
                <c:pt idx="3">
                  <c:v>45931</c:v>
                </c:pt>
                <c:pt idx="4">
                  <c:v>45962</c:v>
                </c:pt>
                <c:pt idx="5">
                  <c:v>45992</c:v>
                </c:pt>
                <c:pt idx="6">
                  <c:v>46023</c:v>
                </c:pt>
                <c:pt idx="7">
                  <c:v>46054</c:v>
                </c:pt>
                <c:pt idx="8">
                  <c:v>46082</c:v>
                </c:pt>
                <c:pt idx="9">
                  <c:v>46113</c:v>
                </c:pt>
                <c:pt idx="10">
                  <c:v>46143</c:v>
                </c:pt>
                <c:pt idx="11">
                  <c:v>46174</c:v>
                </c:pt>
              </c:numCache>
            </c:numRef>
          </c:cat>
          <c:val>
            <c:numRef>
              <c:f>'KPI 126'!$E$20:$P$20</c:f>
              <c:numCache>
                <c:formatCode>0</c:formatCode>
                <c:ptCount val="12"/>
                <c:pt idx="0">
                  <c:v>146435</c:v>
                </c:pt>
                <c:pt idx="1">
                  <c:v>173295</c:v>
                </c:pt>
                <c:pt idx="2">
                  <c:v>145988</c:v>
                </c:pt>
                <c:pt idx="3">
                  <c:v>171125</c:v>
                </c:pt>
                <c:pt idx="4">
                  <c:v>135132</c:v>
                </c:pt>
                <c:pt idx="5">
                  <c:v>131036</c:v>
                </c:pt>
                <c:pt idx="6">
                  <c:v>200570</c:v>
                </c:pt>
                <c:pt idx="7">
                  <c:v>172265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E15-41EB-A2EC-574E1A59E3A6}"/>
            </c:ext>
          </c:extLst>
        </c:ser>
        <c:ser>
          <c:idx val="4"/>
          <c:order val="2"/>
          <c:tx>
            <c:strRef>
              <c:f>'KPI 126'!$D$21</c:f>
              <c:strCache>
                <c:ptCount val="1"/>
                <c:pt idx="0">
                  <c:v>Actual 2024-25</c:v>
                </c:pt>
              </c:strCache>
            </c:strRef>
          </c:tx>
          <c:spPr>
            <a:solidFill>
              <a:schemeClr val="accent3"/>
            </a:solidFill>
          </c:spPr>
          <c:invertIfNegative val="0"/>
          <c:cat>
            <c:numRef>
              <c:f>'KPI 126'!$E$18:$P$18</c:f>
              <c:numCache>
                <c:formatCode>mmm\-yy</c:formatCode>
                <c:ptCount val="12"/>
                <c:pt idx="0">
                  <c:v>45839</c:v>
                </c:pt>
                <c:pt idx="1">
                  <c:v>45870</c:v>
                </c:pt>
                <c:pt idx="2">
                  <c:v>45901</c:v>
                </c:pt>
                <c:pt idx="3">
                  <c:v>45931</c:v>
                </c:pt>
                <c:pt idx="4">
                  <c:v>45962</c:v>
                </c:pt>
                <c:pt idx="5">
                  <c:v>45992</c:v>
                </c:pt>
                <c:pt idx="6">
                  <c:v>46023</c:v>
                </c:pt>
                <c:pt idx="7">
                  <c:v>46054</c:v>
                </c:pt>
                <c:pt idx="8">
                  <c:v>46082</c:v>
                </c:pt>
                <c:pt idx="9">
                  <c:v>46113</c:v>
                </c:pt>
                <c:pt idx="10">
                  <c:v>46143</c:v>
                </c:pt>
                <c:pt idx="11">
                  <c:v>46174</c:v>
                </c:pt>
              </c:numCache>
            </c:numRef>
          </c:cat>
          <c:val>
            <c:numRef>
              <c:f>'KPI 126'!$E$21:$P$21</c:f>
              <c:numCache>
                <c:formatCode>0</c:formatCode>
                <c:ptCount val="12"/>
                <c:pt idx="0">
                  <c:v>141416</c:v>
                </c:pt>
                <c:pt idx="1">
                  <c:v>168508</c:v>
                </c:pt>
                <c:pt idx="2">
                  <c:v>163668</c:v>
                </c:pt>
                <c:pt idx="3">
                  <c:v>160893</c:v>
                </c:pt>
                <c:pt idx="4">
                  <c:v>179892</c:v>
                </c:pt>
                <c:pt idx="5">
                  <c:v>116560</c:v>
                </c:pt>
                <c:pt idx="6">
                  <c:v>184451</c:v>
                </c:pt>
                <c:pt idx="7">
                  <c:v>165478</c:v>
                </c:pt>
                <c:pt idx="8">
                  <c:v>175998</c:v>
                </c:pt>
                <c:pt idx="9">
                  <c:v>135488</c:v>
                </c:pt>
                <c:pt idx="10">
                  <c:v>153694</c:v>
                </c:pt>
                <c:pt idx="11">
                  <c:v>164911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E15-41EB-A2EC-574E1A59E3A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28673664"/>
        <c:axId val="128675200"/>
      </c:barChart>
      <c:lineChart>
        <c:grouping val="standard"/>
        <c:varyColors val="0"/>
        <c:ser>
          <c:idx val="0"/>
          <c:order val="0"/>
          <c:tx>
            <c:strRef>
              <c:f>'KPI 126'!$D$19</c:f>
              <c:strCache>
                <c:ptCount val="1"/>
                <c:pt idx="0">
                  <c:v>Budget 2025-26</c:v>
                </c:pt>
              </c:strCache>
            </c:strRef>
          </c:tx>
          <c:spPr>
            <a:ln>
              <a:solidFill>
                <a:srgbClr val="FF0000"/>
              </a:solidFill>
            </a:ln>
          </c:spPr>
          <c:marker>
            <c:symbol val="none"/>
          </c:marker>
          <c:cat>
            <c:numRef>
              <c:f>'KPI 126'!$E$18:$P$18</c:f>
              <c:numCache>
                <c:formatCode>mmm\-yy</c:formatCode>
                <c:ptCount val="12"/>
                <c:pt idx="0">
                  <c:v>45839</c:v>
                </c:pt>
                <c:pt idx="1">
                  <c:v>45870</c:v>
                </c:pt>
                <c:pt idx="2">
                  <c:v>45901</c:v>
                </c:pt>
                <c:pt idx="3">
                  <c:v>45931</c:v>
                </c:pt>
                <c:pt idx="4">
                  <c:v>45962</c:v>
                </c:pt>
                <c:pt idx="5">
                  <c:v>45992</c:v>
                </c:pt>
                <c:pt idx="6">
                  <c:v>46023</c:v>
                </c:pt>
                <c:pt idx="7">
                  <c:v>46054</c:v>
                </c:pt>
                <c:pt idx="8">
                  <c:v>46082</c:v>
                </c:pt>
                <c:pt idx="9">
                  <c:v>46113</c:v>
                </c:pt>
                <c:pt idx="10">
                  <c:v>46143</c:v>
                </c:pt>
                <c:pt idx="11">
                  <c:v>46174</c:v>
                </c:pt>
              </c:numCache>
            </c:numRef>
          </c:cat>
          <c:val>
            <c:numRef>
              <c:f>'KPI 126'!$E$19:$P$19</c:f>
              <c:numCache>
                <c:formatCode>0</c:formatCode>
                <c:ptCount val="12"/>
                <c:pt idx="0">
                  <c:v>162967.7442335966</c:v>
                </c:pt>
                <c:pt idx="1">
                  <c:v>164996.22762758762</c:v>
                </c:pt>
                <c:pt idx="2">
                  <c:v>167133.6122432423</c:v>
                </c:pt>
                <c:pt idx="3">
                  <c:v>170794.24754748362</c:v>
                </c:pt>
                <c:pt idx="4">
                  <c:v>174251.4018390667</c:v>
                </c:pt>
                <c:pt idx="5">
                  <c:v>177638.11139871617</c:v>
                </c:pt>
                <c:pt idx="6">
                  <c:v>180823.43914382733</c:v>
                </c:pt>
                <c:pt idx="7">
                  <c:v>183888.91262962579</c:v>
                </c:pt>
                <c:pt idx="8">
                  <c:v>186764.48642215959</c:v>
                </c:pt>
                <c:pt idx="9">
                  <c:v>189206.27401245051</c:v>
                </c:pt>
                <c:pt idx="10">
                  <c:v>191648.06160274136</c:v>
                </c:pt>
                <c:pt idx="11">
                  <c:v>194059.95820076609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8E15-41EB-A2EC-574E1A59E3A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28673664"/>
        <c:axId val="128675200"/>
      </c:lineChart>
      <c:dateAx>
        <c:axId val="128673664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crossAx val="128675200"/>
        <c:crosses val="autoZero"/>
        <c:auto val="1"/>
        <c:lblOffset val="100"/>
        <c:baseTimeUnit val="months"/>
      </c:dateAx>
      <c:valAx>
        <c:axId val="128675200"/>
        <c:scaling>
          <c:orientation val="minMax"/>
        </c:scaling>
        <c:delete val="0"/>
        <c:axPos val="l"/>
        <c:majorGridlines/>
        <c:numFmt formatCode="0" sourceLinked="1"/>
        <c:majorTickMark val="out"/>
        <c:minorTickMark val="none"/>
        <c:tickLblPos val="nextTo"/>
        <c:crossAx val="128673664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000000000000822" l="0.70000000000000062" r="0.70000000000000062" t="0.75000000000000822" header="0.30000000000000032" footer="0.30000000000000032"/>
    <c:pageSetup/>
  </c:printSettings>
</c:chartSpace>
</file>

<file path=xl/charts/chart16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1"/>
          <c:order val="1"/>
          <c:tx>
            <c:strRef>
              <c:f>'KPI 126'!$D$20</c:f>
              <c:strCache>
                <c:ptCount val="1"/>
                <c:pt idx="0">
                  <c:v>Actual 2025-26</c:v>
                </c:pt>
              </c:strCache>
            </c:strRef>
          </c:tx>
          <c:spPr>
            <a:solidFill>
              <a:schemeClr val="accent1"/>
            </a:solidFill>
          </c:spPr>
          <c:invertIfNegative val="0"/>
          <c:cat>
            <c:numRef>
              <c:f>'KPI 126'!$E$18:$P$18</c:f>
              <c:numCache>
                <c:formatCode>mmm\-yy</c:formatCode>
                <c:ptCount val="12"/>
                <c:pt idx="0">
                  <c:v>45839</c:v>
                </c:pt>
                <c:pt idx="1">
                  <c:v>45870</c:v>
                </c:pt>
                <c:pt idx="2">
                  <c:v>45901</c:v>
                </c:pt>
                <c:pt idx="3">
                  <c:v>45931</c:v>
                </c:pt>
                <c:pt idx="4">
                  <c:v>45962</c:v>
                </c:pt>
                <c:pt idx="5">
                  <c:v>45992</c:v>
                </c:pt>
                <c:pt idx="6">
                  <c:v>46023</c:v>
                </c:pt>
                <c:pt idx="7">
                  <c:v>46054</c:v>
                </c:pt>
                <c:pt idx="8">
                  <c:v>46082</c:v>
                </c:pt>
                <c:pt idx="9">
                  <c:v>46113</c:v>
                </c:pt>
                <c:pt idx="10">
                  <c:v>46143</c:v>
                </c:pt>
                <c:pt idx="11">
                  <c:v>46174</c:v>
                </c:pt>
              </c:numCache>
            </c:numRef>
          </c:cat>
          <c:val>
            <c:numRef>
              <c:f>'KPI 126'!$E$20:$P$20</c:f>
              <c:numCache>
                <c:formatCode>0</c:formatCode>
                <c:ptCount val="12"/>
                <c:pt idx="0">
                  <c:v>146435</c:v>
                </c:pt>
                <c:pt idx="1">
                  <c:v>173295</c:v>
                </c:pt>
                <c:pt idx="2">
                  <c:v>145988</c:v>
                </c:pt>
                <c:pt idx="3">
                  <c:v>171125</c:v>
                </c:pt>
                <c:pt idx="4">
                  <c:v>135132</c:v>
                </c:pt>
                <c:pt idx="5">
                  <c:v>131036</c:v>
                </c:pt>
                <c:pt idx="6">
                  <c:v>200570</c:v>
                </c:pt>
                <c:pt idx="7">
                  <c:v>172265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E15-41EB-A2EC-574E1A59E3A6}"/>
            </c:ext>
          </c:extLst>
        </c:ser>
        <c:ser>
          <c:idx val="4"/>
          <c:order val="2"/>
          <c:tx>
            <c:strRef>
              <c:f>'KPI 126'!$D$21</c:f>
              <c:strCache>
                <c:ptCount val="1"/>
                <c:pt idx="0">
                  <c:v>Actual 2024-25</c:v>
                </c:pt>
              </c:strCache>
            </c:strRef>
          </c:tx>
          <c:spPr>
            <a:solidFill>
              <a:schemeClr val="accent3"/>
            </a:solidFill>
          </c:spPr>
          <c:invertIfNegative val="0"/>
          <c:cat>
            <c:numRef>
              <c:f>'KPI 126'!$E$18:$P$18</c:f>
              <c:numCache>
                <c:formatCode>mmm\-yy</c:formatCode>
                <c:ptCount val="12"/>
                <c:pt idx="0">
                  <c:v>45839</c:v>
                </c:pt>
                <c:pt idx="1">
                  <c:v>45870</c:v>
                </c:pt>
                <c:pt idx="2">
                  <c:v>45901</c:v>
                </c:pt>
                <c:pt idx="3">
                  <c:v>45931</c:v>
                </c:pt>
                <c:pt idx="4">
                  <c:v>45962</c:v>
                </c:pt>
                <c:pt idx="5">
                  <c:v>45992</c:v>
                </c:pt>
                <c:pt idx="6">
                  <c:v>46023</c:v>
                </c:pt>
                <c:pt idx="7">
                  <c:v>46054</c:v>
                </c:pt>
                <c:pt idx="8">
                  <c:v>46082</c:v>
                </c:pt>
                <c:pt idx="9">
                  <c:v>46113</c:v>
                </c:pt>
                <c:pt idx="10">
                  <c:v>46143</c:v>
                </c:pt>
                <c:pt idx="11">
                  <c:v>46174</c:v>
                </c:pt>
              </c:numCache>
            </c:numRef>
          </c:cat>
          <c:val>
            <c:numRef>
              <c:f>'KPI 126'!$E$21:$P$21</c:f>
              <c:numCache>
                <c:formatCode>0</c:formatCode>
                <c:ptCount val="12"/>
                <c:pt idx="0">
                  <c:v>141416</c:v>
                </c:pt>
                <c:pt idx="1">
                  <c:v>168508</c:v>
                </c:pt>
                <c:pt idx="2">
                  <c:v>163668</c:v>
                </c:pt>
                <c:pt idx="3">
                  <c:v>160893</c:v>
                </c:pt>
                <c:pt idx="4">
                  <c:v>179892</c:v>
                </c:pt>
                <c:pt idx="5">
                  <c:v>116560</c:v>
                </c:pt>
                <c:pt idx="6">
                  <c:v>184451</c:v>
                </c:pt>
                <c:pt idx="7">
                  <c:v>165478</c:v>
                </c:pt>
                <c:pt idx="8">
                  <c:v>175998</c:v>
                </c:pt>
                <c:pt idx="9">
                  <c:v>135488</c:v>
                </c:pt>
                <c:pt idx="10">
                  <c:v>153694</c:v>
                </c:pt>
                <c:pt idx="11">
                  <c:v>164911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E15-41EB-A2EC-574E1A59E3A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67207680"/>
        <c:axId val="167209216"/>
      </c:barChart>
      <c:lineChart>
        <c:grouping val="standard"/>
        <c:varyColors val="0"/>
        <c:ser>
          <c:idx val="0"/>
          <c:order val="0"/>
          <c:tx>
            <c:strRef>
              <c:f>'KPI 126'!$D$19</c:f>
              <c:strCache>
                <c:ptCount val="1"/>
                <c:pt idx="0">
                  <c:v>Budget 2025-26</c:v>
                </c:pt>
              </c:strCache>
            </c:strRef>
          </c:tx>
          <c:spPr>
            <a:ln>
              <a:solidFill>
                <a:srgbClr val="FF0000"/>
              </a:solidFill>
            </a:ln>
          </c:spPr>
          <c:marker>
            <c:symbol val="none"/>
          </c:marker>
          <c:cat>
            <c:numRef>
              <c:f>'KPI 126'!$E$18:$P$18</c:f>
              <c:numCache>
                <c:formatCode>mmm\-yy</c:formatCode>
                <c:ptCount val="12"/>
                <c:pt idx="0">
                  <c:v>45839</c:v>
                </c:pt>
                <c:pt idx="1">
                  <c:v>45870</c:v>
                </c:pt>
                <c:pt idx="2">
                  <c:v>45901</c:v>
                </c:pt>
                <c:pt idx="3">
                  <c:v>45931</c:v>
                </c:pt>
                <c:pt idx="4">
                  <c:v>45962</c:v>
                </c:pt>
                <c:pt idx="5">
                  <c:v>45992</c:v>
                </c:pt>
                <c:pt idx="6">
                  <c:v>46023</c:v>
                </c:pt>
                <c:pt idx="7">
                  <c:v>46054</c:v>
                </c:pt>
                <c:pt idx="8">
                  <c:v>46082</c:v>
                </c:pt>
                <c:pt idx="9">
                  <c:v>46113</c:v>
                </c:pt>
                <c:pt idx="10">
                  <c:v>46143</c:v>
                </c:pt>
                <c:pt idx="11">
                  <c:v>46174</c:v>
                </c:pt>
              </c:numCache>
            </c:numRef>
          </c:cat>
          <c:val>
            <c:numRef>
              <c:f>'KPI 126'!$E$19:$P$19</c:f>
              <c:numCache>
                <c:formatCode>0</c:formatCode>
                <c:ptCount val="12"/>
                <c:pt idx="0">
                  <c:v>162967.7442335966</c:v>
                </c:pt>
                <c:pt idx="1">
                  <c:v>164996.22762758762</c:v>
                </c:pt>
                <c:pt idx="2">
                  <c:v>167133.6122432423</c:v>
                </c:pt>
                <c:pt idx="3">
                  <c:v>170794.24754748362</c:v>
                </c:pt>
                <c:pt idx="4">
                  <c:v>174251.4018390667</c:v>
                </c:pt>
                <c:pt idx="5">
                  <c:v>177638.11139871617</c:v>
                </c:pt>
                <c:pt idx="6">
                  <c:v>180823.43914382733</c:v>
                </c:pt>
                <c:pt idx="7">
                  <c:v>183888.91262962579</c:v>
                </c:pt>
                <c:pt idx="8">
                  <c:v>186764.48642215959</c:v>
                </c:pt>
                <c:pt idx="9">
                  <c:v>189206.27401245051</c:v>
                </c:pt>
                <c:pt idx="10">
                  <c:v>191648.06160274136</c:v>
                </c:pt>
                <c:pt idx="11">
                  <c:v>194059.95820076609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8E15-41EB-A2EC-574E1A59E3A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67207680"/>
        <c:axId val="167209216"/>
      </c:lineChart>
      <c:dateAx>
        <c:axId val="167207680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crossAx val="167209216"/>
        <c:crosses val="autoZero"/>
        <c:auto val="1"/>
        <c:lblOffset val="100"/>
        <c:baseTimeUnit val="months"/>
      </c:dateAx>
      <c:valAx>
        <c:axId val="167209216"/>
        <c:scaling>
          <c:orientation val="minMax"/>
        </c:scaling>
        <c:delete val="0"/>
        <c:axPos val="l"/>
        <c:majorGridlines/>
        <c:numFmt formatCode="0" sourceLinked="1"/>
        <c:majorTickMark val="out"/>
        <c:minorTickMark val="none"/>
        <c:tickLblPos val="nextTo"/>
        <c:crossAx val="16720768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000000000000822" l="0.70000000000000062" r="0.70000000000000062" t="0.75000000000000822" header="0.30000000000000032" footer="0.30000000000000032"/>
    <c:pageSetup/>
  </c:printSettings>
</c:chartSpace>
</file>

<file path=xl/charts/chart16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1"/>
          <c:order val="1"/>
          <c:tx>
            <c:strRef>
              <c:f>'KPI 126'!$D$20</c:f>
              <c:strCache>
                <c:ptCount val="1"/>
                <c:pt idx="0">
                  <c:v>Actual 2025-26</c:v>
                </c:pt>
              </c:strCache>
            </c:strRef>
          </c:tx>
          <c:spPr>
            <a:solidFill>
              <a:schemeClr val="accent1"/>
            </a:solidFill>
          </c:spPr>
          <c:invertIfNegative val="0"/>
          <c:cat>
            <c:numRef>
              <c:f>'KPI 126'!$E$18:$P$18</c:f>
              <c:numCache>
                <c:formatCode>mmm\-yy</c:formatCode>
                <c:ptCount val="12"/>
                <c:pt idx="0">
                  <c:v>45839</c:v>
                </c:pt>
                <c:pt idx="1">
                  <c:v>45870</c:v>
                </c:pt>
                <c:pt idx="2">
                  <c:v>45901</c:v>
                </c:pt>
                <c:pt idx="3">
                  <c:v>45931</c:v>
                </c:pt>
                <c:pt idx="4">
                  <c:v>45962</c:v>
                </c:pt>
                <c:pt idx="5">
                  <c:v>45992</c:v>
                </c:pt>
                <c:pt idx="6">
                  <c:v>46023</c:v>
                </c:pt>
                <c:pt idx="7">
                  <c:v>46054</c:v>
                </c:pt>
                <c:pt idx="8">
                  <c:v>46082</c:v>
                </c:pt>
                <c:pt idx="9">
                  <c:v>46113</c:v>
                </c:pt>
                <c:pt idx="10">
                  <c:v>46143</c:v>
                </c:pt>
                <c:pt idx="11">
                  <c:v>46174</c:v>
                </c:pt>
              </c:numCache>
            </c:numRef>
          </c:cat>
          <c:val>
            <c:numRef>
              <c:f>'KPI 126'!$E$20:$P$20</c:f>
              <c:numCache>
                <c:formatCode>0</c:formatCode>
                <c:ptCount val="12"/>
                <c:pt idx="0">
                  <c:v>146435</c:v>
                </c:pt>
                <c:pt idx="1">
                  <c:v>173295</c:v>
                </c:pt>
                <c:pt idx="2">
                  <c:v>145988</c:v>
                </c:pt>
                <c:pt idx="3">
                  <c:v>171125</c:v>
                </c:pt>
                <c:pt idx="4">
                  <c:v>135132</c:v>
                </c:pt>
                <c:pt idx="5">
                  <c:v>131036</c:v>
                </c:pt>
                <c:pt idx="6">
                  <c:v>200570</c:v>
                </c:pt>
                <c:pt idx="7">
                  <c:v>172265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E15-41EB-A2EC-574E1A59E3A6}"/>
            </c:ext>
          </c:extLst>
        </c:ser>
        <c:ser>
          <c:idx val="4"/>
          <c:order val="2"/>
          <c:tx>
            <c:strRef>
              <c:f>'KPI 126'!$D$21</c:f>
              <c:strCache>
                <c:ptCount val="1"/>
                <c:pt idx="0">
                  <c:v>Actual 2024-25</c:v>
                </c:pt>
              </c:strCache>
            </c:strRef>
          </c:tx>
          <c:spPr>
            <a:solidFill>
              <a:schemeClr val="accent3"/>
            </a:solidFill>
          </c:spPr>
          <c:invertIfNegative val="0"/>
          <c:cat>
            <c:numRef>
              <c:f>'KPI 126'!$E$18:$P$18</c:f>
              <c:numCache>
                <c:formatCode>mmm\-yy</c:formatCode>
                <c:ptCount val="12"/>
                <c:pt idx="0">
                  <c:v>45839</c:v>
                </c:pt>
                <c:pt idx="1">
                  <c:v>45870</c:v>
                </c:pt>
                <c:pt idx="2">
                  <c:v>45901</c:v>
                </c:pt>
                <c:pt idx="3">
                  <c:v>45931</c:v>
                </c:pt>
                <c:pt idx="4">
                  <c:v>45962</c:v>
                </c:pt>
                <c:pt idx="5">
                  <c:v>45992</c:v>
                </c:pt>
                <c:pt idx="6">
                  <c:v>46023</c:v>
                </c:pt>
                <c:pt idx="7">
                  <c:v>46054</c:v>
                </c:pt>
                <c:pt idx="8">
                  <c:v>46082</c:v>
                </c:pt>
                <c:pt idx="9">
                  <c:v>46113</c:v>
                </c:pt>
                <c:pt idx="10">
                  <c:v>46143</c:v>
                </c:pt>
                <c:pt idx="11">
                  <c:v>46174</c:v>
                </c:pt>
              </c:numCache>
            </c:numRef>
          </c:cat>
          <c:val>
            <c:numRef>
              <c:f>'KPI 126'!$E$21:$P$21</c:f>
              <c:numCache>
                <c:formatCode>0</c:formatCode>
                <c:ptCount val="12"/>
                <c:pt idx="0">
                  <c:v>141416</c:v>
                </c:pt>
                <c:pt idx="1">
                  <c:v>168508</c:v>
                </c:pt>
                <c:pt idx="2">
                  <c:v>163668</c:v>
                </c:pt>
                <c:pt idx="3">
                  <c:v>160893</c:v>
                </c:pt>
                <c:pt idx="4">
                  <c:v>179892</c:v>
                </c:pt>
                <c:pt idx="5">
                  <c:v>116560</c:v>
                </c:pt>
                <c:pt idx="6">
                  <c:v>184451</c:v>
                </c:pt>
                <c:pt idx="7">
                  <c:v>165478</c:v>
                </c:pt>
                <c:pt idx="8">
                  <c:v>175998</c:v>
                </c:pt>
                <c:pt idx="9">
                  <c:v>135488</c:v>
                </c:pt>
                <c:pt idx="10">
                  <c:v>153694</c:v>
                </c:pt>
                <c:pt idx="11">
                  <c:v>164911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E15-41EB-A2EC-574E1A59E3A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67409920"/>
        <c:axId val="168132608"/>
      </c:barChart>
      <c:lineChart>
        <c:grouping val="standard"/>
        <c:varyColors val="0"/>
        <c:ser>
          <c:idx val="0"/>
          <c:order val="0"/>
          <c:tx>
            <c:strRef>
              <c:f>'KPI 126'!$D$19</c:f>
              <c:strCache>
                <c:ptCount val="1"/>
                <c:pt idx="0">
                  <c:v>Budget 2025-26</c:v>
                </c:pt>
              </c:strCache>
            </c:strRef>
          </c:tx>
          <c:spPr>
            <a:ln>
              <a:solidFill>
                <a:srgbClr val="FF0000"/>
              </a:solidFill>
            </a:ln>
          </c:spPr>
          <c:marker>
            <c:symbol val="none"/>
          </c:marker>
          <c:cat>
            <c:numRef>
              <c:f>'KPI 126'!$E$18:$P$18</c:f>
              <c:numCache>
                <c:formatCode>mmm\-yy</c:formatCode>
                <c:ptCount val="12"/>
                <c:pt idx="0">
                  <c:v>45839</c:v>
                </c:pt>
                <c:pt idx="1">
                  <c:v>45870</c:v>
                </c:pt>
                <c:pt idx="2">
                  <c:v>45901</c:v>
                </c:pt>
                <c:pt idx="3">
                  <c:v>45931</c:v>
                </c:pt>
                <c:pt idx="4">
                  <c:v>45962</c:v>
                </c:pt>
                <c:pt idx="5">
                  <c:v>45992</c:v>
                </c:pt>
                <c:pt idx="6">
                  <c:v>46023</c:v>
                </c:pt>
                <c:pt idx="7">
                  <c:v>46054</c:v>
                </c:pt>
                <c:pt idx="8">
                  <c:v>46082</c:v>
                </c:pt>
                <c:pt idx="9">
                  <c:v>46113</c:v>
                </c:pt>
                <c:pt idx="10">
                  <c:v>46143</c:v>
                </c:pt>
                <c:pt idx="11">
                  <c:v>46174</c:v>
                </c:pt>
              </c:numCache>
            </c:numRef>
          </c:cat>
          <c:val>
            <c:numRef>
              <c:f>'KPI 126'!$E$19:$P$19</c:f>
              <c:numCache>
                <c:formatCode>0</c:formatCode>
                <c:ptCount val="12"/>
                <c:pt idx="0">
                  <c:v>162967.7442335966</c:v>
                </c:pt>
                <c:pt idx="1">
                  <c:v>164996.22762758762</c:v>
                </c:pt>
                <c:pt idx="2">
                  <c:v>167133.6122432423</c:v>
                </c:pt>
                <c:pt idx="3">
                  <c:v>170794.24754748362</c:v>
                </c:pt>
                <c:pt idx="4">
                  <c:v>174251.4018390667</c:v>
                </c:pt>
                <c:pt idx="5">
                  <c:v>177638.11139871617</c:v>
                </c:pt>
                <c:pt idx="6">
                  <c:v>180823.43914382733</c:v>
                </c:pt>
                <c:pt idx="7">
                  <c:v>183888.91262962579</c:v>
                </c:pt>
                <c:pt idx="8">
                  <c:v>186764.48642215959</c:v>
                </c:pt>
                <c:pt idx="9">
                  <c:v>189206.27401245051</c:v>
                </c:pt>
                <c:pt idx="10">
                  <c:v>191648.06160274136</c:v>
                </c:pt>
                <c:pt idx="11">
                  <c:v>194059.95820076609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8E15-41EB-A2EC-574E1A59E3A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67409920"/>
        <c:axId val="168132608"/>
      </c:lineChart>
      <c:dateAx>
        <c:axId val="167409920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crossAx val="168132608"/>
        <c:crosses val="autoZero"/>
        <c:auto val="1"/>
        <c:lblOffset val="100"/>
        <c:baseTimeUnit val="months"/>
      </c:dateAx>
      <c:valAx>
        <c:axId val="168132608"/>
        <c:scaling>
          <c:orientation val="minMax"/>
        </c:scaling>
        <c:delete val="0"/>
        <c:axPos val="l"/>
        <c:majorGridlines/>
        <c:numFmt formatCode="0" sourceLinked="1"/>
        <c:majorTickMark val="out"/>
        <c:minorTickMark val="none"/>
        <c:tickLblPos val="nextTo"/>
        <c:crossAx val="16740992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000000000000822" l="0.70000000000000062" r="0.70000000000000062" t="0.75000000000000822" header="0.30000000000000032" footer="0.30000000000000032"/>
    <c:pageSetup/>
  </c:printSettings>
</c:chartSpace>
</file>

<file path=xl/charts/chart16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1"/>
          <c:order val="1"/>
          <c:tx>
            <c:strRef>
              <c:f>'KPI 127'!$D$20</c:f>
              <c:strCache>
                <c:ptCount val="1"/>
                <c:pt idx="0">
                  <c:v>Actual 2025-26</c:v>
                </c:pt>
              </c:strCache>
            </c:strRef>
          </c:tx>
          <c:spPr>
            <a:solidFill>
              <a:schemeClr val="accent1"/>
            </a:solidFill>
          </c:spPr>
          <c:invertIfNegative val="0"/>
          <c:cat>
            <c:numRef>
              <c:f>'KPI 127'!$E$18:$P$18</c:f>
              <c:numCache>
                <c:formatCode>mmm\-yy</c:formatCode>
                <c:ptCount val="12"/>
                <c:pt idx="0">
                  <c:v>45839</c:v>
                </c:pt>
                <c:pt idx="1">
                  <c:v>45870</c:v>
                </c:pt>
                <c:pt idx="2">
                  <c:v>45901</c:v>
                </c:pt>
                <c:pt idx="3">
                  <c:v>45931</c:v>
                </c:pt>
                <c:pt idx="4">
                  <c:v>45962</c:v>
                </c:pt>
                <c:pt idx="5">
                  <c:v>45992</c:v>
                </c:pt>
                <c:pt idx="6">
                  <c:v>46023</c:v>
                </c:pt>
                <c:pt idx="7">
                  <c:v>46054</c:v>
                </c:pt>
                <c:pt idx="8">
                  <c:v>46082</c:v>
                </c:pt>
                <c:pt idx="9">
                  <c:v>46113</c:v>
                </c:pt>
                <c:pt idx="10">
                  <c:v>46143</c:v>
                </c:pt>
                <c:pt idx="11">
                  <c:v>46174</c:v>
                </c:pt>
              </c:numCache>
            </c:numRef>
          </c:cat>
          <c:val>
            <c:numRef>
              <c:f>'KPI 127'!$E$20:$P$20</c:f>
              <c:numCache>
                <c:formatCode>0</c:formatCode>
                <c:ptCount val="12"/>
                <c:pt idx="0">
                  <c:v>18389070</c:v>
                </c:pt>
                <c:pt idx="1">
                  <c:v>22070060</c:v>
                </c:pt>
                <c:pt idx="2">
                  <c:v>18397530</c:v>
                </c:pt>
                <c:pt idx="3">
                  <c:v>21684080</c:v>
                </c:pt>
                <c:pt idx="4">
                  <c:v>17036780</c:v>
                </c:pt>
                <c:pt idx="5">
                  <c:v>16441310</c:v>
                </c:pt>
                <c:pt idx="6">
                  <c:v>25608070</c:v>
                </c:pt>
                <c:pt idx="7">
                  <c:v>21831150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3F1-4308-8CC9-8A3A75100770}"/>
            </c:ext>
          </c:extLst>
        </c:ser>
        <c:ser>
          <c:idx val="4"/>
          <c:order val="2"/>
          <c:tx>
            <c:strRef>
              <c:f>'KPI 127'!$D$21</c:f>
              <c:strCache>
                <c:ptCount val="1"/>
                <c:pt idx="0">
                  <c:v>Actual 2024-25</c:v>
                </c:pt>
              </c:strCache>
            </c:strRef>
          </c:tx>
          <c:spPr>
            <a:solidFill>
              <a:schemeClr val="accent3"/>
            </a:solidFill>
          </c:spPr>
          <c:invertIfNegative val="0"/>
          <c:cat>
            <c:numRef>
              <c:f>'KPI 127'!$E$18:$P$18</c:f>
              <c:numCache>
                <c:formatCode>mmm\-yy</c:formatCode>
                <c:ptCount val="12"/>
                <c:pt idx="0">
                  <c:v>45839</c:v>
                </c:pt>
                <c:pt idx="1">
                  <c:v>45870</c:v>
                </c:pt>
                <c:pt idx="2">
                  <c:v>45901</c:v>
                </c:pt>
                <c:pt idx="3">
                  <c:v>45931</c:v>
                </c:pt>
                <c:pt idx="4">
                  <c:v>45962</c:v>
                </c:pt>
                <c:pt idx="5">
                  <c:v>45992</c:v>
                </c:pt>
                <c:pt idx="6">
                  <c:v>46023</c:v>
                </c:pt>
                <c:pt idx="7">
                  <c:v>46054</c:v>
                </c:pt>
                <c:pt idx="8">
                  <c:v>46082</c:v>
                </c:pt>
                <c:pt idx="9">
                  <c:v>46113</c:v>
                </c:pt>
                <c:pt idx="10">
                  <c:v>46143</c:v>
                </c:pt>
                <c:pt idx="11">
                  <c:v>46174</c:v>
                </c:pt>
              </c:numCache>
            </c:numRef>
          </c:cat>
          <c:val>
            <c:numRef>
              <c:f>'KPI 127'!$E$21:$P$21</c:f>
              <c:numCache>
                <c:formatCode>0</c:formatCode>
                <c:ptCount val="12"/>
                <c:pt idx="0">
                  <c:v>11183420</c:v>
                </c:pt>
                <c:pt idx="1">
                  <c:v>13921027</c:v>
                </c:pt>
                <c:pt idx="2">
                  <c:v>13018249</c:v>
                </c:pt>
                <c:pt idx="3">
                  <c:v>12608519</c:v>
                </c:pt>
                <c:pt idx="4">
                  <c:v>14174994</c:v>
                </c:pt>
                <c:pt idx="5">
                  <c:v>8977679</c:v>
                </c:pt>
                <c:pt idx="6">
                  <c:v>14767948</c:v>
                </c:pt>
                <c:pt idx="7">
                  <c:v>13060906</c:v>
                </c:pt>
                <c:pt idx="8">
                  <c:v>13951180</c:v>
                </c:pt>
                <c:pt idx="9">
                  <c:v>13956857</c:v>
                </c:pt>
                <c:pt idx="10">
                  <c:v>19515330</c:v>
                </c:pt>
                <c:pt idx="11">
                  <c:v>20899160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3F1-4308-8CC9-8A3A7510077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32534272"/>
        <c:axId val="132535808"/>
      </c:barChart>
      <c:lineChart>
        <c:grouping val="standard"/>
        <c:varyColors val="0"/>
        <c:ser>
          <c:idx val="0"/>
          <c:order val="0"/>
          <c:tx>
            <c:strRef>
              <c:f>'KPI 127'!$D$19</c:f>
              <c:strCache>
                <c:ptCount val="1"/>
                <c:pt idx="0">
                  <c:v>Budget 2025-26</c:v>
                </c:pt>
              </c:strCache>
            </c:strRef>
          </c:tx>
          <c:spPr>
            <a:ln>
              <a:solidFill>
                <a:srgbClr val="FF0000"/>
              </a:solidFill>
            </a:ln>
          </c:spPr>
          <c:marker>
            <c:symbol val="none"/>
          </c:marker>
          <c:cat>
            <c:numRef>
              <c:f>'KPI 127'!$E$18:$P$18</c:f>
              <c:numCache>
                <c:formatCode>mmm\-yy</c:formatCode>
                <c:ptCount val="12"/>
                <c:pt idx="0">
                  <c:v>45839</c:v>
                </c:pt>
                <c:pt idx="1">
                  <c:v>45870</c:v>
                </c:pt>
                <c:pt idx="2">
                  <c:v>45901</c:v>
                </c:pt>
                <c:pt idx="3">
                  <c:v>45931</c:v>
                </c:pt>
                <c:pt idx="4">
                  <c:v>45962</c:v>
                </c:pt>
                <c:pt idx="5">
                  <c:v>45992</c:v>
                </c:pt>
                <c:pt idx="6">
                  <c:v>46023</c:v>
                </c:pt>
                <c:pt idx="7">
                  <c:v>46054</c:v>
                </c:pt>
                <c:pt idx="8">
                  <c:v>46082</c:v>
                </c:pt>
                <c:pt idx="9">
                  <c:v>46113</c:v>
                </c:pt>
                <c:pt idx="10">
                  <c:v>46143</c:v>
                </c:pt>
                <c:pt idx="11">
                  <c:v>46174</c:v>
                </c:pt>
              </c:numCache>
            </c:numRef>
          </c:cat>
          <c:val>
            <c:numRef>
              <c:f>'KPI 127'!$E$19:$P$19</c:f>
              <c:numCache>
                <c:formatCode>0</c:formatCode>
                <c:ptCount val="12"/>
                <c:pt idx="0">
                  <c:v>16944467.777777772</c:v>
                </c:pt>
                <c:pt idx="1">
                  <c:v>17161527.777777776</c:v>
                </c:pt>
                <c:pt idx="2">
                  <c:v>17381827.777777772</c:v>
                </c:pt>
                <c:pt idx="3">
                  <c:v>17650727.777777772</c:v>
                </c:pt>
                <c:pt idx="4">
                  <c:v>17903427.777777772</c:v>
                </c:pt>
                <c:pt idx="5">
                  <c:v>18139927.777777772</c:v>
                </c:pt>
                <c:pt idx="6">
                  <c:v>18392627.77777778</c:v>
                </c:pt>
                <c:pt idx="7">
                  <c:v>18621027.777777772</c:v>
                </c:pt>
                <c:pt idx="8">
                  <c:v>18825127.777777772</c:v>
                </c:pt>
                <c:pt idx="9">
                  <c:v>19013027.777777776</c:v>
                </c:pt>
                <c:pt idx="10">
                  <c:v>19200927.77777778</c:v>
                </c:pt>
                <c:pt idx="11">
                  <c:v>19385587.777777776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A3F1-4308-8CC9-8A3A7510077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2534272"/>
        <c:axId val="132535808"/>
      </c:lineChart>
      <c:dateAx>
        <c:axId val="132534272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crossAx val="132535808"/>
        <c:crosses val="autoZero"/>
        <c:auto val="1"/>
        <c:lblOffset val="100"/>
        <c:baseTimeUnit val="months"/>
      </c:dateAx>
      <c:valAx>
        <c:axId val="132535808"/>
        <c:scaling>
          <c:orientation val="minMax"/>
        </c:scaling>
        <c:delete val="0"/>
        <c:axPos val="l"/>
        <c:majorGridlines/>
        <c:numFmt formatCode="0" sourceLinked="1"/>
        <c:majorTickMark val="out"/>
        <c:minorTickMark val="none"/>
        <c:tickLblPos val="nextTo"/>
        <c:crossAx val="132534272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000000000000822" l="0.70000000000000062" r="0.70000000000000062" t="0.75000000000000822" header="0.30000000000000032" footer="0.30000000000000032"/>
    <c:pageSetup/>
  </c:printSettings>
</c:chartSpace>
</file>

<file path=xl/charts/chart16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1"/>
          <c:order val="1"/>
          <c:tx>
            <c:strRef>
              <c:f>'KPI 128'!$D$20</c:f>
              <c:strCache>
                <c:ptCount val="1"/>
                <c:pt idx="0">
                  <c:v>Actual 2025-26</c:v>
                </c:pt>
              </c:strCache>
            </c:strRef>
          </c:tx>
          <c:spPr>
            <a:solidFill>
              <a:schemeClr val="accent1"/>
            </a:solidFill>
          </c:spPr>
          <c:invertIfNegative val="0"/>
          <c:cat>
            <c:numRef>
              <c:f>'KPI 128'!$E$18:$P$18</c:f>
              <c:numCache>
                <c:formatCode>mmm\-yy</c:formatCode>
                <c:ptCount val="12"/>
                <c:pt idx="0">
                  <c:v>45839</c:v>
                </c:pt>
                <c:pt idx="1">
                  <c:v>45870</c:v>
                </c:pt>
                <c:pt idx="2">
                  <c:v>45901</c:v>
                </c:pt>
                <c:pt idx="3">
                  <c:v>45931</c:v>
                </c:pt>
                <c:pt idx="4">
                  <c:v>45962</c:v>
                </c:pt>
                <c:pt idx="5">
                  <c:v>45992</c:v>
                </c:pt>
                <c:pt idx="6">
                  <c:v>46023</c:v>
                </c:pt>
                <c:pt idx="7">
                  <c:v>46054</c:v>
                </c:pt>
                <c:pt idx="8">
                  <c:v>46082</c:v>
                </c:pt>
                <c:pt idx="9">
                  <c:v>46113</c:v>
                </c:pt>
                <c:pt idx="10">
                  <c:v>46143</c:v>
                </c:pt>
                <c:pt idx="11">
                  <c:v>46174</c:v>
                </c:pt>
              </c:numCache>
            </c:numRef>
          </c:cat>
          <c:val>
            <c:numRef>
              <c:f>'KPI 128'!$E$20:$P$20</c:f>
              <c:numCache>
                <c:formatCode>0</c:formatCode>
                <c:ptCount val="12"/>
                <c:pt idx="0">
                  <c:v>5703321</c:v>
                </c:pt>
                <c:pt idx="1">
                  <c:v>6046366.0000000009</c:v>
                </c:pt>
                <c:pt idx="2">
                  <c:v>5720536</c:v>
                </c:pt>
                <c:pt idx="3">
                  <c:v>5831421.0000000009</c:v>
                </c:pt>
                <c:pt idx="4">
                  <c:v>5343133.5</c:v>
                </c:pt>
                <c:pt idx="5">
                  <c:v>4905403.8</c:v>
                </c:pt>
                <c:pt idx="6">
                  <c:v>6958143.5000000009</c:v>
                </c:pt>
                <c:pt idx="7">
                  <c:v>5826591.0000000009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18E-483B-8D0D-BC9419A8304B}"/>
            </c:ext>
          </c:extLst>
        </c:ser>
        <c:ser>
          <c:idx val="4"/>
          <c:order val="2"/>
          <c:tx>
            <c:strRef>
              <c:f>'KPI 128'!$D$21</c:f>
              <c:strCache>
                <c:ptCount val="1"/>
                <c:pt idx="0">
                  <c:v>Actual 2024-25</c:v>
                </c:pt>
              </c:strCache>
            </c:strRef>
          </c:tx>
          <c:spPr>
            <a:solidFill>
              <a:schemeClr val="accent3"/>
            </a:solidFill>
          </c:spPr>
          <c:invertIfNegative val="0"/>
          <c:cat>
            <c:numRef>
              <c:f>'KPI 128'!$E$18:$P$18</c:f>
              <c:numCache>
                <c:formatCode>mmm\-yy</c:formatCode>
                <c:ptCount val="12"/>
                <c:pt idx="0">
                  <c:v>45839</c:v>
                </c:pt>
                <c:pt idx="1">
                  <c:v>45870</c:v>
                </c:pt>
                <c:pt idx="2">
                  <c:v>45901</c:v>
                </c:pt>
                <c:pt idx="3">
                  <c:v>45931</c:v>
                </c:pt>
                <c:pt idx="4">
                  <c:v>45962</c:v>
                </c:pt>
                <c:pt idx="5">
                  <c:v>45992</c:v>
                </c:pt>
                <c:pt idx="6">
                  <c:v>46023</c:v>
                </c:pt>
                <c:pt idx="7">
                  <c:v>46054</c:v>
                </c:pt>
                <c:pt idx="8">
                  <c:v>46082</c:v>
                </c:pt>
                <c:pt idx="9">
                  <c:v>46113</c:v>
                </c:pt>
                <c:pt idx="10">
                  <c:v>46143</c:v>
                </c:pt>
                <c:pt idx="11">
                  <c:v>46174</c:v>
                </c:pt>
              </c:numCache>
            </c:numRef>
          </c:cat>
          <c:val>
            <c:numRef>
              <c:f>'KPI 128'!$E$21:$P$21</c:f>
              <c:numCache>
                <c:formatCode>0</c:formatCode>
                <c:ptCount val="12"/>
                <c:pt idx="0">
                  <c:v>4109000.4</c:v>
                </c:pt>
                <c:pt idx="1">
                  <c:v>5045322.1500000004</c:v>
                </c:pt>
                <c:pt idx="2">
                  <c:v>4283477.7</c:v>
                </c:pt>
                <c:pt idx="3">
                  <c:v>4437132.7</c:v>
                </c:pt>
                <c:pt idx="4">
                  <c:v>4483043.5</c:v>
                </c:pt>
                <c:pt idx="5">
                  <c:v>3764102.6999999997</c:v>
                </c:pt>
                <c:pt idx="6">
                  <c:v>5424626.2000000002</c:v>
                </c:pt>
                <c:pt idx="7">
                  <c:v>4666903.2</c:v>
                </c:pt>
                <c:pt idx="8">
                  <c:v>4963782.45</c:v>
                </c:pt>
                <c:pt idx="9">
                  <c:v>5710578.75</c:v>
                </c:pt>
                <c:pt idx="10">
                  <c:v>6133011.0000000009</c:v>
                </c:pt>
                <c:pt idx="11">
                  <c:v>6224363.5000000009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18E-483B-8D0D-BC9419A8304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32519040"/>
        <c:axId val="132520576"/>
      </c:barChart>
      <c:lineChart>
        <c:grouping val="standard"/>
        <c:varyColors val="0"/>
        <c:ser>
          <c:idx val="0"/>
          <c:order val="0"/>
          <c:tx>
            <c:strRef>
              <c:f>'KPI 128'!$D$19</c:f>
              <c:strCache>
                <c:ptCount val="1"/>
                <c:pt idx="0">
                  <c:v>Budget 2025-26</c:v>
                </c:pt>
              </c:strCache>
            </c:strRef>
          </c:tx>
          <c:spPr>
            <a:ln>
              <a:solidFill>
                <a:srgbClr val="FF0000"/>
              </a:solidFill>
            </a:ln>
          </c:spPr>
          <c:marker>
            <c:symbol val="none"/>
          </c:marker>
          <c:cat>
            <c:numRef>
              <c:f>'KPI 128'!$E$18:$P$18</c:f>
              <c:numCache>
                <c:formatCode>mmm\-yy</c:formatCode>
                <c:ptCount val="12"/>
                <c:pt idx="0">
                  <c:v>45839</c:v>
                </c:pt>
                <c:pt idx="1">
                  <c:v>45870</c:v>
                </c:pt>
                <c:pt idx="2">
                  <c:v>45901</c:v>
                </c:pt>
                <c:pt idx="3">
                  <c:v>45931</c:v>
                </c:pt>
                <c:pt idx="4">
                  <c:v>45962</c:v>
                </c:pt>
                <c:pt idx="5">
                  <c:v>45992</c:v>
                </c:pt>
                <c:pt idx="6">
                  <c:v>46023</c:v>
                </c:pt>
                <c:pt idx="7">
                  <c:v>46054</c:v>
                </c:pt>
                <c:pt idx="8">
                  <c:v>46082</c:v>
                </c:pt>
                <c:pt idx="9">
                  <c:v>46113</c:v>
                </c:pt>
                <c:pt idx="10">
                  <c:v>46143</c:v>
                </c:pt>
                <c:pt idx="11">
                  <c:v>46174</c:v>
                </c:pt>
              </c:numCache>
            </c:numRef>
          </c:cat>
          <c:val>
            <c:numRef>
              <c:f>'KPI 128'!$E$19:$P$19</c:f>
              <c:numCache>
                <c:formatCode>0</c:formatCode>
                <c:ptCount val="12"/>
                <c:pt idx="0">
                  <c:v>5070284.0919431103</c:v>
                </c:pt>
                <c:pt idx="1">
                  <c:v>5094619.4241970656</c:v>
                </c:pt>
                <c:pt idx="2">
                  <c:v>5118954.7564510163</c:v>
                </c:pt>
                <c:pt idx="3">
                  <c:v>5143290.0887049716</c:v>
                </c:pt>
                <c:pt idx="4">
                  <c:v>5167625.420958925</c:v>
                </c:pt>
                <c:pt idx="5">
                  <c:v>5191960.7532128785</c:v>
                </c:pt>
                <c:pt idx="6">
                  <c:v>5216296.085466831</c:v>
                </c:pt>
                <c:pt idx="7">
                  <c:v>5240631.4177207844</c:v>
                </c:pt>
                <c:pt idx="8">
                  <c:v>5264966.7499747379</c:v>
                </c:pt>
                <c:pt idx="9">
                  <c:v>5289302.0822286895</c:v>
                </c:pt>
                <c:pt idx="10">
                  <c:v>5313637.414482642</c:v>
                </c:pt>
                <c:pt idx="11">
                  <c:v>5337972.7467365963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118E-483B-8D0D-BC9419A8304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2519040"/>
        <c:axId val="132520576"/>
      </c:lineChart>
      <c:dateAx>
        <c:axId val="132519040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crossAx val="132520576"/>
        <c:crosses val="autoZero"/>
        <c:auto val="1"/>
        <c:lblOffset val="100"/>
        <c:baseTimeUnit val="months"/>
      </c:dateAx>
      <c:valAx>
        <c:axId val="132520576"/>
        <c:scaling>
          <c:orientation val="minMax"/>
        </c:scaling>
        <c:delete val="0"/>
        <c:axPos val="l"/>
        <c:majorGridlines/>
        <c:numFmt formatCode="0" sourceLinked="1"/>
        <c:majorTickMark val="out"/>
        <c:minorTickMark val="none"/>
        <c:tickLblPos val="nextTo"/>
        <c:crossAx val="13251904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000000000000822" l="0.70000000000000062" r="0.70000000000000062" t="0.75000000000000822" header="0.30000000000000032" footer="0.30000000000000032"/>
    <c:pageSetup/>
  </c:printSettings>
</c:chartSpace>
</file>

<file path=xl/charts/chart16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1"/>
          <c:order val="1"/>
          <c:tx>
            <c:strRef>
              <c:f>'KPI 129'!$D$20</c:f>
              <c:strCache>
                <c:ptCount val="1"/>
                <c:pt idx="0">
                  <c:v>Actual 2025-26</c:v>
                </c:pt>
              </c:strCache>
            </c:strRef>
          </c:tx>
          <c:spPr>
            <a:solidFill>
              <a:schemeClr val="accent1"/>
            </a:solidFill>
          </c:spPr>
          <c:invertIfNegative val="0"/>
          <c:cat>
            <c:numRef>
              <c:f>'KPI 129'!$E$18:$P$18</c:f>
              <c:numCache>
                <c:formatCode>mmm\-yy</c:formatCode>
                <c:ptCount val="12"/>
                <c:pt idx="0">
                  <c:v>45839</c:v>
                </c:pt>
                <c:pt idx="1">
                  <c:v>45870</c:v>
                </c:pt>
                <c:pt idx="2">
                  <c:v>45901</c:v>
                </c:pt>
                <c:pt idx="3">
                  <c:v>45931</c:v>
                </c:pt>
                <c:pt idx="4">
                  <c:v>45962</c:v>
                </c:pt>
                <c:pt idx="5">
                  <c:v>45992</c:v>
                </c:pt>
                <c:pt idx="6">
                  <c:v>46023</c:v>
                </c:pt>
                <c:pt idx="7">
                  <c:v>46054</c:v>
                </c:pt>
                <c:pt idx="8">
                  <c:v>46082</c:v>
                </c:pt>
                <c:pt idx="9">
                  <c:v>46113</c:v>
                </c:pt>
                <c:pt idx="10">
                  <c:v>46143</c:v>
                </c:pt>
                <c:pt idx="11">
                  <c:v>46174</c:v>
                </c:pt>
              </c:numCache>
            </c:numRef>
          </c:cat>
          <c:val>
            <c:numRef>
              <c:f>'KPI 129'!$E$20:$P$20</c:f>
              <c:numCache>
                <c:formatCode>0</c:formatCode>
                <c:ptCount val="12"/>
                <c:pt idx="0">
                  <c:v>125.57837948577867</c:v>
                </c:pt>
                <c:pt idx="1">
                  <c:v>127.35543437490983</c:v>
                </c:pt>
                <c:pt idx="2">
                  <c:v>126.02083732909554</c:v>
                </c:pt>
                <c:pt idx="3">
                  <c:v>126.71485756026297</c:v>
                </c:pt>
                <c:pt idx="4">
                  <c:v>126.07509694224906</c:v>
                </c:pt>
                <c:pt idx="5">
                  <c:v>125.4717024329192</c:v>
                </c:pt>
                <c:pt idx="6">
                  <c:v>127.67647205464426</c:v>
                </c:pt>
                <c:pt idx="7">
                  <c:v>126.73003802281369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318-463D-B549-12566C396072}"/>
            </c:ext>
          </c:extLst>
        </c:ser>
        <c:ser>
          <c:idx val="4"/>
          <c:order val="2"/>
          <c:tx>
            <c:strRef>
              <c:f>'KPI 129'!$D$21</c:f>
              <c:strCache>
                <c:ptCount val="1"/>
                <c:pt idx="0">
                  <c:v>Actual 2024-25</c:v>
                </c:pt>
              </c:strCache>
            </c:strRef>
          </c:tx>
          <c:spPr>
            <a:solidFill>
              <a:schemeClr val="accent3"/>
            </a:solidFill>
          </c:spPr>
          <c:invertIfNegative val="0"/>
          <c:cat>
            <c:numRef>
              <c:f>'KPI 129'!$E$18:$P$18</c:f>
              <c:numCache>
                <c:formatCode>mmm\-yy</c:formatCode>
                <c:ptCount val="12"/>
                <c:pt idx="0">
                  <c:v>45839</c:v>
                </c:pt>
                <c:pt idx="1">
                  <c:v>45870</c:v>
                </c:pt>
                <c:pt idx="2">
                  <c:v>45901</c:v>
                </c:pt>
                <c:pt idx="3">
                  <c:v>45931</c:v>
                </c:pt>
                <c:pt idx="4">
                  <c:v>45962</c:v>
                </c:pt>
                <c:pt idx="5">
                  <c:v>45992</c:v>
                </c:pt>
                <c:pt idx="6">
                  <c:v>46023</c:v>
                </c:pt>
                <c:pt idx="7">
                  <c:v>46054</c:v>
                </c:pt>
                <c:pt idx="8">
                  <c:v>46082</c:v>
                </c:pt>
                <c:pt idx="9">
                  <c:v>46113</c:v>
                </c:pt>
                <c:pt idx="10">
                  <c:v>46143</c:v>
                </c:pt>
                <c:pt idx="11">
                  <c:v>46174</c:v>
                </c:pt>
              </c:numCache>
            </c:numRef>
          </c:cat>
          <c:val>
            <c:numRef>
              <c:f>'KPI 129'!$E$21:$P$21</c:f>
              <c:numCache>
                <c:formatCode>0</c:formatCode>
                <c:ptCount val="12"/>
                <c:pt idx="0">
                  <c:v>79.081716354585055</c:v>
                </c:pt>
                <c:pt idx="1">
                  <c:v>82.6134486196501</c:v>
                </c:pt>
                <c:pt idx="2">
                  <c:v>79.540588264046733</c:v>
                </c:pt>
                <c:pt idx="3">
                  <c:v>78.36586427004282</c:v>
                </c:pt>
                <c:pt idx="4">
                  <c:v>78.797245013674868</c:v>
                </c:pt>
                <c:pt idx="5">
                  <c:v>77.02195435827042</c:v>
                </c:pt>
                <c:pt idx="6">
                  <c:v>80.064342291448682</c:v>
                </c:pt>
                <c:pt idx="7">
                  <c:v>78.928353013693666</c:v>
                </c:pt>
                <c:pt idx="8">
                  <c:v>79.268968965556425</c:v>
                </c:pt>
                <c:pt idx="9">
                  <c:v>103.01175749881908</c:v>
                </c:pt>
                <c:pt idx="10">
                  <c:v>126.97522349603759</c:v>
                </c:pt>
                <c:pt idx="11">
                  <c:v>126.72993311543803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318-463D-B549-12566C39607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32733184"/>
        <c:axId val="132751360"/>
      </c:barChart>
      <c:lineChart>
        <c:grouping val="standard"/>
        <c:varyColors val="0"/>
        <c:ser>
          <c:idx val="0"/>
          <c:order val="0"/>
          <c:tx>
            <c:strRef>
              <c:f>'KPI 129'!$D$19</c:f>
              <c:strCache>
                <c:ptCount val="1"/>
                <c:pt idx="0">
                  <c:v>Budget 2025-26</c:v>
                </c:pt>
              </c:strCache>
            </c:strRef>
          </c:tx>
          <c:spPr>
            <a:ln>
              <a:solidFill>
                <a:srgbClr val="FF0000"/>
              </a:solidFill>
            </a:ln>
          </c:spPr>
          <c:marker>
            <c:symbol val="none"/>
          </c:marker>
          <c:cat>
            <c:numRef>
              <c:f>'KPI 129'!$E$18:$P$18</c:f>
              <c:numCache>
                <c:formatCode>mmm\-yy</c:formatCode>
                <c:ptCount val="12"/>
                <c:pt idx="0">
                  <c:v>45839</c:v>
                </c:pt>
                <c:pt idx="1">
                  <c:v>45870</c:v>
                </c:pt>
                <c:pt idx="2">
                  <c:v>45901</c:v>
                </c:pt>
                <c:pt idx="3">
                  <c:v>45931</c:v>
                </c:pt>
                <c:pt idx="4">
                  <c:v>45962</c:v>
                </c:pt>
                <c:pt idx="5">
                  <c:v>45992</c:v>
                </c:pt>
                <c:pt idx="6">
                  <c:v>46023</c:v>
                </c:pt>
                <c:pt idx="7">
                  <c:v>46054</c:v>
                </c:pt>
                <c:pt idx="8">
                  <c:v>46082</c:v>
                </c:pt>
                <c:pt idx="9">
                  <c:v>46113</c:v>
                </c:pt>
                <c:pt idx="10">
                  <c:v>46143</c:v>
                </c:pt>
                <c:pt idx="11">
                  <c:v>46174</c:v>
                </c:pt>
              </c:numCache>
            </c:numRef>
          </c:cat>
          <c:val>
            <c:numRef>
              <c:f>'KPI 129'!$E$19:$P$19</c:f>
              <c:numCache>
                <c:formatCode>0</c:formatCode>
                <c:ptCount val="12"/>
                <c:pt idx="0">
                  <c:v>110</c:v>
                </c:pt>
                <c:pt idx="1">
                  <c:v>110</c:v>
                </c:pt>
                <c:pt idx="2">
                  <c:v>110</c:v>
                </c:pt>
                <c:pt idx="3">
                  <c:v>110</c:v>
                </c:pt>
                <c:pt idx="4">
                  <c:v>110</c:v>
                </c:pt>
                <c:pt idx="5">
                  <c:v>110</c:v>
                </c:pt>
                <c:pt idx="6">
                  <c:v>110</c:v>
                </c:pt>
                <c:pt idx="7">
                  <c:v>110</c:v>
                </c:pt>
                <c:pt idx="8">
                  <c:v>110</c:v>
                </c:pt>
                <c:pt idx="9">
                  <c:v>110</c:v>
                </c:pt>
                <c:pt idx="10">
                  <c:v>110</c:v>
                </c:pt>
                <c:pt idx="11">
                  <c:v>110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4318-463D-B549-12566C39607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2733184"/>
        <c:axId val="132751360"/>
      </c:lineChart>
      <c:dateAx>
        <c:axId val="132733184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crossAx val="132751360"/>
        <c:crosses val="autoZero"/>
        <c:auto val="1"/>
        <c:lblOffset val="100"/>
        <c:baseTimeUnit val="months"/>
      </c:dateAx>
      <c:valAx>
        <c:axId val="132751360"/>
        <c:scaling>
          <c:orientation val="minMax"/>
        </c:scaling>
        <c:delete val="0"/>
        <c:axPos val="l"/>
        <c:majorGridlines/>
        <c:numFmt formatCode="0" sourceLinked="1"/>
        <c:majorTickMark val="out"/>
        <c:minorTickMark val="none"/>
        <c:tickLblPos val="nextTo"/>
        <c:crossAx val="132733184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000000000000822" l="0.70000000000000062" r="0.70000000000000062" t="0.75000000000000822" header="0.30000000000000032" footer="0.30000000000000032"/>
    <c:pageSetup/>
  </c:printSettings>
</c:chartSpace>
</file>

<file path=xl/charts/chart17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1"/>
          <c:order val="1"/>
          <c:tx>
            <c:strRef>
              <c:f>'KPI 130'!$D$20</c:f>
              <c:strCache>
                <c:ptCount val="1"/>
                <c:pt idx="0">
                  <c:v>Actual 2025-26</c:v>
                </c:pt>
              </c:strCache>
            </c:strRef>
          </c:tx>
          <c:spPr>
            <a:solidFill>
              <a:schemeClr val="accent1"/>
            </a:solidFill>
          </c:spPr>
          <c:invertIfNegative val="0"/>
          <c:cat>
            <c:numRef>
              <c:f>'KPI 130'!$E$18:$P$18</c:f>
              <c:numCache>
                <c:formatCode>mmm\-yy</c:formatCode>
                <c:ptCount val="12"/>
                <c:pt idx="0">
                  <c:v>45839</c:v>
                </c:pt>
                <c:pt idx="1">
                  <c:v>45870</c:v>
                </c:pt>
                <c:pt idx="2">
                  <c:v>45901</c:v>
                </c:pt>
                <c:pt idx="3">
                  <c:v>45931</c:v>
                </c:pt>
                <c:pt idx="4">
                  <c:v>45962</c:v>
                </c:pt>
                <c:pt idx="5">
                  <c:v>45992</c:v>
                </c:pt>
                <c:pt idx="6">
                  <c:v>46023</c:v>
                </c:pt>
                <c:pt idx="7">
                  <c:v>46054</c:v>
                </c:pt>
                <c:pt idx="8">
                  <c:v>46082</c:v>
                </c:pt>
                <c:pt idx="9">
                  <c:v>46113</c:v>
                </c:pt>
                <c:pt idx="10">
                  <c:v>46143</c:v>
                </c:pt>
                <c:pt idx="11">
                  <c:v>46174</c:v>
                </c:pt>
              </c:numCache>
            </c:numRef>
          </c:cat>
          <c:val>
            <c:numRef>
              <c:f>'KPI 130'!$E$20:$P$20</c:f>
              <c:numCache>
                <c:formatCode>0</c:formatCode>
                <c:ptCount val="12"/>
                <c:pt idx="0">
                  <c:v>3116.5688524590164</c:v>
                </c:pt>
                <c:pt idx="1">
                  <c:v>3291.4349482852481</c:v>
                </c:pt>
                <c:pt idx="2">
                  <c:v>3110.6775421424686</c:v>
                </c:pt>
                <c:pt idx="3">
                  <c:v>3177.8861035422347</c:v>
                </c:pt>
                <c:pt idx="4">
                  <c:v>2910.2034313725489</c:v>
                </c:pt>
                <c:pt idx="5">
                  <c:v>2658.7554471544713</c:v>
                </c:pt>
                <c:pt idx="6">
                  <c:v>3759.1266882766076</c:v>
                </c:pt>
                <c:pt idx="7">
                  <c:v>3147.8071312803895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13D-4B76-A19B-7F2F6273BE64}"/>
            </c:ext>
          </c:extLst>
        </c:ser>
        <c:ser>
          <c:idx val="4"/>
          <c:order val="2"/>
          <c:tx>
            <c:strRef>
              <c:f>'KPI 130'!$D$21</c:f>
              <c:strCache>
                <c:ptCount val="1"/>
                <c:pt idx="0">
                  <c:v>Actual 2024-25</c:v>
                </c:pt>
              </c:strCache>
            </c:strRef>
          </c:tx>
          <c:spPr>
            <a:solidFill>
              <a:schemeClr val="accent3"/>
            </a:solidFill>
          </c:spPr>
          <c:invertIfNegative val="0"/>
          <c:cat>
            <c:numRef>
              <c:f>'KPI 130'!$E$18:$P$18</c:f>
              <c:numCache>
                <c:formatCode>mmm\-yy</c:formatCode>
                <c:ptCount val="12"/>
                <c:pt idx="0">
                  <c:v>45839</c:v>
                </c:pt>
                <c:pt idx="1">
                  <c:v>45870</c:v>
                </c:pt>
                <c:pt idx="2">
                  <c:v>45901</c:v>
                </c:pt>
                <c:pt idx="3">
                  <c:v>45931</c:v>
                </c:pt>
                <c:pt idx="4">
                  <c:v>45962</c:v>
                </c:pt>
                <c:pt idx="5">
                  <c:v>45992</c:v>
                </c:pt>
                <c:pt idx="6">
                  <c:v>46023</c:v>
                </c:pt>
                <c:pt idx="7">
                  <c:v>46054</c:v>
                </c:pt>
                <c:pt idx="8">
                  <c:v>46082</c:v>
                </c:pt>
                <c:pt idx="9">
                  <c:v>46113</c:v>
                </c:pt>
                <c:pt idx="10">
                  <c:v>46143</c:v>
                </c:pt>
                <c:pt idx="11">
                  <c:v>46174</c:v>
                </c:pt>
              </c:numCache>
            </c:numRef>
          </c:cat>
          <c:val>
            <c:numRef>
              <c:f>'KPI 130'!$E$21:$P$21</c:f>
              <c:numCache>
                <c:formatCode>0</c:formatCode>
                <c:ptCount val="12"/>
                <c:pt idx="0">
                  <c:v>2298.0986577181206</c:v>
                </c:pt>
                <c:pt idx="1">
                  <c:v>2807.6361435726212</c:v>
                </c:pt>
                <c:pt idx="2">
                  <c:v>2382.3568965517243</c:v>
                </c:pt>
                <c:pt idx="3">
                  <c:v>2466.4439688715956</c:v>
                </c:pt>
                <c:pt idx="4">
                  <c:v>2482.3053709856035</c:v>
                </c:pt>
                <c:pt idx="5">
                  <c:v>2085.3754570637116</c:v>
                </c:pt>
                <c:pt idx="6">
                  <c:v>2993.723068432671</c:v>
                </c:pt>
                <c:pt idx="7">
                  <c:v>2562.8243822075783</c:v>
                </c:pt>
                <c:pt idx="8">
                  <c:v>2710.9680229382852</c:v>
                </c:pt>
                <c:pt idx="9">
                  <c:v>3112.0320163487741</c:v>
                </c:pt>
                <c:pt idx="10">
                  <c:v>3347.7134279475986</c:v>
                </c:pt>
                <c:pt idx="11">
                  <c:v>3395.724768139662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13D-4B76-A19B-7F2F6273BE6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32738432"/>
        <c:axId val="132740224"/>
      </c:barChart>
      <c:lineChart>
        <c:grouping val="standard"/>
        <c:varyColors val="0"/>
        <c:ser>
          <c:idx val="0"/>
          <c:order val="0"/>
          <c:tx>
            <c:strRef>
              <c:f>'KPI 130'!$D$19</c:f>
              <c:strCache>
                <c:ptCount val="1"/>
                <c:pt idx="0">
                  <c:v>Budget 2025-26</c:v>
                </c:pt>
              </c:strCache>
            </c:strRef>
          </c:tx>
          <c:spPr>
            <a:ln>
              <a:solidFill>
                <a:srgbClr val="FF0000"/>
              </a:solidFill>
            </a:ln>
          </c:spPr>
          <c:marker>
            <c:symbol val="none"/>
          </c:marker>
          <c:cat>
            <c:numRef>
              <c:f>'KPI 130'!$E$18:$P$18</c:f>
              <c:numCache>
                <c:formatCode>mmm\-yy</c:formatCode>
                <c:ptCount val="12"/>
                <c:pt idx="0">
                  <c:v>45839</c:v>
                </c:pt>
                <c:pt idx="1">
                  <c:v>45870</c:v>
                </c:pt>
                <c:pt idx="2">
                  <c:v>45901</c:v>
                </c:pt>
                <c:pt idx="3">
                  <c:v>45931</c:v>
                </c:pt>
                <c:pt idx="4">
                  <c:v>45962</c:v>
                </c:pt>
                <c:pt idx="5">
                  <c:v>45992</c:v>
                </c:pt>
                <c:pt idx="6">
                  <c:v>46023</c:v>
                </c:pt>
                <c:pt idx="7">
                  <c:v>46054</c:v>
                </c:pt>
                <c:pt idx="8">
                  <c:v>46082</c:v>
                </c:pt>
                <c:pt idx="9">
                  <c:v>46113</c:v>
                </c:pt>
                <c:pt idx="10">
                  <c:v>46143</c:v>
                </c:pt>
                <c:pt idx="11">
                  <c:v>46174</c:v>
                </c:pt>
              </c:numCache>
            </c:numRef>
          </c:cat>
          <c:val>
            <c:numRef>
              <c:f>'KPI 130'!$E$19:$P$19</c:f>
              <c:numCache>
                <c:formatCode>0</c:formatCode>
                <c:ptCount val="12"/>
                <c:pt idx="0">
                  <c:v>2743.6602229129385</c:v>
                </c:pt>
                <c:pt idx="1">
                  <c:v>2736.1006574635153</c:v>
                </c:pt>
                <c:pt idx="2">
                  <c:v>2728.653921349156</c:v>
                </c:pt>
                <c:pt idx="3">
                  <c:v>2721.3175072513077</c:v>
                </c:pt>
                <c:pt idx="4">
                  <c:v>2714.0889815960741</c:v>
                </c:pt>
                <c:pt idx="5">
                  <c:v>2706.9659818628147</c:v>
                </c:pt>
                <c:pt idx="6">
                  <c:v>2699.9462140097471</c:v>
                </c:pt>
                <c:pt idx="7">
                  <c:v>2693.0274500106807</c:v>
                </c:pt>
                <c:pt idx="8">
                  <c:v>2686.2075254973151</c:v>
                </c:pt>
                <c:pt idx="9">
                  <c:v>2679.484337501869</c:v>
                </c:pt>
                <c:pt idx="10">
                  <c:v>2672.8558422950914</c:v>
                </c:pt>
                <c:pt idx="11">
                  <c:v>2666.3200533149834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413D-4B76-A19B-7F2F6273BE6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2738432"/>
        <c:axId val="132740224"/>
      </c:lineChart>
      <c:dateAx>
        <c:axId val="132738432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crossAx val="132740224"/>
        <c:crosses val="autoZero"/>
        <c:auto val="1"/>
        <c:lblOffset val="100"/>
        <c:baseTimeUnit val="months"/>
      </c:dateAx>
      <c:valAx>
        <c:axId val="132740224"/>
        <c:scaling>
          <c:orientation val="minMax"/>
        </c:scaling>
        <c:delete val="0"/>
        <c:axPos val="l"/>
        <c:majorGridlines/>
        <c:numFmt formatCode="0" sourceLinked="1"/>
        <c:majorTickMark val="out"/>
        <c:minorTickMark val="none"/>
        <c:tickLblPos val="nextTo"/>
        <c:crossAx val="132738432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000000000000822" l="0.70000000000000062" r="0.70000000000000062" t="0.75000000000000822" header="0.30000000000000032" footer="0.30000000000000032"/>
    <c:pageSetup/>
  </c:printSettings>
</c:chartSpace>
</file>

<file path=xl/charts/chart17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1"/>
          <c:order val="1"/>
          <c:tx>
            <c:strRef>
              <c:f>'KPI 131'!$D$20</c:f>
              <c:strCache>
                <c:ptCount val="1"/>
                <c:pt idx="0">
                  <c:v>Actual 2023-24</c:v>
                </c:pt>
              </c:strCache>
            </c:strRef>
          </c:tx>
          <c:spPr>
            <a:solidFill>
              <a:schemeClr val="accent1"/>
            </a:solidFill>
          </c:spPr>
          <c:invertIfNegative val="0"/>
          <c:cat>
            <c:numRef>
              <c:f>'KPI 131'!$E$18:$P$18</c:f>
              <c:numCache>
                <c:formatCode>mmm\-yy</c:formatCode>
                <c:ptCount val="12"/>
                <c:pt idx="0">
                  <c:v>44743</c:v>
                </c:pt>
                <c:pt idx="1">
                  <c:v>44774</c:v>
                </c:pt>
                <c:pt idx="2">
                  <c:v>44805</c:v>
                </c:pt>
                <c:pt idx="3">
                  <c:v>44835</c:v>
                </c:pt>
                <c:pt idx="4">
                  <c:v>44866</c:v>
                </c:pt>
                <c:pt idx="5">
                  <c:v>44896</c:v>
                </c:pt>
                <c:pt idx="6">
                  <c:v>44927</c:v>
                </c:pt>
                <c:pt idx="7">
                  <c:v>44958</c:v>
                </c:pt>
                <c:pt idx="8">
                  <c:v>44986</c:v>
                </c:pt>
                <c:pt idx="9">
                  <c:v>45017</c:v>
                </c:pt>
                <c:pt idx="10">
                  <c:v>45047</c:v>
                </c:pt>
                <c:pt idx="11">
                  <c:v>45078</c:v>
                </c:pt>
              </c:numCache>
            </c:numRef>
          </c:cat>
          <c:val>
            <c:numRef>
              <c:f>'KPI 131'!$E$20:$P$20</c:f>
              <c:numCache>
                <c:formatCode>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7E5-4A87-9B59-977333601E79}"/>
            </c:ext>
          </c:extLst>
        </c:ser>
        <c:ser>
          <c:idx val="4"/>
          <c:order val="2"/>
          <c:tx>
            <c:strRef>
              <c:f>'KPI 131'!$D$21</c:f>
              <c:strCache>
                <c:ptCount val="1"/>
                <c:pt idx="0">
                  <c:v>Actual 2022-23</c:v>
                </c:pt>
              </c:strCache>
            </c:strRef>
          </c:tx>
          <c:spPr>
            <a:solidFill>
              <a:schemeClr val="accent3"/>
            </a:solidFill>
          </c:spPr>
          <c:invertIfNegative val="0"/>
          <c:cat>
            <c:numRef>
              <c:f>'KPI 131'!$E$18:$P$18</c:f>
              <c:numCache>
                <c:formatCode>mmm\-yy</c:formatCode>
                <c:ptCount val="12"/>
                <c:pt idx="0">
                  <c:v>44743</c:v>
                </c:pt>
                <c:pt idx="1">
                  <c:v>44774</c:v>
                </c:pt>
                <c:pt idx="2">
                  <c:v>44805</c:v>
                </c:pt>
                <c:pt idx="3">
                  <c:v>44835</c:v>
                </c:pt>
                <c:pt idx="4">
                  <c:v>44866</c:v>
                </c:pt>
                <c:pt idx="5">
                  <c:v>44896</c:v>
                </c:pt>
                <c:pt idx="6">
                  <c:v>44927</c:v>
                </c:pt>
                <c:pt idx="7">
                  <c:v>44958</c:v>
                </c:pt>
                <c:pt idx="8">
                  <c:v>44986</c:v>
                </c:pt>
                <c:pt idx="9">
                  <c:v>45017</c:v>
                </c:pt>
                <c:pt idx="10">
                  <c:v>45047</c:v>
                </c:pt>
                <c:pt idx="11">
                  <c:v>45078</c:v>
                </c:pt>
              </c:numCache>
            </c:numRef>
          </c:cat>
          <c:val>
            <c:numRef>
              <c:f>'KPI 131'!$E$21:$P$21</c:f>
              <c:numCache>
                <c:formatCode>0</c:formatCode>
                <c:ptCount val="12"/>
                <c:pt idx="0">
                  <c:v>12500</c:v>
                </c:pt>
                <c:pt idx="1">
                  <c:v>7500</c:v>
                </c:pt>
                <c:pt idx="2">
                  <c:v>10000</c:v>
                </c:pt>
                <c:pt idx="3">
                  <c:v>5000</c:v>
                </c:pt>
                <c:pt idx="4">
                  <c:v>10000</c:v>
                </c:pt>
                <c:pt idx="5">
                  <c:v>5000</c:v>
                </c:pt>
                <c:pt idx="6">
                  <c:v>15000</c:v>
                </c:pt>
                <c:pt idx="7">
                  <c:v>5000</c:v>
                </c:pt>
                <c:pt idx="8">
                  <c:v>10000</c:v>
                </c:pt>
                <c:pt idx="9">
                  <c:v>17500</c:v>
                </c:pt>
                <c:pt idx="10">
                  <c:v>72500</c:v>
                </c:pt>
                <c:pt idx="11">
                  <c:v>90000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7E5-4A87-9B59-977333601E7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32289280"/>
        <c:axId val="132290816"/>
      </c:barChart>
      <c:lineChart>
        <c:grouping val="standard"/>
        <c:varyColors val="0"/>
        <c:ser>
          <c:idx val="0"/>
          <c:order val="0"/>
          <c:tx>
            <c:strRef>
              <c:f>'KPI 131'!$D$19</c:f>
              <c:strCache>
                <c:ptCount val="1"/>
                <c:pt idx="0">
                  <c:v>Budget 2023-24</c:v>
                </c:pt>
              </c:strCache>
            </c:strRef>
          </c:tx>
          <c:spPr>
            <a:ln>
              <a:solidFill>
                <a:srgbClr val="FF0000"/>
              </a:solidFill>
            </a:ln>
          </c:spPr>
          <c:marker>
            <c:symbol val="none"/>
          </c:marker>
          <c:cat>
            <c:numRef>
              <c:f>'KPI 131'!$E$18:$P$18</c:f>
              <c:numCache>
                <c:formatCode>mmm\-yy</c:formatCode>
                <c:ptCount val="12"/>
                <c:pt idx="0">
                  <c:v>44743</c:v>
                </c:pt>
                <c:pt idx="1">
                  <c:v>44774</c:v>
                </c:pt>
                <c:pt idx="2">
                  <c:v>44805</c:v>
                </c:pt>
                <c:pt idx="3">
                  <c:v>44835</c:v>
                </c:pt>
                <c:pt idx="4">
                  <c:v>44866</c:v>
                </c:pt>
                <c:pt idx="5">
                  <c:v>44896</c:v>
                </c:pt>
                <c:pt idx="6">
                  <c:v>44927</c:v>
                </c:pt>
                <c:pt idx="7">
                  <c:v>44958</c:v>
                </c:pt>
                <c:pt idx="8">
                  <c:v>44986</c:v>
                </c:pt>
                <c:pt idx="9">
                  <c:v>45017</c:v>
                </c:pt>
                <c:pt idx="10">
                  <c:v>45047</c:v>
                </c:pt>
                <c:pt idx="11">
                  <c:v>45078</c:v>
                </c:pt>
              </c:numCache>
            </c:numRef>
          </c:cat>
          <c:val>
            <c:numRef>
              <c:f>'KPI 131'!$E$19:$P$19</c:f>
              <c:numCache>
                <c:formatCode>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C7E5-4A87-9B59-977333601E7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2289280"/>
        <c:axId val="132290816"/>
      </c:lineChart>
      <c:dateAx>
        <c:axId val="132289280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crossAx val="132290816"/>
        <c:crosses val="autoZero"/>
        <c:auto val="1"/>
        <c:lblOffset val="100"/>
        <c:baseTimeUnit val="months"/>
      </c:dateAx>
      <c:valAx>
        <c:axId val="132290816"/>
        <c:scaling>
          <c:orientation val="minMax"/>
        </c:scaling>
        <c:delete val="0"/>
        <c:axPos val="l"/>
        <c:majorGridlines/>
        <c:numFmt formatCode="0" sourceLinked="1"/>
        <c:majorTickMark val="out"/>
        <c:minorTickMark val="none"/>
        <c:tickLblPos val="nextTo"/>
        <c:crossAx val="13228928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000000000000822" l="0.70000000000000062" r="0.70000000000000062" t="0.75000000000000822" header="0.30000000000000032" footer="0.30000000000000032"/>
    <c:pageSetup/>
  </c:printSettings>
</c:chartSpace>
</file>

<file path=xl/charts/chart17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1"/>
          <c:order val="1"/>
          <c:tx>
            <c:strRef>
              <c:f>'KPI 132'!$D$20</c:f>
              <c:strCache>
                <c:ptCount val="1"/>
                <c:pt idx="0">
                  <c:v>Actual 2023-24</c:v>
                </c:pt>
              </c:strCache>
            </c:strRef>
          </c:tx>
          <c:spPr>
            <a:solidFill>
              <a:schemeClr val="accent1"/>
            </a:solidFill>
          </c:spPr>
          <c:invertIfNegative val="0"/>
          <c:cat>
            <c:numRef>
              <c:f>'KPI 132'!$E$18:$P$18</c:f>
              <c:numCache>
                <c:formatCode>mmm\-yy</c:formatCode>
                <c:ptCount val="12"/>
                <c:pt idx="0">
                  <c:v>44743</c:v>
                </c:pt>
                <c:pt idx="1">
                  <c:v>44774</c:v>
                </c:pt>
                <c:pt idx="2">
                  <c:v>44805</c:v>
                </c:pt>
                <c:pt idx="3">
                  <c:v>44835</c:v>
                </c:pt>
                <c:pt idx="4">
                  <c:v>44866</c:v>
                </c:pt>
                <c:pt idx="5">
                  <c:v>44896</c:v>
                </c:pt>
                <c:pt idx="6">
                  <c:v>44927</c:v>
                </c:pt>
                <c:pt idx="7">
                  <c:v>44958</c:v>
                </c:pt>
                <c:pt idx="8">
                  <c:v>44986</c:v>
                </c:pt>
                <c:pt idx="9">
                  <c:v>45017</c:v>
                </c:pt>
                <c:pt idx="10">
                  <c:v>45047</c:v>
                </c:pt>
                <c:pt idx="11">
                  <c:v>45078</c:v>
                </c:pt>
              </c:numCache>
            </c:numRef>
          </c:cat>
          <c:val>
            <c:numRef>
              <c:f>'KPI 132'!$E$20:$P$20</c:f>
              <c:numCache>
                <c:formatCode>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007-415A-A882-6CBC86AD013C}"/>
            </c:ext>
          </c:extLst>
        </c:ser>
        <c:ser>
          <c:idx val="4"/>
          <c:order val="2"/>
          <c:tx>
            <c:strRef>
              <c:f>'KPI 132'!$D$21</c:f>
              <c:strCache>
                <c:ptCount val="1"/>
                <c:pt idx="0">
                  <c:v>Actual 2022-23</c:v>
                </c:pt>
              </c:strCache>
            </c:strRef>
          </c:tx>
          <c:spPr>
            <a:solidFill>
              <a:schemeClr val="accent3"/>
            </a:solidFill>
          </c:spPr>
          <c:invertIfNegative val="0"/>
          <c:cat>
            <c:numRef>
              <c:f>'KPI 132'!$E$18:$P$18</c:f>
              <c:numCache>
                <c:formatCode>mmm\-yy</c:formatCode>
                <c:ptCount val="12"/>
                <c:pt idx="0">
                  <c:v>44743</c:v>
                </c:pt>
                <c:pt idx="1">
                  <c:v>44774</c:v>
                </c:pt>
                <c:pt idx="2">
                  <c:v>44805</c:v>
                </c:pt>
                <c:pt idx="3">
                  <c:v>44835</c:v>
                </c:pt>
                <c:pt idx="4">
                  <c:v>44866</c:v>
                </c:pt>
                <c:pt idx="5">
                  <c:v>44896</c:v>
                </c:pt>
                <c:pt idx="6">
                  <c:v>44927</c:v>
                </c:pt>
                <c:pt idx="7">
                  <c:v>44958</c:v>
                </c:pt>
                <c:pt idx="8">
                  <c:v>44986</c:v>
                </c:pt>
                <c:pt idx="9">
                  <c:v>45017</c:v>
                </c:pt>
                <c:pt idx="10">
                  <c:v>45047</c:v>
                </c:pt>
                <c:pt idx="11">
                  <c:v>45078</c:v>
                </c:pt>
              </c:numCache>
            </c:numRef>
          </c:cat>
          <c:val>
            <c:numRef>
              <c:f>'KPI 132'!$E$21:$P$21</c:f>
              <c:numCache>
                <c:formatCode>0</c:formatCode>
                <c:ptCount val="12"/>
                <c:pt idx="0">
                  <c:v>2500</c:v>
                </c:pt>
                <c:pt idx="1">
                  <c:v>2500</c:v>
                </c:pt>
                <c:pt idx="2">
                  <c:v>5000</c:v>
                </c:pt>
                <c:pt idx="3">
                  <c:v>2500</c:v>
                </c:pt>
                <c:pt idx="4">
                  <c:v>0</c:v>
                </c:pt>
                <c:pt idx="5">
                  <c:v>0</c:v>
                </c:pt>
                <c:pt idx="6">
                  <c:v>5000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7500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007-415A-A882-6CBC86AD013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32495232"/>
        <c:axId val="132496768"/>
      </c:barChart>
      <c:lineChart>
        <c:grouping val="standard"/>
        <c:varyColors val="0"/>
        <c:ser>
          <c:idx val="0"/>
          <c:order val="0"/>
          <c:tx>
            <c:strRef>
              <c:f>'KPI 132'!$D$19</c:f>
              <c:strCache>
                <c:ptCount val="1"/>
                <c:pt idx="0">
                  <c:v>Budget 2023-24</c:v>
                </c:pt>
              </c:strCache>
            </c:strRef>
          </c:tx>
          <c:spPr>
            <a:ln>
              <a:solidFill>
                <a:srgbClr val="FF0000"/>
              </a:solidFill>
            </a:ln>
          </c:spPr>
          <c:marker>
            <c:symbol val="none"/>
          </c:marker>
          <c:cat>
            <c:numRef>
              <c:f>'KPI 132'!$E$18:$P$18</c:f>
              <c:numCache>
                <c:formatCode>mmm\-yy</c:formatCode>
                <c:ptCount val="12"/>
                <c:pt idx="0">
                  <c:v>44743</c:v>
                </c:pt>
                <c:pt idx="1">
                  <c:v>44774</c:v>
                </c:pt>
                <c:pt idx="2">
                  <c:v>44805</c:v>
                </c:pt>
                <c:pt idx="3">
                  <c:v>44835</c:v>
                </c:pt>
                <c:pt idx="4">
                  <c:v>44866</c:v>
                </c:pt>
                <c:pt idx="5">
                  <c:v>44896</c:v>
                </c:pt>
                <c:pt idx="6">
                  <c:v>44927</c:v>
                </c:pt>
                <c:pt idx="7">
                  <c:v>44958</c:v>
                </c:pt>
                <c:pt idx="8">
                  <c:v>44986</c:v>
                </c:pt>
                <c:pt idx="9">
                  <c:v>45017</c:v>
                </c:pt>
                <c:pt idx="10">
                  <c:v>45047</c:v>
                </c:pt>
                <c:pt idx="11">
                  <c:v>45078</c:v>
                </c:pt>
              </c:numCache>
            </c:numRef>
          </c:cat>
          <c:val>
            <c:numRef>
              <c:f>'KPI 132'!$E$19:$P$19</c:f>
              <c:numCache>
                <c:formatCode>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007-415A-A882-6CBC86AD013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2495232"/>
        <c:axId val="132496768"/>
      </c:lineChart>
      <c:dateAx>
        <c:axId val="132495232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crossAx val="132496768"/>
        <c:crosses val="autoZero"/>
        <c:auto val="1"/>
        <c:lblOffset val="100"/>
        <c:baseTimeUnit val="months"/>
      </c:dateAx>
      <c:valAx>
        <c:axId val="132496768"/>
        <c:scaling>
          <c:orientation val="minMax"/>
        </c:scaling>
        <c:delete val="0"/>
        <c:axPos val="l"/>
        <c:majorGridlines/>
        <c:numFmt formatCode="0" sourceLinked="1"/>
        <c:majorTickMark val="out"/>
        <c:minorTickMark val="none"/>
        <c:tickLblPos val="nextTo"/>
        <c:crossAx val="132495232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000000000000822" l="0.70000000000000062" r="0.70000000000000062" t="0.75000000000000822" header="0.30000000000000032" footer="0.30000000000000032"/>
    <c:pageSetup/>
  </c:printSettings>
</c:chartSpace>
</file>

<file path=xl/charts/chart17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1"/>
          <c:order val="1"/>
          <c:tx>
            <c:strRef>
              <c:f>'KPI 133'!$D$20</c:f>
              <c:strCache>
                <c:ptCount val="1"/>
                <c:pt idx="0">
                  <c:v>Actual 2023-24</c:v>
                </c:pt>
              </c:strCache>
            </c:strRef>
          </c:tx>
          <c:spPr>
            <a:solidFill>
              <a:schemeClr val="accent1"/>
            </a:solidFill>
          </c:spPr>
          <c:invertIfNegative val="0"/>
          <c:cat>
            <c:numRef>
              <c:f>'KPI 133'!$E$18:$P$18</c:f>
              <c:numCache>
                <c:formatCode>mmm\-yy</c:formatCode>
                <c:ptCount val="12"/>
                <c:pt idx="0">
                  <c:v>45108</c:v>
                </c:pt>
                <c:pt idx="1">
                  <c:v>45139</c:v>
                </c:pt>
                <c:pt idx="2">
                  <c:v>45170</c:v>
                </c:pt>
                <c:pt idx="3">
                  <c:v>45200</c:v>
                </c:pt>
                <c:pt idx="4">
                  <c:v>45231</c:v>
                </c:pt>
                <c:pt idx="5">
                  <c:v>45261</c:v>
                </c:pt>
                <c:pt idx="6">
                  <c:v>45292</c:v>
                </c:pt>
                <c:pt idx="7">
                  <c:v>45323</c:v>
                </c:pt>
                <c:pt idx="8">
                  <c:v>45352</c:v>
                </c:pt>
                <c:pt idx="9">
                  <c:v>45383</c:v>
                </c:pt>
                <c:pt idx="10">
                  <c:v>45413</c:v>
                </c:pt>
                <c:pt idx="11">
                  <c:v>45444</c:v>
                </c:pt>
              </c:numCache>
            </c:numRef>
          </c:cat>
          <c:val>
            <c:numRef>
              <c:f>'KPI 133'!$E$20:$P$20</c:f>
              <c:numCache>
                <c:formatCode>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307-4B07-9FF5-C59FBB992EBB}"/>
            </c:ext>
          </c:extLst>
        </c:ser>
        <c:ser>
          <c:idx val="4"/>
          <c:order val="2"/>
          <c:tx>
            <c:strRef>
              <c:f>'KPI 133'!$D$21</c:f>
              <c:strCache>
                <c:ptCount val="1"/>
                <c:pt idx="0">
                  <c:v>Actual 2022-23</c:v>
                </c:pt>
              </c:strCache>
            </c:strRef>
          </c:tx>
          <c:spPr>
            <a:solidFill>
              <a:schemeClr val="accent3"/>
            </a:solidFill>
          </c:spPr>
          <c:invertIfNegative val="0"/>
          <c:cat>
            <c:numRef>
              <c:f>'KPI 133'!$E$18:$P$18</c:f>
              <c:numCache>
                <c:formatCode>mmm\-yy</c:formatCode>
                <c:ptCount val="12"/>
                <c:pt idx="0">
                  <c:v>45108</c:v>
                </c:pt>
                <c:pt idx="1">
                  <c:v>45139</c:v>
                </c:pt>
                <c:pt idx="2">
                  <c:v>45170</c:v>
                </c:pt>
                <c:pt idx="3">
                  <c:v>45200</c:v>
                </c:pt>
                <c:pt idx="4">
                  <c:v>45231</c:v>
                </c:pt>
                <c:pt idx="5">
                  <c:v>45261</c:v>
                </c:pt>
                <c:pt idx="6">
                  <c:v>45292</c:v>
                </c:pt>
                <c:pt idx="7">
                  <c:v>45323</c:v>
                </c:pt>
                <c:pt idx="8">
                  <c:v>45352</c:v>
                </c:pt>
                <c:pt idx="9">
                  <c:v>45383</c:v>
                </c:pt>
                <c:pt idx="10">
                  <c:v>45413</c:v>
                </c:pt>
                <c:pt idx="11">
                  <c:v>45444</c:v>
                </c:pt>
              </c:numCache>
            </c:numRef>
          </c:cat>
          <c:val>
            <c:numRef>
              <c:f>'KPI 133'!$E$21:$P$21</c:f>
              <c:numCache>
                <c:formatCode>0</c:formatCode>
                <c:ptCount val="12"/>
                <c:pt idx="0">
                  <c:v>10000</c:v>
                </c:pt>
                <c:pt idx="1">
                  <c:v>5000</c:v>
                </c:pt>
                <c:pt idx="2">
                  <c:v>7500</c:v>
                </c:pt>
                <c:pt idx="3">
                  <c:v>5000</c:v>
                </c:pt>
                <c:pt idx="4">
                  <c:v>2500</c:v>
                </c:pt>
                <c:pt idx="5">
                  <c:v>2500</c:v>
                </c:pt>
                <c:pt idx="6">
                  <c:v>2500</c:v>
                </c:pt>
                <c:pt idx="7">
                  <c:v>5000</c:v>
                </c:pt>
                <c:pt idx="8">
                  <c:v>0</c:v>
                </c:pt>
                <c:pt idx="9">
                  <c:v>7500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307-4B07-9FF5-C59FBB992EB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32779008"/>
        <c:axId val="132788992"/>
      </c:barChart>
      <c:lineChart>
        <c:grouping val="standard"/>
        <c:varyColors val="0"/>
        <c:ser>
          <c:idx val="0"/>
          <c:order val="0"/>
          <c:tx>
            <c:strRef>
              <c:f>'KPI 133'!$D$19</c:f>
              <c:strCache>
                <c:ptCount val="1"/>
                <c:pt idx="0">
                  <c:v>Budget 2023-24</c:v>
                </c:pt>
              </c:strCache>
            </c:strRef>
          </c:tx>
          <c:spPr>
            <a:ln>
              <a:solidFill>
                <a:srgbClr val="FF0000"/>
              </a:solidFill>
            </a:ln>
          </c:spPr>
          <c:marker>
            <c:symbol val="none"/>
          </c:marker>
          <c:cat>
            <c:numRef>
              <c:f>'KPI 133'!$E$18:$P$18</c:f>
              <c:numCache>
                <c:formatCode>mmm\-yy</c:formatCode>
                <c:ptCount val="12"/>
                <c:pt idx="0">
                  <c:v>45108</c:v>
                </c:pt>
                <c:pt idx="1">
                  <c:v>45139</c:v>
                </c:pt>
                <c:pt idx="2">
                  <c:v>45170</c:v>
                </c:pt>
                <c:pt idx="3">
                  <c:v>45200</c:v>
                </c:pt>
                <c:pt idx="4">
                  <c:v>45231</c:v>
                </c:pt>
                <c:pt idx="5">
                  <c:v>45261</c:v>
                </c:pt>
                <c:pt idx="6">
                  <c:v>45292</c:v>
                </c:pt>
                <c:pt idx="7">
                  <c:v>45323</c:v>
                </c:pt>
                <c:pt idx="8">
                  <c:v>45352</c:v>
                </c:pt>
                <c:pt idx="9">
                  <c:v>45383</c:v>
                </c:pt>
                <c:pt idx="10">
                  <c:v>45413</c:v>
                </c:pt>
                <c:pt idx="11">
                  <c:v>45444</c:v>
                </c:pt>
              </c:numCache>
            </c:numRef>
          </c:cat>
          <c:val>
            <c:numRef>
              <c:f>'KPI 133'!$E$19:$P$19</c:f>
              <c:numCache>
                <c:formatCode>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307-4B07-9FF5-C59FBB992EB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2779008"/>
        <c:axId val="132788992"/>
      </c:lineChart>
      <c:dateAx>
        <c:axId val="132779008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crossAx val="132788992"/>
        <c:crosses val="autoZero"/>
        <c:auto val="1"/>
        <c:lblOffset val="100"/>
        <c:baseTimeUnit val="months"/>
      </c:dateAx>
      <c:valAx>
        <c:axId val="132788992"/>
        <c:scaling>
          <c:orientation val="minMax"/>
        </c:scaling>
        <c:delete val="0"/>
        <c:axPos val="l"/>
        <c:majorGridlines/>
        <c:numFmt formatCode="0" sourceLinked="1"/>
        <c:majorTickMark val="out"/>
        <c:minorTickMark val="none"/>
        <c:tickLblPos val="nextTo"/>
        <c:crossAx val="132779008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000000000000822" l="0.70000000000000062" r="0.70000000000000062" t="0.75000000000000822" header="0.30000000000000032" footer="0.30000000000000032"/>
    <c:pageSetup/>
  </c:printSettings>
</c:chartSpace>
</file>

<file path=xl/charts/chart17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1"/>
          <c:order val="1"/>
          <c:tx>
            <c:strRef>
              <c:f>'KPI 134'!$D$20</c:f>
              <c:strCache>
                <c:ptCount val="1"/>
                <c:pt idx="0">
                  <c:v>Actual 2023-24</c:v>
                </c:pt>
              </c:strCache>
            </c:strRef>
          </c:tx>
          <c:spPr>
            <a:solidFill>
              <a:schemeClr val="accent1"/>
            </a:solidFill>
          </c:spPr>
          <c:invertIfNegative val="0"/>
          <c:cat>
            <c:numRef>
              <c:f>'KPI 134'!$E$18:$P$18</c:f>
              <c:numCache>
                <c:formatCode>mmm\-yy</c:formatCode>
                <c:ptCount val="12"/>
                <c:pt idx="0">
                  <c:v>44743</c:v>
                </c:pt>
                <c:pt idx="1">
                  <c:v>44774</c:v>
                </c:pt>
                <c:pt idx="2">
                  <c:v>44805</c:v>
                </c:pt>
                <c:pt idx="3">
                  <c:v>44835</c:v>
                </c:pt>
                <c:pt idx="4">
                  <c:v>44866</c:v>
                </c:pt>
                <c:pt idx="5">
                  <c:v>44896</c:v>
                </c:pt>
                <c:pt idx="6">
                  <c:v>44927</c:v>
                </c:pt>
                <c:pt idx="7">
                  <c:v>44958</c:v>
                </c:pt>
                <c:pt idx="8">
                  <c:v>44986</c:v>
                </c:pt>
                <c:pt idx="9">
                  <c:v>45017</c:v>
                </c:pt>
                <c:pt idx="10">
                  <c:v>45047</c:v>
                </c:pt>
                <c:pt idx="11">
                  <c:v>45078</c:v>
                </c:pt>
              </c:numCache>
            </c:numRef>
          </c:cat>
          <c:val>
            <c:numRef>
              <c:f>'KPI 134'!$E$20:$P$20</c:f>
              <c:numCache>
                <c:formatCode>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FCB-4C63-BD82-FD9878968494}"/>
            </c:ext>
          </c:extLst>
        </c:ser>
        <c:ser>
          <c:idx val="4"/>
          <c:order val="2"/>
          <c:tx>
            <c:strRef>
              <c:f>'KPI 134'!$D$21</c:f>
              <c:strCache>
                <c:ptCount val="1"/>
                <c:pt idx="0">
                  <c:v>Actual 2022-23</c:v>
                </c:pt>
              </c:strCache>
            </c:strRef>
          </c:tx>
          <c:spPr>
            <a:solidFill>
              <a:schemeClr val="accent3"/>
            </a:solidFill>
          </c:spPr>
          <c:invertIfNegative val="0"/>
          <c:cat>
            <c:numRef>
              <c:f>'KPI 134'!$E$18:$P$18</c:f>
              <c:numCache>
                <c:formatCode>mmm\-yy</c:formatCode>
                <c:ptCount val="12"/>
                <c:pt idx="0">
                  <c:v>44743</c:v>
                </c:pt>
                <c:pt idx="1">
                  <c:v>44774</c:v>
                </c:pt>
                <c:pt idx="2">
                  <c:v>44805</c:v>
                </c:pt>
                <c:pt idx="3">
                  <c:v>44835</c:v>
                </c:pt>
                <c:pt idx="4">
                  <c:v>44866</c:v>
                </c:pt>
                <c:pt idx="5">
                  <c:v>44896</c:v>
                </c:pt>
                <c:pt idx="6">
                  <c:v>44927</c:v>
                </c:pt>
                <c:pt idx="7">
                  <c:v>44958</c:v>
                </c:pt>
                <c:pt idx="8">
                  <c:v>44986</c:v>
                </c:pt>
                <c:pt idx="9">
                  <c:v>45017</c:v>
                </c:pt>
                <c:pt idx="10">
                  <c:v>45047</c:v>
                </c:pt>
                <c:pt idx="11">
                  <c:v>45078</c:v>
                </c:pt>
              </c:numCache>
            </c:numRef>
          </c:cat>
          <c:val>
            <c:numRef>
              <c:f>'KPI 134'!$E$21:$P$21</c:f>
              <c:numCache>
                <c:formatCode>0</c:formatCode>
                <c:ptCount val="12"/>
                <c:pt idx="0">
                  <c:v>2500</c:v>
                </c:pt>
                <c:pt idx="1">
                  <c:v>0</c:v>
                </c:pt>
                <c:pt idx="2">
                  <c:v>2500</c:v>
                </c:pt>
                <c:pt idx="3">
                  <c:v>0</c:v>
                </c:pt>
                <c:pt idx="4">
                  <c:v>2500</c:v>
                </c:pt>
                <c:pt idx="5">
                  <c:v>0</c:v>
                </c:pt>
                <c:pt idx="6">
                  <c:v>5000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FCB-4C63-BD82-FD987896849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33230976"/>
        <c:axId val="133232512"/>
      </c:barChart>
      <c:lineChart>
        <c:grouping val="standard"/>
        <c:varyColors val="0"/>
        <c:ser>
          <c:idx val="0"/>
          <c:order val="0"/>
          <c:tx>
            <c:strRef>
              <c:f>'KPI 134'!$D$19</c:f>
              <c:strCache>
                <c:ptCount val="1"/>
                <c:pt idx="0">
                  <c:v>Budget 2023-24</c:v>
                </c:pt>
              </c:strCache>
            </c:strRef>
          </c:tx>
          <c:spPr>
            <a:ln>
              <a:solidFill>
                <a:srgbClr val="FF0000"/>
              </a:solidFill>
            </a:ln>
          </c:spPr>
          <c:marker>
            <c:symbol val="none"/>
          </c:marker>
          <c:cat>
            <c:numRef>
              <c:f>'KPI 134'!$E$18:$P$18</c:f>
              <c:numCache>
                <c:formatCode>mmm\-yy</c:formatCode>
                <c:ptCount val="12"/>
                <c:pt idx="0">
                  <c:v>44743</c:v>
                </c:pt>
                <c:pt idx="1">
                  <c:v>44774</c:v>
                </c:pt>
                <c:pt idx="2">
                  <c:v>44805</c:v>
                </c:pt>
                <c:pt idx="3">
                  <c:v>44835</c:v>
                </c:pt>
                <c:pt idx="4">
                  <c:v>44866</c:v>
                </c:pt>
                <c:pt idx="5">
                  <c:v>44896</c:v>
                </c:pt>
                <c:pt idx="6">
                  <c:v>44927</c:v>
                </c:pt>
                <c:pt idx="7">
                  <c:v>44958</c:v>
                </c:pt>
                <c:pt idx="8">
                  <c:v>44986</c:v>
                </c:pt>
                <c:pt idx="9">
                  <c:v>45017</c:v>
                </c:pt>
                <c:pt idx="10">
                  <c:v>45047</c:v>
                </c:pt>
                <c:pt idx="11">
                  <c:v>45078</c:v>
                </c:pt>
              </c:numCache>
            </c:numRef>
          </c:cat>
          <c:val>
            <c:numRef>
              <c:f>'KPI 134'!$E$19:$P$19</c:f>
              <c:numCache>
                <c:formatCode>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AFCB-4C63-BD82-FD987896849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3230976"/>
        <c:axId val="133232512"/>
      </c:lineChart>
      <c:dateAx>
        <c:axId val="133230976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crossAx val="133232512"/>
        <c:crosses val="autoZero"/>
        <c:auto val="1"/>
        <c:lblOffset val="100"/>
        <c:baseTimeUnit val="months"/>
      </c:dateAx>
      <c:valAx>
        <c:axId val="133232512"/>
        <c:scaling>
          <c:orientation val="minMax"/>
        </c:scaling>
        <c:delete val="0"/>
        <c:axPos val="l"/>
        <c:majorGridlines/>
        <c:numFmt formatCode="0" sourceLinked="1"/>
        <c:majorTickMark val="out"/>
        <c:minorTickMark val="none"/>
        <c:tickLblPos val="nextTo"/>
        <c:crossAx val="133230976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000000000000822" l="0.70000000000000062" r="0.70000000000000062" t="0.75000000000000822" header="0.30000000000000032" footer="0.30000000000000032"/>
    <c:pageSetup/>
  </c:printSettings>
</c:chartSpace>
</file>

<file path=xl/charts/chart17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1"/>
          <c:order val="1"/>
          <c:tx>
            <c:strRef>
              <c:f>'KPI 135'!$D$20</c:f>
              <c:strCache>
                <c:ptCount val="1"/>
                <c:pt idx="0">
                  <c:v>Actual 2023-24</c:v>
                </c:pt>
              </c:strCache>
            </c:strRef>
          </c:tx>
          <c:spPr>
            <a:solidFill>
              <a:schemeClr val="accent1"/>
            </a:solidFill>
          </c:spPr>
          <c:invertIfNegative val="0"/>
          <c:cat>
            <c:numRef>
              <c:f>'KPI 135'!$E$18:$P$18</c:f>
              <c:numCache>
                <c:formatCode>mmm\-yy</c:formatCode>
                <c:ptCount val="12"/>
                <c:pt idx="0">
                  <c:v>45839</c:v>
                </c:pt>
                <c:pt idx="1">
                  <c:v>45870</c:v>
                </c:pt>
                <c:pt idx="2">
                  <c:v>45901</c:v>
                </c:pt>
                <c:pt idx="3">
                  <c:v>45931</c:v>
                </c:pt>
                <c:pt idx="4">
                  <c:v>45962</c:v>
                </c:pt>
                <c:pt idx="5">
                  <c:v>45992</c:v>
                </c:pt>
                <c:pt idx="6">
                  <c:v>46023</c:v>
                </c:pt>
                <c:pt idx="7">
                  <c:v>46054</c:v>
                </c:pt>
                <c:pt idx="8">
                  <c:v>46082</c:v>
                </c:pt>
                <c:pt idx="9">
                  <c:v>46113</c:v>
                </c:pt>
                <c:pt idx="10">
                  <c:v>46143</c:v>
                </c:pt>
                <c:pt idx="11">
                  <c:v>46174</c:v>
                </c:pt>
              </c:numCache>
            </c:numRef>
          </c:cat>
          <c:val>
            <c:numRef>
              <c:f>'KPI 135'!$E$20:$P$20</c:f>
              <c:numCache>
                <c:formatCode>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36E-4065-8C17-B6F6C0CEA62A}"/>
            </c:ext>
          </c:extLst>
        </c:ser>
        <c:ser>
          <c:idx val="4"/>
          <c:order val="2"/>
          <c:tx>
            <c:strRef>
              <c:f>'KPI 135'!$D$21</c:f>
              <c:strCache>
                <c:ptCount val="1"/>
                <c:pt idx="0">
                  <c:v>Actual 2022-23</c:v>
                </c:pt>
              </c:strCache>
            </c:strRef>
          </c:tx>
          <c:spPr>
            <a:solidFill>
              <a:schemeClr val="accent3"/>
            </a:solidFill>
          </c:spPr>
          <c:invertIfNegative val="0"/>
          <c:cat>
            <c:numRef>
              <c:f>'KPI 135'!$E$18:$P$18</c:f>
              <c:numCache>
                <c:formatCode>mmm\-yy</c:formatCode>
                <c:ptCount val="12"/>
                <c:pt idx="0">
                  <c:v>45839</c:v>
                </c:pt>
                <c:pt idx="1">
                  <c:v>45870</c:v>
                </c:pt>
                <c:pt idx="2">
                  <c:v>45901</c:v>
                </c:pt>
                <c:pt idx="3">
                  <c:v>45931</c:v>
                </c:pt>
                <c:pt idx="4">
                  <c:v>45962</c:v>
                </c:pt>
                <c:pt idx="5">
                  <c:v>45992</c:v>
                </c:pt>
                <c:pt idx="6">
                  <c:v>46023</c:v>
                </c:pt>
                <c:pt idx="7">
                  <c:v>46054</c:v>
                </c:pt>
                <c:pt idx="8">
                  <c:v>46082</c:v>
                </c:pt>
                <c:pt idx="9">
                  <c:v>46113</c:v>
                </c:pt>
                <c:pt idx="10">
                  <c:v>46143</c:v>
                </c:pt>
                <c:pt idx="11">
                  <c:v>46174</c:v>
                </c:pt>
              </c:numCache>
            </c:numRef>
          </c:cat>
          <c:val>
            <c:numRef>
              <c:f>'KPI 135'!$E$21:$P$21</c:f>
              <c:numCache>
                <c:formatCode>0</c:formatCode>
                <c:ptCount val="12"/>
                <c:pt idx="0">
                  <c:v>5000</c:v>
                </c:pt>
                <c:pt idx="1">
                  <c:v>2500</c:v>
                </c:pt>
                <c:pt idx="2">
                  <c:v>2500</c:v>
                </c:pt>
                <c:pt idx="3">
                  <c:v>0</c:v>
                </c:pt>
                <c:pt idx="4">
                  <c:v>5000</c:v>
                </c:pt>
                <c:pt idx="5">
                  <c:v>2500</c:v>
                </c:pt>
                <c:pt idx="6">
                  <c:v>7500</c:v>
                </c:pt>
                <c:pt idx="7">
                  <c:v>5000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36E-4065-8C17-B6F6C0CEA62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33027328"/>
        <c:axId val="133028864"/>
      </c:barChart>
      <c:lineChart>
        <c:grouping val="standard"/>
        <c:varyColors val="0"/>
        <c:ser>
          <c:idx val="0"/>
          <c:order val="0"/>
          <c:tx>
            <c:strRef>
              <c:f>'KPI 135'!$D$19</c:f>
              <c:strCache>
                <c:ptCount val="1"/>
                <c:pt idx="0">
                  <c:v>Budget 2023-24</c:v>
                </c:pt>
              </c:strCache>
            </c:strRef>
          </c:tx>
          <c:spPr>
            <a:ln>
              <a:solidFill>
                <a:srgbClr val="FF0000"/>
              </a:solidFill>
            </a:ln>
          </c:spPr>
          <c:marker>
            <c:symbol val="none"/>
          </c:marker>
          <c:cat>
            <c:numRef>
              <c:f>'KPI 135'!$E$18:$P$18</c:f>
              <c:numCache>
                <c:formatCode>mmm\-yy</c:formatCode>
                <c:ptCount val="12"/>
                <c:pt idx="0">
                  <c:v>45839</c:v>
                </c:pt>
                <c:pt idx="1">
                  <c:v>45870</c:v>
                </c:pt>
                <c:pt idx="2">
                  <c:v>45901</c:v>
                </c:pt>
                <c:pt idx="3">
                  <c:v>45931</c:v>
                </c:pt>
                <c:pt idx="4">
                  <c:v>45962</c:v>
                </c:pt>
                <c:pt idx="5">
                  <c:v>45992</c:v>
                </c:pt>
                <c:pt idx="6">
                  <c:v>46023</c:v>
                </c:pt>
                <c:pt idx="7">
                  <c:v>46054</c:v>
                </c:pt>
                <c:pt idx="8">
                  <c:v>46082</c:v>
                </c:pt>
                <c:pt idx="9">
                  <c:v>46113</c:v>
                </c:pt>
                <c:pt idx="10">
                  <c:v>46143</c:v>
                </c:pt>
                <c:pt idx="11">
                  <c:v>46174</c:v>
                </c:pt>
              </c:numCache>
            </c:numRef>
          </c:cat>
          <c:val>
            <c:numRef>
              <c:f>'KPI 135'!$E$19:$P$19</c:f>
              <c:numCache>
                <c:formatCode>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936E-4065-8C17-B6F6C0CEA62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3027328"/>
        <c:axId val="133028864"/>
      </c:lineChart>
      <c:dateAx>
        <c:axId val="133027328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crossAx val="133028864"/>
        <c:crosses val="autoZero"/>
        <c:auto val="1"/>
        <c:lblOffset val="100"/>
        <c:baseTimeUnit val="months"/>
      </c:dateAx>
      <c:valAx>
        <c:axId val="133028864"/>
        <c:scaling>
          <c:orientation val="minMax"/>
        </c:scaling>
        <c:delete val="0"/>
        <c:axPos val="l"/>
        <c:majorGridlines/>
        <c:numFmt formatCode="0" sourceLinked="1"/>
        <c:majorTickMark val="out"/>
        <c:minorTickMark val="none"/>
        <c:tickLblPos val="nextTo"/>
        <c:crossAx val="133027328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000000000000822" l="0.70000000000000062" r="0.70000000000000062" t="0.75000000000000822" header="0.30000000000000032" footer="0.30000000000000032"/>
    <c:pageSetup/>
  </c:printSettings>
</c:chartSpace>
</file>

<file path=xl/charts/chart17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1"/>
          <c:order val="1"/>
          <c:tx>
            <c:strRef>
              <c:f>'KPI 136'!$D$20</c:f>
              <c:strCache>
                <c:ptCount val="1"/>
                <c:pt idx="0">
                  <c:v>Actual 2025-26</c:v>
                </c:pt>
              </c:strCache>
            </c:strRef>
          </c:tx>
          <c:spPr>
            <a:solidFill>
              <a:schemeClr val="accent1"/>
            </a:solidFill>
          </c:spPr>
          <c:invertIfNegative val="0"/>
          <c:cat>
            <c:numRef>
              <c:f>'KPI 136'!$E$18:$P$18</c:f>
              <c:numCache>
                <c:formatCode>mmm\-yy</c:formatCode>
                <c:ptCount val="12"/>
                <c:pt idx="0">
                  <c:v>45839</c:v>
                </c:pt>
                <c:pt idx="1">
                  <c:v>45870</c:v>
                </c:pt>
                <c:pt idx="2">
                  <c:v>45901</c:v>
                </c:pt>
                <c:pt idx="3">
                  <c:v>45931</c:v>
                </c:pt>
                <c:pt idx="4">
                  <c:v>45962</c:v>
                </c:pt>
                <c:pt idx="5">
                  <c:v>45992</c:v>
                </c:pt>
                <c:pt idx="6">
                  <c:v>46023</c:v>
                </c:pt>
                <c:pt idx="7">
                  <c:v>46054</c:v>
                </c:pt>
                <c:pt idx="8">
                  <c:v>46082</c:v>
                </c:pt>
                <c:pt idx="9">
                  <c:v>46113</c:v>
                </c:pt>
                <c:pt idx="10">
                  <c:v>46143</c:v>
                </c:pt>
                <c:pt idx="11">
                  <c:v>46174</c:v>
                </c:pt>
              </c:numCache>
            </c:numRef>
          </c:cat>
          <c:val>
            <c:numRef>
              <c:f>'KPI 136'!$E$20:$P$20</c:f>
              <c:numCache>
                <c:formatCode>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63B-4E5E-B9C0-E92BA09D1A3D}"/>
            </c:ext>
          </c:extLst>
        </c:ser>
        <c:ser>
          <c:idx val="4"/>
          <c:order val="2"/>
          <c:tx>
            <c:strRef>
              <c:f>'KPI 136'!$D$21</c:f>
              <c:strCache>
                <c:ptCount val="1"/>
                <c:pt idx="0">
                  <c:v>Actual 2021-22</c:v>
                </c:pt>
              </c:strCache>
            </c:strRef>
          </c:tx>
          <c:spPr>
            <a:solidFill>
              <a:schemeClr val="accent3"/>
            </a:solidFill>
          </c:spPr>
          <c:invertIfNegative val="0"/>
          <c:cat>
            <c:numRef>
              <c:f>'KPI 136'!$E$18:$P$18</c:f>
              <c:numCache>
                <c:formatCode>mmm\-yy</c:formatCode>
                <c:ptCount val="12"/>
                <c:pt idx="0">
                  <c:v>45839</c:v>
                </c:pt>
                <c:pt idx="1">
                  <c:v>45870</c:v>
                </c:pt>
                <c:pt idx="2">
                  <c:v>45901</c:v>
                </c:pt>
                <c:pt idx="3">
                  <c:v>45931</c:v>
                </c:pt>
                <c:pt idx="4">
                  <c:v>45962</c:v>
                </c:pt>
                <c:pt idx="5">
                  <c:v>45992</c:v>
                </c:pt>
                <c:pt idx="6">
                  <c:v>46023</c:v>
                </c:pt>
                <c:pt idx="7">
                  <c:v>46054</c:v>
                </c:pt>
                <c:pt idx="8">
                  <c:v>46082</c:v>
                </c:pt>
                <c:pt idx="9">
                  <c:v>46113</c:v>
                </c:pt>
                <c:pt idx="10">
                  <c:v>46143</c:v>
                </c:pt>
                <c:pt idx="11">
                  <c:v>46174</c:v>
                </c:pt>
              </c:numCache>
            </c:numRef>
          </c:cat>
          <c:val>
            <c:numRef>
              <c:f>'KPI 136'!$E$21:$P$21</c:f>
              <c:numCache>
                <c:formatCode>0</c:formatCode>
                <c:ptCount val="12"/>
                <c:pt idx="0">
                  <c:v>40000</c:v>
                </c:pt>
                <c:pt idx="1">
                  <c:v>22500</c:v>
                </c:pt>
                <c:pt idx="2">
                  <c:v>30000</c:v>
                </c:pt>
                <c:pt idx="3">
                  <c:v>20000</c:v>
                </c:pt>
                <c:pt idx="4">
                  <c:v>22500</c:v>
                </c:pt>
                <c:pt idx="5">
                  <c:v>17500</c:v>
                </c:pt>
                <c:pt idx="6">
                  <c:v>45000</c:v>
                </c:pt>
                <c:pt idx="7">
                  <c:v>35000</c:v>
                </c:pt>
                <c:pt idx="8">
                  <c:v>17500</c:v>
                </c:pt>
                <c:pt idx="9">
                  <c:v>27500</c:v>
                </c:pt>
                <c:pt idx="10">
                  <c:v>72500</c:v>
                </c:pt>
                <c:pt idx="11">
                  <c:v>97500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63B-4E5E-B9C0-E92BA09D1A3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33089920"/>
        <c:axId val="133091712"/>
      </c:barChart>
      <c:lineChart>
        <c:grouping val="standard"/>
        <c:varyColors val="0"/>
        <c:ser>
          <c:idx val="0"/>
          <c:order val="0"/>
          <c:tx>
            <c:strRef>
              <c:f>'KPI 136'!$D$19</c:f>
              <c:strCache>
                <c:ptCount val="1"/>
                <c:pt idx="0">
                  <c:v>Budget 2025-26</c:v>
                </c:pt>
              </c:strCache>
            </c:strRef>
          </c:tx>
          <c:spPr>
            <a:ln>
              <a:solidFill>
                <a:srgbClr val="FF0000"/>
              </a:solidFill>
            </a:ln>
          </c:spPr>
          <c:marker>
            <c:symbol val="none"/>
          </c:marker>
          <c:cat>
            <c:numRef>
              <c:f>'KPI 136'!$E$18:$P$18</c:f>
              <c:numCache>
                <c:formatCode>mmm\-yy</c:formatCode>
                <c:ptCount val="12"/>
                <c:pt idx="0">
                  <c:v>45839</c:v>
                </c:pt>
                <c:pt idx="1">
                  <c:v>45870</c:v>
                </c:pt>
                <c:pt idx="2">
                  <c:v>45901</c:v>
                </c:pt>
                <c:pt idx="3">
                  <c:v>45931</c:v>
                </c:pt>
                <c:pt idx="4">
                  <c:v>45962</c:v>
                </c:pt>
                <c:pt idx="5">
                  <c:v>45992</c:v>
                </c:pt>
                <c:pt idx="6">
                  <c:v>46023</c:v>
                </c:pt>
                <c:pt idx="7">
                  <c:v>46054</c:v>
                </c:pt>
                <c:pt idx="8">
                  <c:v>46082</c:v>
                </c:pt>
                <c:pt idx="9">
                  <c:v>46113</c:v>
                </c:pt>
                <c:pt idx="10">
                  <c:v>46143</c:v>
                </c:pt>
                <c:pt idx="11">
                  <c:v>46174</c:v>
                </c:pt>
              </c:numCache>
            </c:numRef>
          </c:cat>
          <c:val>
            <c:numRef>
              <c:f>'KPI 136'!$E$19:$P$19</c:f>
              <c:numCache>
                <c:formatCode>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C63B-4E5E-B9C0-E92BA09D1A3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3089920"/>
        <c:axId val="133091712"/>
      </c:lineChart>
      <c:dateAx>
        <c:axId val="133089920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crossAx val="133091712"/>
        <c:crosses val="autoZero"/>
        <c:auto val="1"/>
        <c:lblOffset val="100"/>
        <c:baseTimeUnit val="months"/>
      </c:dateAx>
      <c:valAx>
        <c:axId val="133091712"/>
        <c:scaling>
          <c:orientation val="minMax"/>
        </c:scaling>
        <c:delete val="0"/>
        <c:axPos val="l"/>
        <c:majorGridlines/>
        <c:numFmt formatCode="0" sourceLinked="1"/>
        <c:majorTickMark val="out"/>
        <c:minorTickMark val="none"/>
        <c:tickLblPos val="nextTo"/>
        <c:crossAx val="13308992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000000000000822" l="0.70000000000000062" r="0.70000000000000062" t="0.75000000000000822" header="0.30000000000000032" footer="0.30000000000000032"/>
    <c:pageSetup/>
  </c:printSettings>
</c:chartSpace>
</file>

<file path=xl/charts/chart17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1"/>
          <c:order val="1"/>
          <c:tx>
            <c:strRef>
              <c:f>'KPI 137'!$D$20</c:f>
              <c:strCache>
                <c:ptCount val="1"/>
                <c:pt idx="0">
                  <c:v>Actual 2025-26</c:v>
                </c:pt>
              </c:strCache>
            </c:strRef>
          </c:tx>
          <c:spPr>
            <a:solidFill>
              <a:schemeClr val="accent1"/>
            </a:solidFill>
          </c:spPr>
          <c:invertIfNegative val="0"/>
          <c:cat>
            <c:numRef>
              <c:f>'KPI 137'!$E$18:$P$18</c:f>
              <c:numCache>
                <c:formatCode>mmm\-yy</c:formatCode>
                <c:ptCount val="12"/>
                <c:pt idx="0">
                  <c:v>45839</c:v>
                </c:pt>
                <c:pt idx="1">
                  <c:v>45870</c:v>
                </c:pt>
                <c:pt idx="2">
                  <c:v>45901</c:v>
                </c:pt>
                <c:pt idx="3">
                  <c:v>45931</c:v>
                </c:pt>
                <c:pt idx="4">
                  <c:v>45962</c:v>
                </c:pt>
                <c:pt idx="5">
                  <c:v>45992</c:v>
                </c:pt>
                <c:pt idx="6">
                  <c:v>46023</c:v>
                </c:pt>
                <c:pt idx="7">
                  <c:v>46054</c:v>
                </c:pt>
                <c:pt idx="8">
                  <c:v>46082</c:v>
                </c:pt>
                <c:pt idx="9">
                  <c:v>46113</c:v>
                </c:pt>
                <c:pt idx="10">
                  <c:v>46143</c:v>
                </c:pt>
                <c:pt idx="11">
                  <c:v>46174</c:v>
                </c:pt>
              </c:numCache>
            </c:numRef>
          </c:cat>
          <c:val>
            <c:numRef>
              <c:f>'KPI 137'!$E$20:$P$20</c:f>
              <c:numCache>
                <c:formatCode>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2B5-4B70-B7B7-A34A467229C4}"/>
            </c:ext>
          </c:extLst>
        </c:ser>
        <c:ser>
          <c:idx val="4"/>
          <c:order val="2"/>
          <c:tx>
            <c:strRef>
              <c:f>'KPI 137'!$D$21</c:f>
              <c:strCache>
                <c:ptCount val="1"/>
                <c:pt idx="0">
                  <c:v>Actual 2021-22</c:v>
                </c:pt>
              </c:strCache>
            </c:strRef>
          </c:tx>
          <c:spPr>
            <a:solidFill>
              <a:schemeClr val="accent3"/>
            </a:solidFill>
          </c:spPr>
          <c:invertIfNegative val="0"/>
          <c:cat>
            <c:numRef>
              <c:f>'KPI 137'!$E$18:$P$18</c:f>
              <c:numCache>
                <c:formatCode>mmm\-yy</c:formatCode>
                <c:ptCount val="12"/>
                <c:pt idx="0">
                  <c:v>45839</c:v>
                </c:pt>
                <c:pt idx="1">
                  <c:v>45870</c:v>
                </c:pt>
                <c:pt idx="2">
                  <c:v>45901</c:v>
                </c:pt>
                <c:pt idx="3">
                  <c:v>45931</c:v>
                </c:pt>
                <c:pt idx="4">
                  <c:v>45962</c:v>
                </c:pt>
                <c:pt idx="5">
                  <c:v>45992</c:v>
                </c:pt>
                <c:pt idx="6">
                  <c:v>46023</c:v>
                </c:pt>
                <c:pt idx="7">
                  <c:v>46054</c:v>
                </c:pt>
                <c:pt idx="8">
                  <c:v>46082</c:v>
                </c:pt>
                <c:pt idx="9">
                  <c:v>46113</c:v>
                </c:pt>
                <c:pt idx="10">
                  <c:v>46143</c:v>
                </c:pt>
                <c:pt idx="11">
                  <c:v>46174</c:v>
                </c:pt>
              </c:numCache>
            </c:numRef>
          </c:cat>
          <c:val>
            <c:numRef>
              <c:f>'KPI 137'!$E$21:$P$21</c:f>
              <c:numCache>
                <c:formatCode>0</c:formatCode>
                <c:ptCount val="12"/>
                <c:pt idx="0">
                  <c:v>42500</c:v>
                </c:pt>
                <c:pt idx="1">
                  <c:v>35000</c:v>
                </c:pt>
                <c:pt idx="2">
                  <c:v>32500</c:v>
                </c:pt>
                <c:pt idx="3">
                  <c:v>30000</c:v>
                </c:pt>
                <c:pt idx="4">
                  <c:v>37500</c:v>
                </c:pt>
                <c:pt idx="5">
                  <c:v>32500</c:v>
                </c:pt>
                <c:pt idx="6">
                  <c:v>42500</c:v>
                </c:pt>
                <c:pt idx="7">
                  <c:v>17500</c:v>
                </c:pt>
                <c:pt idx="8">
                  <c:v>15000</c:v>
                </c:pt>
                <c:pt idx="9">
                  <c:v>47500</c:v>
                </c:pt>
                <c:pt idx="10">
                  <c:v>57500</c:v>
                </c:pt>
                <c:pt idx="11">
                  <c:v>57500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2B5-4B70-B7B7-A34A467229C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31403776"/>
        <c:axId val="131405312"/>
      </c:barChart>
      <c:lineChart>
        <c:grouping val="standard"/>
        <c:varyColors val="0"/>
        <c:ser>
          <c:idx val="0"/>
          <c:order val="0"/>
          <c:tx>
            <c:strRef>
              <c:f>'KPI 137'!$D$19</c:f>
              <c:strCache>
                <c:ptCount val="1"/>
                <c:pt idx="0">
                  <c:v>Budget 2025-26</c:v>
                </c:pt>
              </c:strCache>
            </c:strRef>
          </c:tx>
          <c:spPr>
            <a:ln>
              <a:solidFill>
                <a:srgbClr val="FF0000"/>
              </a:solidFill>
            </a:ln>
          </c:spPr>
          <c:marker>
            <c:symbol val="none"/>
          </c:marker>
          <c:cat>
            <c:numRef>
              <c:f>'KPI 137'!$E$18:$P$18</c:f>
              <c:numCache>
                <c:formatCode>mmm\-yy</c:formatCode>
                <c:ptCount val="12"/>
                <c:pt idx="0">
                  <c:v>45839</c:v>
                </c:pt>
                <c:pt idx="1">
                  <c:v>45870</c:v>
                </c:pt>
                <c:pt idx="2">
                  <c:v>45901</c:v>
                </c:pt>
                <c:pt idx="3">
                  <c:v>45931</c:v>
                </c:pt>
                <c:pt idx="4">
                  <c:v>45962</c:v>
                </c:pt>
                <c:pt idx="5">
                  <c:v>45992</c:v>
                </c:pt>
                <c:pt idx="6">
                  <c:v>46023</c:v>
                </c:pt>
                <c:pt idx="7">
                  <c:v>46054</c:v>
                </c:pt>
                <c:pt idx="8">
                  <c:v>46082</c:v>
                </c:pt>
                <c:pt idx="9">
                  <c:v>46113</c:v>
                </c:pt>
                <c:pt idx="10">
                  <c:v>46143</c:v>
                </c:pt>
                <c:pt idx="11">
                  <c:v>46174</c:v>
                </c:pt>
              </c:numCache>
            </c:numRef>
          </c:cat>
          <c:val>
            <c:numRef>
              <c:f>'KPI 137'!$E$19:$P$19</c:f>
              <c:numCache>
                <c:formatCode>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42B5-4B70-B7B7-A34A467229C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1403776"/>
        <c:axId val="131405312"/>
      </c:lineChart>
      <c:dateAx>
        <c:axId val="131403776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crossAx val="131405312"/>
        <c:crosses val="autoZero"/>
        <c:auto val="1"/>
        <c:lblOffset val="100"/>
        <c:baseTimeUnit val="months"/>
      </c:dateAx>
      <c:valAx>
        <c:axId val="131405312"/>
        <c:scaling>
          <c:orientation val="minMax"/>
        </c:scaling>
        <c:delete val="0"/>
        <c:axPos val="l"/>
        <c:majorGridlines/>
        <c:numFmt formatCode="0" sourceLinked="1"/>
        <c:majorTickMark val="out"/>
        <c:minorTickMark val="none"/>
        <c:tickLblPos val="nextTo"/>
        <c:crossAx val="131403776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000000000000822" l="0.70000000000000062" r="0.70000000000000062" t="0.75000000000000822" header="0.30000000000000032" footer="0.30000000000000032"/>
    <c:pageSetup/>
  </c:printSettings>
</c:chartSpace>
</file>

<file path=xl/charts/chart17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1"/>
          <c:order val="1"/>
          <c:tx>
            <c:strRef>
              <c:f>'KPI 138'!$D$20</c:f>
              <c:strCache>
                <c:ptCount val="1"/>
                <c:pt idx="0">
                  <c:v>Actual 2025-26</c:v>
                </c:pt>
              </c:strCache>
            </c:strRef>
          </c:tx>
          <c:spPr>
            <a:solidFill>
              <a:schemeClr val="accent1"/>
            </a:solidFill>
          </c:spPr>
          <c:invertIfNegative val="0"/>
          <c:cat>
            <c:numRef>
              <c:f>'KPI 138'!$E$18:$P$18</c:f>
              <c:numCache>
                <c:formatCode>mmm\-yy</c:formatCode>
                <c:ptCount val="12"/>
                <c:pt idx="0">
                  <c:v>45839</c:v>
                </c:pt>
                <c:pt idx="1">
                  <c:v>45870</c:v>
                </c:pt>
                <c:pt idx="2">
                  <c:v>45901</c:v>
                </c:pt>
                <c:pt idx="3">
                  <c:v>45931</c:v>
                </c:pt>
                <c:pt idx="4">
                  <c:v>45962</c:v>
                </c:pt>
                <c:pt idx="5">
                  <c:v>45992</c:v>
                </c:pt>
                <c:pt idx="6">
                  <c:v>46023</c:v>
                </c:pt>
                <c:pt idx="7">
                  <c:v>46054</c:v>
                </c:pt>
                <c:pt idx="8">
                  <c:v>46082</c:v>
                </c:pt>
                <c:pt idx="9">
                  <c:v>46113</c:v>
                </c:pt>
                <c:pt idx="10">
                  <c:v>46143</c:v>
                </c:pt>
                <c:pt idx="11">
                  <c:v>46174</c:v>
                </c:pt>
              </c:numCache>
            </c:numRef>
          </c:cat>
          <c:val>
            <c:numRef>
              <c:f>'KPI 138'!$E$20:$P$20</c:f>
              <c:numCache>
                <c:formatCode>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2FA-4C11-BB1E-CB9A2432D46A}"/>
            </c:ext>
          </c:extLst>
        </c:ser>
        <c:ser>
          <c:idx val="4"/>
          <c:order val="2"/>
          <c:tx>
            <c:strRef>
              <c:f>'KPI 138'!$D$21</c:f>
              <c:strCache>
                <c:ptCount val="1"/>
                <c:pt idx="0">
                  <c:v>Actual 2021-22</c:v>
                </c:pt>
              </c:strCache>
            </c:strRef>
          </c:tx>
          <c:spPr>
            <a:solidFill>
              <a:schemeClr val="accent3"/>
            </a:solidFill>
          </c:spPr>
          <c:invertIfNegative val="0"/>
          <c:cat>
            <c:numRef>
              <c:f>'KPI 138'!$E$18:$P$18</c:f>
              <c:numCache>
                <c:formatCode>mmm\-yy</c:formatCode>
                <c:ptCount val="12"/>
                <c:pt idx="0">
                  <c:v>45839</c:v>
                </c:pt>
                <c:pt idx="1">
                  <c:v>45870</c:v>
                </c:pt>
                <c:pt idx="2">
                  <c:v>45901</c:v>
                </c:pt>
                <c:pt idx="3">
                  <c:v>45931</c:v>
                </c:pt>
                <c:pt idx="4">
                  <c:v>45962</c:v>
                </c:pt>
                <c:pt idx="5">
                  <c:v>45992</c:v>
                </c:pt>
                <c:pt idx="6">
                  <c:v>46023</c:v>
                </c:pt>
                <c:pt idx="7">
                  <c:v>46054</c:v>
                </c:pt>
                <c:pt idx="8">
                  <c:v>46082</c:v>
                </c:pt>
                <c:pt idx="9">
                  <c:v>46113</c:v>
                </c:pt>
                <c:pt idx="10">
                  <c:v>46143</c:v>
                </c:pt>
                <c:pt idx="11">
                  <c:v>46174</c:v>
                </c:pt>
              </c:numCache>
            </c:numRef>
          </c:cat>
          <c:val>
            <c:numRef>
              <c:f>'KPI 138'!$E$21:$P$21</c:f>
              <c:numCache>
                <c:formatCode>0</c:formatCode>
                <c:ptCount val="12"/>
                <c:pt idx="0">
                  <c:v>10000</c:v>
                </c:pt>
                <c:pt idx="1">
                  <c:v>5000</c:v>
                </c:pt>
                <c:pt idx="2">
                  <c:v>10000</c:v>
                </c:pt>
                <c:pt idx="3">
                  <c:v>10000</c:v>
                </c:pt>
                <c:pt idx="4">
                  <c:v>5000</c:v>
                </c:pt>
                <c:pt idx="5">
                  <c:v>10000</c:v>
                </c:pt>
                <c:pt idx="6">
                  <c:v>5000</c:v>
                </c:pt>
                <c:pt idx="7">
                  <c:v>5000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2FA-4C11-BB1E-CB9A2432D46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31318912"/>
        <c:axId val="131320448"/>
      </c:barChart>
      <c:lineChart>
        <c:grouping val="standard"/>
        <c:varyColors val="0"/>
        <c:ser>
          <c:idx val="0"/>
          <c:order val="0"/>
          <c:tx>
            <c:strRef>
              <c:f>'KPI 138'!$D$19</c:f>
              <c:strCache>
                <c:ptCount val="1"/>
                <c:pt idx="0">
                  <c:v>Budget 2025-26</c:v>
                </c:pt>
              </c:strCache>
            </c:strRef>
          </c:tx>
          <c:spPr>
            <a:ln>
              <a:solidFill>
                <a:srgbClr val="FF0000"/>
              </a:solidFill>
            </a:ln>
          </c:spPr>
          <c:marker>
            <c:symbol val="none"/>
          </c:marker>
          <c:cat>
            <c:numRef>
              <c:f>'KPI 138'!$E$18:$P$18</c:f>
              <c:numCache>
                <c:formatCode>mmm\-yy</c:formatCode>
                <c:ptCount val="12"/>
                <c:pt idx="0">
                  <c:v>45839</c:v>
                </c:pt>
                <c:pt idx="1">
                  <c:v>45870</c:v>
                </c:pt>
                <c:pt idx="2">
                  <c:v>45901</c:v>
                </c:pt>
                <c:pt idx="3">
                  <c:v>45931</c:v>
                </c:pt>
                <c:pt idx="4">
                  <c:v>45962</c:v>
                </c:pt>
                <c:pt idx="5">
                  <c:v>45992</c:v>
                </c:pt>
                <c:pt idx="6">
                  <c:v>46023</c:v>
                </c:pt>
                <c:pt idx="7">
                  <c:v>46054</c:v>
                </c:pt>
                <c:pt idx="8">
                  <c:v>46082</c:v>
                </c:pt>
                <c:pt idx="9">
                  <c:v>46113</c:v>
                </c:pt>
                <c:pt idx="10">
                  <c:v>46143</c:v>
                </c:pt>
                <c:pt idx="11">
                  <c:v>46174</c:v>
                </c:pt>
              </c:numCache>
            </c:numRef>
          </c:cat>
          <c:val>
            <c:numRef>
              <c:f>'KPI 138'!$E$19:$P$19</c:f>
              <c:numCache>
                <c:formatCode>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E2FA-4C11-BB1E-CB9A2432D46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1318912"/>
        <c:axId val="131320448"/>
      </c:lineChart>
      <c:dateAx>
        <c:axId val="131318912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crossAx val="131320448"/>
        <c:crosses val="autoZero"/>
        <c:auto val="1"/>
        <c:lblOffset val="100"/>
        <c:baseTimeUnit val="months"/>
      </c:dateAx>
      <c:valAx>
        <c:axId val="131320448"/>
        <c:scaling>
          <c:orientation val="minMax"/>
        </c:scaling>
        <c:delete val="0"/>
        <c:axPos val="l"/>
        <c:majorGridlines/>
        <c:numFmt formatCode="0" sourceLinked="1"/>
        <c:majorTickMark val="out"/>
        <c:minorTickMark val="none"/>
        <c:tickLblPos val="nextTo"/>
        <c:crossAx val="131318912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000000000000822" l="0.70000000000000062" r="0.70000000000000062" t="0.75000000000000822" header="0.30000000000000032" footer="0.30000000000000032"/>
    <c:pageSetup/>
  </c:printSettings>
</c:chartSpace>
</file>

<file path=xl/charts/chart17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1"/>
          <c:order val="1"/>
          <c:tx>
            <c:strRef>
              <c:f>'KPI 139'!$D$20</c:f>
              <c:strCache>
                <c:ptCount val="1"/>
                <c:pt idx="0">
                  <c:v>Actual 2025-26</c:v>
                </c:pt>
              </c:strCache>
            </c:strRef>
          </c:tx>
          <c:spPr>
            <a:solidFill>
              <a:schemeClr val="accent1"/>
            </a:solidFill>
          </c:spPr>
          <c:invertIfNegative val="0"/>
          <c:cat>
            <c:numRef>
              <c:f>'KPI 139'!$E$18:$P$18</c:f>
              <c:numCache>
                <c:formatCode>mmm\-yy</c:formatCode>
                <c:ptCount val="12"/>
                <c:pt idx="0">
                  <c:v>45839</c:v>
                </c:pt>
                <c:pt idx="1">
                  <c:v>45870</c:v>
                </c:pt>
                <c:pt idx="2">
                  <c:v>45901</c:v>
                </c:pt>
                <c:pt idx="3">
                  <c:v>45931</c:v>
                </c:pt>
                <c:pt idx="4">
                  <c:v>45962</c:v>
                </c:pt>
                <c:pt idx="5">
                  <c:v>45992</c:v>
                </c:pt>
                <c:pt idx="6">
                  <c:v>46023</c:v>
                </c:pt>
                <c:pt idx="7">
                  <c:v>46054</c:v>
                </c:pt>
                <c:pt idx="8">
                  <c:v>46082</c:v>
                </c:pt>
                <c:pt idx="9">
                  <c:v>46113</c:v>
                </c:pt>
                <c:pt idx="10">
                  <c:v>46143</c:v>
                </c:pt>
                <c:pt idx="11">
                  <c:v>46174</c:v>
                </c:pt>
              </c:numCache>
            </c:numRef>
          </c:cat>
          <c:val>
            <c:numRef>
              <c:f>'KPI 139'!$E$20:$P$20</c:f>
              <c:numCache>
                <c:formatCode>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182-4C74-A86E-CDCD8C4541F2}"/>
            </c:ext>
          </c:extLst>
        </c:ser>
        <c:ser>
          <c:idx val="4"/>
          <c:order val="2"/>
          <c:tx>
            <c:strRef>
              <c:f>'KPI 139'!$D$21</c:f>
              <c:strCache>
                <c:ptCount val="1"/>
                <c:pt idx="0">
                  <c:v>Actual 2021-22</c:v>
                </c:pt>
              </c:strCache>
            </c:strRef>
          </c:tx>
          <c:spPr>
            <a:solidFill>
              <a:schemeClr val="accent3"/>
            </a:solidFill>
          </c:spPr>
          <c:invertIfNegative val="0"/>
          <c:cat>
            <c:numRef>
              <c:f>'KPI 139'!$E$18:$P$18</c:f>
              <c:numCache>
                <c:formatCode>mmm\-yy</c:formatCode>
                <c:ptCount val="12"/>
                <c:pt idx="0">
                  <c:v>45839</c:v>
                </c:pt>
                <c:pt idx="1">
                  <c:v>45870</c:v>
                </c:pt>
                <c:pt idx="2">
                  <c:v>45901</c:v>
                </c:pt>
                <c:pt idx="3">
                  <c:v>45931</c:v>
                </c:pt>
                <c:pt idx="4">
                  <c:v>45962</c:v>
                </c:pt>
                <c:pt idx="5">
                  <c:v>45992</c:v>
                </c:pt>
                <c:pt idx="6">
                  <c:v>46023</c:v>
                </c:pt>
                <c:pt idx="7">
                  <c:v>46054</c:v>
                </c:pt>
                <c:pt idx="8">
                  <c:v>46082</c:v>
                </c:pt>
                <c:pt idx="9">
                  <c:v>46113</c:v>
                </c:pt>
                <c:pt idx="10">
                  <c:v>46143</c:v>
                </c:pt>
                <c:pt idx="11">
                  <c:v>46174</c:v>
                </c:pt>
              </c:numCache>
            </c:numRef>
          </c:cat>
          <c:val>
            <c:numRef>
              <c:f>'KPI 139'!$E$21:$P$21</c:f>
              <c:numCache>
                <c:formatCode>0</c:formatCode>
                <c:ptCount val="12"/>
                <c:pt idx="0">
                  <c:v>47500</c:v>
                </c:pt>
                <c:pt idx="1">
                  <c:v>50000</c:v>
                </c:pt>
                <c:pt idx="2">
                  <c:v>40000</c:v>
                </c:pt>
                <c:pt idx="3">
                  <c:v>32500</c:v>
                </c:pt>
                <c:pt idx="4">
                  <c:v>58000</c:v>
                </c:pt>
                <c:pt idx="5">
                  <c:v>55000</c:v>
                </c:pt>
                <c:pt idx="6">
                  <c:v>25000</c:v>
                </c:pt>
                <c:pt idx="7">
                  <c:v>25000</c:v>
                </c:pt>
                <c:pt idx="8">
                  <c:v>25000</c:v>
                </c:pt>
                <c:pt idx="9">
                  <c:v>27500</c:v>
                </c:pt>
                <c:pt idx="10">
                  <c:v>40000</c:v>
                </c:pt>
                <c:pt idx="11">
                  <c:v>38500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182-4C74-A86E-CDCD8C4541F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33515520"/>
        <c:axId val="133533696"/>
      </c:barChart>
      <c:lineChart>
        <c:grouping val="standard"/>
        <c:varyColors val="0"/>
        <c:ser>
          <c:idx val="0"/>
          <c:order val="0"/>
          <c:tx>
            <c:strRef>
              <c:f>'KPI 139'!$D$19</c:f>
              <c:strCache>
                <c:ptCount val="1"/>
                <c:pt idx="0">
                  <c:v>Budget 2025-26</c:v>
                </c:pt>
              </c:strCache>
            </c:strRef>
          </c:tx>
          <c:spPr>
            <a:ln>
              <a:solidFill>
                <a:srgbClr val="FF0000"/>
              </a:solidFill>
            </a:ln>
          </c:spPr>
          <c:marker>
            <c:symbol val="none"/>
          </c:marker>
          <c:cat>
            <c:numRef>
              <c:f>'KPI 139'!$E$18:$P$18</c:f>
              <c:numCache>
                <c:formatCode>mmm\-yy</c:formatCode>
                <c:ptCount val="12"/>
                <c:pt idx="0">
                  <c:v>45839</c:v>
                </c:pt>
                <c:pt idx="1">
                  <c:v>45870</c:v>
                </c:pt>
                <c:pt idx="2">
                  <c:v>45901</c:v>
                </c:pt>
                <c:pt idx="3">
                  <c:v>45931</c:v>
                </c:pt>
                <c:pt idx="4">
                  <c:v>45962</c:v>
                </c:pt>
                <c:pt idx="5">
                  <c:v>45992</c:v>
                </c:pt>
                <c:pt idx="6">
                  <c:v>46023</c:v>
                </c:pt>
                <c:pt idx="7">
                  <c:v>46054</c:v>
                </c:pt>
                <c:pt idx="8">
                  <c:v>46082</c:v>
                </c:pt>
                <c:pt idx="9">
                  <c:v>46113</c:v>
                </c:pt>
                <c:pt idx="10">
                  <c:v>46143</c:v>
                </c:pt>
                <c:pt idx="11">
                  <c:v>46174</c:v>
                </c:pt>
              </c:numCache>
            </c:numRef>
          </c:cat>
          <c:val>
            <c:numRef>
              <c:f>'KPI 139'!$E$19:$P$19</c:f>
              <c:numCache>
                <c:formatCode>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E182-4C74-A86E-CDCD8C4541F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3515520"/>
        <c:axId val="133533696"/>
      </c:lineChart>
      <c:dateAx>
        <c:axId val="133515520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crossAx val="133533696"/>
        <c:crosses val="autoZero"/>
        <c:auto val="1"/>
        <c:lblOffset val="100"/>
        <c:baseTimeUnit val="months"/>
      </c:dateAx>
      <c:valAx>
        <c:axId val="133533696"/>
        <c:scaling>
          <c:orientation val="minMax"/>
        </c:scaling>
        <c:delete val="0"/>
        <c:axPos val="l"/>
        <c:majorGridlines/>
        <c:numFmt formatCode="0" sourceLinked="1"/>
        <c:majorTickMark val="out"/>
        <c:minorTickMark val="none"/>
        <c:tickLblPos val="nextTo"/>
        <c:crossAx val="13351552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000000000000822" l="0.70000000000000062" r="0.70000000000000062" t="0.75000000000000822" header="0.30000000000000032" footer="0.30000000000000032"/>
    <c:pageSetup/>
  </c:printSettings>
</c:chartSpace>
</file>

<file path=xl/charts/chart18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1"/>
          <c:order val="1"/>
          <c:tx>
            <c:strRef>
              <c:f>'KPI 140'!$D$20</c:f>
              <c:strCache>
                <c:ptCount val="1"/>
                <c:pt idx="0">
                  <c:v>Actual 2023-24</c:v>
                </c:pt>
              </c:strCache>
            </c:strRef>
          </c:tx>
          <c:spPr>
            <a:solidFill>
              <a:schemeClr val="accent1"/>
            </a:solidFill>
          </c:spPr>
          <c:invertIfNegative val="0"/>
          <c:cat>
            <c:numRef>
              <c:f>'KPI 140'!$E$18:$P$18</c:f>
              <c:numCache>
                <c:formatCode>mmm\-yy</c:formatCode>
                <c:ptCount val="12"/>
                <c:pt idx="0">
                  <c:v>44743</c:v>
                </c:pt>
                <c:pt idx="1">
                  <c:v>44774</c:v>
                </c:pt>
                <c:pt idx="2">
                  <c:v>44805</c:v>
                </c:pt>
                <c:pt idx="3">
                  <c:v>44835</c:v>
                </c:pt>
                <c:pt idx="4">
                  <c:v>44866</c:v>
                </c:pt>
                <c:pt idx="5">
                  <c:v>44896</c:v>
                </c:pt>
                <c:pt idx="6">
                  <c:v>44927</c:v>
                </c:pt>
                <c:pt idx="7">
                  <c:v>44958</c:v>
                </c:pt>
                <c:pt idx="8">
                  <c:v>44986</c:v>
                </c:pt>
                <c:pt idx="9">
                  <c:v>45017</c:v>
                </c:pt>
                <c:pt idx="10">
                  <c:v>45047</c:v>
                </c:pt>
                <c:pt idx="11">
                  <c:v>45078</c:v>
                </c:pt>
              </c:numCache>
            </c:numRef>
          </c:cat>
          <c:val>
            <c:numRef>
              <c:f>'KPI 140'!$E$20:$P$20</c:f>
              <c:numCache>
                <c:formatCode>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A80-43B1-BA12-72DE90BFEDCC}"/>
            </c:ext>
          </c:extLst>
        </c:ser>
        <c:ser>
          <c:idx val="4"/>
          <c:order val="2"/>
          <c:tx>
            <c:strRef>
              <c:f>'KPI 140'!$D$21</c:f>
              <c:strCache>
                <c:ptCount val="1"/>
                <c:pt idx="0">
                  <c:v>Actual 2022-23</c:v>
                </c:pt>
              </c:strCache>
            </c:strRef>
          </c:tx>
          <c:spPr>
            <a:solidFill>
              <a:schemeClr val="accent3"/>
            </a:solidFill>
          </c:spPr>
          <c:invertIfNegative val="0"/>
          <c:cat>
            <c:numRef>
              <c:f>'KPI 140'!$E$18:$P$18</c:f>
              <c:numCache>
                <c:formatCode>mmm\-yy</c:formatCode>
                <c:ptCount val="12"/>
                <c:pt idx="0">
                  <c:v>44743</c:v>
                </c:pt>
                <c:pt idx="1">
                  <c:v>44774</c:v>
                </c:pt>
                <c:pt idx="2">
                  <c:v>44805</c:v>
                </c:pt>
                <c:pt idx="3">
                  <c:v>44835</c:v>
                </c:pt>
                <c:pt idx="4">
                  <c:v>44866</c:v>
                </c:pt>
                <c:pt idx="5">
                  <c:v>44896</c:v>
                </c:pt>
                <c:pt idx="6">
                  <c:v>44927</c:v>
                </c:pt>
                <c:pt idx="7">
                  <c:v>44958</c:v>
                </c:pt>
                <c:pt idx="8">
                  <c:v>44986</c:v>
                </c:pt>
                <c:pt idx="9">
                  <c:v>45017</c:v>
                </c:pt>
                <c:pt idx="10">
                  <c:v>45047</c:v>
                </c:pt>
                <c:pt idx="11">
                  <c:v>45078</c:v>
                </c:pt>
              </c:numCache>
            </c:numRef>
          </c:cat>
          <c:val>
            <c:numRef>
              <c:f>'KPI 140'!$E$21:$P$21</c:f>
              <c:numCache>
                <c:formatCode>0</c:formatCode>
                <c:ptCount val="12"/>
                <c:pt idx="0">
                  <c:v>7500</c:v>
                </c:pt>
                <c:pt idx="1">
                  <c:v>5000</c:v>
                </c:pt>
                <c:pt idx="2">
                  <c:v>2500</c:v>
                </c:pt>
                <c:pt idx="3">
                  <c:v>7500</c:v>
                </c:pt>
                <c:pt idx="4">
                  <c:v>2500</c:v>
                </c:pt>
                <c:pt idx="5">
                  <c:v>7500</c:v>
                </c:pt>
                <c:pt idx="6">
                  <c:v>10000</c:v>
                </c:pt>
                <c:pt idx="7">
                  <c:v>20000</c:v>
                </c:pt>
                <c:pt idx="8">
                  <c:v>7500</c:v>
                </c:pt>
                <c:pt idx="9">
                  <c:v>2500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A80-43B1-BA12-72DE90BFEDC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33688704"/>
        <c:axId val="133567616"/>
      </c:barChart>
      <c:lineChart>
        <c:grouping val="standard"/>
        <c:varyColors val="0"/>
        <c:ser>
          <c:idx val="0"/>
          <c:order val="0"/>
          <c:tx>
            <c:strRef>
              <c:f>'KPI 140'!$D$19</c:f>
              <c:strCache>
                <c:ptCount val="1"/>
                <c:pt idx="0">
                  <c:v>Budget 2023-24</c:v>
                </c:pt>
              </c:strCache>
            </c:strRef>
          </c:tx>
          <c:spPr>
            <a:ln>
              <a:solidFill>
                <a:srgbClr val="FF0000"/>
              </a:solidFill>
            </a:ln>
          </c:spPr>
          <c:marker>
            <c:symbol val="none"/>
          </c:marker>
          <c:cat>
            <c:numRef>
              <c:f>'KPI 140'!$E$18:$P$18</c:f>
              <c:numCache>
                <c:formatCode>mmm\-yy</c:formatCode>
                <c:ptCount val="12"/>
                <c:pt idx="0">
                  <c:v>44743</c:v>
                </c:pt>
                <c:pt idx="1">
                  <c:v>44774</c:v>
                </c:pt>
                <c:pt idx="2">
                  <c:v>44805</c:v>
                </c:pt>
                <c:pt idx="3">
                  <c:v>44835</c:v>
                </c:pt>
                <c:pt idx="4">
                  <c:v>44866</c:v>
                </c:pt>
                <c:pt idx="5">
                  <c:v>44896</c:v>
                </c:pt>
                <c:pt idx="6">
                  <c:v>44927</c:v>
                </c:pt>
                <c:pt idx="7">
                  <c:v>44958</c:v>
                </c:pt>
                <c:pt idx="8">
                  <c:v>44986</c:v>
                </c:pt>
                <c:pt idx="9">
                  <c:v>45017</c:v>
                </c:pt>
                <c:pt idx="10">
                  <c:v>45047</c:v>
                </c:pt>
                <c:pt idx="11">
                  <c:v>45078</c:v>
                </c:pt>
              </c:numCache>
            </c:numRef>
          </c:cat>
          <c:val>
            <c:numRef>
              <c:f>'KPI 140'!$E$19:$P$19</c:f>
              <c:numCache>
                <c:formatCode>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EA80-43B1-BA12-72DE90BFEDC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3688704"/>
        <c:axId val="133567616"/>
      </c:lineChart>
      <c:dateAx>
        <c:axId val="133688704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crossAx val="133567616"/>
        <c:crosses val="autoZero"/>
        <c:auto val="1"/>
        <c:lblOffset val="100"/>
        <c:baseTimeUnit val="months"/>
      </c:dateAx>
      <c:valAx>
        <c:axId val="133567616"/>
        <c:scaling>
          <c:orientation val="minMax"/>
        </c:scaling>
        <c:delete val="0"/>
        <c:axPos val="l"/>
        <c:majorGridlines/>
        <c:numFmt formatCode="0" sourceLinked="1"/>
        <c:majorTickMark val="out"/>
        <c:minorTickMark val="none"/>
        <c:tickLblPos val="nextTo"/>
        <c:crossAx val="133688704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000000000000822" l="0.70000000000000062" r="0.70000000000000062" t="0.75000000000000822" header="0.30000000000000032" footer="0.30000000000000032"/>
    <c:pageSetup/>
  </c:printSettings>
</c:chartSpace>
</file>

<file path=xl/charts/chart18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1"/>
          <c:order val="1"/>
          <c:tx>
            <c:strRef>
              <c:f>'KPI 141'!$D$20</c:f>
              <c:strCache>
                <c:ptCount val="1"/>
                <c:pt idx="0">
                  <c:v>Actual 2023-24</c:v>
                </c:pt>
              </c:strCache>
            </c:strRef>
          </c:tx>
          <c:spPr>
            <a:solidFill>
              <a:schemeClr val="accent1"/>
            </a:solidFill>
          </c:spPr>
          <c:invertIfNegative val="0"/>
          <c:cat>
            <c:numRef>
              <c:f>'KPI 141'!$E$18:$P$18</c:f>
              <c:numCache>
                <c:formatCode>mmm\-yy</c:formatCode>
                <c:ptCount val="12"/>
                <c:pt idx="0">
                  <c:v>44743</c:v>
                </c:pt>
                <c:pt idx="1">
                  <c:v>44774</c:v>
                </c:pt>
                <c:pt idx="2">
                  <c:v>44805</c:v>
                </c:pt>
                <c:pt idx="3">
                  <c:v>44835</c:v>
                </c:pt>
                <c:pt idx="4">
                  <c:v>44866</c:v>
                </c:pt>
                <c:pt idx="5">
                  <c:v>44896</c:v>
                </c:pt>
                <c:pt idx="6">
                  <c:v>44927</c:v>
                </c:pt>
                <c:pt idx="7">
                  <c:v>44958</c:v>
                </c:pt>
                <c:pt idx="8">
                  <c:v>44986</c:v>
                </c:pt>
                <c:pt idx="9">
                  <c:v>45017</c:v>
                </c:pt>
                <c:pt idx="10">
                  <c:v>45047</c:v>
                </c:pt>
                <c:pt idx="11">
                  <c:v>45078</c:v>
                </c:pt>
              </c:numCache>
            </c:numRef>
          </c:cat>
          <c:val>
            <c:numRef>
              <c:f>'KPI 141'!$E$20:$P$20</c:f>
              <c:numCache>
                <c:formatCode>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8BF-4D02-AEBB-0FBB6FE02D2F}"/>
            </c:ext>
          </c:extLst>
        </c:ser>
        <c:ser>
          <c:idx val="4"/>
          <c:order val="2"/>
          <c:tx>
            <c:strRef>
              <c:f>'KPI 141'!$D$21</c:f>
              <c:strCache>
                <c:ptCount val="1"/>
                <c:pt idx="0">
                  <c:v>Actual 2022-23</c:v>
                </c:pt>
              </c:strCache>
            </c:strRef>
          </c:tx>
          <c:spPr>
            <a:solidFill>
              <a:schemeClr val="accent3"/>
            </a:solidFill>
          </c:spPr>
          <c:invertIfNegative val="0"/>
          <c:cat>
            <c:numRef>
              <c:f>'KPI 141'!$E$18:$P$18</c:f>
              <c:numCache>
                <c:formatCode>mmm\-yy</c:formatCode>
                <c:ptCount val="12"/>
                <c:pt idx="0">
                  <c:v>44743</c:v>
                </c:pt>
                <c:pt idx="1">
                  <c:v>44774</c:v>
                </c:pt>
                <c:pt idx="2">
                  <c:v>44805</c:v>
                </c:pt>
                <c:pt idx="3">
                  <c:v>44835</c:v>
                </c:pt>
                <c:pt idx="4">
                  <c:v>44866</c:v>
                </c:pt>
                <c:pt idx="5">
                  <c:v>44896</c:v>
                </c:pt>
                <c:pt idx="6">
                  <c:v>44927</c:v>
                </c:pt>
                <c:pt idx="7">
                  <c:v>44958</c:v>
                </c:pt>
                <c:pt idx="8">
                  <c:v>44986</c:v>
                </c:pt>
                <c:pt idx="9">
                  <c:v>45017</c:v>
                </c:pt>
                <c:pt idx="10">
                  <c:v>45047</c:v>
                </c:pt>
                <c:pt idx="11">
                  <c:v>45078</c:v>
                </c:pt>
              </c:numCache>
            </c:numRef>
          </c:cat>
          <c:val>
            <c:numRef>
              <c:f>'KPI 141'!$E$21:$P$21</c:f>
              <c:numCache>
                <c:formatCode>0</c:formatCode>
                <c:ptCount val="12"/>
                <c:pt idx="0">
                  <c:v>23000</c:v>
                </c:pt>
                <c:pt idx="1">
                  <c:v>11000</c:v>
                </c:pt>
                <c:pt idx="2">
                  <c:v>7500</c:v>
                </c:pt>
                <c:pt idx="3">
                  <c:v>7500</c:v>
                </c:pt>
                <c:pt idx="4">
                  <c:v>62500</c:v>
                </c:pt>
                <c:pt idx="5">
                  <c:v>15500</c:v>
                </c:pt>
                <c:pt idx="6">
                  <c:v>173000</c:v>
                </c:pt>
                <c:pt idx="7">
                  <c:v>135500</c:v>
                </c:pt>
                <c:pt idx="8">
                  <c:v>13000</c:v>
                </c:pt>
                <c:pt idx="9">
                  <c:v>15000</c:v>
                </c:pt>
                <c:pt idx="10">
                  <c:v>40000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8BF-4D02-AEBB-0FBB6FE02D2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33612288"/>
        <c:axId val="133613824"/>
      </c:barChart>
      <c:lineChart>
        <c:grouping val="standard"/>
        <c:varyColors val="0"/>
        <c:ser>
          <c:idx val="0"/>
          <c:order val="0"/>
          <c:tx>
            <c:strRef>
              <c:f>'KPI 141'!$D$19</c:f>
              <c:strCache>
                <c:ptCount val="1"/>
                <c:pt idx="0">
                  <c:v>Budget 2023-24</c:v>
                </c:pt>
              </c:strCache>
            </c:strRef>
          </c:tx>
          <c:spPr>
            <a:ln>
              <a:solidFill>
                <a:srgbClr val="FF0000"/>
              </a:solidFill>
            </a:ln>
          </c:spPr>
          <c:marker>
            <c:symbol val="none"/>
          </c:marker>
          <c:cat>
            <c:numRef>
              <c:f>'KPI 141'!$E$18:$P$18</c:f>
              <c:numCache>
                <c:formatCode>mmm\-yy</c:formatCode>
                <c:ptCount val="12"/>
                <c:pt idx="0">
                  <c:v>44743</c:v>
                </c:pt>
                <c:pt idx="1">
                  <c:v>44774</c:v>
                </c:pt>
                <c:pt idx="2">
                  <c:v>44805</c:v>
                </c:pt>
                <c:pt idx="3">
                  <c:v>44835</c:v>
                </c:pt>
                <c:pt idx="4">
                  <c:v>44866</c:v>
                </c:pt>
                <c:pt idx="5">
                  <c:v>44896</c:v>
                </c:pt>
                <c:pt idx="6">
                  <c:v>44927</c:v>
                </c:pt>
                <c:pt idx="7">
                  <c:v>44958</c:v>
                </c:pt>
                <c:pt idx="8">
                  <c:v>44986</c:v>
                </c:pt>
                <c:pt idx="9">
                  <c:v>45017</c:v>
                </c:pt>
                <c:pt idx="10">
                  <c:v>45047</c:v>
                </c:pt>
                <c:pt idx="11">
                  <c:v>45078</c:v>
                </c:pt>
              </c:numCache>
            </c:numRef>
          </c:cat>
          <c:val>
            <c:numRef>
              <c:f>'KPI 141'!$E$19:$P$19</c:f>
              <c:numCache>
                <c:formatCode>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C8BF-4D02-AEBB-0FBB6FE02D2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3612288"/>
        <c:axId val="133613824"/>
      </c:lineChart>
      <c:dateAx>
        <c:axId val="133612288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crossAx val="133613824"/>
        <c:crosses val="autoZero"/>
        <c:auto val="1"/>
        <c:lblOffset val="100"/>
        <c:baseTimeUnit val="months"/>
      </c:dateAx>
      <c:valAx>
        <c:axId val="133613824"/>
        <c:scaling>
          <c:orientation val="minMax"/>
        </c:scaling>
        <c:delete val="0"/>
        <c:axPos val="l"/>
        <c:majorGridlines/>
        <c:numFmt formatCode="0" sourceLinked="1"/>
        <c:majorTickMark val="out"/>
        <c:minorTickMark val="none"/>
        <c:tickLblPos val="nextTo"/>
        <c:crossAx val="133612288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000000000000822" l="0.70000000000000062" r="0.70000000000000062" t="0.75000000000000822" header="0.30000000000000032" footer="0.30000000000000032"/>
    <c:pageSetup/>
  </c:printSettings>
</c:chartSpace>
</file>

<file path=xl/charts/chart18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1"/>
          <c:order val="1"/>
          <c:tx>
            <c:strRef>
              <c:f>'KPI 142'!$D$20</c:f>
              <c:strCache>
                <c:ptCount val="1"/>
                <c:pt idx="0">
                  <c:v>Actual 2023-24</c:v>
                </c:pt>
              </c:strCache>
            </c:strRef>
          </c:tx>
          <c:spPr>
            <a:solidFill>
              <a:schemeClr val="accent1"/>
            </a:solidFill>
          </c:spPr>
          <c:invertIfNegative val="0"/>
          <c:cat>
            <c:numRef>
              <c:f>'KPI 142'!$E$18:$P$18</c:f>
              <c:numCache>
                <c:formatCode>mmm\-yy</c:formatCode>
                <c:ptCount val="12"/>
                <c:pt idx="0">
                  <c:v>45108</c:v>
                </c:pt>
                <c:pt idx="1">
                  <c:v>45139</c:v>
                </c:pt>
                <c:pt idx="2">
                  <c:v>45170</c:v>
                </c:pt>
                <c:pt idx="3">
                  <c:v>45200</c:v>
                </c:pt>
                <c:pt idx="4">
                  <c:v>45231</c:v>
                </c:pt>
                <c:pt idx="5">
                  <c:v>45261</c:v>
                </c:pt>
                <c:pt idx="6">
                  <c:v>45292</c:v>
                </c:pt>
                <c:pt idx="7">
                  <c:v>45323</c:v>
                </c:pt>
                <c:pt idx="8">
                  <c:v>45352</c:v>
                </c:pt>
                <c:pt idx="9">
                  <c:v>45383</c:v>
                </c:pt>
                <c:pt idx="10">
                  <c:v>45413</c:v>
                </c:pt>
                <c:pt idx="11">
                  <c:v>45444</c:v>
                </c:pt>
              </c:numCache>
            </c:numRef>
          </c:cat>
          <c:val>
            <c:numRef>
              <c:f>'KPI 142'!$E$20:$P$20</c:f>
              <c:numCache>
                <c:formatCode>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DE1-424B-9BA9-8FBE60CAA6E0}"/>
            </c:ext>
          </c:extLst>
        </c:ser>
        <c:ser>
          <c:idx val="4"/>
          <c:order val="2"/>
          <c:tx>
            <c:strRef>
              <c:f>'KPI 142'!$D$21</c:f>
              <c:strCache>
                <c:ptCount val="1"/>
                <c:pt idx="0">
                  <c:v>Actual 2022-23</c:v>
                </c:pt>
              </c:strCache>
            </c:strRef>
          </c:tx>
          <c:spPr>
            <a:solidFill>
              <a:schemeClr val="accent3"/>
            </a:solidFill>
          </c:spPr>
          <c:invertIfNegative val="0"/>
          <c:cat>
            <c:numRef>
              <c:f>'KPI 142'!$E$18:$P$18</c:f>
              <c:numCache>
                <c:formatCode>mmm\-yy</c:formatCode>
                <c:ptCount val="12"/>
                <c:pt idx="0">
                  <c:v>45108</c:v>
                </c:pt>
                <c:pt idx="1">
                  <c:v>45139</c:v>
                </c:pt>
                <c:pt idx="2">
                  <c:v>45170</c:v>
                </c:pt>
                <c:pt idx="3">
                  <c:v>45200</c:v>
                </c:pt>
                <c:pt idx="4">
                  <c:v>45231</c:v>
                </c:pt>
                <c:pt idx="5">
                  <c:v>45261</c:v>
                </c:pt>
                <c:pt idx="6">
                  <c:v>45292</c:v>
                </c:pt>
                <c:pt idx="7">
                  <c:v>45323</c:v>
                </c:pt>
                <c:pt idx="8">
                  <c:v>45352</c:v>
                </c:pt>
                <c:pt idx="9">
                  <c:v>45383</c:v>
                </c:pt>
                <c:pt idx="10">
                  <c:v>45413</c:v>
                </c:pt>
                <c:pt idx="11">
                  <c:v>45444</c:v>
                </c:pt>
              </c:numCache>
            </c:numRef>
          </c:cat>
          <c:val>
            <c:numRef>
              <c:f>'KPI 142'!$E$21:$P$21</c:f>
              <c:numCache>
                <c:formatCode>0</c:formatCode>
                <c:ptCount val="12"/>
                <c:pt idx="0">
                  <c:v>75500</c:v>
                </c:pt>
                <c:pt idx="1">
                  <c:v>51000</c:v>
                </c:pt>
                <c:pt idx="2">
                  <c:v>50000</c:v>
                </c:pt>
                <c:pt idx="3">
                  <c:v>47500</c:v>
                </c:pt>
                <c:pt idx="4">
                  <c:v>105000</c:v>
                </c:pt>
                <c:pt idx="5">
                  <c:v>58000</c:v>
                </c:pt>
                <c:pt idx="6">
                  <c:v>220500</c:v>
                </c:pt>
                <c:pt idx="7">
                  <c:v>158000</c:v>
                </c:pt>
                <c:pt idx="8">
                  <c:v>28000</c:v>
                </c:pt>
                <c:pt idx="9">
                  <c:v>62500</c:v>
                </c:pt>
                <c:pt idx="10">
                  <c:v>97500</c:v>
                </c:pt>
                <c:pt idx="11">
                  <c:v>57500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DE1-424B-9BA9-8FBE60CAA6E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33486464"/>
        <c:axId val="133488000"/>
      </c:barChart>
      <c:lineChart>
        <c:grouping val="standard"/>
        <c:varyColors val="0"/>
        <c:ser>
          <c:idx val="0"/>
          <c:order val="0"/>
          <c:tx>
            <c:strRef>
              <c:f>'KPI 142'!$D$19</c:f>
              <c:strCache>
                <c:ptCount val="1"/>
                <c:pt idx="0">
                  <c:v>Budget 2023-24</c:v>
                </c:pt>
              </c:strCache>
            </c:strRef>
          </c:tx>
          <c:spPr>
            <a:ln>
              <a:solidFill>
                <a:srgbClr val="FF0000"/>
              </a:solidFill>
            </a:ln>
          </c:spPr>
          <c:marker>
            <c:symbol val="none"/>
          </c:marker>
          <c:cat>
            <c:numRef>
              <c:f>'KPI 142'!$E$18:$P$18</c:f>
              <c:numCache>
                <c:formatCode>mmm\-yy</c:formatCode>
                <c:ptCount val="12"/>
                <c:pt idx="0">
                  <c:v>45108</c:v>
                </c:pt>
                <c:pt idx="1">
                  <c:v>45139</c:v>
                </c:pt>
                <c:pt idx="2">
                  <c:v>45170</c:v>
                </c:pt>
                <c:pt idx="3">
                  <c:v>45200</c:v>
                </c:pt>
                <c:pt idx="4">
                  <c:v>45231</c:v>
                </c:pt>
                <c:pt idx="5">
                  <c:v>45261</c:v>
                </c:pt>
                <c:pt idx="6">
                  <c:v>45292</c:v>
                </c:pt>
                <c:pt idx="7">
                  <c:v>45323</c:v>
                </c:pt>
                <c:pt idx="8">
                  <c:v>45352</c:v>
                </c:pt>
                <c:pt idx="9">
                  <c:v>45383</c:v>
                </c:pt>
                <c:pt idx="10">
                  <c:v>45413</c:v>
                </c:pt>
                <c:pt idx="11">
                  <c:v>45444</c:v>
                </c:pt>
              </c:numCache>
            </c:numRef>
          </c:cat>
          <c:val>
            <c:numRef>
              <c:f>'KPI 142'!$E$19:$P$19</c:f>
              <c:numCache>
                <c:formatCode>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ADE1-424B-9BA9-8FBE60CAA6E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3486464"/>
        <c:axId val="133488000"/>
      </c:lineChart>
      <c:dateAx>
        <c:axId val="133486464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crossAx val="133488000"/>
        <c:crosses val="autoZero"/>
        <c:auto val="1"/>
        <c:lblOffset val="100"/>
        <c:baseTimeUnit val="months"/>
      </c:dateAx>
      <c:valAx>
        <c:axId val="133488000"/>
        <c:scaling>
          <c:orientation val="minMax"/>
        </c:scaling>
        <c:delete val="0"/>
        <c:axPos val="l"/>
        <c:majorGridlines/>
        <c:numFmt formatCode="0" sourceLinked="1"/>
        <c:majorTickMark val="out"/>
        <c:minorTickMark val="none"/>
        <c:tickLblPos val="nextTo"/>
        <c:crossAx val="133486464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000000000000822" l="0.70000000000000062" r="0.70000000000000062" t="0.75000000000000822" header="0.30000000000000032" footer="0.30000000000000032"/>
    <c:pageSetup/>
  </c:printSettings>
</c:chartSpace>
</file>

<file path=xl/charts/chart18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1"/>
          <c:order val="1"/>
          <c:tx>
            <c:strRef>
              <c:f>'KPI 143'!$D$20</c:f>
              <c:strCache>
                <c:ptCount val="1"/>
                <c:pt idx="0">
                  <c:v>Actual 2023-24</c:v>
                </c:pt>
              </c:strCache>
            </c:strRef>
          </c:tx>
          <c:spPr>
            <a:solidFill>
              <a:schemeClr val="accent1"/>
            </a:solidFill>
          </c:spPr>
          <c:invertIfNegative val="0"/>
          <c:cat>
            <c:numRef>
              <c:f>'KPI 143'!$E$18:$P$18</c:f>
              <c:numCache>
                <c:formatCode>mmm\-yy</c:formatCode>
                <c:ptCount val="12"/>
                <c:pt idx="0">
                  <c:v>45108</c:v>
                </c:pt>
                <c:pt idx="1">
                  <c:v>45139</c:v>
                </c:pt>
                <c:pt idx="2">
                  <c:v>45170</c:v>
                </c:pt>
                <c:pt idx="3">
                  <c:v>45200</c:v>
                </c:pt>
                <c:pt idx="4">
                  <c:v>45231</c:v>
                </c:pt>
                <c:pt idx="5">
                  <c:v>45261</c:v>
                </c:pt>
                <c:pt idx="6">
                  <c:v>45292</c:v>
                </c:pt>
                <c:pt idx="7">
                  <c:v>45323</c:v>
                </c:pt>
                <c:pt idx="8">
                  <c:v>45352</c:v>
                </c:pt>
                <c:pt idx="9">
                  <c:v>45383</c:v>
                </c:pt>
                <c:pt idx="10">
                  <c:v>45413</c:v>
                </c:pt>
                <c:pt idx="11">
                  <c:v>45444</c:v>
                </c:pt>
              </c:numCache>
            </c:numRef>
          </c:cat>
          <c:val>
            <c:numRef>
              <c:f>'KPI 143'!$E$20:$P$20</c:f>
              <c:numCache>
                <c:formatCode>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9DC-461E-B4E0-E7AE07C14632}"/>
            </c:ext>
          </c:extLst>
        </c:ser>
        <c:ser>
          <c:idx val="4"/>
          <c:order val="2"/>
          <c:tx>
            <c:strRef>
              <c:f>'KPI 143'!$D$21</c:f>
              <c:strCache>
                <c:ptCount val="1"/>
                <c:pt idx="0">
                  <c:v>Actual 2022-23</c:v>
                </c:pt>
              </c:strCache>
            </c:strRef>
          </c:tx>
          <c:spPr>
            <a:solidFill>
              <a:schemeClr val="accent3"/>
            </a:solidFill>
          </c:spPr>
          <c:invertIfNegative val="0"/>
          <c:cat>
            <c:numRef>
              <c:f>'KPI 143'!$E$18:$P$18</c:f>
              <c:numCache>
                <c:formatCode>mmm\-yy</c:formatCode>
                <c:ptCount val="12"/>
                <c:pt idx="0">
                  <c:v>45108</c:v>
                </c:pt>
                <c:pt idx="1">
                  <c:v>45139</c:v>
                </c:pt>
                <c:pt idx="2">
                  <c:v>45170</c:v>
                </c:pt>
                <c:pt idx="3">
                  <c:v>45200</c:v>
                </c:pt>
                <c:pt idx="4">
                  <c:v>45231</c:v>
                </c:pt>
                <c:pt idx="5">
                  <c:v>45261</c:v>
                </c:pt>
                <c:pt idx="6">
                  <c:v>45292</c:v>
                </c:pt>
                <c:pt idx="7">
                  <c:v>45323</c:v>
                </c:pt>
                <c:pt idx="8">
                  <c:v>45352</c:v>
                </c:pt>
                <c:pt idx="9">
                  <c:v>45383</c:v>
                </c:pt>
                <c:pt idx="10">
                  <c:v>45413</c:v>
                </c:pt>
                <c:pt idx="11">
                  <c:v>45444</c:v>
                </c:pt>
              </c:numCache>
            </c:numRef>
          </c:cat>
          <c:val>
            <c:numRef>
              <c:f>'KPI 143'!$E$21:$P$21</c:f>
              <c:numCache>
                <c:formatCode>0</c:formatCode>
                <c:ptCount val="12"/>
                <c:pt idx="0">
                  <c:v>163000</c:v>
                </c:pt>
                <c:pt idx="1">
                  <c:v>123500</c:v>
                </c:pt>
                <c:pt idx="2">
                  <c:v>120000</c:v>
                </c:pt>
                <c:pt idx="3">
                  <c:v>100000</c:v>
                </c:pt>
                <c:pt idx="4">
                  <c:v>185500</c:v>
                </c:pt>
                <c:pt idx="5">
                  <c:v>130500</c:v>
                </c:pt>
                <c:pt idx="6">
                  <c:v>290500</c:v>
                </c:pt>
                <c:pt idx="7">
                  <c:v>218000</c:v>
                </c:pt>
                <c:pt idx="8">
                  <c:v>70500</c:v>
                </c:pt>
                <c:pt idx="9">
                  <c:v>117500</c:v>
                </c:pt>
                <c:pt idx="10">
                  <c:v>210000</c:v>
                </c:pt>
                <c:pt idx="11">
                  <c:v>193500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9DC-461E-B4E0-E7AE07C1463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33602304"/>
        <c:axId val="134042368"/>
      </c:barChart>
      <c:lineChart>
        <c:grouping val="standard"/>
        <c:varyColors val="0"/>
        <c:ser>
          <c:idx val="0"/>
          <c:order val="0"/>
          <c:tx>
            <c:strRef>
              <c:f>'KPI 143'!$D$19</c:f>
              <c:strCache>
                <c:ptCount val="1"/>
                <c:pt idx="0">
                  <c:v>Budget 2023-24</c:v>
                </c:pt>
              </c:strCache>
            </c:strRef>
          </c:tx>
          <c:spPr>
            <a:ln>
              <a:solidFill>
                <a:srgbClr val="FF0000"/>
              </a:solidFill>
            </a:ln>
          </c:spPr>
          <c:marker>
            <c:symbol val="none"/>
          </c:marker>
          <c:cat>
            <c:numRef>
              <c:f>'KPI 143'!$E$18:$P$18</c:f>
              <c:numCache>
                <c:formatCode>mmm\-yy</c:formatCode>
                <c:ptCount val="12"/>
                <c:pt idx="0">
                  <c:v>45108</c:v>
                </c:pt>
                <c:pt idx="1">
                  <c:v>45139</c:v>
                </c:pt>
                <c:pt idx="2">
                  <c:v>45170</c:v>
                </c:pt>
                <c:pt idx="3">
                  <c:v>45200</c:v>
                </c:pt>
                <c:pt idx="4">
                  <c:v>45231</c:v>
                </c:pt>
                <c:pt idx="5">
                  <c:v>45261</c:v>
                </c:pt>
                <c:pt idx="6">
                  <c:v>45292</c:v>
                </c:pt>
                <c:pt idx="7">
                  <c:v>45323</c:v>
                </c:pt>
                <c:pt idx="8">
                  <c:v>45352</c:v>
                </c:pt>
                <c:pt idx="9">
                  <c:v>45383</c:v>
                </c:pt>
                <c:pt idx="10">
                  <c:v>45413</c:v>
                </c:pt>
                <c:pt idx="11">
                  <c:v>45444</c:v>
                </c:pt>
              </c:numCache>
            </c:numRef>
          </c:cat>
          <c:val>
            <c:numRef>
              <c:f>'KPI 143'!$E$19:$P$19</c:f>
              <c:numCache>
                <c:formatCode>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A9DC-461E-B4E0-E7AE07C1463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3602304"/>
        <c:axId val="134042368"/>
      </c:lineChart>
      <c:dateAx>
        <c:axId val="133602304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crossAx val="134042368"/>
        <c:crosses val="autoZero"/>
        <c:auto val="1"/>
        <c:lblOffset val="100"/>
        <c:baseTimeUnit val="months"/>
      </c:dateAx>
      <c:valAx>
        <c:axId val="134042368"/>
        <c:scaling>
          <c:orientation val="minMax"/>
        </c:scaling>
        <c:delete val="0"/>
        <c:axPos val="l"/>
        <c:majorGridlines/>
        <c:numFmt formatCode="0" sourceLinked="1"/>
        <c:majorTickMark val="out"/>
        <c:minorTickMark val="none"/>
        <c:tickLblPos val="nextTo"/>
        <c:crossAx val="133602304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000000000000822" l="0.70000000000000062" r="0.70000000000000062" t="0.75000000000000822" header="0.30000000000000032" footer="0.30000000000000032"/>
    <c:pageSetup/>
  </c:printSettings>
</c:chartSpace>
</file>

<file path=xl/charts/chart18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1"/>
          <c:order val="1"/>
          <c:tx>
            <c:strRef>
              <c:f>'KPI 144'!$D$20</c:f>
              <c:strCache>
                <c:ptCount val="1"/>
                <c:pt idx="0">
                  <c:v>Actual 2022-23</c:v>
                </c:pt>
              </c:strCache>
            </c:strRef>
          </c:tx>
          <c:spPr>
            <a:solidFill>
              <a:schemeClr val="accent1"/>
            </a:solidFill>
          </c:spPr>
          <c:invertIfNegative val="0"/>
          <c:cat>
            <c:numRef>
              <c:f>'KPI 144'!$E$18:$P$18</c:f>
              <c:numCache>
                <c:formatCode>mmm\-yy</c:formatCode>
                <c:ptCount val="12"/>
                <c:pt idx="0">
                  <c:v>44743</c:v>
                </c:pt>
                <c:pt idx="1">
                  <c:v>44774</c:v>
                </c:pt>
                <c:pt idx="2">
                  <c:v>44805</c:v>
                </c:pt>
                <c:pt idx="3">
                  <c:v>44835</c:v>
                </c:pt>
                <c:pt idx="4">
                  <c:v>44866</c:v>
                </c:pt>
                <c:pt idx="5">
                  <c:v>44896</c:v>
                </c:pt>
                <c:pt idx="6">
                  <c:v>44927</c:v>
                </c:pt>
                <c:pt idx="7">
                  <c:v>44958</c:v>
                </c:pt>
                <c:pt idx="8">
                  <c:v>44986</c:v>
                </c:pt>
                <c:pt idx="9">
                  <c:v>45017</c:v>
                </c:pt>
                <c:pt idx="10">
                  <c:v>45047</c:v>
                </c:pt>
                <c:pt idx="11">
                  <c:v>45078</c:v>
                </c:pt>
              </c:numCache>
            </c:numRef>
          </c:cat>
          <c:val>
            <c:numRef>
              <c:f>'KPI 144'!$E$20:$P$20</c:f>
              <c:numCache>
                <c:formatCode>0</c:formatCode>
                <c:ptCount val="12"/>
                <c:pt idx="0">
                  <c:v>411</c:v>
                </c:pt>
                <c:pt idx="1">
                  <c:v>447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519-4654-9414-4BE0E93F2811}"/>
            </c:ext>
          </c:extLst>
        </c:ser>
        <c:ser>
          <c:idx val="4"/>
          <c:order val="2"/>
          <c:tx>
            <c:strRef>
              <c:f>'KPI 144'!$D$21</c:f>
              <c:strCache>
                <c:ptCount val="1"/>
                <c:pt idx="0">
                  <c:v>Actual 2021-22</c:v>
                </c:pt>
              </c:strCache>
            </c:strRef>
          </c:tx>
          <c:spPr>
            <a:solidFill>
              <a:schemeClr val="accent3"/>
            </a:solidFill>
          </c:spPr>
          <c:invertIfNegative val="0"/>
          <c:cat>
            <c:numRef>
              <c:f>'KPI 144'!$E$18:$P$18</c:f>
              <c:numCache>
                <c:formatCode>mmm\-yy</c:formatCode>
                <c:ptCount val="12"/>
                <c:pt idx="0">
                  <c:v>44743</c:v>
                </c:pt>
                <c:pt idx="1">
                  <c:v>44774</c:v>
                </c:pt>
                <c:pt idx="2">
                  <c:v>44805</c:v>
                </c:pt>
                <c:pt idx="3">
                  <c:v>44835</c:v>
                </c:pt>
                <c:pt idx="4">
                  <c:v>44866</c:v>
                </c:pt>
                <c:pt idx="5">
                  <c:v>44896</c:v>
                </c:pt>
                <c:pt idx="6">
                  <c:v>44927</c:v>
                </c:pt>
                <c:pt idx="7">
                  <c:v>44958</c:v>
                </c:pt>
                <c:pt idx="8">
                  <c:v>44986</c:v>
                </c:pt>
                <c:pt idx="9">
                  <c:v>45017</c:v>
                </c:pt>
                <c:pt idx="10">
                  <c:v>45047</c:v>
                </c:pt>
                <c:pt idx="11">
                  <c:v>45078</c:v>
                </c:pt>
              </c:numCache>
            </c:numRef>
          </c:cat>
          <c:val>
            <c:numRef>
              <c:f>'KPI 144'!$E$21:$P$21</c:f>
              <c:numCache>
                <c:formatCode>0</c:formatCode>
                <c:ptCount val="12"/>
                <c:pt idx="0">
                  <c:v>252</c:v>
                </c:pt>
                <c:pt idx="1">
                  <c:v>417</c:v>
                </c:pt>
                <c:pt idx="2">
                  <c:v>272</c:v>
                </c:pt>
                <c:pt idx="3">
                  <c:v>258</c:v>
                </c:pt>
                <c:pt idx="4">
                  <c:v>306</c:v>
                </c:pt>
                <c:pt idx="5">
                  <c:v>269</c:v>
                </c:pt>
                <c:pt idx="6">
                  <c:v>219</c:v>
                </c:pt>
                <c:pt idx="7">
                  <c:v>1114</c:v>
                </c:pt>
                <c:pt idx="8">
                  <c:v>1413</c:v>
                </c:pt>
                <c:pt idx="9">
                  <c:v>1170</c:v>
                </c:pt>
                <c:pt idx="10">
                  <c:v>310</c:v>
                </c:pt>
                <c:pt idx="11">
                  <c:v>216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519-4654-9414-4BE0E93F281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33800320"/>
        <c:axId val="133801856"/>
      </c:barChart>
      <c:lineChart>
        <c:grouping val="standard"/>
        <c:varyColors val="0"/>
        <c:ser>
          <c:idx val="0"/>
          <c:order val="0"/>
          <c:tx>
            <c:strRef>
              <c:f>'KPI 144'!$D$19</c:f>
              <c:strCache>
                <c:ptCount val="1"/>
                <c:pt idx="0">
                  <c:v>Budget 2022-23</c:v>
                </c:pt>
              </c:strCache>
            </c:strRef>
          </c:tx>
          <c:spPr>
            <a:ln>
              <a:solidFill>
                <a:srgbClr val="FF0000"/>
              </a:solidFill>
            </a:ln>
          </c:spPr>
          <c:marker>
            <c:symbol val="none"/>
          </c:marker>
          <c:cat>
            <c:numRef>
              <c:f>'KPI 144'!$E$18:$P$18</c:f>
              <c:numCache>
                <c:formatCode>mmm\-yy</c:formatCode>
                <c:ptCount val="12"/>
                <c:pt idx="0">
                  <c:v>44743</c:v>
                </c:pt>
                <c:pt idx="1">
                  <c:v>44774</c:v>
                </c:pt>
                <c:pt idx="2">
                  <c:v>44805</c:v>
                </c:pt>
                <c:pt idx="3">
                  <c:v>44835</c:v>
                </c:pt>
                <c:pt idx="4">
                  <c:v>44866</c:v>
                </c:pt>
                <c:pt idx="5">
                  <c:v>44896</c:v>
                </c:pt>
                <c:pt idx="6">
                  <c:v>44927</c:v>
                </c:pt>
                <c:pt idx="7">
                  <c:v>44958</c:v>
                </c:pt>
                <c:pt idx="8">
                  <c:v>44986</c:v>
                </c:pt>
                <c:pt idx="9">
                  <c:v>45017</c:v>
                </c:pt>
                <c:pt idx="10">
                  <c:v>45047</c:v>
                </c:pt>
                <c:pt idx="11">
                  <c:v>45078</c:v>
                </c:pt>
              </c:numCache>
            </c:numRef>
          </c:cat>
          <c:val>
            <c:numRef>
              <c:f>'KPI 144'!$E$19:$P$19</c:f>
              <c:numCache>
                <c:formatCode>0</c:formatCode>
                <c:ptCount val="12"/>
                <c:pt idx="0">
                  <c:v>411</c:v>
                </c:pt>
                <c:pt idx="1">
                  <c:v>447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0519-4654-9414-4BE0E93F281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3800320"/>
        <c:axId val="133801856"/>
      </c:lineChart>
      <c:dateAx>
        <c:axId val="133800320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crossAx val="133801856"/>
        <c:crosses val="autoZero"/>
        <c:auto val="1"/>
        <c:lblOffset val="100"/>
        <c:baseTimeUnit val="months"/>
      </c:dateAx>
      <c:valAx>
        <c:axId val="133801856"/>
        <c:scaling>
          <c:orientation val="minMax"/>
        </c:scaling>
        <c:delete val="0"/>
        <c:axPos val="l"/>
        <c:majorGridlines/>
        <c:numFmt formatCode="0" sourceLinked="1"/>
        <c:majorTickMark val="out"/>
        <c:minorTickMark val="none"/>
        <c:tickLblPos val="nextTo"/>
        <c:crossAx val="13380032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000000000000822" l="0.70000000000000062" r="0.70000000000000062" t="0.75000000000000822" header="0.30000000000000032" footer="0.30000000000000032"/>
    <c:pageSetup/>
  </c:printSettings>
</c:chartSpace>
</file>

<file path=xl/charts/chart18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1"/>
          <c:order val="1"/>
          <c:tx>
            <c:strRef>
              <c:f>'KPI 145'!$D$20</c:f>
              <c:strCache>
                <c:ptCount val="1"/>
                <c:pt idx="0">
                  <c:v>Actual 2022-23</c:v>
                </c:pt>
              </c:strCache>
            </c:strRef>
          </c:tx>
          <c:spPr>
            <a:solidFill>
              <a:schemeClr val="accent1"/>
            </a:solidFill>
          </c:spPr>
          <c:invertIfNegative val="0"/>
          <c:cat>
            <c:numRef>
              <c:f>'KPI 145'!$E$18:$P$18</c:f>
              <c:numCache>
                <c:formatCode>mmm\-yy</c:formatCode>
                <c:ptCount val="12"/>
                <c:pt idx="0">
                  <c:v>44743</c:v>
                </c:pt>
                <c:pt idx="1">
                  <c:v>44774</c:v>
                </c:pt>
                <c:pt idx="2">
                  <c:v>44805</c:v>
                </c:pt>
                <c:pt idx="3">
                  <c:v>44835</c:v>
                </c:pt>
                <c:pt idx="4">
                  <c:v>44866</c:v>
                </c:pt>
                <c:pt idx="5">
                  <c:v>44896</c:v>
                </c:pt>
                <c:pt idx="6">
                  <c:v>44927</c:v>
                </c:pt>
                <c:pt idx="7">
                  <c:v>44958</c:v>
                </c:pt>
                <c:pt idx="8">
                  <c:v>44986</c:v>
                </c:pt>
                <c:pt idx="9">
                  <c:v>45017</c:v>
                </c:pt>
                <c:pt idx="10">
                  <c:v>45047</c:v>
                </c:pt>
                <c:pt idx="11">
                  <c:v>45078</c:v>
                </c:pt>
              </c:numCache>
            </c:numRef>
          </c:cat>
          <c:val>
            <c:numRef>
              <c:f>'KPI 145'!$E$20:$P$20</c:f>
              <c:numCache>
                <c:formatCode>0</c:formatCode>
                <c:ptCount val="12"/>
                <c:pt idx="0">
                  <c:v>383</c:v>
                </c:pt>
                <c:pt idx="1">
                  <c:v>418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56C-4C8E-BE1F-C9B1B6A3FEB5}"/>
            </c:ext>
          </c:extLst>
        </c:ser>
        <c:ser>
          <c:idx val="4"/>
          <c:order val="2"/>
          <c:tx>
            <c:strRef>
              <c:f>'KPI 145'!$D$21</c:f>
              <c:strCache>
                <c:ptCount val="1"/>
                <c:pt idx="0">
                  <c:v>Actual 2021-22</c:v>
                </c:pt>
              </c:strCache>
            </c:strRef>
          </c:tx>
          <c:spPr>
            <a:solidFill>
              <a:schemeClr val="accent3"/>
            </a:solidFill>
          </c:spPr>
          <c:invertIfNegative val="0"/>
          <c:cat>
            <c:numRef>
              <c:f>'KPI 145'!$E$18:$P$18</c:f>
              <c:numCache>
                <c:formatCode>mmm\-yy</c:formatCode>
                <c:ptCount val="12"/>
                <c:pt idx="0">
                  <c:v>44743</c:v>
                </c:pt>
                <c:pt idx="1">
                  <c:v>44774</c:v>
                </c:pt>
                <c:pt idx="2">
                  <c:v>44805</c:v>
                </c:pt>
                <c:pt idx="3">
                  <c:v>44835</c:v>
                </c:pt>
                <c:pt idx="4">
                  <c:v>44866</c:v>
                </c:pt>
                <c:pt idx="5">
                  <c:v>44896</c:v>
                </c:pt>
                <c:pt idx="6">
                  <c:v>44927</c:v>
                </c:pt>
                <c:pt idx="7">
                  <c:v>44958</c:v>
                </c:pt>
                <c:pt idx="8">
                  <c:v>44986</c:v>
                </c:pt>
                <c:pt idx="9">
                  <c:v>45017</c:v>
                </c:pt>
                <c:pt idx="10">
                  <c:v>45047</c:v>
                </c:pt>
                <c:pt idx="11">
                  <c:v>45078</c:v>
                </c:pt>
              </c:numCache>
            </c:numRef>
          </c:cat>
          <c:val>
            <c:numRef>
              <c:f>'KPI 145'!$E$21:$P$21</c:f>
              <c:numCache>
                <c:formatCode>0</c:formatCode>
                <c:ptCount val="12"/>
                <c:pt idx="0">
                  <c:v>237</c:v>
                </c:pt>
                <c:pt idx="1">
                  <c:v>384</c:v>
                </c:pt>
                <c:pt idx="2">
                  <c:v>246</c:v>
                </c:pt>
                <c:pt idx="3">
                  <c:v>236</c:v>
                </c:pt>
                <c:pt idx="4">
                  <c:v>257</c:v>
                </c:pt>
                <c:pt idx="5">
                  <c:v>211</c:v>
                </c:pt>
                <c:pt idx="6">
                  <c:v>84</c:v>
                </c:pt>
                <c:pt idx="7">
                  <c:v>719</c:v>
                </c:pt>
                <c:pt idx="8">
                  <c:v>1003</c:v>
                </c:pt>
                <c:pt idx="9">
                  <c:v>1047</c:v>
                </c:pt>
                <c:pt idx="10">
                  <c:v>234</c:v>
                </c:pt>
                <c:pt idx="11">
                  <c:v>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56C-4C8E-BE1F-C9B1B6A3FE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34075904"/>
        <c:axId val="134077440"/>
      </c:barChart>
      <c:lineChart>
        <c:grouping val="standard"/>
        <c:varyColors val="0"/>
        <c:ser>
          <c:idx val="0"/>
          <c:order val="0"/>
          <c:tx>
            <c:strRef>
              <c:f>'KPI 145'!$D$19</c:f>
              <c:strCache>
                <c:ptCount val="1"/>
                <c:pt idx="0">
                  <c:v>Budget 2022-23</c:v>
                </c:pt>
              </c:strCache>
            </c:strRef>
          </c:tx>
          <c:spPr>
            <a:ln>
              <a:solidFill>
                <a:srgbClr val="FF0000"/>
              </a:solidFill>
            </a:ln>
          </c:spPr>
          <c:marker>
            <c:symbol val="none"/>
          </c:marker>
          <c:cat>
            <c:numRef>
              <c:f>'KPI 145'!$E$18:$P$18</c:f>
              <c:numCache>
                <c:formatCode>mmm\-yy</c:formatCode>
                <c:ptCount val="12"/>
                <c:pt idx="0">
                  <c:v>44743</c:v>
                </c:pt>
                <c:pt idx="1">
                  <c:v>44774</c:v>
                </c:pt>
                <c:pt idx="2">
                  <c:v>44805</c:v>
                </c:pt>
                <c:pt idx="3">
                  <c:v>44835</c:v>
                </c:pt>
                <c:pt idx="4">
                  <c:v>44866</c:v>
                </c:pt>
                <c:pt idx="5">
                  <c:v>44896</c:v>
                </c:pt>
                <c:pt idx="6">
                  <c:v>44927</c:v>
                </c:pt>
                <c:pt idx="7">
                  <c:v>44958</c:v>
                </c:pt>
                <c:pt idx="8">
                  <c:v>44986</c:v>
                </c:pt>
                <c:pt idx="9">
                  <c:v>45017</c:v>
                </c:pt>
                <c:pt idx="10">
                  <c:v>45047</c:v>
                </c:pt>
                <c:pt idx="11">
                  <c:v>45078</c:v>
                </c:pt>
              </c:numCache>
            </c:numRef>
          </c:cat>
          <c:val>
            <c:numRef>
              <c:f>'KPI 145'!$E$19:$P$19</c:f>
              <c:numCache>
                <c:formatCode>0</c:formatCode>
                <c:ptCount val="12"/>
                <c:pt idx="0">
                  <c:v>369.90000000000003</c:v>
                </c:pt>
                <c:pt idx="1">
                  <c:v>402.3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C56C-4C8E-BE1F-C9B1B6A3FE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4075904"/>
        <c:axId val="134077440"/>
      </c:lineChart>
      <c:dateAx>
        <c:axId val="134075904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crossAx val="134077440"/>
        <c:crosses val="autoZero"/>
        <c:auto val="1"/>
        <c:lblOffset val="100"/>
        <c:baseTimeUnit val="months"/>
      </c:dateAx>
      <c:valAx>
        <c:axId val="134077440"/>
        <c:scaling>
          <c:orientation val="minMax"/>
        </c:scaling>
        <c:delete val="0"/>
        <c:axPos val="l"/>
        <c:majorGridlines/>
        <c:numFmt formatCode="0" sourceLinked="1"/>
        <c:majorTickMark val="out"/>
        <c:minorTickMark val="none"/>
        <c:tickLblPos val="nextTo"/>
        <c:crossAx val="134075904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000000000000822" l="0.70000000000000062" r="0.70000000000000062" t="0.75000000000000822" header="0.30000000000000032" footer="0.30000000000000032"/>
    <c:pageSetup/>
  </c:printSettings>
</c:chartSpace>
</file>

<file path=xl/charts/chart18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1"/>
          <c:order val="1"/>
          <c:tx>
            <c:strRef>
              <c:f>'KPI 146'!$D$20</c:f>
              <c:strCache>
                <c:ptCount val="1"/>
                <c:pt idx="0">
                  <c:v>Actual 2022-23</c:v>
                </c:pt>
              </c:strCache>
            </c:strRef>
          </c:tx>
          <c:spPr>
            <a:solidFill>
              <a:schemeClr val="accent1"/>
            </a:solidFill>
          </c:spPr>
          <c:invertIfNegative val="0"/>
          <c:cat>
            <c:numRef>
              <c:f>'KPI 146'!$E$18:$P$18</c:f>
              <c:numCache>
                <c:formatCode>mmm\-yy</c:formatCode>
                <c:ptCount val="12"/>
                <c:pt idx="0">
                  <c:v>44743</c:v>
                </c:pt>
                <c:pt idx="1">
                  <c:v>44774</c:v>
                </c:pt>
                <c:pt idx="2">
                  <c:v>44805</c:v>
                </c:pt>
                <c:pt idx="3">
                  <c:v>44835</c:v>
                </c:pt>
                <c:pt idx="4">
                  <c:v>44866</c:v>
                </c:pt>
                <c:pt idx="5">
                  <c:v>44896</c:v>
                </c:pt>
                <c:pt idx="6">
                  <c:v>44927</c:v>
                </c:pt>
                <c:pt idx="7">
                  <c:v>44958</c:v>
                </c:pt>
                <c:pt idx="8">
                  <c:v>44986</c:v>
                </c:pt>
                <c:pt idx="9">
                  <c:v>45017</c:v>
                </c:pt>
                <c:pt idx="10">
                  <c:v>45047</c:v>
                </c:pt>
                <c:pt idx="11">
                  <c:v>45078</c:v>
                </c:pt>
              </c:numCache>
            </c:numRef>
          </c:cat>
          <c:val>
            <c:numRef>
              <c:f>'KPI 146'!$E$20:$P$20</c:f>
              <c:numCache>
                <c:formatCode>0%</c:formatCode>
                <c:ptCount val="12"/>
                <c:pt idx="0">
                  <c:v>0.93187347931873477</c:v>
                </c:pt>
                <c:pt idx="1">
                  <c:v>0.93512304250559286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DF3-40B6-8128-994EBAC4F2DE}"/>
            </c:ext>
          </c:extLst>
        </c:ser>
        <c:ser>
          <c:idx val="4"/>
          <c:order val="2"/>
          <c:tx>
            <c:strRef>
              <c:f>'KPI 146'!$D$21</c:f>
              <c:strCache>
                <c:ptCount val="1"/>
                <c:pt idx="0">
                  <c:v>Actual 2021-22</c:v>
                </c:pt>
              </c:strCache>
            </c:strRef>
          </c:tx>
          <c:spPr>
            <a:solidFill>
              <a:schemeClr val="accent3"/>
            </a:solidFill>
          </c:spPr>
          <c:invertIfNegative val="0"/>
          <c:cat>
            <c:numRef>
              <c:f>'KPI 146'!$E$18:$P$18</c:f>
              <c:numCache>
                <c:formatCode>mmm\-yy</c:formatCode>
                <c:ptCount val="12"/>
                <c:pt idx="0">
                  <c:v>44743</c:v>
                </c:pt>
                <c:pt idx="1">
                  <c:v>44774</c:v>
                </c:pt>
                <c:pt idx="2">
                  <c:v>44805</c:v>
                </c:pt>
                <c:pt idx="3">
                  <c:v>44835</c:v>
                </c:pt>
                <c:pt idx="4">
                  <c:v>44866</c:v>
                </c:pt>
                <c:pt idx="5">
                  <c:v>44896</c:v>
                </c:pt>
                <c:pt idx="6">
                  <c:v>44927</c:v>
                </c:pt>
                <c:pt idx="7">
                  <c:v>44958</c:v>
                </c:pt>
                <c:pt idx="8">
                  <c:v>44986</c:v>
                </c:pt>
                <c:pt idx="9">
                  <c:v>45017</c:v>
                </c:pt>
                <c:pt idx="10">
                  <c:v>45047</c:v>
                </c:pt>
                <c:pt idx="11">
                  <c:v>45078</c:v>
                </c:pt>
              </c:numCache>
            </c:numRef>
          </c:cat>
          <c:val>
            <c:numRef>
              <c:f>'KPI 146'!$E$21:$P$21</c:f>
              <c:numCache>
                <c:formatCode>0%</c:formatCode>
                <c:ptCount val="12"/>
                <c:pt idx="0">
                  <c:v>0.94047619047619047</c:v>
                </c:pt>
                <c:pt idx="1">
                  <c:v>0.92086330935251803</c:v>
                </c:pt>
                <c:pt idx="2">
                  <c:v>0.90441176470588236</c:v>
                </c:pt>
                <c:pt idx="3">
                  <c:v>0.9147286821705426</c:v>
                </c:pt>
                <c:pt idx="4">
                  <c:v>0.83986928104575165</c:v>
                </c:pt>
                <c:pt idx="5">
                  <c:v>0.78438661710037172</c:v>
                </c:pt>
                <c:pt idx="6">
                  <c:v>0.38356164383561642</c:v>
                </c:pt>
                <c:pt idx="7">
                  <c:v>0.64542190305206459</c:v>
                </c:pt>
                <c:pt idx="8">
                  <c:v>0.70983722576079267</c:v>
                </c:pt>
                <c:pt idx="9">
                  <c:v>0.89487179487179491</c:v>
                </c:pt>
                <c:pt idx="10">
                  <c:v>0.75483870967741939</c:v>
                </c:pt>
                <c:pt idx="11">
                  <c:v>0.45833333333333331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DF3-40B6-8128-994EBAC4F2D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34695552"/>
        <c:axId val="134701440"/>
      </c:barChart>
      <c:lineChart>
        <c:grouping val="standard"/>
        <c:varyColors val="0"/>
        <c:ser>
          <c:idx val="0"/>
          <c:order val="0"/>
          <c:tx>
            <c:strRef>
              <c:f>'KPI 146'!$D$19</c:f>
              <c:strCache>
                <c:ptCount val="1"/>
                <c:pt idx="0">
                  <c:v>Budget 2022-23</c:v>
                </c:pt>
              </c:strCache>
            </c:strRef>
          </c:tx>
          <c:spPr>
            <a:ln>
              <a:solidFill>
                <a:srgbClr val="FF0000"/>
              </a:solidFill>
            </a:ln>
          </c:spPr>
          <c:marker>
            <c:symbol val="none"/>
          </c:marker>
          <c:cat>
            <c:numRef>
              <c:f>'KPI 146'!$E$18:$P$18</c:f>
              <c:numCache>
                <c:formatCode>mmm\-yy</c:formatCode>
                <c:ptCount val="12"/>
                <c:pt idx="0">
                  <c:v>44743</c:v>
                </c:pt>
                <c:pt idx="1">
                  <c:v>44774</c:v>
                </c:pt>
                <c:pt idx="2">
                  <c:v>44805</c:v>
                </c:pt>
                <c:pt idx="3">
                  <c:v>44835</c:v>
                </c:pt>
                <c:pt idx="4">
                  <c:v>44866</c:v>
                </c:pt>
                <c:pt idx="5">
                  <c:v>44896</c:v>
                </c:pt>
                <c:pt idx="6">
                  <c:v>44927</c:v>
                </c:pt>
                <c:pt idx="7">
                  <c:v>44958</c:v>
                </c:pt>
                <c:pt idx="8">
                  <c:v>44986</c:v>
                </c:pt>
                <c:pt idx="9">
                  <c:v>45017</c:v>
                </c:pt>
                <c:pt idx="10">
                  <c:v>45047</c:v>
                </c:pt>
                <c:pt idx="11">
                  <c:v>45078</c:v>
                </c:pt>
              </c:numCache>
            </c:numRef>
          </c:cat>
          <c:val>
            <c:numRef>
              <c:f>'KPI 146'!$E$19:$P$19</c:f>
              <c:numCache>
                <c:formatCode>0%</c:formatCode>
                <c:ptCount val="12"/>
                <c:pt idx="0">
                  <c:v>0.9</c:v>
                </c:pt>
                <c:pt idx="1">
                  <c:v>0.9</c:v>
                </c:pt>
                <c:pt idx="2">
                  <c:v>0.9</c:v>
                </c:pt>
                <c:pt idx="3">
                  <c:v>0.9</c:v>
                </c:pt>
                <c:pt idx="4">
                  <c:v>0.9</c:v>
                </c:pt>
                <c:pt idx="5">
                  <c:v>0.9</c:v>
                </c:pt>
                <c:pt idx="6">
                  <c:v>0.9</c:v>
                </c:pt>
                <c:pt idx="7">
                  <c:v>0.9</c:v>
                </c:pt>
                <c:pt idx="8">
                  <c:v>0.9</c:v>
                </c:pt>
                <c:pt idx="9">
                  <c:v>0.9</c:v>
                </c:pt>
                <c:pt idx="10">
                  <c:v>0.9</c:v>
                </c:pt>
                <c:pt idx="11">
                  <c:v>0.9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4DF3-40B6-8128-994EBAC4F2D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4695552"/>
        <c:axId val="134701440"/>
      </c:lineChart>
      <c:dateAx>
        <c:axId val="134695552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crossAx val="134701440"/>
        <c:crosses val="autoZero"/>
        <c:auto val="1"/>
        <c:lblOffset val="100"/>
        <c:baseTimeUnit val="months"/>
      </c:dateAx>
      <c:valAx>
        <c:axId val="134701440"/>
        <c:scaling>
          <c:orientation val="minMax"/>
        </c:scaling>
        <c:delete val="0"/>
        <c:axPos val="l"/>
        <c:majorGridlines/>
        <c:numFmt formatCode="0%" sourceLinked="1"/>
        <c:majorTickMark val="out"/>
        <c:minorTickMark val="none"/>
        <c:tickLblPos val="nextTo"/>
        <c:crossAx val="134695552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000000000000822" l="0.70000000000000062" r="0.70000000000000062" t="0.75000000000000822" header="0.30000000000000032" footer="0.30000000000000032"/>
    <c:pageSetup/>
  </c:printSettings>
</c:chartSpace>
</file>

<file path=xl/charts/chart18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1"/>
          <c:order val="1"/>
          <c:tx>
            <c:strRef>
              <c:f>'KPI 147'!$D$20</c:f>
              <c:strCache>
                <c:ptCount val="1"/>
                <c:pt idx="0">
                  <c:v>Actual 2022-23</c:v>
                </c:pt>
              </c:strCache>
            </c:strRef>
          </c:tx>
          <c:spPr>
            <a:solidFill>
              <a:schemeClr val="accent1"/>
            </a:solidFill>
          </c:spPr>
          <c:invertIfNegative val="0"/>
          <c:cat>
            <c:numRef>
              <c:f>'KPI 147'!$E$18:$P$18</c:f>
              <c:numCache>
                <c:formatCode>mmm\-yy</c:formatCode>
                <c:ptCount val="12"/>
                <c:pt idx="0">
                  <c:v>44743</c:v>
                </c:pt>
                <c:pt idx="1">
                  <c:v>44774</c:v>
                </c:pt>
                <c:pt idx="2">
                  <c:v>44805</c:v>
                </c:pt>
                <c:pt idx="3">
                  <c:v>44835</c:v>
                </c:pt>
                <c:pt idx="4">
                  <c:v>44866</c:v>
                </c:pt>
                <c:pt idx="5">
                  <c:v>44896</c:v>
                </c:pt>
                <c:pt idx="6">
                  <c:v>44927</c:v>
                </c:pt>
                <c:pt idx="7">
                  <c:v>44958</c:v>
                </c:pt>
                <c:pt idx="8">
                  <c:v>44986</c:v>
                </c:pt>
                <c:pt idx="9">
                  <c:v>45017</c:v>
                </c:pt>
                <c:pt idx="10">
                  <c:v>45047</c:v>
                </c:pt>
                <c:pt idx="11">
                  <c:v>45078</c:v>
                </c:pt>
              </c:numCache>
            </c:numRef>
          </c:cat>
          <c:val>
            <c:numRef>
              <c:f>'KPI 147'!$E$20:$P$20</c:f>
              <c:numCache>
                <c:formatCode>0</c:formatCode>
                <c:ptCount val="12"/>
                <c:pt idx="0">
                  <c:v>1868</c:v>
                </c:pt>
                <c:pt idx="1">
                  <c:v>1887</c:v>
                </c:pt>
                <c:pt idx="2">
                  <c:v>1367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259-4A70-9167-9C2B072A658B}"/>
            </c:ext>
          </c:extLst>
        </c:ser>
        <c:ser>
          <c:idx val="4"/>
          <c:order val="2"/>
          <c:tx>
            <c:strRef>
              <c:f>'KPI 147'!$D$21</c:f>
              <c:strCache>
                <c:ptCount val="1"/>
                <c:pt idx="0">
                  <c:v>Actual 2021-22</c:v>
                </c:pt>
              </c:strCache>
            </c:strRef>
          </c:tx>
          <c:spPr>
            <a:solidFill>
              <a:schemeClr val="accent3"/>
            </a:solidFill>
          </c:spPr>
          <c:invertIfNegative val="0"/>
          <c:cat>
            <c:numRef>
              <c:f>'KPI 147'!$E$18:$P$18</c:f>
              <c:numCache>
                <c:formatCode>mmm\-yy</c:formatCode>
                <c:ptCount val="12"/>
                <c:pt idx="0">
                  <c:v>44743</c:v>
                </c:pt>
                <c:pt idx="1">
                  <c:v>44774</c:v>
                </c:pt>
                <c:pt idx="2">
                  <c:v>44805</c:v>
                </c:pt>
                <c:pt idx="3">
                  <c:v>44835</c:v>
                </c:pt>
                <c:pt idx="4">
                  <c:v>44866</c:v>
                </c:pt>
                <c:pt idx="5">
                  <c:v>44896</c:v>
                </c:pt>
                <c:pt idx="6">
                  <c:v>44927</c:v>
                </c:pt>
                <c:pt idx="7">
                  <c:v>44958</c:v>
                </c:pt>
                <c:pt idx="8">
                  <c:v>44986</c:v>
                </c:pt>
                <c:pt idx="9">
                  <c:v>45017</c:v>
                </c:pt>
                <c:pt idx="10">
                  <c:v>45047</c:v>
                </c:pt>
                <c:pt idx="11">
                  <c:v>45078</c:v>
                </c:pt>
              </c:numCache>
            </c:numRef>
          </c:cat>
          <c:val>
            <c:numRef>
              <c:f>'KPI 147'!$E$21:$P$21</c:f>
              <c:numCache>
                <c:formatCode>0</c:formatCode>
                <c:ptCount val="12"/>
                <c:pt idx="0">
                  <c:v>1703</c:v>
                </c:pt>
                <c:pt idx="1">
                  <c:v>1285</c:v>
                </c:pt>
                <c:pt idx="2">
                  <c:v>1298</c:v>
                </c:pt>
                <c:pt idx="3">
                  <c:v>1305</c:v>
                </c:pt>
                <c:pt idx="4">
                  <c:v>1656</c:v>
                </c:pt>
                <c:pt idx="5">
                  <c:v>1351</c:v>
                </c:pt>
                <c:pt idx="6">
                  <c:v>1372</c:v>
                </c:pt>
                <c:pt idx="7">
                  <c:v>1398</c:v>
                </c:pt>
                <c:pt idx="8">
                  <c:v>1731</c:v>
                </c:pt>
                <c:pt idx="9">
                  <c:v>1447</c:v>
                </c:pt>
                <c:pt idx="10">
                  <c:v>1470</c:v>
                </c:pt>
                <c:pt idx="11">
                  <c:v>1480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259-4A70-9167-9C2B072A658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34389760"/>
        <c:axId val="134391296"/>
      </c:barChart>
      <c:lineChart>
        <c:grouping val="standard"/>
        <c:varyColors val="0"/>
        <c:ser>
          <c:idx val="0"/>
          <c:order val="0"/>
          <c:tx>
            <c:strRef>
              <c:f>'KPI 147'!$D$19</c:f>
              <c:strCache>
                <c:ptCount val="1"/>
                <c:pt idx="0">
                  <c:v>Budget 2022-23</c:v>
                </c:pt>
              </c:strCache>
            </c:strRef>
          </c:tx>
          <c:spPr>
            <a:ln>
              <a:solidFill>
                <a:srgbClr val="FF0000"/>
              </a:solidFill>
            </a:ln>
          </c:spPr>
          <c:marker>
            <c:symbol val="none"/>
          </c:marker>
          <c:cat>
            <c:numRef>
              <c:f>'KPI 147'!$E$18:$P$18</c:f>
              <c:numCache>
                <c:formatCode>mmm\-yy</c:formatCode>
                <c:ptCount val="12"/>
                <c:pt idx="0">
                  <c:v>44743</c:v>
                </c:pt>
                <c:pt idx="1">
                  <c:v>44774</c:v>
                </c:pt>
                <c:pt idx="2">
                  <c:v>44805</c:v>
                </c:pt>
                <c:pt idx="3">
                  <c:v>44835</c:v>
                </c:pt>
                <c:pt idx="4">
                  <c:v>44866</c:v>
                </c:pt>
                <c:pt idx="5">
                  <c:v>44896</c:v>
                </c:pt>
                <c:pt idx="6">
                  <c:v>44927</c:v>
                </c:pt>
                <c:pt idx="7">
                  <c:v>44958</c:v>
                </c:pt>
                <c:pt idx="8">
                  <c:v>44986</c:v>
                </c:pt>
                <c:pt idx="9">
                  <c:v>45017</c:v>
                </c:pt>
                <c:pt idx="10">
                  <c:v>45047</c:v>
                </c:pt>
                <c:pt idx="11">
                  <c:v>45078</c:v>
                </c:pt>
              </c:numCache>
            </c:numRef>
          </c:cat>
          <c:val>
            <c:numRef>
              <c:f>'KPI 147'!$E$19:$P$19</c:f>
              <c:numCache>
                <c:formatCode>0</c:formatCode>
                <c:ptCount val="12"/>
                <c:pt idx="0">
                  <c:v>1500</c:v>
                </c:pt>
                <c:pt idx="1">
                  <c:v>1500</c:v>
                </c:pt>
                <c:pt idx="2">
                  <c:v>1500</c:v>
                </c:pt>
                <c:pt idx="3">
                  <c:v>1500</c:v>
                </c:pt>
                <c:pt idx="4">
                  <c:v>1500</c:v>
                </c:pt>
                <c:pt idx="5">
                  <c:v>1500</c:v>
                </c:pt>
                <c:pt idx="6">
                  <c:v>1500</c:v>
                </c:pt>
                <c:pt idx="7">
                  <c:v>1500</c:v>
                </c:pt>
                <c:pt idx="8">
                  <c:v>1500</c:v>
                </c:pt>
                <c:pt idx="9">
                  <c:v>1500</c:v>
                </c:pt>
                <c:pt idx="10">
                  <c:v>1500</c:v>
                </c:pt>
                <c:pt idx="11">
                  <c:v>1500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D259-4A70-9167-9C2B072A658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4389760"/>
        <c:axId val="134391296"/>
      </c:lineChart>
      <c:dateAx>
        <c:axId val="134389760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crossAx val="134391296"/>
        <c:crosses val="autoZero"/>
        <c:auto val="1"/>
        <c:lblOffset val="100"/>
        <c:baseTimeUnit val="months"/>
      </c:dateAx>
      <c:valAx>
        <c:axId val="134391296"/>
        <c:scaling>
          <c:orientation val="minMax"/>
        </c:scaling>
        <c:delete val="0"/>
        <c:axPos val="l"/>
        <c:majorGridlines/>
        <c:numFmt formatCode="0" sourceLinked="1"/>
        <c:majorTickMark val="out"/>
        <c:minorTickMark val="none"/>
        <c:tickLblPos val="nextTo"/>
        <c:crossAx val="13438976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000000000000822" l="0.70000000000000062" r="0.70000000000000062" t="0.75000000000000822" header="0.30000000000000032" footer="0.30000000000000032"/>
    <c:pageSetup/>
  </c:printSettings>
</c:chartSpace>
</file>

<file path=xl/charts/chart18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1"/>
          <c:order val="1"/>
          <c:tx>
            <c:strRef>
              <c:f>'KPI 148'!$D$20</c:f>
              <c:strCache>
                <c:ptCount val="1"/>
                <c:pt idx="0">
                  <c:v>Actual 2022-23</c:v>
                </c:pt>
              </c:strCache>
            </c:strRef>
          </c:tx>
          <c:spPr>
            <a:solidFill>
              <a:schemeClr val="accent1"/>
            </a:solidFill>
          </c:spPr>
          <c:invertIfNegative val="0"/>
          <c:cat>
            <c:numRef>
              <c:f>'KPI 148'!$E$18:$P$18</c:f>
              <c:numCache>
                <c:formatCode>mmm\-yy</c:formatCode>
                <c:ptCount val="12"/>
                <c:pt idx="0">
                  <c:v>44743</c:v>
                </c:pt>
                <c:pt idx="1">
                  <c:v>44774</c:v>
                </c:pt>
                <c:pt idx="2">
                  <c:v>44805</c:v>
                </c:pt>
                <c:pt idx="3">
                  <c:v>44835</c:v>
                </c:pt>
                <c:pt idx="4">
                  <c:v>44866</c:v>
                </c:pt>
                <c:pt idx="5">
                  <c:v>44896</c:v>
                </c:pt>
                <c:pt idx="6">
                  <c:v>44927</c:v>
                </c:pt>
                <c:pt idx="7">
                  <c:v>44958</c:v>
                </c:pt>
                <c:pt idx="8">
                  <c:v>44986</c:v>
                </c:pt>
                <c:pt idx="9">
                  <c:v>45017</c:v>
                </c:pt>
                <c:pt idx="10">
                  <c:v>45047</c:v>
                </c:pt>
                <c:pt idx="11">
                  <c:v>45078</c:v>
                </c:pt>
              </c:numCache>
            </c:numRef>
          </c:cat>
          <c:val>
            <c:numRef>
              <c:f>'KPI 148'!$E$20:$P$20</c:f>
              <c:numCache>
                <c:formatCode>0</c:formatCode>
                <c:ptCount val="12"/>
                <c:pt idx="0">
                  <c:v>9</c:v>
                </c:pt>
                <c:pt idx="1">
                  <c:v>9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B38-45F6-AAC4-D309E5C491B2}"/>
            </c:ext>
          </c:extLst>
        </c:ser>
        <c:ser>
          <c:idx val="4"/>
          <c:order val="2"/>
          <c:tx>
            <c:strRef>
              <c:f>'KPI 148'!$D$21</c:f>
              <c:strCache>
                <c:ptCount val="1"/>
                <c:pt idx="0">
                  <c:v>Actual 2021-22</c:v>
                </c:pt>
              </c:strCache>
            </c:strRef>
          </c:tx>
          <c:spPr>
            <a:solidFill>
              <a:schemeClr val="accent3"/>
            </a:solidFill>
          </c:spPr>
          <c:invertIfNegative val="0"/>
          <c:cat>
            <c:numRef>
              <c:f>'KPI 148'!$E$18:$P$18</c:f>
              <c:numCache>
                <c:formatCode>mmm\-yy</c:formatCode>
                <c:ptCount val="12"/>
                <c:pt idx="0">
                  <c:v>44743</c:v>
                </c:pt>
                <c:pt idx="1">
                  <c:v>44774</c:v>
                </c:pt>
                <c:pt idx="2">
                  <c:v>44805</c:v>
                </c:pt>
                <c:pt idx="3">
                  <c:v>44835</c:v>
                </c:pt>
                <c:pt idx="4">
                  <c:v>44866</c:v>
                </c:pt>
                <c:pt idx="5">
                  <c:v>44896</c:v>
                </c:pt>
                <c:pt idx="6">
                  <c:v>44927</c:v>
                </c:pt>
                <c:pt idx="7">
                  <c:v>44958</c:v>
                </c:pt>
                <c:pt idx="8">
                  <c:v>44986</c:v>
                </c:pt>
                <c:pt idx="9">
                  <c:v>45017</c:v>
                </c:pt>
                <c:pt idx="10">
                  <c:v>45047</c:v>
                </c:pt>
                <c:pt idx="11">
                  <c:v>45078</c:v>
                </c:pt>
              </c:numCache>
            </c:numRef>
          </c:cat>
          <c:val>
            <c:numRef>
              <c:f>'KPI 148'!$E$21:$P$21</c:f>
              <c:numCache>
                <c:formatCode>0</c:formatCode>
                <c:ptCount val="12"/>
                <c:pt idx="0">
                  <c:v>11</c:v>
                </c:pt>
                <c:pt idx="1">
                  <c:v>8</c:v>
                </c:pt>
                <c:pt idx="2">
                  <c:v>9</c:v>
                </c:pt>
                <c:pt idx="3">
                  <c:v>9</c:v>
                </c:pt>
                <c:pt idx="4">
                  <c:v>10</c:v>
                </c:pt>
                <c:pt idx="5">
                  <c:v>8</c:v>
                </c:pt>
                <c:pt idx="6">
                  <c:v>9</c:v>
                </c:pt>
                <c:pt idx="7">
                  <c:v>8</c:v>
                </c:pt>
                <c:pt idx="8">
                  <c:v>8</c:v>
                </c:pt>
                <c:pt idx="9">
                  <c:v>9</c:v>
                </c:pt>
                <c:pt idx="10">
                  <c:v>12</c:v>
                </c:pt>
                <c:pt idx="11">
                  <c:v>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B38-45F6-AAC4-D309E5C491B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34415488"/>
        <c:axId val="134417024"/>
      </c:barChart>
      <c:lineChart>
        <c:grouping val="standard"/>
        <c:varyColors val="0"/>
        <c:ser>
          <c:idx val="0"/>
          <c:order val="0"/>
          <c:tx>
            <c:strRef>
              <c:f>'KPI 148'!$D$19</c:f>
              <c:strCache>
                <c:ptCount val="1"/>
                <c:pt idx="0">
                  <c:v>Budget 2022-23</c:v>
                </c:pt>
              </c:strCache>
            </c:strRef>
          </c:tx>
          <c:spPr>
            <a:ln>
              <a:solidFill>
                <a:srgbClr val="FF0000"/>
              </a:solidFill>
            </a:ln>
          </c:spPr>
          <c:marker>
            <c:symbol val="none"/>
          </c:marker>
          <c:cat>
            <c:numRef>
              <c:f>'KPI 148'!$E$18:$P$18</c:f>
              <c:numCache>
                <c:formatCode>mmm\-yy</c:formatCode>
                <c:ptCount val="12"/>
                <c:pt idx="0">
                  <c:v>44743</c:v>
                </c:pt>
                <c:pt idx="1">
                  <c:v>44774</c:v>
                </c:pt>
                <c:pt idx="2">
                  <c:v>44805</c:v>
                </c:pt>
                <c:pt idx="3">
                  <c:v>44835</c:v>
                </c:pt>
                <c:pt idx="4">
                  <c:v>44866</c:v>
                </c:pt>
                <c:pt idx="5">
                  <c:v>44896</c:v>
                </c:pt>
                <c:pt idx="6">
                  <c:v>44927</c:v>
                </c:pt>
                <c:pt idx="7">
                  <c:v>44958</c:v>
                </c:pt>
                <c:pt idx="8">
                  <c:v>44986</c:v>
                </c:pt>
                <c:pt idx="9">
                  <c:v>45017</c:v>
                </c:pt>
                <c:pt idx="10">
                  <c:v>45047</c:v>
                </c:pt>
                <c:pt idx="11">
                  <c:v>45078</c:v>
                </c:pt>
              </c:numCache>
            </c:numRef>
          </c:cat>
          <c:val>
            <c:numRef>
              <c:f>'KPI 148'!$E$19:$P$19</c:f>
              <c:numCache>
                <c:formatCode>0</c:formatCode>
                <c:ptCount val="12"/>
                <c:pt idx="0">
                  <c:v>7</c:v>
                </c:pt>
                <c:pt idx="1">
                  <c:v>7</c:v>
                </c:pt>
                <c:pt idx="2">
                  <c:v>7</c:v>
                </c:pt>
                <c:pt idx="3">
                  <c:v>7</c:v>
                </c:pt>
                <c:pt idx="4">
                  <c:v>7</c:v>
                </c:pt>
                <c:pt idx="5">
                  <c:v>7</c:v>
                </c:pt>
                <c:pt idx="6">
                  <c:v>7</c:v>
                </c:pt>
                <c:pt idx="7">
                  <c:v>7</c:v>
                </c:pt>
                <c:pt idx="8">
                  <c:v>7</c:v>
                </c:pt>
                <c:pt idx="9">
                  <c:v>7</c:v>
                </c:pt>
                <c:pt idx="10">
                  <c:v>7</c:v>
                </c:pt>
                <c:pt idx="11">
                  <c:v>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2B38-45F6-AAC4-D309E5C491B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4415488"/>
        <c:axId val="134417024"/>
      </c:lineChart>
      <c:dateAx>
        <c:axId val="134415488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crossAx val="134417024"/>
        <c:crosses val="autoZero"/>
        <c:auto val="1"/>
        <c:lblOffset val="100"/>
        <c:baseTimeUnit val="months"/>
      </c:dateAx>
      <c:valAx>
        <c:axId val="134417024"/>
        <c:scaling>
          <c:orientation val="minMax"/>
        </c:scaling>
        <c:delete val="0"/>
        <c:axPos val="l"/>
        <c:majorGridlines/>
        <c:numFmt formatCode="0" sourceLinked="1"/>
        <c:majorTickMark val="out"/>
        <c:minorTickMark val="none"/>
        <c:tickLblPos val="nextTo"/>
        <c:crossAx val="134415488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000000000000822" l="0.70000000000000062" r="0.70000000000000062" t="0.75000000000000822" header="0.30000000000000032" footer="0.30000000000000032"/>
    <c:pageSetup/>
  </c:printSettings>
</c:chartSpace>
</file>

<file path=xl/charts/chart18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1"/>
          <c:order val="1"/>
          <c:tx>
            <c:strRef>
              <c:f>'KPI 149'!$D$20</c:f>
              <c:strCache>
                <c:ptCount val="1"/>
                <c:pt idx="0">
                  <c:v>Actual 2022-23</c:v>
                </c:pt>
              </c:strCache>
            </c:strRef>
          </c:tx>
          <c:spPr>
            <a:solidFill>
              <a:schemeClr val="accent1"/>
            </a:solidFill>
          </c:spPr>
          <c:invertIfNegative val="0"/>
          <c:cat>
            <c:numRef>
              <c:f>'KPI 149'!$E$18:$P$18</c:f>
              <c:numCache>
                <c:formatCode>mmm\-yy</c:formatCode>
                <c:ptCount val="12"/>
                <c:pt idx="0">
                  <c:v>44743</c:v>
                </c:pt>
                <c:pt idx="1">
                  <c:v>44774</c:v>
                </c:pt>
                <c:pt idx="2">
                  <c:v>44805</c:v>
                </c:pt>
                <c:pt idx="3">
                  <c:v>44835</c:v>
                </c:pt>
                <c:pt idx="4">
                  <c:v>44866</c:v>
                </c:pt>
                <c:pt idx="5">
                  <c:v>44896</c:v>
                </c:pt>
                <c:pt idx="6">
                  <c:v>44927</c:v>
                </c:pt>
                <c:pt idx="7">
                  <c:v>44958</c:v>
                </c:pt>
                <c:pt idx="8">
                  <c:v>44986</c:v>
                </c:pt>
                <c:pt idx="9">
                  <c:v>45017</c:v>
                </c:pt>
                <c:pt idx="10">
                  <c:v>45047</c:v>
                </c:pt>
                <c:pt idx="11">
                  <c:v>45078</c:v>
                </c:pt>
              </c:numCache>
            </c:numRef>
          </c:cat>
          <c:val>
            <c:numRef>
              <c:f>'KPI 149'!$E$20:$P$20</c:f>
              <c:numCache>
                <c:formatCode>0</c:formatCode>
                <c:ptCount val="12"/>
                <c:pt idx="0">
                  <c:v>19</c:v>
                </c:pt>
                <c:pt idx="1">
                  <c:v>18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ED6-4851-A0C1-D3E571A88348}"/>
            </c:ext>
          </c:extLst>
        </c:ser>
        <c:ser>
          <c:idx val="4"/>
          <c:order val="2"/>
          <c:tx>
            <c:strRef>
              <c:f>'KPI 149'!$D$21</c:f>
              <c:strCache>
                <c:ptCount val="1"/>
                <c:pt idx="0">
                  <c:v>Actual 2021-22</c:v>
                </c:pt>
              </c:strCache>
            </c:strRef>
          </c:tx>
          <c:spPr>
            <a:solidFill>
              <a:schemeClr val="accent3"/>
            </a:solidFill>
          </c:spPr>
          <c:invertIfNegative val="0"/>
          <c:cat>
            <c:numRef>
              <c:f>'KPI 149'!$E$18:$P$18</c:f>
              <c:numCache>
                <c:formatCode>mmm\-yy</c:formatCode>
                <c:ptCount val="12"/>
                <c:pt idx="0">
                  <c:v>44743</c:v>
                </c:pt>
                <c:pt idx="1">
                  <c:v>44774</c:v>
                </c:pt>
                <c:pt idx="2">
                  <c:v>44805</c:v>
                </c:pt>
                <c:pt idx="3">
                  <c:v>44835</c:v>
                </c:pt>
                <c:pt idx="4">
                  <c:v>44866</c:v>
                </c:pt>
                <c:pt idx="5">
                  <c:v>44896</c:v>
                </c:pt>
                <c:pt idx="6">
                  <c:v>44927</c:v>
                </c:pt>
                <c:pt idx="7">
                  <c:v>44958</c:v>
                </c:pt>
                <c:pt idx="8">
                  <c:v>44986</c:v>
                </c:pt>
                <c:pt idx="9">
                  <c:v>45017</c:v>
                </c:pt>
                <c:pt idx="10">
                  <c:v>45047</c:v>
                </c:pt>
                <c:pt idx="11">
                  <c:v>45078</c:v>
                </c:pt>
              </c:numCache>
            </c:numRef>
          </c:cat>
          <c:val>
            <c:numRef>
              <c:f>'KPI 149'!$E$21:$P$21</c:f>
              <c:numCache>
                <c:formatCode>0</c:formatCode>
                <c:ptCount val="12"/>
                <c:pt idx="0">
                  <c:v>17</c:v>
                </c:pt>
                <c:pt idx="1">
                  <c:v>16</c:v>
                </c:pt>
                <c:pt idx="2">
                  <c:v>15</c:v>
                </c:pt>
                <c:pt idx="3">
                  <c:v>15</c:v>
                </c:pt>
                <c:pt idx="4">
                  <c:v>15</c:v>
                </c:pt>
                <c:pt idx="5">
                  <c:v>16</c:v>
                </c:pt>
                <c:pt idx="6">
                  <c:v>15</c:v>
                </c:pt>
                <c:pt idx="7">
                  <c:v>16</c:v>
                </c:pt>
                <c:pt idx="8">
                  <c:v>15</c:v>
                </c:pt>
                <c:pt idx="9">
                  <c:v>17</c:v>
                </c:pt>
                <c:pt idx="10">
                  <c:v>15</c:v>
                </c:pt>
                <c:pt idx="11">
                  <c:v>17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ED6-4851-A0C1-D3E571A8834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34486272"/>
        <c:axId val="134500352"/>
      </c:barChart>
      <c:lineChart>
        <c:grouping val="standard"/>
        <c:varyColors val="0"/>
        <c:ser>
          <c:idx val="0"/>
          <c:order val="0"/>
          <c:tx>
            <c:strRef>
              <c:f>'KPI 149'!$D$19</c:f>
              <c:strCache>
                <c:ptCount val="1"/>
                <c:pt idx="0">
                  <c:v>Budget 2022-23</c:v>
                </c:pt>
              </c:strCache>
            </c:strRef>
          </c:tx>
          <c:spPr>
            <a:ln>
              <a:solidFill>
                <a:srgbClr val="FF0000"/>
              </a:solidFill>
            </a:ln>
          </c:spPr>
          <c:marker>
            <c:symbol val="none"/>
          </c:marker>
          <c:cat>
            <c:numRef>
              <c:f>'KPI 149'!$E$18:$P$18</c:f>
              <c:numCache>
                <c:formatCode>mmm\-yy</c:formatCode>
                <c:ptCount val="12"/>
                <c:pt idx="0">
                  <c:v>44743</c:v>
                </c:pt>
                <c:pt idx="1">
                  <c:v>44774</c:v>
                </c:pt>
                <c:pt idx="2">
                  <c:v>44805</c:v>
                </c:pt>
                <c:pt idx="3">
                  <c:v>44835</c:v>
                </c:pt>
                <c:pt idx="4">
                  <c:v>44866</c:v>
                </c:pt>
                <c:pt idx="5">
                  <c:v>44896</c:v>
                </c:pt>
                <c:pt idx="6">
                  <c:v>44927</c:v>
                </c:pt>
                <c:pt idx="7">
                  <c:v>44958</c:v>
                </c:pt>
                <c:pt idx="8">
                  <c:v>44986</c:v>
                </c:pt>
                <c:pt idx="9">
                  <c:v>45017</c:v>
                </c:pt>
                <c:pt idx="10">
                  <c:v>45047</c:v>
                </c:pt>
                <c:pt idx="11">
                  <c:v>45078</c:v>
                </c:pt>
              </c:numCache>
            </c:numRef>
          </c:cat>
          <c:val>
            <c:numRef>
              <c:f>'KPI 149'!$E$19:$P$19</c:f>
              <c:numCache>
                <c:formatCode>0</c:formatCode>
                <c:ptCount val="12"/>
                <c:pt idx="0">
                  <c:v>15</c:v>
                </c:pt>
                <c:pt idx="1">
                  <c:v>15</c:v>
                </c:pt>
                <c:pt idx="2">
                  <c:v>15</c:v>
                </c:pt>
                <c:pt idx="3">
                  <c:v>15</c:v>
                </c:pt>
                <c:pt idx="4">
                  <c:v>15</c:v>
                </c:pt>
                <c:pt idx="5">
                  <c:v>15</c:v>
                </c:pt>
                <c:pt idx="6">
                  <c:v>15</c:v>
                </c:pt>
                <c:pt idx="7">
                  <c:v>15</c:v>
                </c:pt>
                <c:pt idx="8">
                  <c:v>15</c:v>
                </c:pt>
                <c:pt idx="9">
                  <c:v>15</c:v>
                </c:pt>
                <c:pt idx="10">
                  <c:v>15</c:v>
                </c:pt>
                <c:pt idx="11">
                  <c:v>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ED6-4851-A0C1-D3E571A8834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4486272"/>
        <c:axId val="134500352"/>
      </c:lineChart>
      <c:dateAx>
        <c:axId val="134486272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crossAx val="134500352"/>
        <c:crosses val="autoZero"/>
        <c:auto val="1"/>
        <c:lblOffset val="100"/>
        <c:baseTimeUnit val="months"/>
      </c:dateAx>
      <c:valAx>
        <c:axId val="134500352"/>
        <c:scaling>
          <c:orientation val="minMax"/>
        </c:scaling>
        <c:delete val="0"/>
        <c:axPos val="l"/>
        <c:majorGridlines/>
        <c:numFmt formatCode="0" sourceLinked="1"/>
        <c:majorTickMark val="out"/>
        <c:minorTickMark val="none"/>
        <c:tickLblPos val="nextTo"/>
        <c:crossAx val="134486272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000000000000822" l="0.70000000000000062" r="0.70000000000000062" t="0.75000000000000822" header="0.30000000000000032" footer="0.30000000000000032"/>
    <c:pageSetup/>
  </c:printSettings>
</c:chartSpace>
</file>

<file path=xl/ctrlProps/ctrlProp1.xml><?xml version="1.0" encoding="utf-8"?>
<formControlPr xmlns="http://schemas.microsoft.com/office/spreadsheetml/2009/9/main" objectType="Spin" dx="16" fmlaLink="Actual_month" max="12" min="1" page="10" val="8"/>
</file>

<file path=xl/ctrlProps/ctrlProp2.xml><?xml version="1.0" encoding="utf-8"?>
<formControlPr xmlns="http://schemas.microsoft.com/office/spreadsheetml/2009/9/main" objectType="Spin" dx="16" fmlaLink="Actual_month" max="12" min="1" page="10" val="8"/>
</file>

<file path=xl/ctrlProps/ctrlProp3.xml><?xml version="1.0" encoding="utf-8"?>
<formControlPr xmlns="http://schemas.microsoft.com/office/spreadsheetml/2009/9/main" objectType="Spin" dx="16" fmlaLink="Actual_month" max="12" min="1" page="10" val="8"/>
</file>

<file path=xl/ctrlProps/ctrlProp4.xml><?xml version="1.0" encoding="utf-8"?>
<formControlPr xmlns="http://schemas.microsoft.com/office/spreadsheetml/2009/9/main" objectType="Spin" dx="16" fmlaLink="Actual_month" max="12" min="1" page="10" val="8"/>
</file>

<file path=xl/ctrlProps/ctrlProp5.xml><?xml version="1.0" encoding="utf-8"?>
<formControlPr xmlns="http://schemas.microsoft.com/office/spreadsheetml/2009/9/main" objectType="Spin" dx="16" fmlaLink="Actual_month" max="12" min="1" page="10" val="8"/>
</file>

<file path=xl/ctrlProps/ctrlProp6.xml><?xml version="1.0" encoding="utf-8"?>
<formControlPr xmlns="http://schemas.microsoft.com/office/spreadsheetml/2009/9/main" objectType="Spin" dx="16" fmlaLink="Actual_month" max="12" min="1" page="10" val="8"/>
</file>

<file path=xl/ctrlProps/ctrlProp7.xml><?xml version="1.0" encoding="utf-8"?>
<formControlPr xmlns="http://schemas.microsoft.com/office/spreadsheetml/2009/9/main" objectType="Spin" dx="16" fmlaLink="Actual_month" max="12" min="1" page="10" val="8"/>
</file>

<file path=xl/ctrlProps/ctrlProp8.xml><?xml version="1.0" encoding="utf-8"?>
<formControlPr xmlns="http://schemas.microsoft.com/office/spreadsheetml/2009/9/main" objectType="Spin" dx="16" fmlaLink="Actual_month" max="12" min="1" page="10" val="8"/>
</file>

<file path=xl/ctrlProps/ctrlProp9.xml><?xml version="1.0" encoding="utf-8"?>
<formControlPr xmlns="http://schemas.microsoft.com/office/spreadsheetml/2009/9/main" objectType="Spin" dx="16" fmlaLink="Actual_month" max="12" min="1" page="10" val="8"/>
</file>

<file path=xl/ctrlProps/ctrlProp10.xml><?xml version="1.0" encoding="utf-8"?>
<formControlPr xmlns="http://schemas.microsoft.com/office/spreadsheetml/2009/9/main" objectType="Spin" dx="16" fmlaLink="Actual_month" max="12" min="1" page="10" val="8"/>
</file>

<file path=xl/ctrlProps/ctrlProp11.xml><?xml version="1.0" encoding="utf-8"?>
<formControlPr xmlns="http://schemas.microsoft.com/office/spreadsheetml/2009/9/main" objectType="Spin" dx="16" fmlaLink="Actual_month" max="12" min="1" page="10" val="8"/>
</file>

<file path=xl/ctrlProps/ctrlProp12.xml><?xml version="1.0" encoding="utf-8"?>
<formControlPr xmlns="http://schemas.microsoft.com/office/spreadsheetml/2009/9/main" objectType="Spin" dx="16" fmlaLink="Actual_month" max="12" min="1" page="10" val="8"/>
</file>

<file path=xl/ctrlProps/ctrlProp13.xml><?xml version="1.0" encoding="utf-8"?>
<formControlPr xmlns="http://schemas.microsoft.com/office/spreadsheetml/2009/9/main" objectType="Spin" dx="16" fmlaLink="Actual_month" max="12" min="1" page="10" val="8"/>
</file>

<file path=xl/ctrlProps/ctrlProp14.xml><?xml version="1.0" encoding="utf-8"?>
<formControlPr xmlns="http://schemas.microsoft.com/office/spreadsheetml/2009/9/main" objectType="Spin" dx="16" fmlaLink="Actual_month" max="12" min="1" page="10" val="8"/>
</file>

<file path=xl/ctrlProps/ctrlProp15.xml><?xml version="1.0" encoding="utf-8"?>
<formControlPr xmlns="http://schemas.microsoft.com/office/spreadsheetml/2009/9/main" objectType="Spin" dx="16" fmlaLink="Actual_month" max="12" min="1" page="10" val="8"/>
</file>

<file path=xl/ctrlProps/ctrlProp16.xml><?xml version="1.0" encoding="utf-8"?>
<formControlPr xmlns="http://schemas.microsoft.com/office/spreadsheetml/2009/9/main" objectType="Spin" dx="16" fmlaLink="Actual_month" max="12" min="1" page="10" val="8"/>
</file>

<file path=xl/ctrlProps/ctrlProp17.xml><?xml version="1.0" encoding="utf-8"?>
<formControlPr xmlns="http://schemas.microsoft.com/office/spreadsheetml/2009/9/main" objectType="Spin" dx="16" fmlaLink="Actual_month" max="12" min="1" page="10" val="8"/>
</file>

<file path=xl/ctrlProps/ctrlProp18.xml><?xml version="1.0" encoding="utf-8"?>
<formControlPr xmlns="http://schemas.microsoft.com/office/spreadsheetml/2009/9/main" objectType="Spin" dx="16" fmlaLink="Actual_month" max="12" min="1" page="10" val="8"/>
</file>

<file path=xl/ctrlProps/ctrlProp19.xml><?xml version="1.0" encoding="utf-8"?>
<formControlPr xmlns="http://schemas.microsoft.com/office/spreadsheetml/2009/9/main" objectType="Spin" dx="16" fmlaLink="Actual_month" max="12" min="1" page="10" val="8"/>
</file>

<file path=xl/ctrlProps/ctrlProp20.xml><?xml version="1.0" encoding="utf-8"?>
<formControlPr xmlns="http://schemas.microsoft.com/office/spreadsheetml/2009/9/main" objectType="Spin" dx="16" fmlaLink="Actual_month" max="12" min="1" page="10" val="8"/>
</file>

<file path=xl/ctrlProps/ctrlProp21.xml><?xml version="1.0" encoding="utf-8"?>
<formControlPr xmlns="http://schemas.microsoft.com/office/spreadsheetml/2009/9/main" objectType="Spin" dx="16" fmlaLink="Actual_month" max="12" min="1" page="10" val="8"/>
</file>

<file path=xl/ctrlProps/ctrlProp22.xml><?xml version="1.0" encoding="utf-8"?>
<formControlPr xmlns="http://schemas.microsoft.com/office/spreadsheetml/2009/9/main" objectType="Spin" dx="16" fmlaLink="Actual_month" max="12" min="1" page="10" val="8"/>
</file>

<file path=xl/ctrlProps/ctrlProp23.xml><?xml version="1.0" encoding="utf-8"?>
<formControlPr xmlns="http://schemas.microsoft.com/office/spreadsheetml/2009/9/main" objectType="Spin" dx="16" fmlaLink="Actual_month" max="12" min="1" page="10" val="8"/>
</file>

<file path=xl/ctrlProps/ctrlProp24.xml><?xml version="1.0" encoding="utf-8"?>
<formControlPr xmlns="http://schemas.microsoft.com/office/spreadsheetml/2009/9/main" objectType="Spin" dx="16" fmlaLink="Actual_month" max="12" min="1" page="10" val="8"/>
</file>

<file path=xl/ctrlProps/ctrlProp25.xml><?xml version="1.0" encoding="utf-8"?>
<formControlPr xmlns="http://schemas.microsoft.com/office/spreadsheetml/2009/9/main" objectType="Spin" dx="16" fmlaLink="Actual_month" max="12" min="1" page="10" val="8"/>
</file>

<file path=xl/ctrlProps/ctrlProp26.xml><?xml version="1.0" encoding="utf-8"?>
<formControlPr xmlns="http://schemas.microsoft.com/office/spreadsheetml/2009/9/main" objectType="Spin" dx="16" fmlaLink="Actual_month" max="12" min="1" page="10" val="8"/>
</file>

<file path=xl/ctrlProps/ctrlProp27.xml><?xml version="1.0" encoding="utf-8"?>
<formControlPr xmlns="http://schemas.microsoft.com/office/spreadsheetml/2009/9/main" objectType="Spin" dx="16" fmlaLink="Actual_month" max="12" min="1" page="10" val="8"/>
</file>

<file path=xl/ctrlProps/ctrlProp28.xml><?xml version="1.0" encoding="utf-8"?>
<formControlPr xmlns="http://schemas.microsoft.com/office/spreadsheetml/2009/9/main" objectType="Spin" dx="16" fmlaLink="Actual_month" max="12" min="1" page="10" val="8"/>
</file>

<file path=xl/ctrlProps/ctrlProp29.xml><?xml version="1.0" encoding="utf-8"?>
<formControlPr xmlns="http://schemas.microsoft.com/office/spreadsheetml/2009/9/main" objectType="Spin" dx="16" fmlaLink="Actual_month" max="12" min="1" page="10" val="8"/>
</file>

<file path=xl/ctrlProps/ctrlProp30.xml><?xml version="1.0" encoding="utf-8"?>
<formControlPr xmlns="http://schemas.microsoft.com/office/spreadsheetml/2009/9/main" objectType="Spin" dx="16" fmlaLink="Actual_month" max="12" min="1" page="10" val="8"/>
</file>

<file path=xl/ctrlProps/ctrlProp31.xml><?xml version="1.0" encoding="utf-8"?>
<formControlPr xmlns="http://schemas.microsoft.com/office/spreadsheetml/2009/9/main" objectType="Spin" dx="16" fmlaLink="Actual_month" max="12" min="1" page="10" val="8"/>
</file>

<file path=xl/ctrlProps/ctrlProp32.xml><?xml version="1.0" encoding="utf-8"?>
<formControlPr xmlns="http://schemas.microsoft.com/office/spreadsheetml/2009/9/main" objectType="Spin" dx="16" fmlaLink="Actual_month" max="12" min="1" page="10" val="8"/>
</file>

<file path=xl/ctrlProps/ctrlProp33.xml><?xml version="1.0" encoding="utf-8"?>
<formControlPr xmlns="http://schemas.microsoft.com/office/spreadsheetml/2009/9/main" objectType="Spin" dx="16" fmlaLink="Actual_month" max="12" min="1" page="10" val="8"/>
</file>

<file path=xl/ctrlProps/ctrlProp34.xml><?xml version="1.0" encoding="utf-8"?>
<formControlPr xmlns="http://schemas.microsoft.com/office/spreadsheetml/2009/9/main" objectType="Spin" dx="16" fmlaLink="Actual_month" max="12" min="1" page="10" val="8"/>
</file>

<file path=xl/ctrlProps/ctrlProp35.xml><?xml version="1.0" encoding="utf-8"?>
<formControlPr xmlns="http://schemas.microsoft.com/office/spreadsheetml/2009/9/main" objectType="Spin" dx="16" fmlaLink="Actual_month" max="12" min="1" page="10" val="8"/>
</file>

<file path=xl/ctrlProps/ctrlProp36.xml><?xml version="1.0" encoding="utf-8"?>
<formControlPr xmlns="http://schemas.microsoft.com/office/spreadsheetml/2009/9/main" objectType="Spin" dx="16" fmlaLink="Actual_month" max="12" min="1" page="10" val="8"/>
</file>

<file path=xl/ctrlProps/ctrlProp37.xml><?xml version="1.0" encoding="utf-8"?>
<formControlPr xmlns="http://schemas.microsoft.com/office/spreadsheetml/2009/9/main" objectType="Spin" dx="16" fmlaLink="Actual_month" max="12" min="1" page="10" val="8"/>
</file>

<file path=xl/ctrlProps/ctrlProp38.xml><?xml version="1.0" encoding="utf-8"?>
<formControlPr xmlns="http://schemas.microsoft.com/office/spreadsheetml/2009/9/main" objectType="Spin" dx="16" fmlaLink="Actual_month" max="12" min="1" page="10" val="8"/>
</file>

<file path=xl/ctrlProps/ctrlProp39.xml><?xml version="1.0" encoding="utf-8"?>
<formControlPr xmlns="http://schemas.microsoft.com/office/spreadsheetml/2009/9/main" objectType="Spin" dx="16" fmlaLink="Actual_month" max="12" min="1" page="10" val="8"/>
</file>

<file path=xl/ctrlProps/ctrlProp40.xml><?xml version="1.0" encoding="utf-8"?>
<formControlPr xmlns="http://schemas.microsoft.com/office/spreadsheetml/2009/9/main" objectType="Spin" dx="16" fmlaLink="Actual_month" max="12" min="1" page="10" val="8"/>
</file>

<file path=xl/ctrlProps/ctrlProp41.xml><?xml version="1.0" encoding="utf-8"?>
<formControlPr xmlns="http://schemas.microsoft.com/office/spreadsheetml/2009/9/main" objectType="Spin" dx="16" fmlaLink="Actual_month" max="12" min="1" page="10" val="8"/>
</file>

<file path=xl/ctrlProps/ctrlProp42.xml><?xml version="1.0" encoding="utf-8"?>
<formControlPr xmlns="http://schemas.microsoft.com/office/spreadsheetml/2009/9/main" objectType="Spin" dx="16" fmlaLink="Actual_month" max="12" min="1" page="10" val="8"/>
</file>

<file path=xl/ctrlProps/ctrlProp43.xml><?xml version="1.0" encoding="utf-8"?>
<formControlPr xmlns="http://schemas.microsoft.com/office/spreadsheetml/2009/9/main" objectType="Spin" dx="16" fmlaLink="Actual_month" max="12" min="1" page="10" val="8"/>
</file>

<file path=xl/ctrlProps/ctrlProp44.xml><?xml version="1.0" encoding="utf-8"?>
<formControlPr xmlns="http://schemas.microsoft.com/office/spreadsheetml/2009/9/main" objectType="Spin" dx="16" fmlaLink="Actual_month" max="12" min="1" page="10" val="8"/>
</file>

<file path=xl/ctrlProps/ctrlProp45.xml><?xml version="1.0" encoding="utf-8"?>
<formControlPr xmlns="http://schemas.microsoft.com/office/spreadsheetml/2009/9/main" objectType="Spin" dx="16" fmlaLink="Actual_month" max="12" min="1" page="10" val="8"/>
</file>

<file path=xl/ctrlProps/ctrlProp46.xml><?xml version="1.0" encoding="utf-8"?>
<formControlPr xmlns="http://schemas.microsoft.com/office/spreadsheetml/2009/9/main" objectType="Spin" dx="16" fmlaLink="Actual_month" max="12" min="1" page="10" val="8"/>
</file>

<file path=xl/ctrlProps/ctrlProp47.xml><?xml version="1.0" encoding="utf-8"?>
<formControlPr xmlns="http://schemas.microsoft.com/office/spreadsheetml/2009/9/main" objectType="Spin" dx="16" fmlaLink="Actual_month" max="12" min="1" page="10" val="8"/>
</file>

<file path=xl/ctrlProps/ctrlProp48.xml><?xml version="1.0" encoding="utf-8"?>
<formControlPr xmlns="http://schemas.microsoft.com/office/spreadsheetml/2009/9/main" objectType="Spin" dx="16" fmlaLink="Actual_month" max="12" min="1" page="10" val="8"/>
</file>

<file path=xl/ctrlProps/ctrlProp49.xml><?xml version="1.0" encoding="utf-8"?>
<formControlPr xmlns="http://schemas.microsoft.com/office/spreadsheetml/2009/9/main" objectType="Spin" dx="16" fmlaLink="Actual_month" max="12" min="1" page="10" val="8"/>
</file>

<file path=xl/ctrlProps/ctrlProp50.xml><?xml version="1.0" encoding="utf-8"?>
<formControlPr xmlns="http://schemas.microsoft.com/office/spreadsheetml/2009/9/main" objectType="Spin" dx="16" fmlaLink="Actual_month" max="12" min="1" page="10" val="8"/>
</file>

<file path=xl/ctrlProps/ctrlProp51.xml><?xml version="1.0" encoding="utf-8"?>
<formControlPr xmlns="http://schemas.microsoft.com/office/spreadsheetml/2009/9/main" objectType="Spin" dx="16" fmlaLink="Actual_month" max="12" min="1" page="10" val="8"/>
</file>

<file path=xl/ctrlProps/ctrlProp52.xml><?xml version="1.0" encoding="utf-8"?>
<formControlPr xmlns="http://schemas.microsoft.com/office/spreadsheetml/2009/9/main" objectType="Spin" dx="16" fmlaLink="Actual_month" max="12" min="1" page="10" val="8"/>
</file>

<file path=xl/ctrlProps/ctrlProp53.xml><?xml version="1.0" encoding="utf-8"?>
<formControlPr xmlns="http://schemas.microsoft.com/office/spreadsheetml/2009/9/main" objectType="Spin" dx="16" fmlaLink="Actual_month" max="12" min="1" page="10" val="8"/>
</file>

<file path=xl/ctrlProps/ctrlProp54.xml><?xml version="1.0" encoding="utf-8"?>
<formControlPr xmlns="http://schemas.microsoft.com/office/spreadsheetml/2009/9/main" objectType="Spin" dx="16" fmlaLink="Actual_month" max="12" min="1" page="10" val="8"/>
</file>

<file path=xl/ctrlProps/ctrlProp55.xml><?xml version="1.0" encoding="utf-8"?>
<formControlPr xmlns="http://schemas.microsoft.com/office/spreadsheetml/2009/9/main" objectType="Spin" dx="16" fmlaLink="Actual_month" max="12" min="1" page="10" val="8"/>
</file>

<file path=xl/ctrlProps/ctrlProp56.xml><?xml version="1.0" encoding="utf-8"?>
<formControlPr xmlns="http://schemas.microsoft.com/office/spreadsheetml/2009/9/main" objectType="Spin" dx="16" fmlaLink="Actual_month" max="12" min="1" page="10" val="8"/>
</file>

<file path=xl/ctrlProps/ctrlProp57.xml><?xml version="1.0" encoding="utf-8"?>
<formControlPr xmlns="http://schemas.microsoft.com/office/spreadsheetml/2009/9/main" objectType="Spin" dx="16" fmlaLink="Actual_month" max="12" min="1" page="10" val="8"/>
</file>

<file path=xl/ctrlProps/ctrlProp58.xml><?xml version="1.0" encoding="utf-8"?>
<formControlPr xmlns="http://schemas.microsoft.com/office/spreadsheetml/2009/9/main" objectType="Spin" dx="16" fmlaLink="Actual_month" max="12" min="1" page="10" val="8"/>
</file>

<file path=xl/ctrlProps/ctrlProp59.xml><?xml version="1.0" encoding="utf-8"?>
<formControlPr xmlns="http://schemas.microsoft.com/office/spreadsheetml/2009/9/main" objectType="Spin" dx="16" fmlaLink="Actual_month" max="12" min="1" page="10" val="8"/>
</file>

<file path=xl/ctrlProps/ctrlProp60.xml><?xml version="1.0" encoding="utf-8"?>
<formControlPr xmlns="http://schemas.microsoft.com/office/spreadsheetml/2009/9/main" objectType="Spin" dx="16" fmlaLink="Actual_month" max="12" min="1" page="10" val="8"/>
</file>

<file path=xl/ctrlProps/ctrlProp61.xml><?xml version="1.0" encoding="utf-8"?>
<formControlPr xmlns="http://schemas.microsoft.com/office/spreadsheetml/2009/9/main" objectType="Spin" dx="16" fmlaLink="Actual_month" max="12" min="1" page="10" val="8"/>
</file>

<file path=xl/ctrlProps/ctrlProp62.xml><?xml version="1.0" encoding="utf-8"?>
<formControlPr xmlns="http://schemas.microsoft.com/office/spreadsheetml/2009/9/main" objectType="Spin" dx="16" fmlaLink="Actual_month" max="12" min="1" page="10" val="8"/>
</file>

<file path=xl/ctrlProps/ctrlProp63.xml><?xml version="1.0" encoding="utf-8"?>
<formControlPr xmlns="http://schemas.microsoft.com/office/spreadsheetml/2009/9/main" objectType="Spin" dx="16" fmlaLink="Actual_month" max="12" min="1" page="10" val="8"/>
</file>

<file path=xl/ctrlProps/ctrlProp64.xml><?xml version="1.0" encoding="utf-8"?>
<formControlPr xmlns="http://schemas.microsoft.com/office/spreadsheetml/2009/9/main" objectType="Spin" dx="16" fmlaLink="Actual_month" max="12" min="1" page="10" val="8"/>
</file>

<file path=xl/ctrlProps/ctrlProp65.xml><?xml version="1.0" encoding="utf-8"?>
<formControlPr xmlns="http://schemas.microsoft.com/office/spreadsheetml/2009/9/main" objectType="Spin" dx="16" fmlaLink="Actual_month" max="12" min="1" page="10" val="8"/>
</file>

<file path=xl/ctrlProps/ctrlProp66.xml><?xml version="1.0" encoding="utf-8"?>
<formControlPr xmlns="http://schemas.microsoft.com/office/spreadsheetml/2009/9/main" objectType="Spin" dx="16" fmlaLink="Actual_month" max="12" min="1" page="10" val="8"/>
</file>

<file path=xl/ctrlProps/ctrlProp67.xml><?xml version="1.0" encoding="utf-8"?>
<formControlPr xmlns="http://schemas.microsoft.com/office/spreadsheetml/2009/9/main" objectType="Spin" dx="16" fmlaLink="Actual_month" max="12" min="1" page="10" val="8"/>
</file>

<file path=xl/ctrlProps/ctrlProp68.xml><?xml version="1.0" encoding="utf-8"?>
<formControlPr xmlns="http://schemas.microsoft.com/office/spreadsheetml/2009/9/main" objectType="Spin" dx="16" fmlaLink="Actual_month" max="12" min="1" page="10" val="8"/>
</file>

<file path=xl/ctrlProps/ctrlProp69.xml><?xml version="1.0" encoding="utf-8"?>
<formControlPr xmlns="http://schemas.microsoft.com/office/spreadsheetml/2009/9/main" objectType="Spin" dx="16" fmlaLink="Actual_month" max="12" min="1" page="10" val="8"/>
</file>

<file path=xl/ctrlProps/ctrlProp70.xml><?xml version="1.0" encoding="utf-8"?>
<formControlPr xmlns="http://schemas.microsoft.com/office/spreadsheetml/2009/9/main" objectType="Spin" dx="16" fmlaLink="Actual_month" max="12" min="1" page="10" val="8"/>
</file>

<file path=xl/ctrlProps/ctrlProp71.xml><?xml version="1.0" encoding="utf-8"?>
<formControlPr xmlns="http://schemas.microsoft.com/office/spreadsheetml/2009/9/main" objectType="Spin" dx="16" fmlaLink="Actual_month" max="12" min="1" page="10" val="8"/>
</file>

<file path=xl/ctrlProps/ctrlProp72.xml><?xml version="1.0" encoding="utf-8"?>
<formControlPr xmlns="http://schemas.microsoft.com/office/spreadsheetml/2009/9/main" objectType="Spin" dx="16" fmlaLink="Actual_month" max="12" min="1" page="10" val="8"/>
</file>

<file path=xl/ctrlProps/ctrlProp73.xml><?xml version="1.0" encoding="utf-8"?>
<formControlPr xmlns="http://schemas.microsoft.com/office/spreadsheetml/2009/9/main" objectType="Spin" dx="16" fmlaLink="Actual_month" max="12" min="1" page="10" val="8"/>
</file>

<file path=xl/ctrlProps/ctrlProp74.xml><?xml version="1.0" encoding="utf-8"?>
<formControlPr xmlns="http://schemas.microsoft.com/office/spreadsheetml/2009/9/main" objectType="Spin" dx="16" fmlaLink="Actual_month" max="12" min="1" page="10" val="8"/>
</file>

<file path=xl/ctrlProps/ctrlProp75.xml><?xml version="1.0" encoding="utf-8"?>
<formControlPr xmlns="http://schemas.microsoft.com/office/spreadsheetml/2009/9/main" objectType="Spin" dx="16" fmlaLink="Actual_month" max="12" min="1" page="10" val="8"/>
</file>

<file path=xl/ctrlProps/ctrlProp76.xml><?xml version="1.0" encoding="utf-8"?>
<formControlPr xmlns="http://schemas.microsoft.com/office/spreadsheetml/2009/9/main" objectType="Spin" dx="16" fmlaLink="Actual_month" max="12" min="1" page="10" val="8"/>
</file>

<file path=xl/ctrlProps/ctrlProp77.xml><?xml version="1.0" encoding="utf-8"?>
<formControlPr xmlns="http://schemas.microsoft.com/office/spreadsheetml/2009/9/main" objectType="Spin" dx="16" fmlaLink="Actual_month" max="12" min="1" page="10" val="8"/>
</file>

<file path=xl/ctrlProps/ctrlProp78.xml><?xml version="1.0" encoding="utf-8"?>
<formControlPr xmlns="http://schemas.microsoft.com/office/spreadsheetml/2009/9/main" objectType="Spin" dx="16" fmlaLink="Actual_month" max="12" min="1" page="10" val="8"/>
</file>

<file path=xl/ctrlProps/ctrlProp79.xml><?xml version="1.0" encoding="utf-8"?>
<formControlPr xmlns="http://schemas.microsoft.com/office/spreadsheetml/2009/9/main" objectType="Spin" dx="16" fmlaLink="Actual_month" max="12" min="1" page="10" val="8"/>
</file>

<file path=xl/ctrlProps/ctrlProp80.xml><?xml version="1.0" encoding="utf-8"?>
<formControlPr xmlns="http://schemas.microsoft.com/office/spreadsheetml/2009/9/main" objectType="Spin" dx="16" fmlaLink="Actual_month" max="12" min="1" page="10" val="8"/>
</file>

<file path=xl/ctrlProps/ctrlProp81.xml><?xml version="1.0" encoding="utf-8"?>
<formControlPr xmlns="http://schemas.microsoft.com/office/spreadsheetml/2009/9/main" objectType="Spin" dx="16" fmlaLink="Actual_month" max="12" min="1" page="10" val="8"/>
</file>

<file path=xl/ctrlProps/ctrlProp82.xml><?xml version="1.0" encoding="utf-8"?>
<formControlPr xmlns="http://schemas.microsoft.com/office/spreadsheetml/2009/9/main" objectType="Spin" dx="16" fmlaLink="Actual_month" max="12" min="1" page="10" val="8"/>
</file>

<file path=xl/ctrlProps/ctrlProp83.xml><?xml version="1.0" encoding="utf-8"?>
<formControlPr xmlns="http://schemas.microsoft.com/office/spreadsheetml/2009/9/main" objectType="Spin" dx="16" fmlaLink="Actual_month" max="12" min="1" page="10" val="8"/>
</file>

<file path=xl/ctrlProps/ctrlProp84.xml><?xml version="1.0" encoding="utf-8"?>
<formControlPr xmlns="http://schemas.microsoft.com/office/spreadsheetml/2009/9/main" objectType="Spin" dx="16" fmlaLink="Actual_month" max="12" min="1" page="10" val="8"/>
</file>

<file path=xl/ctrlProps/ctrlProp85.xml><?xml version="1.0" encoding="utf-8"?>
<formControlPr xmlns="http://schemas.microsoft.com/office/spreadsheetml/2009/9/main" objectType="Spin" dx="16" fmlaLink="Actual_month" max="12" min="1" page="10" val="8"/>
</file>

<file path=xl/ctrlProps/ctrlProp86.xml><?xml version="1.0" encoding="utf-8"?>
<formControlPr xmlns="http://schemas.microsoft.com/office/spreadsheetml/2009/9/main" objectType="Spin" dx="16" fmlaLink="Actual_month" max="12" min="1" page="10" val="8"/>
</file>

<file path=xl/ctrlProps/ctrlProp87.xml><?xml version="1.0" encoding="utf-8"?>
<formControlPr xmlns="http://schemas.microsoft.com/office/spreadsheetml/2009/9/main" objectType="Spin" dx="16" fmlaLink="Actual_month" max="12" min="1" page="10" val="8"/>
</file>

<file path=xl/ctrlProps/ctrlProp88.xml><?xml version="1.0" encoding="utf-8"?>
<formControlPr xmlns="http://schemas.microsoft.com/office/spreadsheetml/2009/9/main" objectType="Spin" dx="16" fmlaLink="Actual_month" max="12" min="1" page="10" val="8"/>
</file>

<file path=xl/ctrlProps/ctrlProp89.xml><?xml version="1.0" encoding="utf-8"?>
<formControlPr xmlns="http://schemas.microsoft.com/office/spreadsheetml/2009/9/main" objectType="Spin" dx="16" fmlaLink="Actual_month" max="12" min="1" page="10" val="8"/>
</file>

<file path=xl/ctrlProps/ctrlProp90.xml><?xml version="1.0" encoding="utf-8"?>
<formControlPr xmlns="http://schemas.microsoft.com/office/spreadsheetml/2009/9/main" objectType="Spin" dx="16" fmlaLink="Actual_month" max="12" min="1" page="10" val="8"/>
</file>

<file path=xl/ctrlProps/ctrlProp91.xml><?xml version="1.0" encoding="utf-8"?>
<formControlPr xmlns="http://schemas.microsoft.com/office/spreadsheetml/2009/9/main" objectType="Spin" dx="16" fmlaLink="Actual_month" max="12" min="1" page="10" val="8"/>
</file>

<file path=xl/ctrlProps/ctrlProp92.xml><?xml version="1.0" encoding="utf-8"?>
<formControlPr xmlns="http://schemas.microsoft.com/office/spreadsheetml/2009/9/main" objectType="Spin" dx="16" fmlaLink="Actual_month" max="12" min="1" page="10" val="8"/>
</file>

<file path=xl/ctrlProps/ctrlProp93.xml><?xml version="1.0" encoding="utf-8"?>
<formControlPr xmlns="http://schemas.microsoft.com/office/spreadsheetml/2009/9/main" objectType="Spin" dx="16" fmlaLink="Actual_month" max="12" min="1" page="10" val="8"/>
</file>

<file path=xl/ctrlProps/ctrlProp94.xml><?xml version="1.0" encoding="utf-8"?>
<formControlPr xmlns="http://schemas.microsoft.com/office/spreadsheetml/2009/9/main" objectType="Spin" dx="16" fmlaLink="Actual_month" max="12" min="1" page="10" val="8"/>
</file>

<file path=xl/ctrlProps/ctrlProp95.xml><?xml version="1.0" encoding="utf-8"?>
<formControlPr xmlns="http://schemas.microsoft.com/office/spreadsheetml/2009/9/main" objectType="Spin" dx="16" fmlaLink="Actual_month" max="12" min="1" page="10" val="8"/>
</file>

<file path=xl/ctrlProps/ctrlProp96.xml><?xml version="1.0" encoding="utf-8"?>
<formControlPr xmlns="http://schemas.microsoft.com/office/spreadsheetml/2009/9/main" objectType="Spin" dx="16" fmlaLink="Actual_month" max="12" min="1" page="10" val="8"/>
</file>

<file path=xl/ctrlProps/ctrlProp97.xml><?xml version="1.0" encoding="utf-8"?>
<formControlPr xmlns="http://schemas.microsoft.com/office/spreadsheetml/2009/9/main" objectType="Spin" dx="16" fmlaLink="Actual_month" max="12" min="1" page="10" val="8"/>
</file>

<file path=xl/ctrlProps/ctrlProp98.xml><?xml version="1.0" encoding="utf-8"?>
<formControlPr xmlns="http://schemas.microsoft.com/office/spreadsheetml/2009/9/main" objectType="Spin" dx="16" fmlaLink="Actual_month" max="12" min="1" page="10" val="8"/>
</file>

<file path=xl/ctrlProps/ctrlProp99.xml><?xml version="1.0" encoding="utf-8"?>
<formControlPr xmlns="http://schemas.microsoft.com/office/spreadsheetml/2009/9/main" objectType="Spin" dx="16" fmlaLink="Actual_month" max="12" min="1" page="10" val="8"/>
</file>

<file path=xl/ctrlProps/ctrlProp100.xml><?xml version="1.0" encoding="utf-8"?>
<formControlPr xmlns="http://schemas.microsoft.com/office/spreadsheetml/2009/9/main" objectType="Spin" dx="16" fmlaLink="Actual_month" max="12" min="1" page="10" val="8"/>
</file>

<file path=xl/ctrlProps/ctrlProp101.xml><?xml version="1.0" encoding="utf-8"?>
<formControlPr xmlns="http://schemas.microsoft.com/office/spreadsheetml/2009/9/main" objectType="Spin" dx="16" fmlaLink="Actual_month" max="12" min="1" page="10" val="8"/>
</file>

<file path=xl/ctrlProps/ctrlProp102.xml><?xml version="1.0" encoding="utf-8"?>
<formControlPr xmlns="http://schemas.microsoft.com/office/spreadsheetml/2009/9/main" objectType="Spin" dx="16" fmlaLink="Actual_month" max="12" min="1" page="10" val="8"/>
</file>

<file path=xl/ctrlProps/ctrlProp103.xml><?xml version="1.0" encoding="utf-8"?>
<formControlPr xmlns="http://schemas.microsoft.com/office/spreadsheetml/2009/9/main" objectType="Spin" dx="16" fmlaLink="Actual_month" max="12" min="1" page="10" val="8"/>
</file>

<file path=xl/ctrlProps/ctrlProp104.xml><?xml version="1.0" encoding="utf-8"?>
<formControlPr xmlns="http://schemas.microsoft.com/office/spreadsheetml/2009/9/main" objectType="Spin" dx="16" fmlaLink="Actual_month" max="12" min="1" page="10" val="8"/>
</file>

<file path=xl/ctrlProps/ctrlProp105.xml><?xml version="1.0" encoding="utf-8"?>
<formControlPr xmlns="http://schemas.microsoft.com/office/spreadsheetml/2009/9/main" objectType="Spin" dx="16" fmlaLink="Actual_month" max="12" min="1" page="10" val="8"/>
</file>

<file path=xl/ctrlProps/ctrlProp106.xml><?xml version="1.0" encoding="utf-8"?>
<formControlPr xmlns="http://schemas.microsoft.com/office/spreadsheetml/2009/9/main" objectType="Spin" dx="16" fmlaLink="Actual_month" max="12" min="1" page="10" val="8"/>
</file>

<file path=xl/ctrlProps/ctrlProp107.xml><?xml version="1.0" encoding="utf-8"?>
<formControlPr xmlns="http://schemas.microsoft.com/office/spreadsheetml/2009/9/main" objectType="Spin" dx="16" fmlaLink="Actual_month" max="12" min="1" page="10" val="8"/>
</file>

<file path=xl/ctrlProps/ctrlProp108.xml><?xml version="1.0" encoding="utf-8"?>
<formControlPr xmlns="http://schemas.microsoft.com/office/spreadsheetml/2009/9/main" objectType="Spin" dx="16" fmlaLink="Actual_month" max="12" min="1" page="10" val="8"/>
</file>

<file path=xl/ctrlProps/ctrlProp109.xml><?xml version="1.0" encoding="utf-8"?>
<formControlPr xmlns="http://schemas.microsoft.com/office/spreadsheetml/2009/9/main" objectType="Spin" dx="16" fmlaLink="Actual_month" max="12" min="1" page="10" val="8"/>
</file>

<file path=xl/ctrlProps/ctrlProp110.xml><?xml version="1.0" encoding="utf-8"?>
<formControlPr xmlns="http://schemas.microsoft.com/office/spreadsheetml/2009/9/main" objectType="Spin" dx="16" fmlaLink="Actual_month" max="12" min="1" page="10" val="8"/>
</file>

<file path=xl/ctrlProps/ctrlProp111.xml><?xml version="1.0" encoding="utf-8"?>
<formControlPr xmlns="http://schemas.microsoft.com/office/spreadsheetml/2009/9/main" objectType="Spin" dx="16" fmlaLink="Actual_month" max="12" min="1" page="10" val="8"/>
</file>

<file path=xl/ctrlProps/ctrlProp112.xml><?xml version="1.0" encoding="utf-8"?>
<formControlPr xmlns="http://schemas.microsoft.com/office/spreadsheetml/2009/9/main" objectType="Spin" dx="16" fmlaLink="Actual_month" max="12" min="1" page="10" val="8"/>
</file>

<file path=xl/ctrlProps/ctrlProp113.xml><?xml version="1.0" encoding="utf-8"?>
<formControlPr xmlns="http://schemas.microsoft.com/office/spreadsheetml/2009/9/main" objectType="Spin" dx="16" fmlaLink="Actual_month" max="12" min="1" page="10" val="8"/>
</file>

<file path=xl/ctrlProps/ctrlProp114.xml><?xml version="1.0" encoding="utf-8"?>
<formControlPr xmlns="http://schemas.microsoft.com/office/spreadsheetml/2009/9/main" objectType="Spin" dx="16" fmlaLink="Actual_month" max="12" min="1" page="10" val="8"/>
</file>

<file path=xl/ctrlProps/ctrlProp115.xml><?xml version="1.0" encoding="utf-8"?>
<formControlPr xmlns="http://schemas.microsoft.com/office/spreadsheetml/2009/9/main" objectType="Spin" dx="16" fmlaLink="Actual_month" max="12" min="1" page="10" val="8"/>
</file>

<file path=xl/ctrlProps/ctrlProp116.xml><?xml version="1.0" encoding="utf-8"?>
<formControlPr xmlns="http://schemas.microsoft.com/office/spreadsheetml/2009/9/main" objectType="Spin" dx="16" fmlaLink="Actual_month" max="12" min="1" page="10" val="8"/>
</file>

<file path=xl/ctrlProps/ctrlProp117.xml><?xml version="1.0" encoding="utf-8"?>
<formControlPr xmlns="http://schemas.microsoft.com/office/spreadsheetml/2009/9/main" objectType="Spin" dx="16" fmlaLink="Actual_month" max="12" min="1" page="10" val="8"/>
</file>

<file path=xl/ctrlProps/ctrlProp118.xml><?xml version="1.0" encoding="utf-8"?>
<formControlPr xmlns="http://schemas.microsoft.com/office/spreadsheetml/2009/9/main" objectType="Spin" dx="16" fmlaLink="Actual_month" max="12" min="1" page="10" val="8"/>
</file>

<file path=xl/ctrlProps/ctrlProp119.xml><?xml version="1.0" encoding="utf-8"?>
<formControlPr xmlns="http://schemas.microsoft.com/office/spreadsheetml/2009/9/main" objectType="Spin" dx="16" fmlaLink="Actual_month" max="12" min="1" page="10" val="8"/>
</file>

<file path=xl/ctrlProps/ctrlProp120.xml><?xml version="1.0" encoding="utf-8"?>
<formControlPr xmlns="http://schemas.microsoft.com/office/spreadsheetml/2009/9/main" objectType="Spin" dx="16" fmlaLink="Actual_month" max="12" min="1" page="10" val="8"/>
</file>

<file path=xl/ctrlProps/ctrlProp121.xml><?xml version="1.0" encoding="utf-8"?>
<formControlPr xmlns="http://schemas.microsoft.com/office/spreadsheetml/2009/9/main" objectType="Spin" dx="16" fmlaLink="Actual_month" max="12" min="1" page="10" val="8"/>
</file>

<file path=xl/ctrlProps/ctrlProp122.xml><?xml version="1.0" encoding="utf-8"?>
<formControlPr xmlns="http://schemas.microsoft.com/office/spreadsheetml/2009/9/main" objectType="Spin" dx="16" fmlaLink="Actual_month" max="12" min="1" page="10" val="8"/>
</file>

<file path=xl/ctrlProps/ctrlProp123.xml><?xml version="1.0" encoding="utf-8"?>
<formControlPr xmlns="http://schemas.microsoft.com/office/spreadsheetml/2009/9/main" objectType="Spin" dx="16" fmlaLink="Actual_month" max="12" min="1" page="10" val="8"/>
</file>

<file path=xl/ctrlProps/ctrlProp124.xml><?xml version="1.0" encoding="utf-8"?>
<formControlPr xmlns="http://schemas.microsoft.com/office/spreadsheetml/2009/9/main" objectType="Spin" dx="16" fmlaLink="Actual_month" max="12" min="1" page="10" val="8"/>
</file>

<file path=xl/ctrlProps/ctrlProp125.xml><?xml version="1.0" encoding="utf-8"?>
<formControlPr xmlns="http://schemas.microsoft.com/office/spreadsheetml/2009/9/main" objectType="Spin" dx="16" fmlaLink="Actual_month" max="12" min="1" page="10" val="8"/>
</file>

<file path=xl/ctrlProps/ctrlProp126.xml><?xml version="1.0" encoding="utf-8"?>
<formControlPr xmlns="http://schemas.microsoft.com/office/spreadsheetml/2009/9/main" objectType="Spin" dx="16" fmlaLink="Actual_month" max="12" min="1" page="10" val="8"/>
</file>

<file path=xl/ctrlProps/ctrlProp127.xml><?xml version="1.0" encoding="utf-8"?>
<formControlPr xmlns="http://schemas.microsoft.com/office/spreadsheetml/2009/9/main" objectType="Spin" dx="16" fmlaLink="Actual_month" max="12" min="1" page="10" val="8"/>
</file>

<file path=xl/ctrlProps/ctrlProp128.xml><?xml version="1.0" encoding="utf-8"?>
<formControlPr xmlns="http://schemas.microsoft.com/office/spreadsheetml/2009/9/main" objectType="Spin" dx="16" fmlaLink="Actual_month" max="12" min="1" page="10" val="8"/>
</file>

<file path=xl/ctrlProps/ctrlProp129.xml><?xml version="1.0" encoding="utf-8"?>
<formControlPr xmlns="http://schemas.microsoft.com/office/spreadsheetml/2009/9/main" objectType="Spin" dx="16" fmlaLink="Actual_month" max="12" min="1" page="10" val="8"/>
</file>

<file path=xl/ctrlProps/ctrlProp130.xml><?xml version="1.0" encoding="utf-8"?>
<formControlPr xmlns="http://schemas.microsoft.com/office/spreadsheetml/2009/9/main" objectType="Spin" dx="16" fmlaLink="Actual_month" max="12" min="1" page="10" val="8"/>
</file>

<file path=xl/ctrlProps/ctrlProp131.xml><?xml version="1.0" encoding="utf-8"?>
<formControlPr xmlns="http://schemas.microsoft.com/office/spreadsheetml/2009/9/main" objectType="Spin" dx="16" fmlaLink="Actual_month" max="12" min="1" page="10" val="8"/>
</file>

<file path=xl/ctrlProps/ctrlProp132.xml><?xml version="1.0" encoding="utf-8"?>
<formControlPr xmlns="http://schemas.microsoft.com/office/spreadsheetml/2009/9/main" objectType="Spin" dx="16" fmlaLink="Actual_month" max="12" min="1" page="10" val="8"/>
</file>

<file path=xl/ctrlProps/ctrlProp133.xml><?xml version="1.0" encoding="utf-8"?>
<formControlPr xmlns="http://schemas.microsoft.com/office/spreadsheetml/2009/9/main" objectType="Spin" dx="16" fmlaLink="Actual_month" max="12" min="1" page="10" val="8"/>
</file>

<file path=xl/ctrlProps/ctrlProp134.xml><?xml version="1.0" encoding="utf-8"?>
<formControlPr xmlns="http://schemas.microsoft.com/office/spreadsheetml/2009/9/main" objectType="Spin" dx="16" fmlaLink="Actual_month" max="12" min="1" page="10" val="8"/>
</file>

<file path=xl/ctrlProps/ctrlProp135.xml><?xml version="1.0" encoding="utf-8"?>
<formControlPr xmlns="http://schemas.microsoft.com/office/spreadsheetml/2009/9/main" objectType="Spin" dx="16" fmlaLink="Actual_month" max="12" min="1" page="10" val="8"/>
</file>

<file path=xl/ctrlProps/ctrlProp136.xml><?xml version="1.0" encoding="utf-8"?>
<formControlPr xmlns="http://schemas.microsoft.com/office/spreadsheetml/2009/9/main" objectType="Spin" dx="16" fmlaLink="Actual_month" max="12" min="1" page="10" val="8"/>
</file>

<file path=xl/ctrlProps/ctrlProp137.xml><?xml version="1.0" encoding="utf-8"?>
<formControlPr xmlns="http://schemas.microsoft.com/office/spreadsheetml/2009/9/main" objectType="Spin" dx="16" fmlaLink="Actual_month" max="12" min="1" page="10" val="8"/>
</file>

<file path=xl/ctrlProps/ctrlProp138.xml><?xml version="1.0" encoding="utf-8"?>
<formControlPr xmlns="http://schemas.microsoft.com/office/spreadsheetml/2009/9/main" objectType="Spin" dx="16" fmlaLink="Actual_month" max="12" min="1" page="10" val="8"/>
</file>

<file path=xl/ctrlProps/ctrlProp139.xml><?xml version="1.0" encoding="utf-8"?>
<formControlPr xmlns="http://schemas.microsoft.com/office/spreadsheetml/2009/9/main" objectType="Spin" dx="16" fmlaLink="Actual_month" max="12" min="1" page="10" val="8"/>
</file>

<file path=xl/ctrlProps/ctrlProp140.xml><?xml version="1.0" encoding="utf-8"?>
<formControlPr xmlns="http://schemas.microsoft.com/office/spreadsheetml/2009/9/main" objectType="Spin" dx="16" fmlaLink="Actual_month" max="12" min="1" page="10" val="8"/>
</file>

<file path=xl/ctrlProps/ctrlProp141.xml><?xml version="1.0" encoding="utf-8"?>
<formControlPr xmlns="http://schemas.microsoft.com/office/spreadsheetml/2009/9/main" objectType="Spin" dx="16" fmlaLink="Actual_month" max="12" min="1" page="10" val="8"/>
</file>

<file path=xl/ctrlProps/ctrlProp142.xml><?xml version="1.0" encoding="utf-8"?>
<formControlPr xmlns="http://schemas.microsoft.com/office/spreadsheetml/2009/9/main" objectType="Spin" dx="16" fmlaLink="Actual_month" max="12" min="1" page="10" val="8"/>
</file>

<file path=xl/ctrlProps/ctrlProp143.xml><?xml version="1.0" encoding="utf-8"?>
<formControlPr xmlns="http://schemas.microsoft.com/office/spreadsheetml/2009/9/main" objectType="Spin" dx="16" fmlaLink="Actual_month" max="12" min="1" page="10" val="8"/>
</file>

<file path=xl/ctrlProps/ctrlProp144.xml><?xml version="1.0" encoding="utf-8"?>
<formControlPr xmlns="http://schemas.microsoft.com/office/spreadsheetml/2009/9/main" objectType="Spin" dx="16" fmlaLink="Actual_month" max="12" min="1" page="10" val="8"/>
</file>

<file path=xl/ctrlProps/ctrlProp145.xml><?xml version="1.0" encoding="utf-8"?>
<formControlPr xmlns="http://schemas.microsoft.com/office/spreadsheetml/2009/9/main" objectType="Spin" dx="16" fmlaLink="Actual_month" max="12" min="1" page="10" val="8"/>
</file>

<file path=xl/ctrlProps/ctrlProp146.xml><?xml version="1.0" encoding="utf-8"?>
<formControlPr xmlns="http://schemas.microsoft.com/office/spreadsheetml/2009/9/main" objectType="Spin" dx="16" fmlaLink="Actual_month" max="12" min="1" page="10" val="8"/>
</file>

<file path=xl/ctrlProps/ctrlProp147.xml><?xml version="1.0" encoding="utf-8"?>
<formControlPr xmlns="http://schemas.microsoft.com/office/spreadsheetml/2009/9/main" objectType="Spin" dx="16" fmlaLink="Actual_month" max="12" min="1" page="10" val="8"/>
</file>

<file path=xl/ctrlProps/ctrlProp148.xml><?xml version="1.0" encoding="utf-8"?>
<formControlPr xmlns="http://schemas.microsoft.com/office/spreadsheetml/2009/9/main" objectType="Spin" dx="16" fmlaLink="Actual_month" max="12" min="1" page="10" val="8"/>
</file>

<file path=xl/ctrlProps/ctrlProp149.xml><?xml version="1.0" encoding="utf-8"?>
<formControlPr xmlns="http://schemas.microsoft.com/office/spreadsheetml/2009/9/main" objectType="Spin" dx="16" fmlaLink="Actual_month" max="12" min="1" page="10" val="8"/>
</file>

<file path=xl/ctrlProps/ctrlProp150.xml><?xml version="1.0" encoding="utf-8"?>
<formControlPr xmlns="http://schemas.microsoft.com/office/spreadsheetml/2009/9/main" objectType="Spin" dx="16" fmlaLink="Actual_month" max="12" min="1" page="10" val="8"/>
</file>

<file path=xl/ctrlProps/ctrlProp151.xml><?xml version="1.0" encoding="utf-8"?>
<formControlPr xmlns="http://schemas.microsoft.com/office/spreadsheetml/2009/9/main" objectType="Spin" dx="16" fmlaLink="Actual_month" max="12" min="1" page="10" val="8"/>
</file>

<file path=xl/ctrlProps/ctrlProp152.xml><?xml version="1.0" encoding="utf-8"?>
<formControlPr xmlns="http://schemas.microsoft.com/office/spreadsheetml/2009/9/main" objectType="Spin" dx="16" fmlaLink="Actual_month" max="12" min="1" page="10" val="8"/>
</file>

<file path=xl/ctrlProps/ctrlProp153.xml><?xml version="1.0" encoding="utf-8"?>
<formControlPr xmlns="http://schemas.microsoft.com/office/spreadsheetml/2009/9/main" objectType="Spin" dx="16" fmlaLink="Actual_month" max="12" min="1" page="10" val="8"/>
</file>

<file path=xl/ctrlProps/ctrlProp154.xml><?xml version="1.0" encoding="utf-8"?>
<formControlPr xmlns="http://schemas.microsoft.com/office/spreadsheetml/2009/9/main" objectType="Spin" dx="16" fmlaLink="Actual_month" max="12" min="1" page="10" val="8"/>
</file>

<file path=xl/ctrlProps/ctrlProp155.xml><?xml version="1.0" encoding="utf-8"?>
<formControlPr xmlns="http://schemas.microsoft.com/office/spreadsheetml/2009/9/main" objectType="Spin" dx="16" fmlaLink="Actual_month" max="12" min="1" page="10" val="8"/>
</file>

<file path=xl/ctrlProps/ctrlProp156.xml><?xml version="1.0" encoding="utf-8"?>
<formControlPr xmlns="http://schemas.microsoft.com/office/spreadsheetml/2009/9/main" objectType="Spin" dx="16" fmlaLink="Actual_month" max="12" min="1" page="10" val="8"/>
</file>

<file path=xl/ctrlProps/ctrlProp157.xml><?xml version="1.0" encoding="utf-8"?>
<formControlPr xmlns="http://schemas.microsoft.com/office/spreadsheetml/2009/9/main" objectType="Spin" dx="16" fmlaLink="Actual_month" max="12" min="1" page="10" val="8"/>
</file>

<file path=xl/ctrlProps/ctrlProp158.xml><?xml version="1.0" encoding="utf-8"?>
<formControlPr xmlns="http://schemas.microsoft.com/office/spreadsheetml/2009/9/main" objectType="Spin" dx="16" fmlaLink="Actual_month" max="12" min="1" page="10" val="8"/>
</file>

<file path=xl/ctrlProps/ctrlProp159.xml><?xml version="1.0" encoding="utf-8"?>
<formControlPr xmlns="http://schemas.microsoft.com/office/spreadsheetml/2009/9/main" objectType="Spin" dx="16" fmlaLink="Actual_month" max="12" min="1" page="10" val="8"/>
</file>

<file path=xl/ctrlProps/ctrlProp160.xml><?xml version="1.0" encoding="utf-8"?>
<formControlPr xmlns="http://schemas.microsoft.com/office/spreadsheetml/2009/9/main" objectType="Spin" dx="16" fmlaLink="Actual_month" max="12" min="1" page="10" val="8"/>
</file>

<file path=xl/ctrlProps/ctrlProp161.xml><?xml version="1.0" encoding="utf-8"?>
<formControlPr xmlns="http://schemas.microsoft.com/office/spreadsheetml/2009/9/main" objectType="Spin" dx="16" fmlaLink="Actual_month" max="12" min="1" page="10" val="8"/>
</file>

<file path=xl/ctrlProps/ctrlProp162.xml><?xml version="1.0" encoding="utf-8"?>
<formControlPr xmlns="http://schemas.microsoft.com/office/spreadsheetml/2009/9/main" objectType="Spin" dx="16" fmlaLink="Actual_month" max="12" min="1" page="10" val="8"/>
</file>

<file path=xl/ctrlProps/ctrlProp163.xml><?xml version="1.0" encoding="utf-8"?>
<formControlPr xmlns="http://schemas.microsoft.com/office/spreadsheetml/2009/9/main" objectType="Spin" dx="16" fmlaLink="Actual_month" max="12" min="1" page="10" val="8"/>
</file>

<file path=xl/ctrlProps/ctrlProp164.xml><?xml version="1.0" encoding="utf-8"?>
<formControlPr xmlns="http://schemas.microsoft.com/office/spreadsheetml/2009/9/main" objectType="Spin" dx="16" fmlaLink="Actual_month" max="12" min="1" page="10" val="8"/>
</file>

<file path=xl/ctrlProps/ctrlProp165.xml><?xml version="1.0" encoding="utf-8"?>
<formControlPr xmlns="http://schemas.microsoft.com/office/spreadsheetml/2009/9/main" objectType="Spin" dx="16" fmlaLink="Actual_month" max="12" min="1" page="10" val="8"/>
</file>

<file path=xl/ctrlProps/ctrlProp166.xml><?xml version="1.0" encoding="utf-8"?>
<formControlPr xmlns="http://schemas.microsoft.com/office/spreadsheetml/2009/9/main" objectType="Spin" dx="16" fmlaLink="Actual_month" max="12" min="1" page="10" val="8"/>
</file>

<file path=xl/ctrlProps/ctrlProp167.xml><?xml version="1.0" encoding="utf-8"?>
<formControlPr xmlns="http://schemas.microsoft.com/office/spreadsheetml/2009/9/main" objectType="Spin" dx="16" fmlaLink="Actual_month" max="12" min="1" page="10" val="8"/>
</file>

<file path=xl/ctrlProps/ctrlProp168.xml><?xml version="1.0" encoding="utf-8"?>
<formControlPr xmlns="http://schemas.microsoft.com/office/spreadsheetml/2009/9/main" objectType="Spin" dx="16" fmlaLink="Actual_month" max="12" min="1" page="10" val="8"/>
</file>

<file path=xl/ctrlProps/ctrlProp169.xml><?xml version="1.0" encoding="utf-8"?>
<formControlPr xmlns="http://schemas.microsoft.com/office/spreadsheetml/2009/9/main" objectType="Spin" dx="16" fmlaLink="Actual_month" max="12" min="1" page="10" val="8"/>
</file>

<file path=xl/ctrlProps/ctrlProp170.xml><?xml version="1.0" encoding="utf-8"?>
<formControlPr xmlns="http://schemas.microsoft.com/office/spreadsheetml/2009/9/main" objectType="Spin" dx="16" fmlaLink="Actual_month" max="12" min="1" page="10" val="8"/>
</file>

<file path=xl/ctrlProps/ctrlProp171.xml><?xml version="1.0" encoding="utf-8"?>
<formControlPr xmlns="http://schemas.microsoft.com/office/spreadsheetml/2009/9/main" objectType="Spin" dx="16" fmlaLink="Actual_month" max="12" min="1" page="10" val="8"/>
</file>

<file path=xl/ctrlProps/ctrlProp172.xml><?xml version="1.0" encoding="utf-8"?>
<formControlPr xmlns="http://schemas.microsoft.com/office/spreadsheetml/2009/9/main" objectType="Spin" dx="16" fmlaLink="Actual_month" max="12" min="1" page="10" val="8"/>
</file>

<file path=xl/ctrlProps/ctrlProp173.xml><?xml version="1.0" encoding="utf-8"?>
<formControlPr xmlns="http://schemas.microsoft.com/office/spreadsheetml/2009/9/main" objectType="Spin" dx="16" fmlaLink="Actual_month" max="12" min="1" page="10" val="8"/>
</file>

<file path=xl/ctrlProps/ctrlProp174.xml><?xml version="1.0" encoding="utf-8"?>
<formControlPr xmlns="http://schemas.microsoft.com/office/spreadsheetml/2009/9/main" objectType="Spin" dx="16" fmlaLink="Actual_month" max="12" min="1" page="10" val="8"/>
</file>

<file path=xl/ctrlProps/ctrlProp175.xml><?xml version="1.0" encoding="utf-8"?>
<formControlPr xmlns="http://schemas.microsoft.com/office/spreadsheetml/2009/9/main" objectType="Spin" dx="16" fmlaLink="Actual_month" max="12" min="1" page="10" val="8"/>
</file>

<file path=xl/ctrlProps/ctrlProp176.xml><?xml version="1.0" encoding="utf-8"?>
<formControlPr xmlns="http://schemas.microsoft.com/office/spreadsheetml/2009/9/main" objectType="Spin" dx="16" fmlaLink="Actual_month" max="12" min="1" page="10" val="8"/>
</file>

<file path=xl/ctrlProps/ctrlProp177.xml><?xml version="1.0" encoding="utf-8"?>
<formControlPr xmlns="http://schemas.microsoft.com/office/spreadsheetml/2009/9/main" objectType="Spin" dx="16" fmlaLink="Actual_month" max="12" min="1" page="10" val="8"/>
</file>

<file path=xl/ctrlProps/ctrlProp178.xml><?xml version="1.0" encoding="utf-8"?>
<formControlPr xmlns="http://schemas.microsoft.com/office/spreadsheetml/2009/9/main" objectType="Spin" dx="16" fmlaLink="Actual_month" max="12" min="1" page="10" val="8"/>
</file>

<file path=xl/ctrlProps/ctrlProp179.xml><?xml version="1.0" encoding="utf-8"?>
<formControlPr xmlns="http://schemas.microsoft.com/office/spreadsheetml/2009/9/main" objectType="Spin" dx="16" fmlaLink="Actual_month" max="12" min="1" page="10" val="8"/>
</file>

<file path=xl/ctrlProps/ctrlProp180.xml><?xml version="1.0" encoding="utf-8"?>
<formControlPr xmlns="http://schemas.microsoft.com/office/spreadsheetml/2009/9/main" objectType="Spin" dx="16" fmlaLink="Actual_month" max="12" min="1" page="10" val="8"/>
</file>

<file path=xl/ctrlProps/ctrlProp181.xml><?xml version="1.0" encoding="utf-8"?>
<formControlPr xmlns="http://schemas.microsoft.com/office/spreadsheetml/2009/9/main" objectType="Spin" dx="16" fmlaLink="Actual_month" max="12" min="1" page="10" val="8"/>
</file>

<file path=xl/ctrlProps/ctrlProp182.xml><?xml version="1.0" encoding="utf-8"?>
<formControlPr xmlns="http://schemas.microsoft.com/office/spreadsheetml/2009/9/main" objectType="Spin" dx="16" fmlaLink="Actual_month" max="12" min="1" page="10" val="8"/>
</file>

<file path=xl/ctrlProps/ctrlProp183.xml><?xml version="1.0" encoding="utf-8"?>
<formControlPr xmlns="http://schemas.microsoft.com/office/spreadsheetml/2009/9/main" objectType="Spin" dx="16" fmlaLink="Actual_month" max="12" min="1" page="10" val="8"/>
</file>

<file path=xl/ctrlProps/ctrlProp184.xml><?xml version="1.0" encoding="utf-8"?>
<formControlPr xmlns="http://schemas.microsoft.com/office/spreadsheetml/2009/9/main" objectType="Spin" dx="16" fmlaLink="Actual_month" max="12" min="1" page="10" val="8"/>
</file>

<file path=xl/ctrlProps/ctrlProp185.xml><?xml version="1.0" encoding="utf-8"?>
<formControlPr xmlns="http://schemas.microsoft.com/office/spreadsheetml/2009/9/main" objectType="Spin" dx="16" fmlaLink="Actual_month" max="12" min="1" page="10" val="8"/>
</file>

<file path=xl/ctrlProps/ctrlProp186.xml><?xml version="1.0" encoding="utf-8"?>
<formControlPr xmlns="http://schemas.microsoft.com/office/spreadsheetml/2009/9/main" objectType="Spin" dx="16" fmlaLink="Actual_month" max="12" min="1" page="10" val="8"/>
</file>

<file path=xl/ctrlProps/ctrlProp187.xml><?xml version="1.0" encoding="utf-8"?>
<formControlPr xmlns="http://schemas.microsoft.com/office/spreadsheetml/2009/9/main" objectType="Spin" dx="16" fmlaLink="Actual_month" max="12" min="1" page="10" val="8"/>
</file>

<file path=xl/ctrlProps/ctrlProp188.xml><?xml version="1.0" encoding="utf-8"?>
<formControlPr xmlns="http://schemas.microsoft.com/office/spreadsheetml/2009/9/main" objectType="Spin" dx="16" fmlaLink="Actual_month" max="12" min="1" page="10" val="8"/>
</file>

<file path=xl/ctrlProps/ctrlProp189.xml><?xml version="1.0" encoding="utf-8"?>
<formControlPr xmlns="http://schemas.microsoft.com/office/spreadsheetml/2009/9/main" objectType="Spin" dx="16" fmlaLink="Actual_month" max="12" min="1" page="10" val="8"/>
</file>

<file path=xl/ctrlProps/ctrlProp190.xml><?xml version="1.0" encoding="utf-8"?>
<formControlPr xmlns="http://schemas.microsoft.com/office/spreadsheetml/2009/9/main" objectType="Spin" dx="16" fmlaLink="Actual_month" max="12" min="1" page="10" val="8"/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cid:image008.png@01DAE42F.F989BB80" TargetMode="External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0.xml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1.xml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2.xml"/></Relationships>
</file>

<file path=xl/drawings/_rels/drawing1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3.xml"/></Relationships>
</file>

<file path=xl/drawings/_rels/drawing1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4.xml"/></Relationships>
</file>

<file path=xl/drawings/_rels/drawing1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5.xml"/></Relationships>
</file>

<file path=xl/drawings/_rels/drawing1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6.xml"/></Relationships>
</file>

<file path=xl/drawings/_rels/drawing1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7.xml"/></Relationships>
</file>

<file path=xl/drawings/_rels/drawing1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8.xml"/></Relationships>
</file>

<file path=xl/drawings/_rels/drawing20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9.xml"/></Relationships>
</file>

<file path=xl/drawings/_rels/drawing2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0.xml"/></Relationships>
</file>

<file path=xl/drawings/_rels/drawing2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1.xml"/></Relationships>
</file>

<file path=xl/drawings/_rels/drawing2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2.xml"/></Relationships>
</file>

<file path=xl/drawings/_rels/drawing2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3.xml"/></Relationships>
</file>

<file path=xl/drawings/_rels/drawing2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4.xml"/></Relationships>
</file>

<file path=xl/drawings/_rels/drawing2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5.xml"/></Relationships>
</file>

<file path=xl/drawings/_rels/drawing2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6.xml"/></Relationships>
</file>

<file path=xl/drawings/_rels/drawing2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7.xml"/></Relationships>
</file>

<file path=xl/drawings/_rels/drawing2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8.xml"/></Relationships>
</file>

<file path=xl/drawings/_rels/drawing30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9.xml"/></Relationships>
</file>

<file path=xl/drawings/_rels/drawing3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0.xml"/></Relationships>
</file>

<file path=xl/drawings/_rels/drawing3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1.xml"/></Relationships>
</file>

<file path=xl/drawings/_rels/drawing3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2.xml"/></Relationships>
</file>

<file path=xl/drawings/_rels/drawing3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3.xml"/></Relationships>
</file>

<file path=xl/drawings/_rels/drawing3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4.xml"/></Relationships>
</file>

<file path=xl/drawings/_rels/drawing3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5.xml"/></Relationships>
</file>

<file path=xl/drawings/_rels/drawing3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6.xml"/></Relationships>
</file>

<file path=xl/drawings/_rels/drawing3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7.xml"/></Relationships>
</file>

<file path=xl/drawings/_rels/drawing3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8.xml"/></Relationships>
</file>

<file path=xl/drawings/_rels/drawing40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9.xml"/></Relationships>
</file>

<file path=xl/drawings/_rels/drawing4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0.xml"/></Relationships>
</file>

<file path=xl/drawings/_rels/drawing4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1.xml"/></Relationships>
</file>

<file path=xl/drawings/_rels/drawing4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2.xml"/></Relationships>
</file>

<file path=xl/drawings/_rels/drawing4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3.xml"/></Relationships>
</file>

<file path=xl/drawings/_rels/drawing4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4.xml"/></Relationships>
</file>

<file path=xl/drawings/_rels/drawing4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5.xml"/></Relationships>
</file>

<file path=xl/drawings/_rels/drawing4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6.xml"/></Relationships>
</file>

<file path=xl/drawings/_rels/drawing4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7.xml"/></Relationships>
</file>

<file path=xl/drawings/_rels/drawing4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8.xml"/></Relationships>
</file>

<file path=xl/drawings/_rels/drawing50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9.xml"/></Relationships>
</file>

<file path=xl/drawings/_rels/drawing5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0.xml"/></Relationships>
</file>

<file path=xl/drawings/_rels/drawing5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1.xml"/></Relationships>
</file>

<file path=xl/drawings/_rels/drawing5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2.xml"/></Relationships>
</file>

<file path=xl/drawings/_rels/drawing5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3.xml"/></Relationships>
</file>

<file path=xl/drawings/_rels/drawing5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4.xml"/></Relationships>
</file>

<file path=xl/drawings/_rels/drawing5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5.xml"/></Relationships>
</file>

<file path=xl/drawings/_rels/drawing5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6.xml"/></Relationships>
</file>

<file path=xl/drawings/_rels/drawing5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7.xml"/></Relationships>
</file>

<file path=xl/drawings/_rels/drawing5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8.xml"/></Relationships>
</file>

<file path=xl/drawings/_rels/drawing60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9.xml"/></Relationships>
</file>

<file path=xl/drawings/_rels/drawing6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0.xml"/></Relationships>
</file>

<file path=xl/drawings/_rels/drawing6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1.xml"/></Relationships>
</file>

<file path=xl/drawings/_rels/drawing6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2.xml"/></Relationships>
</file>

<file path=xl/drawings/_rels/drawing6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3.xml"/></Relationships>
</file>

<file path=xl/drawings/_rels/drawing6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4.xml"/></Relationships>
</file>

<file path=xl/drawings/_rels/drawing6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5.xml"/></Relationships>
</file>

<file path=xl/drawings/_rels/drawing6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6.xml"/></Relationships>
</file>

<file path=xl/drawings/_rels/drawing6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7.xml"/></Relationships>
</file>

<file path=xl/drawings/_rels/drawing6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8.xml"/></Relationships>
</file>

<file path=xl/drawings/_rels/drawing70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9.xml"/></Relationships>
</file>

<file path=xl/drawings/_rels/drawing7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0.xml"/></Relationships>
</file>

<file path=xl/drawings/_rels/drawing7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1.xml"/></Relationships>
</file>

<file path=xl/drawings/_rels/drawing7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2.xml"/></Relationships>
</file>

<file path=xl/drawings/_rels/drawing7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3.xml"/></Relationships>
</file>

<file path=xl/drawings/_rels/drawing7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4.xml"/></Relationships>
</file>

<file path=xl/drawings/_rels/drawing7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5.xml"/></Relationships>
</file>

<file path=xl/drawings/_rels/drawing7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6.xml"/></Relationships>
</file>

<file path=xl/drawings/_rels/drawing7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7.xml"/></Relationships>
</file>

<file path=xl/drawings/_rels/drawing7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8.xml"/></Relationships>
</file>

<file path=xl/drawings/_rels/drawing80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9.xml"/></Relationships>
</file>

<file path=xl/drawings/_rels/drawing8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0.xml"/></Relationships>
</file>

<file path=xl/drawings/_rels/drawing8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1.xml"/></Relationships>
</file>

<file path=xl/drawings/_rels/drawing8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2.xml"/></Relationships>
</file>

<file path=xl/drawings/_rels/drawing8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3.xml"/></Relationships>
</file>

<file path=xl/drawings/_rels/drawing8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4.xml"/></Relationships>
</file>

<file path=xl/drawings/_rels/drawing8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5.xml"/></Relationships>
</file>

<file path=xl/drawings/_rels/drawing8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6.xml"/></Relationships>
</file>

<file path=xl/drawings/_rels/drawing8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7.xml"/></Relationships>
</file>

<file path=xl/drawings/_rels/drawing8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8.xml"/></Relationships>
</file>

<file path=xl/drawings/_rels/drawing90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9.xml"/></Relationships>
</file>

<file path=xl/drawings/_rels/drawing9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0.xml"/></Relationships>
</file>

<file path=xl/drawings/_rels/drawing9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1.xml"/></Relationships>
</file>

<file path=xl/drawings/_rels/drawing9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2.xml"/></Relationships>
</file>

<file path=xl/drawings/_rels/drawing9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3.xml"/></Relationships>
</file>

<file path=xl/drawings/_rels/drawing9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4.xml"/></Relationships>
</file>

<file path=xl/drawings/_rels/drawing9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5.xml"/></Relationships>
</file>

<file path=xl/drawings/_rels/drawing9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6.xml"/></Relationships>
</file>

<file path=xl/drawings/_rels/drawing9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7.xml"/></Relationships>
</file>

<file path=xl/drawings/_rels/drawing9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8.xml"/></Relationships>
</file>

<file path=xl/drawings/_rels/drawing100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9.xml"/></Relationships>
</file>

<file path=xl/drawings/_rels/drawing10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00.xml"/></Relationships>
</file>

<file path=xl/drawings/_rels/drawing10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01.xml"/></Relationships>
</file>

<file path=xl/drawings/_rels/drawing10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02.xml"/></Relationships>
</file>

<file path=xl/drawings/_rels/drawing10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03.xml"/></Relationships>
</file>

<file path=xl/drawings/_rels/drawing10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04.xml"/></Relationships>
</file>

<file path=xl/drawings/_rels/drawing10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05.xml"/></Relationships>
</file>

<file path=xl/drawings/_rels/drawing10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06.xml"/></Relationships>
</file>

<file path=xl/drawings/_rels/drawing10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07.xml"/></Relationships>
</file>

<file path=xl/drawings/_rels/drawing10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08.xml"/></Relationships>
</file>

<file path=xl/drawings/_rels/drawing110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09.xml"/></Relationships>
</file>

<file path=xl/drawings/_rels/drawing11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10.xml"/></Relationships>
</file>

<file path=xl/drawings/_rels/drawing11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11.xml"/></Relationships>
</file>

<file path=xl/drawings/_rels/drawing11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12.xml"/></Relationships>
</file>

<file path=xl/drawings/_rels/drawing11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13.xml"/></Relationships>
</file>

<file path=xl/drawings/_rels/drawing11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14.xml"/></Relationships>
</file>

<file path=xl/drawings/_rels/drawing11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15.xml"/></Relationships>
</file>

<file path=xl/drawings/_rels/drawing11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16.xml"/></Relationships>
</file>

<file path=xl/drawings/_rels/drawing11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17.xml"/></Relationships>
</file>

<file path=xl/drawings/_rels/drawing11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18.xml"/></Relationships>
</file>

<file path=xl/drawings/_rels/drawing120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19.xml"/></Relationships>
</file>

<file path=xl/drawings/_rels/drawing12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20.xml"/></Relationships>
</file>

<file path=xl/drawings/_rels/drawing12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21.xml"/></Relationships>
</file>

<file path=xl/drawings/_rels/drawing12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22.xml"/></Relationships>
</file>

<file path=xl/drawings/_rels/drawing12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23.xml"/></Relationships>
</file>

<file path=xl/drawings/_rels/drawing12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24.xml"/></Relationships>
</file>

<file path=xl/drawings/_rels/drawing12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25.xml"/></Relationships>
</file>

<file path=xl/drawings/_rels/drawing12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26.xml"/></Relationships>
</file>

<file path=xl/drawings/_rels/drawing12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27.xml"/></Relationships>
</file>

<file path=xl/drawings/_rels/drawing12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28.xml"/></Relationships>
</file>

<file path=xl/drawings/_rels/drawing130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29.xml"/></Relationships>
</file>

<file path=xl/drawings/_rels/drawing13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30.xml"/></Relationships>
</file>

<file path=xl/drawings/_rels/drawing13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31.xml"/></Relationships>
</file>

<file path=xl/drawings/_rels/drawing13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32.xml"/></Relationships>
</file>

<file path=xl/drawings/_rels/drawing13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33.xml"/></Relationships>
</file>

<file path=xl/drawings/_rels/drawing13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34.xml"/></Relationships>
</file>

<file path=xl/drawings/_rels/drawing13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35.xml"/></Relationships>
</file>

<file path=xl/drawings/_rels/drawing13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36.xml"/></Relationships>
</file>

<file path=xl/drawings/_rels/drawing13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37.xml"/></Relationships>
</file>

<file path=xl/drawings/_rels/drawing13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38.xml"/></Relationships>
</file>

<file path=xl/drawings/_rels/drawing140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39.xml"/></Relationships>
</file>

<file path=xl/drawings/_rels/drawing14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40.xml"/></Relationships>
</file>

<file path=xl/drawings/_rels/drawing14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41.xml"/></Relationships>
</file>

<file path=xl/drawings/_rels/drawing14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42.xml"/></Relationships>
</file>

<file path=xl/drawings/_rels/drawing14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43.xml"/></Relationships>
</file>

<file path=xl/drawings/_rels/drawing14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44.xml"/></Relationships>
</file>

<file path=xl/drawings/_rels/drawing14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45.xml"/></Relationships>
</file>

<file path=xl/drawings/_rels/drawing14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46.xml"/></Relationships>
</file>

<file path=xl/drawings/_rels/drawing14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47.xml"/></Relationships>
</file>

<file path=xl/drawings/_rels/drawing14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48.xml"/></Relationships>
</file>

<file path=xl/drawings/_rels/drawing150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49.xml"/></Relationships>
</file>

<file path=xl/drawings/_rels/drawing15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50.xml"/></Relationships>
</file>

<file path=xl/drawings/_rels/drawing15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51.xml"/></Relationships>
</file>

<file path=xl/drawings/_rels/drawing15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52.xml"/></Relationships>
</file>

<file path=xl/drawings/_rels/drawing15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53.xml"/></Relationships>
</file>

<file path=xl/drawings/_rels/drawing15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54.xml"/></Relationships>
</file>

<file path=xl/drawings/_rels/drawing15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55.xml"/></Relationships>
</file>

<file path=xl/drawings/_rels/drawing15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56.xml"/></Relationships>
</file>

<file path=xl/drawings/_rels/drawing15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57.xml"/></Relationships>
</file>

<file path=xl/drawings/_rels/drawing15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58.xml"/></Relationships>
</file>

<file path=xl/drawings/_rels/drawing160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59.xml"/></Relationships>
</file>

<file path=xl/drawings/_rels/drawing16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60.xml"/></Relationships>
</file>

<file path=xl/drawings/_rels/drawing16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61.xml"/></Relationships>
</file>

<file path=xl/drawings/_rels/drawing16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62.xml"/></Relationships>
</file>

<file path=xl/drawings/_rels/drawing16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63.xml"/></Relationships>
</file>

<file path=xl/drawings/_rels/drawing16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64.xml"/></Relationships>
</file>

<file path=xl/drawings/_rels/drawing16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65.xml"/></Relationships>
</file>

<file path=xl/drawings/_rels/drawing16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66.xml"/></Relationships>
</file>

<file path=xl/drawings/_rels/drawing16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67.xml"/></Relationships>
</file>

<file path=xl/drawings/_rels/drawing16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68.xml"/></Relationships>
</file>

<file path=xl/drawings/_rels/drawing170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69.xml"/></Relationships>
</file>

<file path=xl/drawings/_rels/drawing17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70.xml"/></Relationships>
</file>

<file path=xl/drawings/_rels/drawing17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71.xml"/></Relationships>
</file>

<file path=xl/drawings/_rels/drawing17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72.xml"/></Relationships>
</file>

<file path=xl/drawings/_rels/drawing17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73.xml"/></Relationships>
</file>

<file path=xl/drawings/_rels/drawing17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74.xml"/></Relationships>
</file>

<file path=xl/drawings/_rels/drawing17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75.xml"/></Relationships>
</file>

<file path=xl/drawings/_rels/drawing17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76.xml"/></Relationships>
</file>

<file path=xl/drawings/_rels/drawing17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77.xml"/></Relationships>
</file>

<file path=xl/drawings/_rels/drawing17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78.xml"/></Relationships>
</file>

<file path=xl/drawings/_rels/drawing180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79.xml"/></Relationships>
</file>

<file path=xl/drawings/_rels/drawing18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80.xml"/></Relationships>
</file>

<file path=xl/drawings/_rels/drawing18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81.xml"/></Relationships>
</file>

<file path=xl/drawings/_rels/drawing18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82.xml"/></Relationships>
</file>

<file path=xl/drawings/_rels/drawing18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83.xml"/></Relationships>
</file>

<file path=xl/drawings/_rels/drawing18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84.xml"/></Relationships>
</file>

<file path=xl/drawings/_rels/drawing18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85.xml"/></Relationships>
</file>

<file path=xl/drawings/_rels/drawing18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86.xml"/></Relationships>
</file>

<file path=xl/drawings/_rels/drawing18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87.xml"/></Relationships>
</file>

<file path=xl/drawings/_rels/drawing18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88.xml"/></Relationships>
</file>

<file path=xl/drawings/_rels/drawing190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89.xml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1</xdr:col>
          <xdr:colOff>533400</xdr:colOff>
          <xdr:row>1</xdr:row>
          <xdr:rowOff>12700</xdr:rowOff>
        </xdr:from>
        <xdr:to>
          <xdr:col>1</xdr:col>
          <xdr:colOff>857250</xdr:colOff>
          <xdr:row>2</xdr:row>
          <xdr:rowOff>133350</xdr:rowOff>
        </xdr:to>
        <xdr:sp macro="" textlink="">
          <xdr:nvSpPr>
            <xdr:cNvPr id="41985" name="Spinner 1" hidden="1">
              <a:extLst>
                <a:ext uri="{63B3BB69-23CF-44E3-9099-C40C66FF867C}">
                  <a14:compatExt spid="_x0000_s41985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0</xdr:col>
      <xdr:colOff>142875</xdr:colOff>
      <xdr:row>226</xdr:row>
      <xdr:rowOff>9525</xdr:rowOff>
    </xdr:from>
    <xdr:to>
      <xdr:col>1</xdr:col>
      <xdr:colOff>904875</xdr:colOff>
      <xdr:row>230</xdr:row>
      <xdr:rowOff>57150</xdr:rowOff>
    </xdr:to>
    <xdr:pic>
      <xdr:nvPicPr>
        <xdr:cNvPr id="4" name="Picture 3" descr="cid:image008.png@01DAE42F.F989BB80"/>
        <xdr:cNvPicPr/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875" y="45720000"/>
          <a:ext cx="1038225" cy="809625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152400</xdr:colOff>
      <xdr:row>2</xdr:row>
      <xdr:rowOff>9524</xdr:rowOff>
    </xdr:from>
    <xdr:to>
      <xdr:col>8</xdr:col>
      <xdr:colOff>657225</xdr:colOff>
      <xdr:row>15</xdr:row>
      <xdr:rowOff>9524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9</xdr:col>
          <xdr:colOff>19050</xdr:colOff>
          <xdr:row>0</xdr:row>
          <xdr:rowOff>38100</xdr:rowOff>
        </xdr:from>
        <xdr:to>
          <xdr:col>9</xdr:col>
          <xdr:colOff>400050</xdr:colOff>
          <xdr:row>1</xdr:row>
          <xdr:rowOff>152400</xdr:rowOff>
        </xdr:to>
        <xdr:sp macro="" textlink="">
          <xdr:nvSpPr>
            <xdr:cNvPr id="624641" name="Spinner 1" hidden="1">
              <a:extLst>
                <a:ext uri="{63B3BB69-23CF-44E3-9099-C40C66FF867C}">
                  <a14:compatExt spid="_x0000_s624641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152400</xdr:colOff>
      <xdr:row>2</xdr:row>
      <xdr:rowOff>9524</xdr:rowOff>
    </xdr:from>
    <xdr:to>
      <xdr:col>8</xdr:col>
      <xdr:colOff>657225</xdr:colOff>
      <xdr:row>15</xdr:row>
      <xdr:rowOff>9524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9</xdr:col>
          <xdr:colOff>19050</xdr:colOff>
          <xdr:row>0</xdr:row>
          <xdr:rowOff>38100</xdr:rowOff>
        </xdr:from>
        <xdr:to>
          <xdr:col>9</xdr:col>
          <xdr:colOff>400050</xdr:colOff>
          <xdr:row>1</xdr:row>
          <xdr:rowOff>152400</xdr:rowOff>
        </xdr:to>
        <xdr:sp macro="" textlink="">
          <xdr:nvSpPr>
            <xdr:cNvPr id="936961" name="Spinner 1" hidden="1">
              <a:extLst>
                <a:ext uri="{63B3BB69-23CF-44E3-9099-C40C66FF867C}">
                  <a14:compatExt spid="_x0000_s936961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152400</xdr:colOff>
      <xdr:row>2</xdr:row>
      <xdr:rowOff>9524</xdr:rowOff>
    </xdr:from>
    <xdr:to>
      <xdr:col>8</xdr:col>
      <xdr:colOff>657225</xdr:colOff>
      <xdr:row>15</xdr:row>
      <xdr:rowOff>9524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9</xdr:col>
          <xdr:colOff>19050</xdr:colOff>
          <xdr:row>0</xdr:row>
          <xdr:rowOff>38100</xdr:rowOff>
        </xdr:from>
        <xdr:to>
          <xdr:col>9</xdr:col>
          <xdr:colOff>400050</xdr:colOff>
          <xdr:row>1</xdr:row>
          <xdr:rowOff>152400</xdr:rowOff>
        </xdr:to>
        <xdr:sp macro="" textlink="">
          <xdr:nvSpPr>
            <xdr:cNvPr id="1185793" name="Spinner 1" hidden="1">
              <a:extLst>
                <a:ext uri="{63B3BB69-23CF-44E3-9099-C40C66FF867C}">
                  <a14:compatExt spid="_x0000_s1185793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152400</xdr:colOff>
      <xdr:row>2</xdr:row>
      <xdr:rowOff>9524</xdr:rowOff>
    </xdr:from>
    <xdr:to>
      <xdr:col>8</xdr:col>
      <xdr:colOff>657225</xdr:colOff>
      <xdr:row>15</xdr:row>
      <xdr:rowOff>9524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9</xdr:col>
          <xdr:colOff>19050</xdr:colOff>
          <xdr:row>0</xdr:row>
          <xdr:rowOff>38100</xdr:rowOff>
        </xdr:from>
        <xdr:to>
          <xdr:col>9</xdr:col>
          <xdr:colOff>400050</xdr:colOff>
          <xdr:row>1</xdr:row>
          <xdr:rowOff>152400</xdr:rowOff>
        </xdr:to>
        <xdr:sp macro="" textlink="">
          <xdr:nvSpPr>
            <xdr:cNvPr id="937985" name="Spinner 1" hidden="1">
              <a:extLst>
                <a:ext uri="{63B3BB69-23CF-44E3-9099-C40C66FF867C}">
                  <a14:compatExt spid="_x0000_s937985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152400</xdr:colOff>
      <xdr:row>2</xdr:row>
      <xdr:rowOff>9524</xdr:rowOff>
    </xdr:from>
    <xdr:to>
      <xdr:col>8</xdr:col>
      <xdr:colOff>657225</xdr:colOff>
      <xdr:row>15</xdr:row>
      <xdr:rowOff>9524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9</xdr:col>
          <xdr:colOff>19050</xdr:colOff>
          <xdr:row>0</xdr:row>
          <xdr:rowOff>38100</xdr:rowOff>
        </xdr:from>
        <xdr:to>
          <xdr:col>9</xdr:col>
          <xdr:colOff>400050</xdr:colOff>
          <xdr:row>1</xdr:row>
          <xdr:rowOff>152400</xdr:rowOff>
        </xdr:to>
        <xdr:sp macro="" textlink="">
          <xdr:nvSpPr>
            <xdr:cNvPr id="939009" name="Spinner 1" hidden="1">
              <a:extLst>
                <a:ext uri="{63B3BB69-23CF-44E3-9099-C40C66FF867C}">
                  <a14:compatExt spid="_x0000_s939009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152400</xdr:colOff>
      <xdr:row>2</xdr:row>
      <xdr:rowOff>9524</xdr:rowOff>
    </xdr:from>
    <xdr:to>
      <xdr:col>8</xdr:col>
      <xdr:colOff>657225</xdr:colOff>
      <xdr:row>15</xdr:row>
      <xdr:rowOff>9524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9</xdr:col>
          <xdr:colOff>19050</xdr:colOff>
          <xdr:row>0</xdr:row>
          <xdr:rowOff>38100</xdr:rowOff>
        </xdr:from>
        <xdr:to>
          <xdr:col>9</xdr:col>
          <xdr:colOff>400050</xdr:colOff>
          <xdr:row>1</xdr:row>
          <xdr:rowOff>152400</xdr:rowOff>
        </xdr:to>
        <xdr:sp macro="" textlink="">
          <xdr:nvSpPr>
            <xdr:cNvPr id="940033" name="Spinner 1" hidden="1">
              <a:extLst>
                <a:ext uri="{63B3BB69-23CF-44E3-9099-C40C66FF867C}">
                  <a14:compatExt spid="_x0000_s940033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152400</xdr:colOff>
      <xdr:row>2</xdr:row>
      <xdr:rowOff>9524</xdr:rowOff>
    </xdr:from>
    <xdr:to>
      <xdr:col>8</xdr:col>
      <xdr:colOff>657225</xdr:colOff>
      <xdr:row>15</xdr:row>
      <xdr:rowOff>9524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9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9</xdr:col>
          <xdr:colOff>19050</xdr:colOff>
          <xdr:row>0</xdr:row>
          <xdr:rowOff>38100</xdr:rowOff>
        </xdr:from>
        <xdr:to>
          <xdr:col>9</xdr:col>
          <xdr:colOff>400050</xdr:colOff>
          <xdr:row>1</xdr:row>
          <xdr:rowOff>152400</xdr:rowOff>
        </xdr:to>
        <xdr:sp macro="" textlink="">
          <xdr:nvSpPr>
            <xdr:cNvPr id="941057" name="Spinner 1" hidden="1">
              <a:extLst>
                <a:ext uri="{63B3BB69-23CF-44E3-9099-C40C66FF867C}">
                  <a14:compatExt spid="_x0000_s941057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152400</xdr:colOff>
      <xdr:row>2</xdr:row>
      <xdr:rowOff>9524</xdr:rowOff>
    </xdr:from>
    <xdr:to>
      <xdr:col>8</xdr:col>
      <xdr:colOff>657225</xdr:colOff>
      <xdr:row>15</xdr:row>
      <xdr:rowOff>9524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A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9</xdr:col>
          <xdr:colOff>19050</xdr:colOff>
          <xdr:row>0</xdr:row>
          <xdr:rowOff>38100</xdr:rowOff>
        </xdr:from>
        <xdr:to>
          <xdr:col>9</xdr:col>
          <xdr:colOff>400050</xdr:colOff>
          <xdr:row>1</xdr:row>
          <xdr:rowOff>152400</xdr:rowOff>
        </xdr:to>
        <xdr:sp macro="" textlink="">
          <xdr:nvSpPr>
            <xdr:cNvPr id="942081" name="Spinner 1" hidden="1">
              <a:extLst>
                <a:ext uri="{63B3BB69-23CF-44E3-9099-C40C66FF867C}">
                  <a14:compatExt spid="_x0000_s942081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152400</xdr:colOff>
      <xdr:row>2</xdr:row>
      <xdr:rowOff>9524</xdr:rowOff>
    </xdr:from>
    <xdr:to>
      <xdr:col>8</xdr:col>
      <xdr:colOff>657225</xdr:colOff>
      <xdr:row>15</xdr:row>
      <xdr:rowOff>9524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B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9</xdr:col>
          <xdr:colOff>19050</xdr:colOff>
          <xdr:row>0</xdr:row>
          <xdr:rowOff>38100</xdr:rowOff>
        </xdr:from>
        <xdr:to>
          <xdr:col>9</xdr:col>
          <xdr:colOff>400050</xdr:colOff>
          <xdr:row>1</xdr:row>
          <xdr:rowOff>152400</xdr:rowOff>
        </xdr:to>
        <xdr:sp macro="" textlink="">
          <xdr:nvSpPr>
            <xdr:cNvPr id="943105" name="Spinner 1" hidden="1">
              <a:extLst>
                <a:ext uri="{63B3BB69-23CF-44E3-9099-C40C66FF867C}">
                  <a14:compatExt spid="_x0000_s943105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152400</xdr:colOff>
      <xdr:row>2</xdr:row>
      <xdr:rowOff>9524</xdr:rowOff>
    </xdr:from>
    <xdr:to>
      <xdr:col>8</xdr:col>
      <xdr:colOff>657225</xdr:colOff>
      <xdr:row>15</xdr:row>
      <xdr:rowOff>9524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E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9</xdr:col>
          <xdr:colOff>19050</xdr:colOff>
          <xdr:row>0</xdr:row>
          <xdr:rowOff>38100</xdr:rowOff>
        </xdr:from>
        <xdr:to>
          <xdr:col>9</xdr:col>
          <xdr:colOff>400050</xdr:colOff>
          <xdr:row>1</xdr:row>
          <xdr:rowOff>152400</xdr:rowOff>
        </xdr:to>
        <xdr:sp macro="" textlink="">
          <xdr:nvSpPr>
            <xdr:cNvPr id="1758209" name="Spinner 1" hidden="1">
              <a:extLst>
                <a:ext uri="{63B3BB69-23CF-44E3-9099-C40C66FF867C}">
                  <a14:compatExt spid="_x0000_s1758209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152400</xdr:colOff>
      <xdr:row>2</xdr:row>
      <xdr:rowOff>9524</xdr:rowOff>
    </xdr:from>
    <xdr:to>
      <xdr:col>8</xdr:col>
      <xdr:colOff>657225</xdr:colOff>
      <xdr:row>15</xdr:row>
      <xdr:rowOff>9524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E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9</xdr:col>
          <xdr:colOff>19050</xdr:colOff>
          <xdr:row>0</xdr:row>
          <xdr:rowOff>38100</xdr:rowOff>
        </xdr:from>
        <xdr:to>
          <xdr:col>9</xdr:col>
          <xdr:colOff>400050</xdr:colOff>
          <xdr:row>1</xdr:row>
          <xdr:rowOff>152400</xdr:rowOff>
        </xdr:to>
        <xdr:sp macro="" textlink="">
          <xdr:nvSpPr>
            <xdr:cNvPr id="946177" name="Spinner 1" hidden="1">
              <a:extLst>
                <a:ext uri="{63B3BB69-23CF-44E3-9099-C40C66FF867C}">
                  <a14:compatExt spid="_x0000_s946177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</xdr:wsDr>
</file>

<file path=xl/drawings/drawing1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152400</xdr:colOff>
      <xdr:row>2</xdr:row>
      <xdr:rowOff>9524</xdr:rowOff>
    </xdr:from>
    <xdr:to>
      <xdr:col>8</xdr:col>
      <xdr:colOff>657225</xdr:colOff>
      <xdr:row>15</xdr:row>
      <xdr:rowOff>9524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F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9</xdr:col>
          <xdr:colOff>19050</xdr:colOff>
          <xdr:row>0</xdr:row>
          <xdr:rowOff>38100</xdr:rowOff>
        </xdr:from>
        <xdr:to>
          <xdr:col>9</xdr:col>
          <xdr:colOff>400050</xdr:colOff>
          <xdr:row>1</xdr:row>
          <xdr:rowOff>152400</xdr:rowOff>
        </xdr:to>
        <xdr:sp macro="" textlink="">
          <xdr:nvSpPr>
            <xdr:cNvPr id="1939457" name="Spinner 1" hidden="1">
              <a:extLst>
                <a:ext uri="{63B3BB69-23CF-44E3-9099-C40C66FF867C}">
                  <a14:compatExt spid="_x0000_s1939457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</xdr:wsDr>
</file>

<file path=xl/drawings/drawing1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152400</xdr:colOff>
      <xdr:row>2</xdr:row>
      <xdr:rowOff>9524</xdr:rowOff>
    </xdr:from>
    <xdr:to>
      <xdr:col>8</xdr:col>
      <xdr:colOff>657225</xdr:colOff>
      <xdr:row>15</xdr:row>
      <xdr:rowOff>9524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F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9</xdr:col>
          <xdr:colOff>19050</xdr:colOff>
          <xdr:row>0</xdr:row>
          <xdr:rowOff>38100</xdr:rowOff>
        </xdr:from>
        <xdr:to>
          <xdr:col>9</xdr:col>
          <xdr:colOff>400050</xdr:colOff>
          <xdr:row>1</xdr:row>
          <xdr:rowOff>152400</xdr:rowOff>
        </xdr:to>
        <xdr:sp macro="" textlink="">
          <xdr:nvSpPr>
            <xdr:cNvPr id="947201" name="Spinner 1" hidden="1">
              <a:extLst>
                <a:ext uri="{63B3BB69-23CF-44E3-9099-C40C66FF867C}">
                  <a14:compatExt spid="_x0000_s947201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</xdr:wsDr>
</file>

<file path=xl/drawings/drawing15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152400</xdr:colOff>
      <xdr:row>2</xdr:row>
      <xdr:rowOff>9524</xdr:rowOff>
    </xdr:from>
    <xdr:to>
      <xdr:col>8</xdr:col>
      <xdr:colOff>657225</xdr:colOff>
      <xdr:row>15</xdr:row>
      <xdr:rowOff>9524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C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9</xdr:col>
          <xdr:colOff>19050</xdr:colOff>
          <xdr:row>0</xdr:row>
          <xdr:rowOff>38100</xdr:rowOff>
        </xdr:from>
        <xdr:to>
          <xdr:col>9</xdr:col>
          <xdr:colOff>400050</xdr:colOff>
          <xdr:row>1</xdr:row>
          <xdr:rowOff>152400</xdr:rowOff>
        </xdr:to>
        <xdr:sp macro="" textlink="">
          <xdr:nvSpPr>
            <xdr:cNvPr id="1931265" name="Spinner 1" hidden="1">
              <a:extLst>
                <a:ext uri="{63B3BB69-23CF-44E3-9099-C40C66FF867C}">
                  <a14:compatExt spid="_x0000_s1931265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</xdr:wsDr>
</file>

<file path=xl/drawings/drawing16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152400</xdr:colOff>
      <xdr:row>2</xdr:row>
      <xdr:rowOff>9524</xdr:rowOff>
    </xdr:from>
    <xdr:to>
      <xdr:col>8</xdr:col>
      <xdr:colOff>657225</xdr:colOff>
      <xdr:row>15</xdr:row>
      <xdr:rowOff>9524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C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9</xdr:col>
          <xdr:colOff>19050</xdr:colOff>
          <xdr:row>0</xdr:row>
          <xdr:rowOff>38100</xdr:rowOff>
        </xdr:from>
        <xdr:to>
          <xdr:col>9</xdr:col>
          <xdr:colOff>400050</xdr:colOff>
          <xdr:row>1</xdr:row>
          <xdr:rowOff>152400</xdr:rowOff>
        </xdr:to>
        <xdr:sp macro="" textlink="">
          <xdr:nvSpPr>
            <xdr:cNvPr id="944129" name="Spinner 1" hidden="1">
              <a:extLst>
                <a:ext uri="{63B3BB69-23CF-44E3-9099-C40C66FF867C}">
                  <a14:compatExt spid="_x0000_s944129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</xdr:wsDr>
</file>

<file path=xl/drawings/drawing17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152400</xdr:colOff>
      <xdr:row>2</xdr:row>
      <xdr:rowOff>9524</xdr:rowOff>
    </xdr:from>
    <xdr:to>
      <xdr:col>8</xdr:col>
      <xdr:colOff>657225</xdr:colOff>
      <xdr:row>15</xdr:row>
      <xdr:rowOff>9524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D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9</xdr:col>
          <xdr:colOff>19050</xdr:colOff>
          <xdr:row>0</xdr:row>
          <xdr:rowOff>38100</xdr:rowOff>
        </xdr:from>
        <xdr:to>
          <xdr:col>9</xdr:col>
          <xdr:colOff>400050</xdr:colOff>
          <xdr:row>1</xdr:row>
          <xdr:rowOff>152400</xdr:rowOff>
        </xdr:to>
        <xdr:sp macro="" textlink="">
          <xdr:nvSpPr>
            <xdr:cNvPr id="1588226" name="Spinner 2" hidden="1">
              <a:extLst>
                <a:ext uri="{63B3BB69-23CF-44E3-9099-C40C66FF867C}">
                  <a14:compatExt spid="_x0000_s1588226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</xdr:wsDr>
</file>

<file path=xl/drawings/drawing18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152400</xdr:colOff>
      <xdr:row>2</xdr:row>
      <xdr:rowOff>9524</xdr:rowOff>
    </xdr:from>
    <xdr:to>
      <xdr:col>8</xdr:col>
      <xdr:colOff>657225</xdr:colOff>
      <xdr:row>15</xdr:row>
      <xdr:rowOff>9524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D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9</xdr:col>
          <xdr:colOff>19050</xdr:colOff>
          <xdr:row>0</xdr:row>
          <xdr:rowOff>38100</xdr:rowOff>
        </xdr:from>
        <xdr:to>
          <xdr:col>9</xdr:col>
          <xdr:colOff>400050</xdr:colOff>
          <xdr:row>1</xdr:row>
          <xdr:rowOff>152400</xdr:rowOff>
        </xdr:to>
        <xdr:sp macro="" textlink="">
          <xdr:nvSpPr>
            <xdr:cNvPr id="945153" name="Spinner 1" hidden="1">
              <a:extLst>
                <a:ext uri="{63B3BB69-23CF-44E3-9099-C40C66FF867C}">
                  <a14:compatExt spid="_x0000_s945153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</xdr:wsDr>
</file>

<file path=xl/drawings/drawing19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152400</xdr:colOff>
      <xdr:row>2</xdr:row>
      <xdr:rowOff>9524</xdr:rowOff>
    </xdr:from>
    <xdr:to>
      <xdr:col>8</xdr:col>
      <xdr:colOff>657225</xdr:colOff>
      <xdr:row>15</xdr:row>
      <xdr:rowOff>9524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10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9</xdr:col>
          <xdr:colOff>19050</xdr:colOff>
          <xdr:row>0</xdr:row>
          <xdr:rowOff>38100</xdr:rowOff>
        </xdr:from>
        <xdr:to>
          <xdr:col>9</xdr:col>
          <xdr:colOff>400050</xdr:colOff>
          <xdr:row>1</xdr:row>
          <xdr:rowOff>152400</xdr:rowOff>
        </xdr:to>
        <xdr:sp macro="" textlink="">
          <xdr:nvSpPr>
            <xdr:cNvPr id="948225" name="Spinner 1" hidden="1">
              <a:extLst>
                <a:ext uri="{63B3BB69-23CF-44E3-9099-C40C66FF867C}">
                  <a14:compatExt spid="_x0000_s948225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</xdr:wsDr>
</file>

<file path=xl/drawings/drawing20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152400</xdr:colOff>
      <xdr:row>2</xdr:row>
      <xdr:rowOff>9524</xdr:rowOff>
    </xdr:from>
    <xdr:to>
      <xdr:col>8</xdr:col>
      <xdr:colOff>657225</xdr:colOff>
      <xdr:row>15</xdr:row>
      <xdr:rowOff>9524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11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9</xdr:col>
          <xdr:colOff>19050</xdr:colOff>
          <xdr:row>0</xdr:row>
          <xdr:rowOff>38100</xdr:rowOff>
        </xdr:from>
        <xdr:to>
          <xdr:col>9</xdr:col>
          <xdr:colOff>400050</xdr:colOff>
          <xdr:row>1</xdr:row>
          <xdr:rowOff>152400</xdr:rowOff>
        </xdr:to>
        <xdr:sp macro="" textlink="">
          <xdr:nvSpPr>
            <xdr:cNvPr id="949249" name="Spinner 1" hidden="1">
              <a:extLst>
                <a:ext uri="{63B3BB69-23CF-44E3-9099-C40C66FF867C}">
                  <a14:compatExt spid="_x0000_s949249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</xdr:wsDr>
</file>

<file path=xl/drawings/drawing2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152400</xdr:colOff>
      <xdr:row>2</xdr:row>
      <xdr:rowOff>9524</xdr:rowOff>
    </xdr:from>
    <xdr:to>
      <xdr:col>8</xdr:col>
      <xdr:colOff>657225</xdr:colOff>
      <xdr:row>15</xdr:row>
      <xdr:rowOff>9524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12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9</xdr:col>
          <xdr:colOff>19050</xdr:colOff>
          <xdr:row>0</xdr:row>
          <xdr:rowOff>38100</xdr:rowOff>
        </xdr:from>
        <xdr:to>
          <xdr:col>9</xdr:col>
          <xdr:colOff>400050</xdr:colOff>
          <xdr:row>1</xdr:row>
          <xdr:rowOff>152400</xdr:rowOff>
        </xdr:to>
        <xdr:sp macro="" textlink="">
          <xdr:nvSpPr>
            <xdr:cNvPr id="950273" name="Spinner 1" hidden="1">
              <a:extLst>
                <a:ext uri="{63B3BB69-23CF-44E3-9099-C40C66FF867C}">
                  <a14:compatExt spid="_x0000_s950273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</xdr:wsDr>
</file>

<file path=xl/drawings/drawing2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152400</xdr:colOff>
      <xdr:row>2</xdr:row>
      <xdr:rowOff>9524</xdr:rowOff>
    </xdr:from>
    <xdr:to>
      <xdr:col>8</xdr:col>
      <xdr:colOff>657225</xdr:colOff>
      <xdr:row>15</xdr:row>
      <xdr:rowOff>9524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13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9</xdr:col>
          <xdr:colOff>19050</xdr:colOff>
          <xdr:row>0</xdr:row>
          <xdr:rowOff>38100</xdr:rowOff>
        </xdr:from>
        <xdr:to>
          <xdr:col>9</xdr:col>
          <xdr:colOff>400050</xdr:colOff>
          <xdr:row>1</xdr:row>
          <xdr:rowOff>152400</xdr:rowOff>
        </xdr:to>
        <xdr:sp macro="" textlink="">
          <xdr:nvSpPr>
            <xdr:cNvPr id="951297" name="Spinner 1" hidden="1">
              <a:extLst>
                <a:ext uri="{63B3BB69-23CF-44E3-9099-C40C66FF867C}">
                  <a14:compatExt spid="_x0000_s951297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</xdr:wsDr>
</file>

<file path=xl/drawings/drawing2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152400</xdr:colOff>
      <xdr:row>2</xdr:row>
      <xdr:rowOff>9524</xdr:rowOff>
    </xdr:from>
    <xdr:to>
      <xdr:col>8</xdr:col>
      <xdr:colOff>657225</xdr:colOff>
      <xdr:row>15</xdr:row>
      <xdr:rowOff>9524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14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9</xdr:col>
          <xdr:colOff>19050</xdr:colOff>
          <xdr:row>0</xdr:row>
          <xdr:rowOff>38100</xdr:rowOff>
        </xdr:from>
        <xdr:to>
          <xdr:col>9</xdr:col>
          <xdr:colOff>400050</xdr:colOff>
          <xdr:row>1</xdr:row>
          <xdr:rowOff>152400</xdr:rowOff>
        </xdr:to>
        <xdr:sp macro="" textlink="">
          <xdr:nvSpPr>
            <xdr:cNvPr id="952321" name="Spinner 1" hidden="1">
              <a:extLst>
                <a:ext uri="{63B3BB69-23CF-44E3-9099-C40C66FF867C}">
                  <a14:compatExt spid="_x0000_s952321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</xdr:wsDr>
</file>

<file path=xl/drawings/drawing2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152400</xdr:colOff>
      <xdr:row>2</xdr:row>
      <xdr:rowOff>9524</xdr:rowOff>
    </xdr:from>
    <xdr:to>
      <xdr:col>8</xdr:col>
      <xdr:colOff>657225</xdr:colOff>
      <xdr:row>15</xdr:row>
      <xdr:rowOff>9524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15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9</xdr:col>
          <xdr:colOff>19050</xdr:colOff>
          <xdr:row>0</xdr:row>
          <xdr:rowOff>38100</xdr:rowOff>
        </xdr:from>
        <xdr:to>
          <xdr:col>9</xdr:col>
          <xdr:colOff>400050</xdr:colOff>
          <xdr:row>1</xdr:row>
          <xdr:rowOff>152400</xdr:rowOff>
        </xdr:to>
        <xdr:sp macro="" textlink="">
          <xdr:nvSpPr>
            <xdr:cNvPr id="953345" name="Spinner 1" hidden="1">
              <a:extLst>
                <a:ext uri="{63B3BB69-23CF-44E3-9099-C40C66FF867C}">
                  <a14:compatExt spid="_x0000_s953345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</xdr:wsDr>
</file>

<file path=xl/drawings/drawing25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152400</xdr:colOff>
      <xdr:row>2</xdr:row>
      <xdr:rowOff>9524</xdr:rowOff>
    </xdr:from>
    <xdr:to>
      <xdr:col>8</xdr:col>
      <xdr:colOff>657225</xdr:colOff>
      <xdr:row>15</xdr:row>
      <xdr:rowOff>9524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16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9</xdr:col>
          <xdr:colOff>19050</xdr:colOff>
          <xdr:row>0</xdr:row>
          <xdr:rowOff>38100</xdr:rowOff>
        </xdr:from>
        <xdr:to>
          <xdr:col>9</xdr:col>
          <xdr:colOff>400050</xdr:colOff>
          <xdr:row>1</xdr:row>
          <xdr:rowOff>152400</xdr:rowOff>
        </xdr:to>
        <xdr:sp macro="" textlink="">
          <xdr:nvSpPr>
            <xdr:cNvPr id="954369" name="Spinner 1" hidden="1">
              <a:extLst>
                <a:ext uri="{63B3BB69-23CF-44E3-9099-C40C66FF867C}">
                  <a14:compatExt spid="_x0000_s954369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</xdr:wsDr>
</file>

<file path=xl/drawings/drawing26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152400</xdr:colOff>
      <xdr:row>2</xdr:row>
      <xdr:rowOff>9524</xdr:rowOff>
    </xdr:from>
    <xdr:to>
      <xdr:col>8</xdr:col>
      <xdr:colOff>657225</xdr:colOff>
      <xdr:row>15</xdr:row>
      <xdr:rowOff>9524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17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9</xdr:col>
          <xdr:colOff>19050</xdr:colOff>
          <xdr:row>0</xdr:row>
          <xdr:rowOff>38100</xdr:rowOff>
        </xdr:from>
        <xdr:to>
          <xdr:col>9</xdr:col>
          <xdr:colOff>400050</xdr:colOff>
          <xdr:row>1</xdr:row>
          <xdr:rowOff>152400</xdr:rowOff>
        </xdr:to>
        <xdr:sp macro="" textlink="">
          <xdr:nvSpPr>
            <xdr:cNvPr id="955393" name="Spinner 1" hidden="1">
              <a:extLst>
                <a:ext uri="{63B3BB69-23CF-44E3-9099-C40C66FF867C}">
                  <a14:compatExt spid="_x0000_s955393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</xdr:wsDr>
</file>

<file path=xl/drawings/drawing27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152400</xdr:colOff>
      <xdr:row>2</xdr:row>
      <xdr:rowOff>9524</xdr:rowOff>
    </xdr:from>
    <xdr:to>
      <xdr:col>8</xdr:col>
      <xdr:colOff>657225</xdr:colOff>
      <xdr:row>15</xdr:row>
      <xdr:rowOff>9524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18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9</xdr:col>
          <xdr:colOff>19050</xdr:colOff>
          <xdr:row>0</xdr:row>
          <xdr:rowOff>38100</xdr:rowOff>
        </xdr:from>
        <xdr:to>
          <xdr:col>9</xdr:col>
          <xdr:colOff>400050</xdr:colOff>
          <xdr:row>1</xdr:row>
          <xdr:rowOff>152400</xdr:rowOff>
        </xdr:to>
        <xdr:sp macro="" textlink="">
          <xdr:nvSpPr>
            <xdr:cNvPr id="956417" name="Spinner 1" hidden="1">
              <a:extLst>
                <a:ext uri="{63B3BB69-23CF-44E3-9099-C40C66FF867C}">
                  <a14:compatExt spid="_x0000_s956417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</xdr:wsDr>
</file>

<file path=xl/drawings/drawing28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152400</xdr:colOff>
      <xdr:row>2</xdr:row>
      <xdr:rowOff>9524</xdr:rowOff>
    </xdr:from>
    <xdr:to>
      <xdr:col>8</xdr:col>
      <xdr:colOff>657225</xdr:colOff>
      <xdr:row>15</xdr:row>
      <xdr:rowOff>9524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19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9</xdr:col>
          <xdr:colOff>19050</xdr:colOff>
          <xdr:row>0</xdr:row>
          <xdr:rowOff>38100</xdr:rowOff>
        </xdr:from>
        <xdr:to>
          <xdr:col>9</xdr:col>
          <xdr:colOff>400050</xdr:colOff>
          <xdr:row>1</xdr:row>
          <xdr:rowOff>152400</xdr:rowOff>
        </xdr:to>
        <xdr:sp macro="" textlink="">
          <xdr:nvSpPr>
            <xdr:cNvPr id="1589249" name="Spinner 1" hidden="1">
              <a:extLst>
                <a:ext uri="{63B3BB69-23CF-44E3-9099-C40C66FF867C}">
                  <a14:compatExt spid="_x0000_s1589249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</xdr:wsDr>
</file>

<file path=xl/drawings/drawing29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152400</xdr:colOff>
      <xdr:row>2</xdr:row>
      <xdr:rowOff>9524</xdr:rowOff>
    </xdr:from>
    <xdr:to>
      <xdr:col>8</xdr:col>
      <xdr:colOff>657225</xdr:colOff>
      <xdr:row>15</xdr:row>
      <xdr:rowOff>9524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19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9</xdr:col>
          <xdr:colOff>19050</xdr:colOff>
          <xdr:row>0</xdr:row>
          <xdr:rowOff>38100</xdr:rowOff>
        </xdr:from>
        <xdr:to>
          <xdr:col>9</xdr:col>
          <xdr:colOff>400050</xdr:colOff>
          <xdr:row>1</xdr:row>
          <xdr:rowOff>152400</xdr:rowOff>
        </xdr:to>
        <xdr:sp macro="" textlink="">
          <xdr:nvSpPr>
            <xdr:cNvPr id="957441" name="Spinner 1" hidden="1">
              <a:extLst>
                <a:ext uri="{63B3BB69-23CF-44E3-9099-C40C66FF867C}">
                  <a14:compatExt spid="_x0000_s957441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</xdr:wsDr>
</file>

<file path=xl/drawings/drawing30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152400</xdr:colOff>
      <xdr:row>2</xdr:row>
      <xdr:rowOff>9524</xdr:rowOff>
    </xdr:from>
    <xdr:to>
      <xdr:col>8</xdr:col>
      <xdr:colOff>657225</xdr:colOff>
      <xdr:row>15</xdr:row>
      <xdr:rowOff>9524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1A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9</xdr:col>
          <xdr:colOff>19050</xdr:colOff>
          <xdr:row>0</xdr:row>
          <xdr:rowOff>38100</xdr:rowOff>
        </xdr:from>
        <xdr:to>
          <xdr:col>9</xdr:col>
          <xdr:colOff>400050</xdr:colOff>
          <xdr:row>1</xdr:row>
          <xdr:rowOff>152400</xdr:rowOff>
        </xdr:to>
        <xdr:sp macro="" textlink="">
          <xdr:nvSpPr>
            <xdr:cNvPr id="958465" name="Spinner 1" hidden="1">
              <a:extLst>
                <a:ext uri="{63B3BB69-23CF-44E3-9099-C40C66FF867C}">
                  <a14:compatExt spid="_x0000_s958465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</xdr:wsDr>
</file>

<file path=xl/drawings/drawing3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152400</xdr:colOff>
      <xdr:row>2</xdr:row>
      <xdr:rowOff>9524</xdr:rowOff>
    </xdr:from>
    <xdr:to>
      <xdr:col>8</xdr:col>
      <xdr:colOff>657225</xdr:colOff>
      <xdr:row>15</xdr:row>
      <xdr:rowOff>9524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1B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9</xdr:col>
          <xdr:colOff>19050</xdr:colOff>
          <xdr:row>0</xdr:row>
          <xdr:rowOff>38100</xdr:rowOff>
        </xdr:from>
        <xdr:to>
          <xdr:col>9</xdr:col>
          <xdr:colOff>400050</xdr:colOff>
          <xdr:row>1</xdr:row>
          <xdr:rowOff>152400</xdr:rowOff>
        </xdr:to>
        <xdr:sp macro="" textlink="">
          <xdr:nvSpPr>
            <xdr:cNvPr id="959489" name="Spinner 1" hidden="1">
              <a:extLst>
                <a:ext uri="{63B3BB69-23CF-44E3-9099-C40C66FF867C}">
                  <a14:compatExt spid="_x0000_s959489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</xdr:wsDr>
</file>

<file path=xl/drawings/drawing3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152400</xdr:colOff>
      <xdr:row>2</xdr:row>
      <xdr:rowOff>9524</xdr:rowOff>
    </xdr:from>
    <xdr:to>
      <xdr:col>8</xdr:col>
      <xdr:colOff>657225</xdr:colOff>
      <xdr:row>15</xdr:row>
      <xdr:rowOff>9524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1C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9</xdr:col>
          <xdr:colOff>19050</xdr:colOff>
          <xdr:row>0</xdr:row>
          <xdr:rowOff>38100</xdr:rowOff>
        </xdr:from>
        <xdr:to>
          <xdr:col>9</xdr:col>
          <xdr:colOff>400050</xdr:colOff>
          <xdr:row>1</xdr:row>
          <xdr:rowOff>152400</xdr:rowOff>
        </xdr:to>
        <xdr:sp macro="" textlink="">
          <xdr:nvSpPr>
            <xdr:cNvPr id="960513" name="Spinner 1" hidden="1">
              <a:extLst>
                <a:ext uri="{63B3BB69-23CF-44E3-9099-C40C66FF867C}">
                  <a14:compatExt spid="_x0000_s960513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</xdr:wsDr>
</file>

<file path=xl/drawings/drawing3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152400</xdr:colOff>
      <xdr:row>2</xdr:row>
      <xdr:rowOff>9524</xdr:rowOff>
    </xdr:from>
    <xdr:to>
      <xdr:col>8</xdr:col>
      <xdr:colOff>657225</xdr:colOff>
      <xdr:row>15</xdr:row>
      <xdr:rowOff>9524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1D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9</xdr:col>
          <xdr:colOff>19050</xdr:colOff>
          <xdr:row>0</xdr:row>
          <xdr:rowOff>38100</xdr:rowOff>
        </xdr:from>
        <xdr:to>
          <xdr:col>9</xdr:col>
          <xdr:colOff>400050</xdr:colOff>
          <xdr:row>1</xdr:row>
          <xdr:rowOff>152400</xdr:rowOff>
        </xdr:to>
        <xdr:sp macro="" textlink="">
          <xdr:nvSpPr>
            <xdr:cNvPr id="961537" name="Spinner 1" hidden="1">
              <a:extLst>
                <a:ext uri="{63B3BB69-23CF-44E3-9099-C40C66FF867C}">
                  <a14:compatExt spid="_x0000_s961537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</xdr:wsDr>
</file>

<file path=xl/drawings/drawing3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152400</xdr:colOff>
      <xdr:row>2</xdr:row>
      <xdr:rowOff>9524</xdr:rowOff>
    </xdr:from>
    <xdr:to>
      <xdr:col>8</xdr:col>
      <xdr:colOff>657225</xdr:colOff>
      <xdr:row>15</xdr:row>
      <xdr:rowOff>9524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1E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9</xdr:col>
          <xdr:colOff>19050</xdr:colOff>
          <xdr:row>0</xdr:row>
          <xdr:rowOff>38100</xdr:rowOff>
        </xdr:from>
        <xdr:to>
          <xdr:col>9</xdr:col>
          <xdr:colOff>400050</xdr:colOff>
          <xdr:row>1</xdr:row>
          <xdr:rowOff>152400</xdr:rowOff>
        </xdr:to>
        <xdr:sp macro="" textlink="">
          <xdr:nvSpPr>
            <xdr:cNvPr id="966657" name="Spinner 1" hidden="1">
              <a:extLst>
                <a:ext uri="{63B3BB69-23CF-44E3-9099-C40C66FF867C}">
                  <a14:compatExt spid="_x0000_s966657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</xdr:wsDr>
</file>

<file path=xl/drawings/drawing35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152400</xdr:colOff>
      <xdr:row>2</xdr:row>
      <xdr:rowOff>9524</xdr:rowOff>
    </xdr:from>
    <xdr:to>
      <xdr:col>8</xdr:col>
      <xdr:colOff>657225</xdr:colOff>
      <xdr:row>15</xdr:row>
      <xdr:rowOff>9524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1F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9</xdr:col>
          <xdr:colOff>19050</xdr:colOff>
          <xdr:row>0</xdr:row>
          <xdr:rowOff>38100</xdr:rowOff>
        </xdr:from>
        <xdr:to>
          <xdr:col>9</xdr:col>
          <xdr:colOff>400050</xdr:colOff>
          <xdr:row>1</xdr:row>
          <xdr:rowOff>152400</xdr:rowOff>
        </xdr:to>
        <xdr:sp macro="" textlink="">
          <xdr:nvSpPr>
            <xdr:cNvPr id="967681" name="Spinner 1" hidden="1">
              <a:extLst>
                <a:ext uri="{63B3BB69-23CF-44E3-9099-C40C66FF867C}">
                  <a14:compatExt spid="_x0000_s967681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</xdr:wsDr>
</file>

<file path=xl/drawings/drawing36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152400</xdr:colOff>
      <xdr:row>2</xdr:row>
      <xdr:rowOff>9524</xdr:rowOff>
    </xdr:from>
    <xdr:to>
      <xdr:col>8</xdr:col>
      <xdr:colOff>657225</xdr:colOff>
      <xdr:row>15</xdr:row>
      <xdr:rowOff>9524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20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9</xdr:col>
          <xdr:colOff>19050</xdr:colOff>
          <xdr:row>0</xdr:row>
          <xdr:rowOff>38100</xdr:rowOff>
        </xdr:from>
        <xdr:to>
          <xdr:col>9</xdr:col>
          <xdr:colOff>400050</xdr:colOff>
          <xdr:row>1</xdr:row>
          <xdr:rowOff>152400</xdr:rowOff>
        </xdr:to>
        <xdr:sp macro="" textlink="">
          <xdr:nvSpPr>
            <xdr:cNvPr id="968705" name="Spinner 1" hidden="1">
              <a:extLst>
                <a:ext uri="{63B3BB69-23CF-44E3-9099-C40C66FF867C}">
                  <a14:compatExt spid="_x0000_s968705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</xdr:wsDr>
</file>

<file path=xl/drawings/drawing37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152400</xdr:colOff>
      <xdr:row>2</xdr:row>
      <xdr:rowOff>9524</xdr:rowOff>
    </xdr:from>
    <xdr:to>
      <xdr:col>8</xdr:col>
      <xdr:colOff>657225</xdr:colOff>
      <xdr:row>15</xdr:row>
      <xdr:rowOff>9524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21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9</xdr:col>
          <xdr:colOff>19050</xdr:colOff>
          <xdr:row>0</xdr:row>
          <xdr:rowOff>38100</xdr:rowOff>
        </xdr:from>
        <xdr:to>
          <xdr:col>9</xdr:col>
          <xdr:colOff>400050</xdr:colOff>
          <xdr:row>1</xdr:row>
          <xdr:rowOff>152400</xdr:rowOff>
        </xdr:to>
        <xdr:sp macro="" textlink="">
          <xdr:nvSpPr>
            <xdr:cNvPr id="969729" name="Spinner 1" hidden="1">
              <a:extLst>
                <a:ext uri="{63B3BB69-23CF-44E3-9099-C40C66FF867C}">
                  <a14:compatExt spid="_x0000_s969729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</xdr:wsDr>
</file>

<file path=xl/drawings/drawing38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152400</xdr:colOff>
      <xdr:row>2</xdr:row>
      <xdr:rowOff>9524</xdr:rowOff>
    </xdr:from>
    <xdr:to>
      <xdr:col>8</xdr:col>
      <xdr:colOff>657225</xdr:colOff>
      <xdr:row>15</xdr:row>
      <xdr:rowOff>9524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22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9</xdr:col>
          <xdr:colOff>19050</xdr:colOff>
          <xdr:row>0</xdr:row>
          <xdr:rowOff>38100</xdr:rowOff>
        </xdr:from>
        <xdr:to>
          <xdr:col>9</xdr:col>
          <xdr:colOff>400050</xdr:colOff>
          <xdr:row>1</xdr:row>
          <xdr:rowOff>152400</xdr:rowOff>
        </xdr:to>
        <xdr:sp macro="" textlink="">
          <xdr:nvSpPr>
            <xdr:cNvPr id="970753" name="Spinner 1" hidden="1">
              <a:extLst>
                <a:ext uri="{63B3BB69-23CF-44E3-9099-C40C66FF867C}">
                  <a14:compatExt spid="_x0000_s970753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</xdr:wsDr>
</file>

<file path=xl/drawings/drawing39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152400</xdr:colOff>
      <xdr:row>2</xdr:row>
      <xdr:rowOff>9524</xdr:rowOff>
    </xdr:from>
    <xdr:to>
      <xdr:col>8</xdr:col>
      <xdr:colOff>657225</xdr:colOff>
      <xdr:row>15</xdr:row>
      <xdr:rowOff>9524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23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9</xdr:col>
          <xdr:colOff>19050</xdr:colOff>
          <xdr:row>0</xdr:row>
          <xdr:rowOff>38100</xdr:rowOff>
        </xdr:from>
        <xdr:to>
          <xdr:col>9</xdr:col>
          <xdr:colOff>400050</xdr:colOff>
          <xdr:row>1</xdr:row>
          <xdr:rowOff>152400</xdr:rowOff>
        </xdr:to>
        <xdr:sp macro="" textlink="">
          <xdr:nvSpPr>
            <xdr:cNvPr id="971777" name="Spinner 1" hidden="1">
              <a:extLst>
                <a:ext uri="{63B3BB69-23CF-44E3-9099-C40C66FF867C}">
                  <a14:compatExt spid="_x0000_s971777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</xdr:wsDr>
</file>

<file path=xl/drawings/drawing40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152400</xdr:colOff>
      <xdr:row>2</xdr:row>
      <xdr:rowOff>9524</xdr:rowOff>
    </xdr:from>
    <xdr:to>
      <xdr:col>8</xdr:col>
      <xdr:colOff>657225</xdr:colOff>
      <xdr:row>15</xdr:row>
      <xdr:rowOff>9524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24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9</xdr:col>
          <xdr:colOff>19050</xdr:colOff>
          <xdr:row>0</xdr:row>
          <xdr:rowOff>38100</xdr:rowOff>
        </xdr:from>
        <xdr:to>
          <xdr:col>9</xdr:col>
          <xdr:colOff>400050</xdr:colOff>
          <xdr:row>1</xdr:row>
          <xdr:rowOff>152400</xdr:rowOff>
        </xdr:to>
        <xdr:sp macro="" textlink="">
          <xdr:nvSpPr>
            <xdr:cNvPr id="1940481" name="Spinner 1" hidden="1">
              <a:extLst>
                <a:ext uri="{63B3BB69-23CF-44E3-9099-C40C66FF867C}">
                  <a14:compatExt spid="_x0000_s1940481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</xdr:wsDr>
</file>

<file path=xl/drawings/drawing4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152400</xdr:colOff>
      <xdr:row>2</xdr:row>
      <xdr:rowOff>9524</xdr:rowOff>
    </xdr:from>
    <xdr:to>
      <xdr:col>8</xdr:col>
      <xdr:colOff>657225</xdr:colOff>
      <xdr:row>15</xdr:row>
      <xdr:rowOff>9524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24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9</xdr:col>
          <xdr:colOff>19050</xdr:colOff>
          <xdr:row>0</xdr:row>
          <xdr:rowOff>38100</xdr:rowOff>
        </xdr:from>
        <xdr:to>
          <xdr:col>9</xdr:col>
          <xdr:colOff>400050</xdr:colOff>
          <xdr:row>1</xdr:row>
          <xdr:rowOff>152400</xdr:rowOff>
        </xdr:to>
        <xdr:sp macro="" textlink="">
          <xdr:nvSpPr>
            <xdr:cNvPr id="972801" name="Spinner 1" hidden="1">
              <a:extLst>
                <a:ext uri="{63B3BB69-23CF-44E3-9099-C40C66FF867C}">
                  <a14:compatExt spid="_x0000_s972801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</xdr:wsDr>
</file>

<file path=xl/drawings/drawing4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152400</xdr:colOff>
      <xdr:row>2</xdr:row>
      <xdr:rowOff>9524</xdr:rowOff>
    </xdr:from>
    <xdr:to>
      <xdr:col>8</xdr:col>
      <xdr:colOff>657225</xdr:colOff>
      <xdr:row>15</xdr:row>
      <xdr:rowOff>9524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25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9</xdr:col>
          <xdr:colOff>19050</xdr:colOff>
          <xdr:row>0</xdr:row>
          <xdr:rowOff>38100</xdr:rowOff>
        </xdr:from>
        <xdr:to>
          <xdr:col>9</xdr:col>
          <xdr:colOff>400050</xdr:colOff>
          <xdr:row>1</xdr:row>
          <xdr:rowOff>152400</xdr:rowOff>
        </xdr:to>
        <xdr:sp macro="" textlink="">
          <xdr:nvSpPr>
            <xdr:cNvPr id="1590273" name="Spinner 1" hidden="1">
              <a:extLst>
                <a:ext uri="{63B3BB69-23CF-44E3-9099-C40C66FF867C}">
                  <a14:compatExt spid="_x0000_s1590273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</xdr:wsDr>
</file>

<file path=xl/drawings/drawing4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152400</xdr:colOff>
      <xdr:row>2</xdr:row>
      <xdr:rowOff>9524</xdr:rowOff>
    </xdr:from>
    <xdr:to>
      <xdr:col>8</xdr:col>
      <xdr:colOff>657225</xdr:colOff>
      <xdr:row>15</xdr:row>
      <xdr:rowOff>9524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25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9</xdr:col>
          <xdr:colOff>19050</xdr:colOff>
          <xdr:row>0</xdr:row>
          <xdr:rowOff>38100</xdr:rowOff>
        </xdr:from>
        <xdr:to>
          <xdr:col>9</xdr:col>
          <xdr:colOff>400050</xdr:colOff>
          <xdr:row>1</xdr:row>
          <xdr:rowOff>152400</xdr:rowOff>
        </xdr:to>
        <xdr:sp macro="" textlink="">
          <xdr:nvSpPr>
            <xdr:cNvPr id="973825" name="Spinner 1" hidden="1">
              <a:extLst>
                <a:ext uri="{63B3BB69-23CF-44E3-9099-C40C66FF867C}">
                  <a14:compatExt spid="_x0000_s973825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</xdr:wsDr>
</file>

<file path=xl/drawings/drawing4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152400</xdr:colOff>
      <xdr:row>2</xdr:row>
      <xdr:rowOff>9524</xdr:rowOff>
    </xdr:from>
    <xdr:to>
      <xdr:col>8</xdr:col>
      <xdr:colOff>657225</xdr:colOff>
      <xdr:row>15</xdr:row>
      <xdr:rowOff>9524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26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9</xdr:col>
          <xdr:colOff>19050</xdr:colOff>
          <xdr:row>0</xdr:row>
          <xdr:rowOff>38100</xdr:rowOff>
        </xdr:from>
        <xdr:to>
          <xdr:col>9</xdr:col>
          <xdr:colOff>400050</xdr:colOff>
          <xdr:row>1</xdr:row>
          <xdr:rowOff>152400</xdr:rowOff>
        </xdr:to>
        <xdr:sp macro="" textlink="">
          <xdr:nvSpPr>
            <xdr:cNvPr id="1759234" name="Spinner 2" hidden="1">
              <a:extLst>
                <a:ext uri="{63B3BB69-23CF-44E3-9099-C40C66FF867C}">
                  <a14:compatExt spid="_x0000_s1759234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</xdr:wsDr>
</file>

<file path=xl/drawings/drawing45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152400</xdr:colOff>
      <xdr:row>2</xdr:row>
      <xdr:rowOff>9524</xdr:rowOff>
    </xdr:from>
    <xdr:to>
      <xdr:col>8</xdr:col>
      <xdr:colOff>657225</xdr:colOff>
      <xdr:row>15</xdr:row>
      <xdr:rowOff>9524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26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9</xdr:col>
          <xdr:colOff>19050</xdr:colOff>
          <xdr:row>0</xdr:row>
          <xdr:rowOff>38100</xdr:rowOff>
        </xdr:from>
        <xdr:to>
          <xdr:col>9</xdr:col>
          <xdr:colOff>400050</xdr:colOff>
          <xdr:row>1</xdr:row>
          <xdr:rowOff>152400</xdr:rowOff>
        </xdr:to>
        <xdr:sp macro="" textlink="">
          <xdr:nvSpPr>
            <xdr:cNvPr id="974849" name="Spinner 1" hidden="1">
              <a:extLst>
                <a:ext uri="{63B3BB69-23CF-44E3-9099-C40C66FF867C}">
                  <a14:compatExt spid="_x0000_s974849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</xdr:wsDr>
</file>

<file path=xl/drawings/drawing46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152400</xdr:colOff>
      <xdr:row>2</xdr:row>
      <xdr:rowOff>9524</xdr:rowOff>
    </xdr:from>
    <xdr:to>
      <xdr:col>8</xdr:col>
      <xdr:colOff>657225</xdr:colOff>
      <xdr:row>15</xdr:row>
      <xdr:rowOff>9524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27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9</xdr:col>
          <xdr:colOff>19050</xdr:colOff>
          <xdr:row>0</xdr:row>
          <xdr:rowOff>38100</xdr:rowOff>
        </xdr:from>
        <xdr:to>
          <xdr:col>9</xdr:col>
          <xdr:colOff>400050</xdr:colOff>
          <xdr:row>1</xdr:row>
          <xdr:rowOff>152400</xdr:rowOff>
        </xdr:to>
        <xdr:sp macro="" textlink="">
          <xdr:nvSpPr>
            <xdr:cNvPr id="1941505" name="Spinner 1" hidden="1">
              <a:extLst>
                <a:ext uri="{63B3BB69-23CF-44E3-9099-C40C66FF867C}">
                  <a14:compatExt spid="_x0000_s1941505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</xdr:wsDr>
</file>

<file path=xl/drawings/drawing47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152400</xdr:colOff>
      <xdr:row>2</xdr:row>
      <xdr:rowOff>9524</xdr:rowOff>
    </xdr:from>
    <xdr:to>
      <xdr:col>8</xdr:col>
      <xdr:colOff>657225</xdr:colOff>
      <xdr:row>15</xdr:row>
      <xdr:rowOff>9524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27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9</xdr:col>
          <xdr:colOff>19050</xdr:colOff>
          <xdr:row>0</xdr:row>
          <xdr:rowOff>38100</xdr:rowOff>
        </xdr:from>
        <xdr:to>
          <xdr:col>9</xdr:col>
          <xdr:colOff>400050</xdr:colOff>
          <xdr:row>1</xdr:row>
          <xdr:rowOff>152400</xdr:rowOff>
        </xdr:to>
        <xdr:sp macro="" textlink="">
          <xdr:nvSpPr>
            <xdr:cNvPr id="975873" name="Spinner 1" hidden="1">
              <a:extLst>
                <a:ext uri="{63B3BB69-23CF-44E3-9099-C40C66FF867C}">
                  <a14:compatExt spid="_x0000_s975873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</xdr:wsDr>
</file>

<file path=xl/drawings/drawing48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152400</xdr:colOff>
      <xdr:row>2</xdr:row>
      <xdr:rowOff>9524</xdr:rowOff>
    </xdr:from>
    <xdr:to>
      <xdr:col>8</xdr:col>
      <xdr:colOff>657225</xdr:colOff>
      <xdr:row>15</xdr:row>
      <xdr:rowOff>9524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28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9</xdr:col>
          <xdr:colOff>19050</xdr:colOff>
          <xdr:row>0</xdr:row>
          <xdr:rowOff>38100</xdr:rowOff>
        </xdr:from>
        <xdr:to>
          <xdr:col>9</xdr:col>
          <xdr:colOff>400050</xdr:colOff>
          <xdr:row>1</xdr:row>
          <xdr:rowOff>152400</xdr:rowOff>
        </xdr:to>
        <xdr:sp macro="" textlink="">
          <xdr:nvSpPr>
            <xdr:cNvPr id="976897" name="Spinner 1" hidden="1">
              <a:extLst>
                <a:ext uri="{63B3BB69-23CF-44E3-9099-C40C66FF867C}">
                  <a14:compatExt spid="_x0000_s976897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</xdr:wsDr>
</file>

<file path=xl/drawings/drawing49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152400</xdr:colOff>
      <xdr:row>2</xdr:row>
      <xdr:rowOff>9524</xdr:rowOff>
    </xdr:from>
    <xdr:to>
      <xdr:col>8</xdr:col>
      <xdr:colOff>657225</xdr:colOff>
      <xdr:row>15</xdr:row>
      <xdr:rowOff>9524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29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9</xdr:col>
          <xdr:colOff>19050</xdr:colOff>
          <xdr:row>0</xdr:row>
          <xdr:rowOff>38100</xdr:rowOff>
        </xdr:from>
        <xdr:to>
          <xdr:col>9</xdr:col>
          <xdr:colOff>400050</xdr:colOff>
          <xdr:row>1</xdr:row>
          <xdr:rowOff>152400</xdr:rowOff>
        </xdr:to>
        <xdr:sp macro="" textlink="">
          <xdr:nvSpPr>
            <xdr:cNvPr id="977921" name="Spinner 1" hidden="1">
              <a:extLst>
                <a:ext uri="{63B3BB69-23CF-44E3-9099-C40C66FF867C}">
                  <a14:compatExt spid="_x0000_s977921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</xdr:wsDr>
</file>

<file path=xl/drawings/drawing50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152400</xdr:colOff>
      <xdr:row>2</xdr:row>
      <xdr:rowOff>9524</xdr:rowOff>
    </xdr:from>
    <xdr:to>
      <xdr:col>8</xdr:col>
      <xdr:colOff>657225</xdr:colOff>
      <xdr:row>15</xdr:row>
      <xdr:rowOff>9524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2A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9</xdr:col>
          <xdr:colOff>19050</xdr:colOff>
          <xdr:row>0</xdr:row>
          <xdr:rowOff>38100</xdr:rowOff>
        </xdr:from>
        <xdr:to>
          <xdr:col>9</xdr:col>
          <xdr:colOff>400050</xdr:colOff>
          <xdr:row>1</xdr:row>
          <xdr:rowOff>152400</xdr:rowOff>
        </xdr:to>
        <xdr:sp macro="" textlink="">
          <xdr:nvSpPr>
            <xdr:cNvPr id="978945" name="Spinner 1" hidden="1">
              <a:extLst>
                <a:ext uri="{63B3BB69-23CF-44E3-9099-C40C66FF867C}">
                  <a14:compatExt spid="_x0000_s978945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</xdr:wsDr>
</file>

<file path=xl/drawings/drawing5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152400</xdr:colOff>
      <xdr:row>2</xdr:row>
      <xdr:rowOff>9524</xdr:rowOff>
    </xdr:from>
    <xdr:to>
      <xdr:col>8</xdr:col>
      <xdr:colOff>657225</xdr:colOff>
      <xdr:row>15</xdr:row>
      <xdr:rowOff>9524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2B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9</xdr:col>
          <xdr:colOff>19050</xdr:colOff>
          <xdr:row>0</xdr:row>
          <xdr:rowOff>38100</xdr:rowOff>
        </xdr:from>
        <xdr:to>
          <xdr:col>9</xdr:col>
          <xdr:colOff>400050</xdr:colOff>
          <xdr:row>1</xdr:row>
          <xdr:rowOff>152400</xdr:rowOff>
        </xdr:to>
        <xdr:sp macro="" textlink="">
          <xdr:nvSpPr>
            <xdr:cNvPr id="979969" name="Spinner 1" hidden="1">
              <a:extLst>
                <a:ext uri="{63B3BB69-23CF-44E3-9099-C40C66FF867C}">
                  <a14:compatExt spid="_x0000_s979969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</xdr:wsDr>
</file>

<file path=xl/drawings/drawing5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152400</xdr:colOff>
      <xdr:row>2</xdr:row>
      <xdr:rowOff>9524</xdr:rowOff>
    </xdr:from>
    <xdr:to>
      <xdr:col>8</xdr:col>
      <xdr:colOff>657225</xdr:colOff>
      <xdr:row>15</xdr:row>
      <xdr:rowOff>9524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2C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9</xdr:col>
          <xdr:colOff>19050</xdr:colOff>
          <xdr:row>0</xdr:row>
          <xdr:rowOff>38100</xdr:rowOff>
        </xdr:from>
        <xdr:to>
          <xdr:col>9</xdr:col>
          <xdr:colOff>400050</xdr:colOff>
          <xdr:row>1</xdr:row>
          <xdr:rowOff>152400</xdr:rowOff>
        </xdr:to>
        <xdr:sp macro="" textlink="">
          <xdr:nvSpPr>
            <xdr:cNvPr id="980993" name="Spinner 1" hidden="1">
              <a:extLst>
                <a:ext uri="{63B3BB69-23CF-44E3-9099-C40C66FF867C}">
                  <a14:compatExt spid="_x0000_s980993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</xdr:wsDr>
</file>

<file path=xl/drawings/drawing5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152400</xdr:colOff>
      <xdr:row>2</xdr:row>
      <xdr:rowOff>9524</xdr:rowOff>
    </xdr:from>
    <xdr:to>
      <xdr:col>8</xdr:col>
      <xdr:colOff>657225</xdr:colOff>
      <xdr:row>15</xdr:row>
      <xdr:rowOff>9524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2D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9</xdr:col>
          <xdr:colOff>19050</xdr:colOff>
          <xdr:row>0</xdr:row>
          <xdr:rowOff>38100</xdr:rowOff>
        </xdr:from>
        <xdr:to>
          <xdr:col>9</xdr:col>
          <xdr:colOff>400050</xdr:colOff>
          <xdr:row>1</xdr:row>
          <xdr:rowOff>152400</xdr:rowOff>
        </xdr:to>
        <xdr:sp macro="" textlink="">
          <xdr:nvSpPr>
            <xdr:cNvPr id="982017" name="Spinner 1" hidden="1">
              <a:extLst>
                <a:ext uri="{63B3BB69-23CF-44E3-9099-C40C66FF867C}">
                  <a14:compatExt spid="_x0000_s982017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</xdr:wsDr>
</file>

<file path=xl/drawings/drawing5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152400</xdr:colOff>
      <xdr:row>2</xdr:row>
      <xdr:rowOff>9524</xdr:rowOff>
    </xdr:from>
    <xdr:to>
      <xdr:col>8</xdr:col>
      <xdr:colOff>657225</xdr:colOff>
      <xdr:row>15</xdr:row>
      <xdr:rowOff>9524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2E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9</xdr:col>
          <xdr:colOff>19050</xdr:colOff>
          <xdr:row>0</xdr:row>
          <xdr:rowOff>38100</xdr:rowOff>
        </xdr:from>
        <xdr:to>
          <xdr:col>9</xdr:col>
          <xdr:colOff>400050</xdr:colOff>
          <xdr:row>1</xdr:row>
          <xdr:rowOff>152400</xdr:rowOff>
        </xdr:to>
        <xdr:sp macro="" textlink="">
          <xdr:nvSpPr>
            <xdr:cNvPr id="983041" name="Spinner 1" hidden="1">
              <a:extLst>
                <a:ext uri="{63B3BB69-23CF-44E3-9099-C40C66FF867C}">
                  <a14:compatExt spid="_x0000_s983041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</xdr:wsDr>
</file>

<file path=xl/drawings/drawing55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152400</xdr:colOff>
      <xdr:row>2</xdr:row>
      <xdr:rowOff>9524</xdr:rowOff>
    </xdr:from>
    <xdr:to>
      <xdr:col>8</xdr:col>
      <xdr:colOff>657225</xdr:colOff>
      <xdr:row>15</xdr:row>
      <xdr:rowOff>9524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2F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9</xdr:col>
          <xdr:colOff>19050</xdr:colOff>
          <xdr:row>0</xdr:row>
          <xdr:rowOff>38100</xdr:rowOff>
        </xdr:from>
        <xdr:to>
          <xdr:col>9</xdr:col>
          <xdr:colOff>400050</xdr:colOff>
          <xdr:row>1</xdr:row>
          <xdr:rowOff>152400</xdr:rowOff>
        </xdr:to>
        <xdr:sp macro="" textlink="">
          <xdr:nvSpPr>
            <xdr:cNvPr id="984065" name="Spinner 1" hidden="1">
              <a:extLst>
                <a:ext uri="{63B3BB69-23CF-44E3-9099-C40C66FF867C}">
                  <a14:compatExt spid="_x0000_s984065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</xdr:wsDr>
</file>

<file path=xl/drawings/drawing56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152400</xdr:colOff>
      <xdr:row>2</xdr:row>
      <xdr:rowOff>9524</xdr:rowOff>
    </xdr:from>
    <xdr:to>
      <xdr:col>8</xdr:col>
      <xdr:colOff>657225</xdr:colOff>
      <xdr:row>15</xdr:row>
      <xdr:rowOff>9524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30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9</xdr:col>
          <xdr:colOff>19050</xdr:colOff>
          <xdr:row>0</xdr:row>
          <xdr:rowOff>38100</xdr:rowOff>
        </xdr:from>
        <xdr:to>
          <xdr:col>9</xdr:col>
          <xdr:colOff>400050</xdr:colOff>
          <xdr:row>1</xdr:row>
          <xdr:rowOff>152400</xdr:rowOff>
        </xdr:to>
        <xdr:sp macro="" textlink="">
          <xdr:nvSpPr>
            <xdr:cNvPr id="985089" name="Spinner 1" hidden="1">
              <a:extLst>
                <a:ext uri="{63B3BB69-23CF-44E3-9099-C40C66FF867C}">
                  <a14:compatExt spid="_x0000_s985089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</xdr:wsDr>
</file>

<file path=xl/drawings/drawing57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152400</xdr:colOff>
      <xdr:row>2</xdr:row>
      <xdr:rowOff>9524</xdr:rowOff>
    </xdr:from>
    <xdr:to>
      <xdr:col>8</xdr:col>
      <xdr:colOff>657225</xdr:colOff>
      <xdr:row>15</xdr:row>
      <xdr:rowOff>9524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31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9</xdr:col>
          <xdr:colOff>19050</xdr:colOff>
          <xdr:row>0</xdr:row>
          <xdr:rowOff>38100</xdr:rowOff>
        </xdr:from>
        <xdr:to>
          <xdr:col>9</xdr:col>
          <xdr:colOff>400050</xdr:colOff>
          <xdr:row>1</xdr:row>
          <xdr:rowOff>152400</xdr:rowOff>
        </xdr:to>
        <xdr:sp macro="" textlink="">
          <xdr:nvSpPr>
            <xdr:cNvPr id="1591297" name="Spinner 1" hidden="1">
              <a:extLst>
                <a:ext uri="{63B3BB69-23CF-44E3-9099-C40C66FF867C}">
                  <a14:compatExt spid="_x0000_s1591297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</xdr:wsDr>
</file>

<file path=xl/drawings/drawing58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152400</xdr:colOff>
      <xdr:row>2</xdr:row>
      <xdr:rowOff>9524</xdr:rowOff>
    </xdr:from>
    <xdr:to>
      <xdr:col>8</xdr:col>
      <xdr:colOff>657225</xdr:colOff>
      <xdr:row>15</xdr:row>
      <xdr:rowOff>9524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31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9</xdr:col>
          <xdr:colOff>19050</xdr:colOff>
          <xdr:row>0</xdr:row>
          <xdr:rowOff>38100</xdr:rowOff>
        </xdr:from>
        <xdr:to>
          <xdr:col>9</xdr:col>
          <xdr:colOff>400050</xdr:colOff>
          <xdr:row>1</xdr:row>
          <xdr:rowOff>152400</xdr:rowOff>
        </xdr:to>
        <xdr:sp macro="" textlink="">
          <xdr:nvSpPr>
            <xdr:cNvPr id="986113" name="Spinner 1" hidden="1">
              <a:extLst>
                <a:ext uri="{63B3BB69-23CF-44E3-9099-C40C66FF867C}">
                  <a14:compatExt spid="_x0000_s986113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</xdr:wsDr>
</file>

<file path=xl/drawings/drawing59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152400</xdr:colOff>
      <xdr:row>2</xdr:row>
      <xdr:rowOff>9524</xdr:rowOff>
    </xdr:from>
    <xdr:to>
      <xdr:col>8</xdr:col>
      <xdr:colOff>657225</xdr:colOff>
      <xdr:row>15</xdr:row>
      <xdr:rowOff>9524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32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9</xdr:col>
          <xdr:colOff>19050</xdr:colOff>
          <xdr:row>0</xdr:row>
          <xdr:rowOff>38100</xdr:rowOff>
        </xdr:from>
        <xdr:to>
          <xdr:col>9</xdr:col>
          <xdr:colOff>400050</xdr:colOff>
          <xdr:row>1</xdr:row>
          <xdr:rowOff>152400</xdr:rowOff>
        </xdr:to>
        <xdr:sp macro="" textlink="">
          <xdr:nvSpPr>
            <xdr:cNvPr id="987137" name="Spinner 1" hidden="1">
              <a:extLst>
                <a:ext uri="{63B3BB69-23CF-44E3-9099-C40C66FF867C}">
                  <a14:compatExt spid="_x0000_s987137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</xdr:wsDr>
</file>

<file path=xl/drawings/drawing60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152400</xdr:colOff>
      <xdr:row>2</xdr:row>
      <xdr:rowOff>9524</xdr:rowOff>
    </xdr:from>
    <xdr:to>
      <xdr:col>8</xdr:col>
      <xdr:colOff>657225</xdr:colOff>
      <xdr:row>15</xdr:row>
      <xdr:rowOff>9524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33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9</xdr:col>
          <xdr:colOff>19050</xdr:colOff>
          <xdr:row>0</xdr:row>
          <xdr:rowOff>38100</xdr:rowOff>
        </xdr:from>
        <xdr:to>
          <xdr:col>9</xdr:col>
          <xdr:colOff>400050</xdr:colOff>
          <xdr:row>1</xdr:row>
          <xdr:rowOff>152400</xdr:rowOff>
        </xdr:to>
        <xdr:sp macro="" textlink="">
          <xdr:nvSpPr>
            <xdr:cNvPr id="988161" name="Spinner 1" hidden="1">
              <a:extLst>
                <a:ext uri="{63B3BB69-23CF-44E3-9099-C40C66FF867C}">
                  <a14:compatExt spid="_x0000_s988161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</xdr:wsDr>
</file>

<file path=xl/drawings/drawing6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152400</xdr:colOff>
      <xdr:row>2</xdr:row>
      <xdr:rowOff>9524</xdr:rowOff>
    </xdr:from>
    <xdr:to>
      <xdr:col>8</xdr:col>
      <xdr:colOff>657225</xdr:colOff>
      <xdr:row>15</xdr:row>
      <xdr:rowOff>9524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34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9</xdr:col>
          <xdr:colOff>19050</xdr:colOff>
          <xdr:row>0</xdr:row>
          <xdr:rowOff>38100</xdr:rowOff>
        </xdr:from>
        <xdr:to>
          <xdr:col>9</xdr:col>
          <xdr:colOff>400050</xdr:colOff>
          <xdr:row>1</xdr:row>
          <xdr:rowOff>152400</xdr:rowOff>
        </xdr:to>
        <xdr:sp macro="" textlink="">
          <xdr:nvSpPr>
            <xdr:cNvPr id="989185" name="Spinner 1" hidden="1">
              <a:extLst>
                <a:ext uri="{63B3BB69-23CF-44E3-9099-C40C66FF867C}">
                  <a14:compatExt spid="_x0000_s989185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</xdr:wsDr>
</file>

<file path=xl/drawings/drawing6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152400</xdr:colOff>
      <xdr:row>2</xdr:row>
      <xdr:rowOff>9524</xdr:rowOff>
    </xdr:from>
    <xdr:to>
      <xdr:col>8</xdr:col>
      <xdr:colOff>657225</xdr:colOff>
      <xdr:row>15</xdr:row>
      <xdr:rowOff>9524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35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9</xdr:col>
          <xdr:colOff>19050</xdr:colOff>
          <xdr:row>0</xdr:row>
          <xdr:rowOff>38100</xdr:rowOff>
        </xdr:from>
        <xdr:to>
          <xdr:col>9</xdr:col>
          <xdr:colOff>400050</xdr:colOff>
          <xdr:row>1</xdr:row>
          <xdr:rowOff>152400</xdr:rowOff>
        </xdr:to>
        <xdr:sp macro="" textlink="">
          <xdr:nvSpPr>
            <xdr:cNvPr id="990209" name="Spinner 1" hidden="1">
              <a:extLst>
                <a:ext uri="{63B3BB69-23CF-44E3-9099-C40C66FF867C}">
                  <a14:compatExt spid="_x0000_s990209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</xdr:wsDr>
</file>

<file path=xl/drawings/drawing6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152400</xdr:colOff>
      <xdr:row>2</xdr:row>
      <xdr:rowOff>9524</xdr:rowOff>
    </xdr:from>
    <xdr:to>
      <xdr:col>8</xdr:col>
      <xdr:colOff>657225</xdr:colOff>
      <xdr:row>15</xdr:row>
      <xdr:rowOff>9524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36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9</xdr:col>
          <xdr:colOff>19050</xdr:colOff>
          <xdr:row>0</xdr:row>
          <xdr:rowOff>38100</xdr:rowOff>
        </xdr:from>
        <xdr:to>
          <xdr:col>9</xdr:col>
          <xdr:colOff>400050</xdr:colOff>
          <xdr:row>1</xdr:row>
          <xdr:rowOff>152400</xdr:rowOff>
        </xdr:to>
        <xdr:sp macro="" textlink="">
          <xdr:nvSpPr>
            <xdr:cNvPr id="991233" name="Spinner 1" hidden="1">
              <a:extLst>
                <a:ext uri="{63B3BB69-23CF-44E3-9099-C40C66FF867C}">
                  <a14:compatExt spid="_x0000_s991233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</xdr:wsDr>
</file>

<file path=xl/drawings/drawing6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152400</xdr:colOff>
      <xdr:row>2</xdr:row>
      <xdr:rowOff>9524</xdr:rowOff>
    </xdr:from>
    <xdr:to>
      <xdr:col>8</xdr:col>
      <xdr:colOff>657225</xdr:colOff>
      <xdr:row>15</xdr:row>
      <xdr:rowOff>9524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37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9</xdr:col>
          <xdr:colOff>19050</xdr:colOff>
          <xdr:row>0</xdr:row>
          <xdr:rowOff>38100</xdr:rowOff>
        </xdr:from>
        <xdr:to>
          <xdr:col>9</xdr:col>
          <xdr:colOff>400050</xdr:colOff>
          <xdr:row>1</xdr:row>
          <xdr:rowOff>152400</xdr:rowOff>
        </xdr:to>
        <xdr:sp macro="" textlink="">
          <xdr:nvSpPr>
            <xdr:cNvPr id="992257" name="Spinner 1" hidden="1">
              <a:extLst>
                <a:ext uri="{63B3BB69-23CF-44E3-9099-C40C66FF867C}">
                  <a14:compatExt spid="_x0000_s992257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</xdr:wsDr>
</file>

<file path=xl/drawings/drawing65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152400</xdr:colOff>
      <xdr:row>2</xdr:row>
      <xdr:rowOff>9524</xdr:rowOff>
    </xdr:from>
    <xdr:to>
      <xdr:col>8</xdr:col>
      <xdr:colOff>657225</xdr:colOff>
      <xdr:row>15</xdr:row>
      <xdr:rowOff>9524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38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9</xdr:col>
          <xdr:colOff>19050</xdr:colOff>
          <xdr:row>0</xdr:row>
          <xdr:rowOff>38100</xdr:rowOff>
        </xdr:from>
        <xdr:to>
          <xdr:col>9</xdr:col>
          <xdr:colOff>400050</xdr:colOff>
          <xdr:row>1</xdr:row>
          <xdr:rowOff>152400</xdr:rowOff>
        </xdr:to>
        <xdr:sp macro="" textlink="">
          <xdr:nvSpPr>
            <xdr:cNvPr id="993281" name="Spinner 1" hidden="1">
              <a:extLst>
                <a:ext uri="{63B3BB69-23CF-44E3-9099-C40C66FF867C}">
                  <a14:compatExt spid="_x0000_s993281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</xdr:wsDr>
</file>

<file path=xl/drawings/drawing66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152400</xdr:colOff>
      <xdr:row>2</xdr:row>
      <xdr:rowOff>9524</xdr:rowOff>
    </xdr:from>
    <xdr:to>
      <xdr:col>8</xdr:col>
      <xdr:colOff>657225</xdr:colOff>
      <xdr:row>15</xdr:row>
      <xdr:rowOff>9524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39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9</xdr:col>
          <xdr:colOff>19050</xdr:colOff>
          <xdr:row>0</xdr:row>
          <xdr:rowOff>38100</xdr:rowOff>
        </xdr:from>
        <xdr:to>
          <xdr:col>9</xdr:col>
          <xdr:colOff>400050</xdr:colOff>
          <xdr:row>1</xdr:row>
          <xdr:rowOff>152400</xdr:rowOff>
        </xdr:to>
        <xdr:sp macro="" textlink="">
          <xdr:nvSpPr>
            <xdr:cNvPr id="994305" name="Spinner 1" hidden="1">
              <a:extLst>
                <a:ext uri="{63B3BB69-23CF-44E3-9099-C40C66FF867C}">
                  <a14:compatExt spid="_x0000_s994305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</xdr:wsDr>
</file>

<file path=xl/drawings/drawing67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152400</xdr:colOff>
      <xdr:row>2</xdr:row>
      <xdr:rowOff>9524</xdr:rowOff>
    </xdr:from>
    <xdr:to>
      <xdr:col>8</xdr:col>
      <xdr:colOff>657225</xdr:colOff>
      <xdr:row>15</xdr:row>
      <xdr:rowOff>9524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3A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9</xdr:col>
          <xdr:colOff>19050</xdr:colOff>
          <xdr:row>0</xdr:row>
          <xdr:rowOff>38100</xdr:rowOff>
        </xdr:from>
        <xdr:to>
          <xdr:col>9</xdr:col>
          <xdr:colOff>400050</xdr:colOff>
          <xdr:row>1</xdr:row>
          <xdr:rowOff>152400</xdr:rowOff>
        </xdr:to>
        <xdr:sp macro="" textlink="">
          <xdr:nvSpPr>
            <xdr:cNvPr id="995329" name="Spinner 1" hidden="1">
              <a:extLst>
                <a:ext uri="{63B3BB69-23CF-44E3-9099-C40C66FF867C}">
                  <a14:compatExt spid="_x0000_s995329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</xdr:wsDr>
</file>

<file path=xl/drawings/drawing68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152400</xdr:colOff>
      <xdr:row>2</xdr:row>
      <xdr:rowOff>9524</xdr:rowOff>
    </xdr:from>
    <xdr:to>
      <xdr:col>8</xdr:col>
      <xdr:colOff>657225</xdr:colOff>
      <xdr:row>15</xdr:row>
      <xdr:rowOff>9524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3B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9</xdr:col>
          <xdr:colOff>19050</xdr:colOff>
          <xdr:row>0</xdr:row>
          <xdr:rowOff>38100</xdr:rowOff>
        </xdr:from>
        <xdr:to>
          <xdr:col>9</xdr:col>
          <xdr:colOff>400050</xdr:colOff>
          <xdr:row>1</xdr:row>
          <xdr:rowOff>152400</xdr:rowOff>
        </xdr:to>
        <xdr:sp macro="" textlink="">
          <xdr:nvSpPr>
            <xdr:cNvPr id="996353" name="Spinner 1" hidden="1">
              <a:extLst>
                <a:ext uri="{63B3BB69-23CF-44E3-9099-C40C66FF867C}">
                  <a14:compatExt spid="_x0000_s996353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</xdr:wsDr>
</file>

<file path=xl/drawings/drawing69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152400</xdr:colOff>
      <xdr:row>2</xdr:row>
      <xdr:rowOff>9524</xdr:rowOff>
    </xdr:from>
    <xdr:to>
      <xdr:col>8</xdr:col>
      <xdr:colOff>657225</xdr:colOff>
      <xdr:row>15</xdr:row>
      <xdr:rowOff>9524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3C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9</xdr:col>
          <xdr:colOff>19050</xdr:colOff>
          <xdr:row>0</xdr:row>
          <xdr:rowOff>38100</xdr:rowOff>
        </xdr:from>
        <xdr:to>
          <xdr:col>9</xdr:col>
          <xdr:colOff>400050</xdr:colOff>
          <xdr:row>1</xdr:row>
          <xdr:rowOff>152400</xdr:rowOff>
        </xdr:to>
        <xdr:sp macro="" textlink="">
          <xdr:nvSpPr>
            <xdr:cNvPr id="2122753" name="Spinner 1" hidden="1">
              <a:extLst>
                <a:ext uri="{63B3BB69-23CF-44E3-9099-C40C66FF867C}">
                  <a14:compatExt spid="_x0000_s2122753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</xdr:wsDr>
</file>

<file path=xl/drawings/drawing70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152400</xdr:colOff>
      <xdr:row>2</xdr:row>
      <xdr:rowOff>9524</xdr:rowOff>
    </xdr:from>
    <xdr:to>
      <xdr:col>8</xdr:col>
      <xdr:colOff>657225</xdr:colOff>
      <xdr:row>15</xdr:row>
      <xdr:rowOff>9524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3C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9</xdr:col>
          <xdr:colOff>19050</xdr:colOff>
          <xdr:row>0</xdr:row>
          <xdr:rowOff>38100</xdr:rowOff>
        </xdr:from>
        <xdr:to>
          <xdr:col>9</xdr:col>
          <xdr:colOff>400050</xdr:colOff>
          <xdr:row>1</xdr:row>
          <xdr:rowOff>152400</xdr:rowOff>
        </xdr:to>
        <xdr:sp macro="" textlink="">
          <xdr:nvSpPr>
            <xdr:cNvPr id="997377" name="Spinner 1" hidden="1">
              <a:extLst>
                <a:ext uri="{63B3BB69-23CF-44E3-9099-C40C66FF867C}">
                  <a14:compatExt spid="_x0000_s997377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</xdr:wsDr>
</file>

<file path=xl/drawings/drawing7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152400</xdr:colOff>
      <xdr:row>2</xdr:row>
      <xdr:rowOff>9524</xdr:rowOff>
    </xdr:from>
    <xdr:to>
      <xdr:col>8</xdr:col>
      <xdr:colOff>657225</xdr:colOff>
      <xdr:row>15</xdr:row>
      <xdr:rowOff>9524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3D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9</xdr:col>
          <xdr:colOff>19050</xdr:colOff>
          <xdr:row>0</xdr:row>
          <xdr:rowOff>38100</xdr:rowOff>
        </xdr:from>
        <xdr:to>
          <xdr:col>9</xdr:col>
          <xdr:colOff>400050</xdr:colOff>
          <xdr:row>1</xdr:row>
          <xdr:rowOff>152400</xdr:rowOff>
        </xdr:to>
        <xdr:sp macro="" textlink="">
          <xdr:nvSpPr>
            <xdr:cNvPr id="1592321" name="Spinner 1" hidden="1">
              <a:extLst>
                <a:ext uri="{63B3BB69-23CF-44E3-9099-C40C66FF867C}">
                  <a14:compatExt spid="_x0000_s1592321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</xdr:wsDr>
</file>

<file path=xl/drawings/drawing7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152400</xdr:colOff>
      <xdr:row>2</xdr:row>
      <xdr:rowOff>9524</xdr:rowOff>
    </xdr:from>
    <xdr:to>
      <xdr:col>8</xdr:col>
      <xdr:colOff>657225</xdr:colOff>
      <xdr:row>15</xdr:row>
      <xdr:rowOff>9524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3D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9</xdr:col>
          <xdr:colOff>19050</xdr:colOff>
          <xdr:row>0</xdr:row>
          <xdr:rowOff>38100</xdr:rowOff>
        </xdr:from>
        <xdr:to>
          <xdr:col>9</xdr:col>
          <xdr:colOff>400050</xdr:colOff>
          <xdr:row>1</xdr:row>
          <xdr:rowOff>152400</xdr:rowOff>
        </xdr:to>
        <xdr:sp macro="" textlink="">
          <xdr:nvSpPr>
            <xdr:cNvPr id="998401" name="Spinner 1" hidden="1">
              <a:extLst>
                <a:ext uri="{63B3BB69-23CF-44E3-9099-C40C66FF867C}">
                  <a14:compatExt spid="_x0000_s998401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</xdr:wsDr>
</file>

<file path=xl/drawings/drawing7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152400</xdr:colOff>
      <xdr:row>2</xdr:row>
      <xdr:rowOff>9524</xdr:rowOff>
    </xdr:from>
    <xdr:to>
      <xdr:col>8</xdr:col>
      <xdr:colOff>657225</xdr:colOff>
      <xdr:row>15</xdr:row>
      <xdr:rowOff>9524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3E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9</xdr:col>
          <xdr:colOff>19050</xdr:colOff>
          <xdr:row>0</xdr:row>
          <xdr:rowOff>38100</xdr:rowOff>
        </xdr:from>
        <xdr:to>
          <xdr:col>9</xdr:col>
          <xdr:colOff>400050</xdr:colOff>
          <xdr:row>1</xdr:row>
          <xdr:rowOff>152400</xdr:rowOff>
        </xdr:to>
        <xdr:sp macro="" textlink="">
          <xdr:nvSpPr>
            <xdr:cNvPr id="1760257" name="Spinner 1" hidden="1">
              <a:extLst>
                <a:ext uri="{63B3BB69-23CF-44E3-9099-C40C66FF867C}">
                  <a14:compatExt spid="_x0000_s1760257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</xdr:wsDr>
</file>

<file path=xl/drawings/drawing7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152400</xdr:colOff>
      <xdr:row>2</xdr:row>
      <xdr:rowOff>9524</xdr:rowOff>
    </xdr:from>
    <xdr:to>
      <xdr:col>8</xdr:col>
      <xdr:colOff>657225</xdr:colOff>
      <xdr:row>15</xdr:row>
      <xdr:rowOff>9524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3E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9</xdr:col>
          <xdr:colOff>19050</xdr:colOff>
          <xdr:row>0</xdr:row>
          <xdr:rowOff>38100</xdr:rowOff>
        </xdr:from>
        <xdr:to>
          <xdr:col>9</xdr:col>
          <xdr:colOff>400050</xdr:colOff>
          <xdr:row>1</xdr:row>
          <xdr:rowOff>152400</xdr:rowOff>
        </xdr:to>
        <xdr:sp macro="" textlink="">
          <xdr:nvSpPr>
            <xdr:cNvPr id="999425" name="Spinner 1" hidden="1">
              <a:extLst>
                <a:ext uri="{63B3BB69-23CF-44E3-9099-C40C66FF867C}">
                  <a14:compatExt spid="_x0000_s999425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</xdr:wsDr>
</file>

<file path=xl/drawings/drawing75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152400</xdr:colOff>
      <xdr:row>2</xdr:row>
      <xdr:rowOff>9524</xdr:rowOff>
    </xdr:from>
    <xdr:to>
      <xdr:col>8</xdr:col>
      <xdr:colOff>657225</xdr:colOff>
      <xdr:row>15</xdr:row>
      <xdr:rowOff>9524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3F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9</xdr:col>
          <xdr:colOff>19050</xdr:colOff>
          <xdr:row>0</xdr:row>
          <xdr:rowOff>38100</xdr:rowOff>
        </xdr:from>
        <xdr:to>
          <xdr:col>9</xdr:col>
          <xdr:colOff>400050</xdr:colOff>
          <xdr:row>1</xdr:row>
          <xdr:rowOff>152400</xdr:rowOff>
        </xdr:to>
        <xdr:sp macro="" textlink="">
          <xdr:nvSpPr>
            <xdr:cNvPr id="2121729" name="Spinner 1" hidden="1">
              <a:extLst>
                <a:ext uri="{63B3BB69-23CF-44E3-9099-C40C66FF867C}">
                  <a14:compatExt spid="_x0000_s2121729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</xdr:wsDr>
</file>

<file path=xl/drawings/drawing76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152400</xdr:colOff>
      <xdr:row>2</xdr:row>
      <xdr:rowOff>9524</xdr:rowOff>
    </xdr:from>
    <xdr:to>
      <xdr:col>8</xdr:col>
      <xdr:colOff>657225</xdr:colOff>
      <xdr:row>15</xdr:row>
      <xdr:rowOff>9524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3F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9</xdr:col>
          <xdr:colOff>19050</xdr:colOff>
          <xdr:row>0</xdr:row>
          <xdr:rowOff>38100</xdr:rowOff>
        </xdr:from>
        <xdr:to>
          <xdr:col>9</xdr:col>
          <xdr:colOff>400050</xdr:colOff>
          <xdr:row>1</xdr:row>
          <xdr:rowOff>152400</xdr:rowOff>
        </xdr:to>
        <xdr:sp macro="" textlink="">
          <xdr:nvSpPr>
            <xdr:cNvPr id="1000449" name="Spinner 1" hidden="1">
              <a:extLst>
                <a:ext uri="{63B3BB69-23CF-44E3-9099-C40C66FF867C}">
                  <a14:compatExt spid="_x0000_s1000449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</xdr:wsDr>
</file>

<file path=xl/drawings/drawing77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152400</xdr:colOff>
      <xdr:row>2</xdr:row>
      <xdr:rowOff>9524</xdr:rowOff>
    </xdr:from>
    <xdr:to>
      <xdr:col>8</xdr:col>
      <xdr:colOff>657225</xdr:colOff>
      <xdr:row>15</xdr:row>
      <xdr:rowOff>9524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40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9</xdr:col>
          <xdr:colOff>19050</xdr:colOff>
          <xdr:row>0</xdr:row>
          <xdr:rowOff>38100</xdr:rowOff>
        </xdr:from>
        <xdr:to>
          <xdr:col>9</xdr:col>
          <xdr:colOff>400050</xdr:colOff>
          <xdr:row>1</xdr:row>
          <xdr:rowOff>152400</xdr:rowOff>
        </xdr:to>
        <xdr:sp macro="" textlink="">
          <xdr:nvSpPr>
            <xdr:cNvPr id="1001473" name="Spinner 1" hidden="1">
              <a:extLst>
                <a:ext uri="{63B3BB69-23CF-44E3-9099-C40C66FF867C}">
                  <a14:compatExt spid="_x0000_s1001473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</xdr:wsDr>
</file>

<file path=xl/drawings/drawing78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152400</xdr:colOff>
      <xdr:row>2</xdr:row>
      <xdr:rowOff>9524</xdr:rowOff>
    </xdr:from>
    <xdr:to>
      <xdr:col>8</xdr:col>
      <xdr:colOff>657225</xdr:colOff>
      <xdr:row>15</xdr:row>
      <xdr:rowOff>9524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41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9</xdr:col>
          <xdr:colOff>19050</xdr:colOff>
          <xdr:row>0</xdr:row>
          <xdr:rowOff>38100</xdr:rowOff>
        </xdr:from>
        <xdr:to>
          <xdr:col>9</xdr:col>
          <xdr:colOff>400050</xdr:colOff>
          <xdr:row>1</xdr:row>
          <xdr:rowOff>152400</xdr:rowOff>
        </xdr:to>
        <xdr:sp macro="" textlink="">
          <xdr:nvSpPr>
            <xdr:cNvPr id="1002497" name="Spinner 1" hidden="1">
              <a:extLst>
                <a:ext uri="{63B3BB69-23CF-44E3-9099-C40C66FF867C}">
                  <a14:compatExt spid="_x0000_s1002497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</xdr:wsDr>
</file>

<file path=xl/drawings/drawing79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152400</xdr:colOff>
      <xdr:row>2</xdr:row>
      <xdr:rowOff>9524</xdr:rowOff>
    </xdr:from>
    <xdr:to>
      <xdr:col>8</xdr:col>
      <xdr:colOff>657225</xdr:colOff>
      <xdr:row>15</xdr:row>
      <xdr:rowOff>9524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42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9</xdr:col>
          <xdr:colOff>19050</xdr:colOff>
          <xdr:row>0</xdr:row>
          <xdr:rowOff>38100</xdr:rowOff>
        </xdr:from>
        <xdr:to>
          <xdr:col>9</xdr:col>
          <xdr:colOff>400050</xdr:colOff>
          <xdr:row>1</xdr:row>
          <xdr:rowOff>152400</xdr:rowOff>
        </xdr:to>
        <xdr:sp macro="" textlink="">
          <xdr:nvSpPr>
            <xdr:cNvPr id="1003521" name="Spinner 1" hidden="1">
              <a:extLst>
                <a:ext uri="{63B3BB69-23CF-44E3-9099-C40C66FF867C}">
                  <a14:compatExt spid="_x0000_s1003521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</xdr:wsDr>
</file>

<file path=xl/drawings/drawing80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152400</xdr:colOff>
      <xdr:row>2</xdr:row>
      <xdr:rowOff>9524</xdr:rowOff>
    </xdr:from>
    <xdr:to>
      <xdr:col>8</xdr:col>
      <xdr:colOff>657225</xdr:colOff>
      <xdr:row>15</xdr:row>
      <xdr:rowOff>9524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43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9</xdr:col>
          <xdr:colOff>19050</xdr:colOff>
          <xdr:row>0</xdr:row>
          <xdr:rowOff>38100</xdr:rowOff>
        </xdr:from>
        <xdr:to>
          <xdr:col>9</xdr:col>
          <xdr:colOff>400050</xdr:colOff>
          <xdr:row>1</xdr:row>
          <xdr:rowOff>152400</xdr:rowOff>
        </xdr:to>
        <xdr:sp macro="" textlink="">
          <xdr:nvSpPr>
            <xdr:cNvPr id="1004545" name="Spinner 1" hidden="1">
              <a:extLst>
                <a:ext uri="{63B3BB69-23CF-44E3-9099-C40C66FF867C}">
                  <a14:compatExt spid="_x0000_s1004545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</xdr:wsDr>
</file>

<file path=xl/drawings/drawing8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152400</xdr:colOff>
      <xdr:row>2</xdr:row>
      <xdr:rowOff>9524</xdr:rowOff>
    </xdr:from>
    <xdr:to>
      <xdr:col>8</xdr:col>
      <xdr:colOff>657225</xdr:colOff>
      <xdr:row>15</xdr:row>
      <xdr:rowOff>9524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44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9</xdr:col>
          <xdr:colOff>19050</xdr:colOff>
          <xdr:row>0</xdr:row>
          <xdr:rowOff>38100</xdr:rowOff>
        </xdr:from>
        <xdr:to>
          <xdr:col>9</xdr:col>
          <xdr:colOff>400050</xdr:colOff>
          <xdr:row>1</xdr:row>
          <xdr:rowOff>152400</xdr:rowOff>
        </xdr:to>
        <xdr:sp macro="" textlink="">
          <xdr:nvSpPr>
            <xdr:cNvPr id="1005569" name="Spinner 1" hidden="1">
              <a:extLst>
                <a:ext uri="{63B3BB69-23CF-44E3-9099-C40C66FF867C}">
                  <a14:compatExt spid="_x0000_s1005569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</xdr:wsDr>
</file>

<file path=xl/drawings/drawing8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152400</xdr:colOff>
      <xdr:row>2</xdr:row>
      <xdr:rowOff>9524</xdr:rowOff>
    </xdr:from>
    <xdr:to>
      <xdr:col>8</xdr:col>
      <xdr:colOff>657225</xdr:colOff>
      <xdr:row>15</xdr:row>
      <xdr:rowOff>9524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45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9</xdr:col>
          <xdr:colOff>19050</xdr:colOff>
          <xdr:row>0</xdr:row>
          <xdr:rowOff>38100</xdr:rowOff>
        </xdr:from>
        <xdr:to>
          <xdr:col>9</xdr:col>
          <xdr:colOff>400050</xdr:colOff>
          <xdr:row>1</xdr:row>
          <xdr:rowOff>152400</xdr:rowOff>
        </xdr:to>
        <xdr:sp macro="" textlink="">
          <xdr:nvSpPr>
            <xdr:cNvPr id="1006593" name="Spinner 1" hidden="1">
              <a:extLst>
                <a:ext uri="{63B3BB69-23CF-44E3-9099-C40C66FF867C}">
                  <a14:compatExt spid="_x0000_s1006593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</xdr:wsDr>
</file>

<file path=xl/drawings/drawing8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152400</xdr:colOff>
      <xdr:row>2</xdr:row>
      <xdr:rowOff>9524</xdr:rowOff>
    </xdr:from>
    <xdr:to>
      <xdr:col>8</xdr:col>
      <xdr:colOff>657225</xdr:colOff>
      <xdr:row>15</xdr:row>
      <xdr:rowOff>9524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46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9</xdr:col>
          <xdr:colOff>19050</xdr:colOff>
          <xdr:row>0</xdr:row>
          <xdr:rowOff>38100</xdr:rowOff>
        </xdr:from>
        <xdr:to>
          <xdr:col>9</xdr:col>
          <xdr:colOff>400050</xdr:colOff>
          <xdr:row>1</xdr:row>
          <xdr:rowOff>152400</xdr:rowOff>
        </xdr:to>
        <xdr:sp macro="" textlink="">
          <xdr:nvSpPr>
            <xdr:cNvPr id="1007617" name="Spinner 1" hidden="1">
              <a:extLst>
                <a:ext uri="{63B3BB69-23CF-44E3-9099-C40C66FF867C}">
                  <a14:compatExt spid="_x0000_s1007617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</xdr:wsDr>
</file>

<file path=xl/drawings/drawing8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152400</xdr:colOff>
      <xdr:row>2</xdr:row>
      <xdr:rowOff>9524</xdr:rowOff>
    </xdr:from>
    <xdr:to>
      <xdr:col>8</xdr:col>
      <xdr:colOff>657225</xdr:colOff>
      <xdr:row>15</xdr:row>
      <xdr:rowOff>9524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47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9</xdr:col>
          <xdr:colOff>19050</xdr:colOff>
          <xdr:row>0</xdr:row>
          <xdr:rowOff>38100</xdr:rowOff>
        </xdr:from>
        <xdr:to>
          <xdr:col>9</xdr:col>
          <xdr:colOff>400050</xdr:colOff>
          <xdr:row>1</xdr:row>
          <xdr:rowOff>152400</xdr:rowOff>
        </xdr:to>
        <xdr:sp macro="" textlink="">
          <xdr:nvSpPr>
            <xdr:cNvPr id="1008641" name="Spinner 1" hidden="1">
              <a:extLst>
                <a:ext uri="{63B3BB69-23CF-44E3-9099-C40C66FF867C}">
                  <a14:compatExt spid="_x0000_s1008641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</xdr:wsDr>
</file>

<file path=xl/drawings/drawing85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152400</xdr:colOff>
      <xdr:row>2</xdr:row>
      <xdr:rowOff>9524</xdr:rowOff>
    </xdr:from>
    <xdr:to>
      <xdr:col>8</xdr:col>
      <xdr:colOff>657225</xdr:colOff>
      <xdr:row>15</xdr:row>
      <xdr:rowOff>9524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48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9</xdr:col>
          <xdr:colOff>19050</xdr:colOff>
          <xdr:row>0</xdr:row>
          <xdr:rowOff>38100</xdr:rowOff>
        </xdr:from>
        <xdr:to>
          <xdr:col>9</xdr:col>
          <xdr:colOff>400050</xdr:colOff>
          <xdr:row>1</xdr:row>
          <xdr:rowOff>152400</xdr:rowOff>
        </xdr:to>
        <xdr:sp macro="" textlink="">
          <xdr:nvSpPr>
            <xdr:cNvPr id="1009665" name="Spinner 1" hidden="1">
              <a:extLst>
                <a:ext uri="{63B3BB69-23CF-44E3-9099-C40C66FF867C}">
                  <a14:compatExt spid="_x0000_s1009665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</xdr:wsDr>
</file>

<file path=xl/drawings/drawing86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152400</xdr:colOff>
      <xdr:row>2</xdr:row>
      <xdr:rowOff>9524</xdr:rowOff>
    </xdr:from>
    <xdr:to>
      <xdr:col>8</xdr:col>
      <xdr:colOff>657225</xdr:colOff>
      <xdr:row>15</xdr:row>
      <xdr:rowOff>9524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49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9</xdr:col>
          <xdr:colOff>19050</xdr:colOff>
          <xdr:row>0</xdr:row>
          <xdr:rowOff>38100</xdr:rowOff>
        </xdr:from>
        <xdr:to>
          <xdr:col>9</xdr:col>
          <xdr:colOff>400050</xdr:colOff>
          <xdr:row>1</xdr:row>
          <xdr:rowOff>152400</xdr:rowOff>
        </xdr:to>
        <xdr:sp macro="" textlink="">
          <xdr:nvSpPr>
            <xdr:cNvPr id="1593345" name="Spinner 1" hidden="1">
              <a:extLst>
                <a:ext uri="{63B3BB69-23CF-44E3-9099-C40C66FF867C}">
                  <a14:compatExt spid="_x0000_s1593345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</xdr:wsDr>
</file>

<file path=xl/drawings/drawing87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152400</xdr:colOff>
      <xdr:row>2</xdr:row>
      <xdr:rowOff>9524</xdr:rowOff>
    </xdr:from>
    <xdr:to>
      <xdr:col>8</xdr:col>
      <xdr:colOff>657225</xdr:colOff>
      <xdr:row>15</xdr:row>
      <xdr:rowOff>9524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49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9</xdr:col>
          <xdr:colOff>19050</xdr:colOff>
          <xdr:row>0</xdr:row>
          <xdr:rowOff>38100</xdr:rowOff>
        </xdr:from>
        <xdr:to>
          <xdr:col>9</xdr:col>
          <xdr:colOff>400050</xdr:colOff>
          <xdr:row>1</xdr:row>
          <xdr:rowOff>152400</xdr:rowOff>
        </xdr:to>
        <xdr:sp macro="" textlink="">
          <xdr:nvSpPr>
            <xdr:cNvPr id="1010689" name="Spinner 1" hidden="1">
              <a:extLst>
                <a:ext uri="{63B3BB69-23CF-44E3-9099-C40C66FF867C}">
                  <a14:compatExt spid="_x0000_s1010689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</xdr:wsDr>
</file>

<file path=xl/drawings/drawing88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152400</xdr:colOff>
      <xdr:row>2</xdr:row>
      <xdr:rowOff>9524</xdr:rowOff>
    </xdr:from>
    <xdr:to>
      <xdr:col>8</xdr:col>
      <xdr:colOff>657225</xdr:colOff>
      <xdr:row>15</xdr:row>
      <xdr:rowOff>9524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4A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9</xdr:col>
          <xdr:colOff>19050</xdr:colOff>
          <xdr:row>0</xdr:row>
          <xdr:rowOff>38100</xdr:rowOff>
        </xdr:from>
        <xdr:to>
          <xdr:col>9</xdr:col>
          <xdr:colOff>400050</xdr:colOff>
          <xdr:row>1</xdr:row>
          <xdr:rowOff>152400</xdr:rowOff>
        </xdr:to>
        <xdr:sp macro="" textlink="">
          <xdr:nvSpPr>
            <xdr:cNvPr id="1011713" name="Spinner 1" hidden="1">
              <a:extLst>
                <a:ext uri="{63B3BB69-23CF-44E3-9099-C40C66FF867C}">
                  <a14:compatExt spid="_x0000_s1011713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</xdr:wsDr>
</file>

<file path=xl/drawings/drawing89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152400</xdr:colOff>
      <xdr:row>2</xdr:row>
      <xdr:rowOff>9524</xdr:rowOff>
    </xdr:from>
    <xdr:to>
      <xdr:col>8</xdr:col>
      <xdr:colOff>657225</xdr:colOff>
      <xdr:row>15</xdr:row>
      <xdr:rowOff>9524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4B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9</xdr:col>
          <xdr:colOff>19050</xdr:colOff>
          <xdr:row>0</xdr:row>
          <xdr:rowOff>38100</xdr:rowOff>
        </xdr:from>
        <xdr:to>
          <xdr:col>9</xdr:col>
          <xdr:colOff>400050</xdr:colOff>
          <xdr:row>1</xdr:row>
          <xdr:rowOff>152400</xdr:rowOff>
        </xdr:to>
        <xdr:sp macro="" textlink="">
          <xdr:nvSpPr>
            <xdr:cNvPr id="1012737" name="Spinner 1" hidden="1">
              <a:extLst>
                <a:ext uri="{63B3BB69-23CF-44E3-9099-C40C66FF867C}">
                  <a14:compatExt spid="_x0000_s1012737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</xdr:wsDr>
</file>

<file path=xl/drawings/drawing90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152400</xdr:colOff>
      <xdr:row>2</xdr:row>
      <xdr:rowOff>9524</xdr:rowOff>
    </xdr:from>
    <xdr:to>
      <xdr:col>8</xdr:col>
      <xdr:colOff>657225</xdr:colOff>
      <xdr:row>15</xdr:row>
      <xdr:rowOff>9524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4C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9</xdr:col>
          <xdr:colOff>19050</xdr:colOff>
          <xdr:row>0</xdr:row>
          <xdr:rowOff>38100</xdr:rowOff>
        </xdr:from>
        <xdr:to>
          <xdr:col>9</xdr:col>
          <xdr:colOff>400050</xdr:colOff>
          <xdr:row>1</xdr:row>
          <xdr:rowOff>152400</xdr:rowOff>
        </xdr:to>
        <xdr:sp macro="" textlink="">
          <xdr:nvSpPr>
            <xdr:cNvPr id="1013761" name="Spinner 1" hidden="1">
              <a:extLst>
                <a:ext uri="{63B3BB69-23CF-44E3-9099-C40C66FF867C}">
                  <a14:compatExt spid="_x0000_s1013761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</xdr:wsDr>
</file>

<file path=xl/drawings/drawing9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152400</xdr:colOff>
      <xdr:row>2</xdr:row>
      <xdr:rowOff>9524</xdr:rowOff>
    </xdr:from>
    <xdr:to>
      <xdr:col>8</xdr:col>
      <xdr:colOff>657225</xdr:colOff>
      <xdr:row>15</xdr:row>
      <xdr:rowOff>9524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4C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9</xdr:col>
          <xdr:colOff>19050</xdr:colOff>
          <xdr:row>0</xdr:row>
          <xdr:rowOff>38100</xdr:rowOff>
        </xdr:from>
        <xdr:to>
          <xdr:col>9</xdr:col>
          <xdr:colOff>400050</xdr:colOff>
          <xdr:row>1</xdr:row>
          <xdr:rowOff>152400</xdr:rowOff>
        </xdr:to>
        <xdr:sp macro="" textlink="">
          <xdr:nvSpPr>
            <xdr:cNvPr id="1105921" name="Spinner 1" hidden="1">
              <a:extLst>
                <a:ext uri="{63B3BB69-23CF-44E3-9099-C40C66FF867C}">
                  <a14:compatExt spid="_x0000_s1105921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</xdr:wsDr>
</file>

<file path=xl/drawings/drawing9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152400</xdr:colOff>
      <xdr:row>2</xdr:row>
      <xdr:rowOff>9524</xdr:rowOff>
    </xdr:from>
    <xdr:to>
      <xdr:col>8</xdr:col>
      <xdr:colOff>657225</xdr:colOff>
      <xdr:row>15</xdr:row>
      <xdr:rowOff>9524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4E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9</xdr:col>
          <xdr:colOff>19050</xdr:colOff>
          <xdr:row>0</xdr:row>
          <xdr:rowOff>38100</xdr:rowOff>
        </xdr:from>
        <xdr:to>
          <xdr:col>9</xdr:col>
          <xdr:colOff>400050</xdr:colOff>
          <xdr:row>1</xdr:row>
          <xdr:rowOff>152400</xdr:rowOff>
        </xdr:to>
        <xdr:sp macro="" textlink="">
          <xdr:nvSpPr>
            <xdr:cNvPr id="1106945" name="Spinner 1" hidden="1">
              <a:extLst>
                <a:ext uri="{63B3BB69-23CF-44E3-9099-C40C66FF867C}">
                  <a14:compatExt spid="_x0000_s1106945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</xdr:wsDr>
</file>

<file path=xl/drawings/drawing9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152400</xdr:colOff>
      <xdr:row>2</xdr:row>
      <xdr:rowOff>9524</xdr:rowOff>
    </xdr:from>
    <xdr:to>
      <xdr:col>8</xdr:col>
      <xdr:colOff>657225</xdr:colOff>
      <xdr:row>15</xdr:row>
      <xdr:rowOff>9524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4D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9</xdr:col>
          <xdr:colOff>19050</xdr:colOff>
          <xdr:row>0</xdr:row>
          <xdr:rowOff>38100</xdr:rowOff>
        </xdr:from>
        <xdr:to>
          <xdr:col>9</xdr:col>
          <xdr:colOff>400050</xdr:colOff>
          <xdr:row>1</xdr:row>
          <xdr:rowOff>152400</xdr:rowOff>
        </xdr:to>
        <xdr:sp macro="" textlink="">
          <xdr:nvSpPr>
            <xdr:cNvPr id="1014785" name="Spinner 1" hidden="1">
              <a:extLst>
                <a:ext uri="{63B3BB69-23CF-44E3-9099-C40C66FF867C}">
                  <a14:compatExt spid="_x0000_s1014785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</xdr:wsDr>
</file>

<file path=xl/drawings/drawing9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152400</xdr:colOff>
      <xdr:row>2</xdr:row>
      <xdr:rowOff>9524</xdr:rowOff>
    </xdr:from>
    <xdr:to>
      <xdr:col>8</xdr:col>
      <xdr:colOff>657225</xdr:colOff>
      <xdr:row>15</xdr:row>
      <xdr:rowOff>9524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4E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9</xdr:col>
          <xdr:colOff>19050</xdr:colOff>
          <xdr:row>0</xdr:row>
          <xdr:rowOff>38100</xdr:rowOff>
        </xdr:from>
        <xdr:to>
          <xdr:col>9</xdr:col>
          <xdr:colOff>400050</xdr:colOff>
          <xdr:row>1</xdr:row>
          <xdr:rowOff>152400</xdr:rowOff>
        </xdr:to>
        <xdr:sp macro="" textlink="">
          <xdr:nvSpPr>
            <xdr:cNvPr id="1015809" name="Spinner 1" hidden="1">
              <a:extLst>
                <a:ext uri="{63B3BB69-23CF-44E3-9099-C40C66FF867C}">
                  <a14:compatExt spid="_x0000_s1015809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</xdr:wsDr>
</file>

<file path=xl/drawings/drawing95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152400</xdr:colOff>
      <xdr:row>2</xdr:row>
      <xdr:rowOff>9524</xdr:rowOff>
    </xdr:from>
    <xdr:to>
      <xdr:col>8</xdr:col>
      <xdr:colOff>657225</xdr:colOff>
      <xdr:row>15</xdr:row>
      <xdr:rowOff>9524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4F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9</xdr:col>
          <xdr:colOff>19050</xdr:colOff>
          <xdr:row>0</xdr:row>
          <xdr:rowOff>38100</xdr:rowOff>
        </xdr:from>
        <xdr:to>
          <xdr:col>9</xdr:col>
          <xdr:colOff>400050</xdr:colOff>
          <xdr:row>1</xdr:row>
          <xdr:rowOff>152400</xdr:rowOff>
        </xdr:to>
        <xdr:sp macro="" textlink="">
          <xdr:nvSpPr>
            <xdr:cNvPr id="1016833" name="Spinner 1" hidden="1">
              <a:extLst>
                <a:ext uri="{63B3BB69-23CF-44E3-9099-C40C66FF867C}">
                  <a14:compatExt spid="_x0000_s1016833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</xdr:wsDr>
</file>

<file path=xl/drawings/drawing96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152400</xdr:colOff>
      <xdr:row>2</xdr:row>
      <xdr:rowOff>9524</xdr:rowOff>
    </xdr:from>
    <xdr:to>
      <xdr:col>8</xdr:col>
      <xdr:colOff>657225</xdr:colOff>
      <xdr:row>15</xdr:row>
      <xdr:rowOff>9524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50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9</xdr:col>
          <xdr:colOff>19050</xdr:colOff>
          <xdr:row>0</xdr:row>
          <xdr:rowOff>38100</xdr:rowOff>
        </xdr:from>
        <xdr:to>
          <xdr:col>9</xdr:col>
          <xdr:colOff>400050</xdr:colOff>
          <xdr:row>1</xdr:row>
          <xdr:rowOff>152400</xdr:rowOff>
        </xdr:to>
        <xdr:sp macro="" textlink="">
          <xdr:nvSpPr>
            <xdr:cNvPr id="1017857" name="Spinner 1" hidden="1">
              <a:extLst>
                <a:ext uri="{63B3BB69-23CF-44E3-9099-C40C66FF867C}">
                  <a14:compatExt spid="_x0000_s1017857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</xdr:wsDr>
</file>

<file path=xl/drawings/drawing97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152400</xdr:colOff>
      <xdr:row>2</xdr:row>
      <xdr:rowOff>9524</xdr:rowOff>
    </xdr:from>
    <xdr:to>
      <xdr:col>8</xdr:col>
      <xdr:colOff>657225</xdr:colOff>
      <xdr:row>15</xdr:row>
      <xdr:rowOff>9524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51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9</xdr:col>
          <xdr:colOff>19050</xdr:colOff>
          <xdr:row>0</xdr:row>
          <xdr:rowOff>38100</xdr:rowOff>
        </xdr:from>
        <xdr:to>
          <xdr:col>9</xdr:col>
          <xdr:colOff>400050</xdr:colOff>
          <xdr:row>1</xdr:row>
          <xdr:rowOff>152400</xdr:rowOff>
        </xdr:to>
        <xdr:sp macro="" textlink="">
          <xdr:nvSpPr>
            <xdr:cNvPr id="1018881" name="Spinner 1" hidden="1">
              <a:extLst>
                <a:ext uri="{63B3BB69-23CF-44E3-9099-C40C66FF867C}">
                  <a14:compatExt spid="_x0000_s1018881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</xdr:wsDr>
</file>

<file path=xl/drawings/drawing98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152400</xdr:colOff>
      <xdr:row>2</xdr:row>
      <xdr:rowOff>9524</xdr:rowOff>
    </xdr:from>
    <xdr:to>
      <xdr:col>8</xdr:col>
      <xdr:colOff>657225</xdr:colOff>
      <xdr:row>15</xdr:row>
      <xdr:rowOff>9524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52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9</xdr:col>
          <xdr:colOff>19050</xdr:colOff>
          <xdr:row>0</xdr:row>
          <xdr:rowOff>38100</xdr:rowOff>
        </xdr:from>
        <xdr:to>
          <xdr:col>9</xdr:col>
          <xdr:colOff>400050</xdr:colOff>
          <xdr:row>1</xdr:row>
          <xdr:rowOff>152400</xdr:rowOff>
        </xdr:to>
        <xdr:sp macro="" textlink="">
          <xdr:nvSpPr>
            <xdr:cNvPr id="1019905" name="Spinner 1" hidden="1">
              <a:extLst>
                <a:ext uri="{63B3BB69-23CF-44E3-9099-C40C66FF867C}">
                  <a14:compatExt spid="_x0000_s1019905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</xdr:wsDr>
</file>

<file path=xl/drawings/drawing99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152400</xdr:colOff>
      <xdr:row>2</xdr:row>
      <xdr:rowOff>9524</xdr:rowOff>
    </xdr:from>
    <xdr:to>
      <xdr:col>8</xdr:col>
      <xdr:colOff>657225</xdr:colOff>
      <xdr:row>15</xdr:row>
      <xdr:rowOff>9524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53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9</xdr:col>
          <xdr:colOff>19050</xdr:colOff>
          <xdr:row>0</xdr:row>
          <xdr:rowOff>38100</xdr:rowOff>
        </xdr:from>
        <xdr:to>
          <xdr:col>9</xdr:col>
          <xdr:colOff>400050</xdr:colOff>
          <xdr:row>1</xdr:row>
          <xdr:rowOff>152400</xdr:rowOff>
        </xdr:to>
        <xdr:sp macro="" textlink="">
          <xdr:nvSpPr>
            <xdr:cNvPr id="1020929" name="Spinner 1" hidden="1">
              <a:extLst>
                <a:ext uri="{63B3BB69-23CF-44E3-9099-C40C66FF867C}">
                  <a14:compatExt spid="_x0000_s1020929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</xdr:wsDr>
</file>

<file path=xl/drawings/drawing100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152400</xdr:colOff>
      <xdr:row>2</xdr:row>
      <xdr:rowOff>9524</xdr:rowOff>
    </xdr:from>
    <xdr:to>
      <xdr:col>8</xdr:col>
      <xdr:colOff>657225</xdr:colOff>
      <xdr:row>15</xdr:row>
      <xdr:rowOff>9524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54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9</xdr:col>
          <xdr:colOff>19050</xdr:colOff>
          <xdr:row>0</xdr:row>
          <xdr:rowOff>38100</xdr:rowOff>
        </xdr:from>
        <xdr:to>
          <xdr:col>9</xdr:col>
          <xdr:colOff>400050</xdr:colOff>
          <xdr:row>1</xdr:row>
          <xdr:rowOff>152400</xdr:rowOff>
        </xdr:to>
        <xdr:sp macro="" textlink="">
          <xdr:nvSpPr>
            <xdr:cNvPr id="1021953" name="Spinner 1" hidden="1">
              <a:extLst>
                <a:ext uri="{63B3BB69-23CF-44E3-9099-C40C66FF867C}">
                  <a14:compatExt spid="_x0000_s1021953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</xdr:wsDr>
</file>

<file path=xl/drawings/drawing10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152400</xdr:colOff>
      <xdr:row>2</xdr:row>
      <xdr:rowOff>9524</xdr:rowOff>
    </xdr:from>
    <xdr:to>
      <xdr:col>8</xdr:col>
      <xdr:colOff>657225</xdr:colOff>
      <xdr:row>15</xdr:row>
      <xdr:rowOff>9524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55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9</xdr:col>
          <xdr:colOff>19050</xdr:colOff>
          <xdr:row>0</xdr:row>
          <xdr:rowOff>38100</xdr:rowOff>
        </xdr:from>
        <xdr:to>
          <xdr:col>9</xdr:col>
          <xdr:colOff>400050</xdr:colOff>
          <xdr:row>1</xdr:row>
          <xdr:rowOff>152400</xdr:rowOff>
        </xdr:to>
        <xdr:sp macro="" textlink="">
          <xdr:nvSpPr>
            <xdr:cNvPr id="1022977" name="Spinner 1" hidden="1">
              <a:extLst>
                <a:ext uri="{63B3BB69-23CF-44E3-9099-C40C66FF867C}">
                  <a14:compatExt spid="_x0000_s1022977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</xdr:wsDr>
</file>

<file path=xl/drawings/drawing10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152400</xdr:colOff>
      <xdr:row>2</xdr:row>
      <xdr:rowOff>9524</xdr:rowOff>
    </xdr:from>
    <xdr:to>
      <xdr:col>8</xdr:col>
      <xdr:colOff>657225</xdr:colOff>
      <xdr:row>15</xdr:row>
      <xdr:rowOff>9524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56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9</xdr:col>
          <xdr:colOff>19050</xdr:colOff>
          <xdr:row>0</xdr:row>
          <xdr:rowOff>38100</xdr:rowOff>
        </xdr:from>
        <xdr:to>
          <xdr:col>9</xdr:col>
          <xdr:colOff>400050</xdr:colOff>
          <xdr:row>1</xdr:row>
          <xdr:rowOff>152400</xdr:rowOff>
        </xdr:to>
        <xdr:sp macro="" textlink="">
          <xdr:nvSpPr>
            <xdr:cNvPr id="1024001" name="Spinner 1" hidden="1">
              <a:extLst>
                <a:ext uri="{63B3BB69-23CF-44E3-9099-C40C66FF867C}">
                  <a14:compatExt spid="_x0000_s1024001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</xdr:wsDr>
</file>

<file path=xl/drawings/drawing10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152400</xdr:colOff>
      <xdr:row>2</xdr:row>
      <xdr:rowOff>9524</xdr:rowOff>
    </xdr:from>
    <xdr:to>
      <xdr:col>8</xdr:col>
      <xdr:colOff>657225</xdr:colOff>
      <xdr:row>15</xdr:row>
      <xdr:rowOff>9524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57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9</xdr:col>
          <xdr:colOff>19050</xdr:colOff>
          <xdr:row>0</xdr:row>
          <xdr:rowOff>38100</xdr:rowOff>
        </xdr:from>
        <xdr:to>
          <xdr:col>9</xdr:col>
          <xdr:colOff>400050</xdr:colOff>
          <xdr:row>1</xdr:row>
          <xdr:rowOff>152400</xdr:rowOff>
        </xdr:to>
        <xdr:sp macro="" textlink="">
          <xdr:nvSpPr>
            <xdr:cNvPr id="1025025" name="Spinner 1" hidden="1">
              <a:extLst>
                <a:ext uri="{63B3BB69-23CF-44E3-9099-C40C66FF867C}">
                  <a14:compatExt spid="_x0000_s1025025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</xdr:wsDr>
</file>

<file path=xl/drawings/drawing10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152400</xdr:colOff>
      <xdr:row>2</xdr:row>
      <xdr:rowOff>9524</xdr:rowOff>
    </xdr:from>
    <xdr:to>
      <xdr:col>8</xdr:col>
      <xdr:colOff>657225</xdr:colOff>
      <xdr:row>15</xdr:row>
      <xdr:rowOff>9524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58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9</xdr:col>
          <xdr:colOff>19050</xdr:colOff>
          <xdr:row>0</xdr:row>
          <xdr:rowOff>38100</xdr:rowOff>
        </xdr:from>
        <xdr:to>
          <xdr:col>9</xdr:col>
          <xdr:colOff>400050</xdr:colOff>
          <xdr:row>1</xdr:row>
          <xdr:rowOff>152400</xdr:rowOff>
        </xdr:to>
        <xdr:sp macro="" textlink="">
          <xdr:nvSpPr>
            <xdr:cNvPr id="1026049" name="Spinner 1" hidden="1">
              <a:extLst>
                <a:ext uri="{63B3BB69-23CF-44E3-9099-C40C66FF867C}">
                  <a14:compatExt spid="_x0000_s1026049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</xdr:wsDr>
</file>

<file path=xl/drawings/drawing105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152400</xdr:colOff>
      <xdr:row>2</xdr:row>
      <xdr:rowOff>9524</xdr:rowOff>
    </xdr:from>
    <xdr:to>
      <xdr:col>8</xdr:col>
      <xdr:colOff>657225</xdr:colOff>
      <xdr:row>15</xdr:row>
      <xdr:rowOff>9524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59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9</xdr:col>
          <xdr:colOff>19050</xdr:colOff>
          <xdr:row>0</xdr:row>
          <xdr:rowOff>38100</xdr:rowOff>
        </xdr:from>
        <xdr:to>
          <xdr:col>9</xdr:col>
          <xdr:colOff>400050</xdr:colOff>
          <xdr:row>1</xdr:row>
          <xdr:rowOff>152400</xdr:rowOff>
        </xdr:to>
        <xdr:sp macro="" textlink="">
          <xdr:nvSpPr>
            <xdr:cNvPr id="2123777" name="Spinner 1" hidden="1">
              <a:extLst>
                <a:ext uri="{63B3BB69-23CF-44E3-9099-C40C66FF867C}">
                  <a14:compatExt spid="_x0000_s2123777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</xdr:wsDr>
</file>

<file path=xl/drawings/drawing106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152400</xdr:colOff>
      <xdr:row>2</xdr:row>
      <xdr:rowOff>9524</xdr:rowOff>
    </xdr:from>
    <xdr:to>
      <xdr:col>8</xdr:col>
      <xdr:colOff>657225</xdr:colOff>
      <xdr:row>15</xdr:row>
      <xdr:rowOff>9524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59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9</xdr:col>
          <xdr:colOff>19050</xdr:colOff>
          <xdr:row>0</xdr:row>
          <xdr:rowOff>38100</xdr:rowOff>
        </xdr:from>
        <xdr:to>
          <xdr:col>9</xdr:col>
          <xdr:colOff>400050</xdr:colOff>
          <xdr:row>1</xdr:row>
          <xdr:rowOff>152400</xdr:rowOff>
        </xdr:to>
        <xdr:sp macro="" textlink="">
          <xdr:nvSpPr>
            <xdr:cNvPr id="1027073" name="Spinner 1" hidden="1">
              <a:extLst>
                <a:ext uri="{63B3BB69-23CF-44E3-9099-C40C66FF867C}">
                  <a14:compatExt spid="_x0000_s1027073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</xdr:wsDr>
</file>

<file path=xl/drawings/drawing107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152400</xdr:colOff>
      <xdr:row>2</xdr:row>
      <xdr:rowOff>9524</xdr:rowOff>
    </xdr:from>
    <xdr:to>
      <xdr:col>8</xdr:col>
      <xdr:colOff>657225</xdr:colOff>
      <xdr:row>15</xdr:row>
      <xdr:rowOff>9524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5A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9</xdr:col>
          <xdr:colOff>19050</xdr:colOff>
          <xdr:row>0</xdr:row>
          <xdr:rowOff>38100</xdr:rowOff>
        </xdr:from>
        <xdr:to>
          <xdr:col>9</xdr:col>
          <xdr:colOff>400050</xdr:colOff>
          <xdr:row>1</xdr:row>
          <xdr:rowOff>152400</xdr:rowOff>
        </xdr:to>
        <xdr:sp macro="" textlink="">
          <xdr:nvSpPr>
            <xdr:cNvPr id="1594369" name="Spinner 1" hidden="1">
              <a:extLst>
                <a:ext uri="{63B3BB69-23CF-44E3-9099-C40C66FF867C}">
                  <a14:compatExt spid="_x0000_s1594369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</xdr:wsDr>
</file>

<file path=xl/drawings/drawing108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152400</xdr:colOff>
      <xdr:row>2</xdr:row>
      <xdr:rowOff>9524</xdr:rowOff>
    </xdr:from>
    <xdr:to>
      <xdr:col>8</xdr:col>
      <xdr:colOff>657225</xdr:colOff>
      <xdr:row>15</xdr:row>
      <xdr:rowOff>9524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5A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9</xdr:col>
          <xdr:colOff>19050</xdr:colOff>
          <xdr:row>0</xdr:row>
          <xdr:rowOff>38100</xdr:rowOff>
        </xdr:from>
        <xdr:to>
          <xdr:col>9</xdr:col>
          <xdr:colOff>400050</xdr:colOff>
          <xdr:row>1</xdr:row>
          <xdr:rowOff>152400</xdr:rowOff>
        </xdr:to>
        <xdr:sp macro="" textlink="">
          <xdr:nvSpPr>
            <xdr:cNvPr id="1028097" name="Spinner 1" hidden="1">
              <a:extLst>
                <a:ext uri="{63B3BB69-23CF-44E3-9099-C40C66FF867C}">
                  <a14:compatExt spid="_x0000_s1028097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</xdr:wsDr>
</file>

<file path=xl/drawings/drawing109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152400</xdr:colOff>
      <xdr:row>2</xdr:row>
      <xdr:rowOff>9524</xdr:rowOff>
    </xdr:from>
    <xdr:to>
      <xdr:col>8</xdr:col>
      <xdr:colOff>657225</xdr:colOff>
      <xdr:row>15</xdr:row>
      <xdr:rowOff>9524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5B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9</xdr:col>
          <xdr:colOff>19050</xdr:colOff>
          <xdr:row>0</xdr:row>
          <xdr:rowOff>38100</xdr:rowOff>
        </xdr:from>
        <xdr:to>
          <xdr:col>9</xdr:col>
          <xdr:colOff>400050</xdr:colOff>
          <xdr:row>1</xdr:row>
          <xdr:rowOff>152400</xdr:rowOff>
        </xdr:to>
        <xdr:sp macro="" textlink="">
          <xdr:nvSpPr>
            <xdr:cNvPr id="2124801" name="Spinner 1" hidden="1">
              <a:extLst>
                <a:ext uri="{63B3BB69-23CF-44E3-9099-C40C66FF867C}">
                  <a14:compatExt spid="_x0000_s2124801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</xdr:wsDr>
</file>

<file path=xl/drawings/drawing110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152400</xdr:colOff>
      <xdr:row>2</xdr:row>
      <xdr:rowOff>9524</xdr:rowOff>
    </xdr:from>
    <xdr:to>
      <xdr:col>8</xdr:col>
      <xdr:colOff>657225</xdr:colOff>
      <xdr:row>15</xdr:row>
      <xdr:rowOff>9524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5B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9</xdr:col>
          <xdr:colOff>19050</xdr:colOff>
          <xdr:row>0</xdr:row>
          <xdr:rowOff>38100</xdr:rowOff>
        </xdr:from>
        <xdr:to>
          <xdr:col>9</xdr:col>
          <xdr:colOff>400050</xdr:colOff>
          <xdr:row>1</xdr:row>
          <xdr:rowOff>152400</xdr:rowOff>
        </xdr:to>
        <xdr:sp macro="" textlink="">
          <xdr:nvSpPr>
            <xdr:cNvPr id="1761281" name="Spinner 1" hidden="1">
              <a:extLst>
                <a:ext uri="{63B3BB69-23CF-44E3-9099-C40C66FF867C}">
                  <a14:compatExt spid="_x0000_s1761281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</xdr:wsDr>
</file>

<file path=xl/drawings/drawing11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152400</xdr:colOff>
      <xdr:row>2</xdr:row>
      <xdr:rowOff>9524</xdr:rowOff>
    </xdr:from>
    <xdr:to>
      <xdr:col>8</xdr:col>
      <xdr:colOff>657225</xdr:colOff>
      <xdr:row>15</xdr:row>
      <xdr:rowOff>9524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5B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9</xdr:col>
          <xdr:colOff>19050</xdr:colOff>
          <xdr:row>0</xdr:row>
          <xdr:rowOff>38100</xdr:rowOff>
        </xdr:from>
        <xdr:to>
          <xdr:col>9</xdr:col>
          <xdr:colOff>400050</xdr:colOff>
          <xdr:row>1</xdr:row>
          <xdr:rowOff>152400</xdr:rowOff>
        </xdr:to>
        <xdr:sp macro="" textlink="">
          <xdr:nvSpPr>
            <xdr:cNvPr id="1029121" name="Spinner 1" hidden="1">
              <a:extLst>
                <a:ext uri="{63B3BB69-23CF-44E3-9099-C40C66FF867C}">
                  <a14:compatExt spid="_x0000_s1029121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</xdr:wsDr>
</file>

<file path=xl/drawings/drawing11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152400</xdr:colOff>
      <xdr:row>2</xdr:row>
      <xdr:rowOff>9524</xdr:rowOff>
    </xdr:from>
    <xdr:to>
      <xdr:col>8</xdr:col>
      <xdr:colOff>657225</xdr:colOff>
      <xdr:row>15</xdr:row>
      <xdr:rowOff>9524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5C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9</xdr:col>
          <xdr:colOff>19050</xdr:colOff>
          <xdr:row>0</xdr:row>
          <xdr:rowOff>38100</xdr:rowOff>
        </xdr:from>
        <xdr:to>
          <xdr:col>9</xdr:col>
          <xdr:colOff>400050</xdr:colOff>
          <xdr:row>1</xdr:row>
          <xdr:rowOff>152400</xdr:rowOff>
        </xdr:to>
        <xdr:sp macro="" textlink="">
          <xdr:nvSpPr>
            <xdr:cNvPr id="1030145" name="Spinner 1" hidden="1">
              <a:extLst>
                <a:ext uri="{63B3BB69-23CF-44E3-9099-C40C66FF867C}">
                  <a14:compatExt spid="_x0000_s1030145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</xdr:wsDr>
</file>

<file path=xl/drawings/drawing11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152400</xdr:colOff>
      <xdr:row>2</xdr:row>
      <xdr:rowOff>9524</xdr:rowOff>
    </xdr:from>
    <xdr:to>
      <xdr:col>8</xdr:col>
      <xdr:colOff>657225</xdr:colOff>
      <xdr:row>15</xdr:row>
      <xdr:rowOff>9524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5D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9</xdr:col>
          <xdr:colOff>19050</xdr:colOff>
          <xdr:row>0</xdr:row>
          <xdr:rowOff>38100</xdr:rowOff>
        </xdr:from>
        <xdr:to>
          <xdr:col>9</xdr:col>
          <xdr:colOff>400050</xdr:colOff>
          <xdr:row>1</xdr:row>
          <xdr:rowOff>152400</xdr:rowOff>
        </xdr:to>
        <xdr:sp macro="" textlink="">
          <xdr:nvSpPr>
            <xdr:cNvPr id="1031169" name="Spinner 1" hidden="1">
              <a:extLst>
                <a:ext uri="{63B3BB69-23CF-44E3-9099-C40C66FF867C}">
                  <a14:compatExt spid="_x0000_s1031169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</xdr:wsDr>
</file>

<file path=xl/drawings/drawing11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152400</xdr:colOff>
      <xdr:row>2</xdr:row>
      <xdr:rowOff>9524</xdr:rowOff>
    </xdr:from>
    <xdr:to>
      <xdr:col>8</xdr:col>
      <xdr:colOff>657225</xdr:colOff>
      <xdr:row>15</xdr:row>
      <xdr:rowOff>9524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5E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9</xdr:col>
          <xdr:colOff>19050</xdr:colOff>
          <xdr:row>0</xdr:row>
          <xdr:rowOff>38100</xdr:rowOff>
        </xdr:from>
        <xdr:to>
          <xdr:col>9</xdr:col>
          <xdr:colOff>400050</xdr:colOff>
          <xdr:row>1</xdr:row>
          <xdr:rowOff>152400</xdr:rowOff>
        </xdr:to>
        <xdr:sp macro="" textlink="">
          <xdr:nvSpPr>
            <xdr:cNvPr id="1032193" name="Spinner 1" hidden="1">
              <a:extLst>
                <a:ext uri="{63B3BB69-23CF-44E3-9099-C40C66FF867C}">
                  <a14:compatExt spid="_x0000_s1032193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</xdr:wsDr>
</file>

<file path=xl/drawings/drawing115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152400</xdr:colOff>
      <xdr:row>2</xdr:row>
      <xdr:rowOff>9524</xdr:rowOff>
    </xdr:from>
    <xdr:to>
      <xdr:col>8</xdr:col>
      <xdr:colOff>657225</xdr:colOff>
      <xdr:row>15</xdr:row>
      <xdr:rowOff>9524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5F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9</xdr:col>
          <xdr:colOff>19050</xdr:colOff>
          <xdr:row>0</xdr:row>
          <xdr:rowOff>38100</xdr:rowOff>
        </xdr:from>
        <xdr:to>
          <xdr:col>9</xdr:col>
          <xdr:colOff>400050</xdr:colOff>
          <xdr:row>1</xdr:row>
          <xdr:rowOff>152400</xdr:rowOff>
        </xdr:to>
        <xdr:sp macro="" textlink="">
          <xdr:nvSpPr>
            <xdr:cNvPr id="1033217" name="Spinner 1" hidden="1">
              <a:extLst>
                <a:ext uri="{63B3BB69-23CF-44E3-9099-C40C66FF867C}">
                  <a14:compatExt spid="_x0000_s1033217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</xdr:wsDr>
</file>

<file path=xl/drawings/drawing116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152400</xdr:colOff>
      <xdr:row>2</xdr:row>
      <xdr:rowOff>9524</xdr:rowOff>
    </xdr:from>
    <xdr:to>
      <xdr:col>8</xdr:col>
      <xdr:colOff>657225</xdr:colOff>
      <xdr:row>15</xdr:row>
      <xdr:rowOff>9524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60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9</xdr:col>
          <xdr:colOff>19050</xdr:colOff>
          <xdr:row>0</xdr:row>
          <xdr:rowOff>38100</xdr:rowOff>
        </xdr:from>
        <xdr:to>
          <xdr:col>9</xdr:col>
          <xdr:colOff>400050</xdr:colOff>
          <xdr:row>1</xdr:row>
          <xdr:rowOff>152400</xdr:rowOff>
        </xdr:to>
        <xdr:sp macro="" textlink="">
          <xdr:nvSpPr>
            <xdr:cNvPr id="1034241" name="Spinner 1" hidden="1">
              <a:extLst>
                <a:ext uri="{63B3BB69-23CF-44E3-9099-C40C66FF867C}">
                  <a14:compatExt spid="_x0000_s1034241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</xdr:wsDr>
</file>

<file path=xl/drawings/drawing117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152400</xdr:colOff>
      <xdr:row>2</xdr:row>
      <xdr:rowOff>9524</xdr:rowOff>
    </xdr:from>
    <xdr:to>
      <xdr:col>8</xdr:col>
      <xdr:colOff>657225</xdr:colOff>
      <xdr:row>15</xdr:row>
      <xdr:rowOff>9524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61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9</xdr:col>
          <xdr:colOff>19050</xdr:colOff>
          <xdr:row>0</xdr:row>
          <xdr:rowOff>38100</xdr:rowOff>
        </xdr:from>
        <xdr:to>
          <xdr:col>9</xdr:col>
          <xdr:colOff>400050</xdr:colOff>
          <xdr:row>1</xdr:row>
          <xdr:rowOff>152400</xdr:rowOff>
        </xdr:to>
        <xdr:sp macro="" textlink="">
          <xdr:nvSpPr>
            <xdr:cNvPr id="1035265" name="Spinner 1" hidden="1">
              <a:extLst>
                <a:ext uri="{63B3BB69-23CF-44E3-9099-C40C66FF867C}">
                  <a14:compatExt spid="_x0000_s1035265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</xdr:wsDr>
</file>

<file path=xl/drawings/drawing118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152400</xdr:colOff>
      <xdr:row>2</xdr:row>
      <xdr:rowOff>9524</xdr:rowOff>
    </xdr:from>
    <xdr:to>
      <xdr:col>8</xdr:col>
      <xdr:colOff>657225</xdr:colOff>
      <xdr:row>15</xdr:row>
      <xdr:rowOff>9524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62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9</xdr:col>
          <xdr:colOff>19050</xdr:colOff>
          <xdr:row>0</xdr:row>
          <xdr:rowOff>38100</xdr:rowOff>
        </xdr:from>
        <xdr:to>
          <xdr:col>9</xdr:col>
          <xdr:colOff>400050</xdr:colOff>
          <xdr:row>1</xdr:row>
          <xdr:rowOff>152400</xdr:rowOff>
        </xdr:to>
        <xdr:sp macro="" textlink="">
          <xdr:nvSpPr>
            <xdr:cNvPr id="1036289" name="Spinner 1" hidden="1">
              <a:extLst>
                <a:ext uri="{63B3BB69-23CF-44E3-9099-C40C66FF867C}">
                  <a14:compatExt spid="_x0000_s1036289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</xdr:wsDr>
</file>

<file path=xl/drawings/drawing119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152400</xdr:colOff>
      <xdr:row>2</xdr:row>
      <xdr:rowOff>9524</xdr:rowOff>
    </xdr:from>
    <xdr:to>
      <xdr:col>8</xdr:col>
      <xdr:colOff>657225</xdr:colOff>
      <xdr:row>15</xdr:row>
      <xdr:rowOff>9524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63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9</xdr:col>
          <xdr:colOff>19050</xdr:colOff>
          <xdr:row>0</xdr:row>
          <xdr:rowOff>38100</xdr:rowOff>
        </xdr:from>
        <xdr:to>
          <xdr:col>9</xdr:col>
          <xdr:colOff>400050</xdr:colOff>
          <xdr:row>1</xdr:row>
          <xdr:rowOff>152400</xdr:rowOff>
        </xdr:to>
        <xdr:sp macro="" textlink="">
          <xdr:nvSpPr>
            <xdr:cNvPr id="1037313" name="Spinner 1" hidden="1">
              <a:extLst>
                <a:ext uri="{63B3BB69-23CF-44E3-9099-C40C66FF867C}">
                  <a14:compatExt spid="_x0000_s1037313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</xdr:wsDr>
</file>

<file path=xl/drawings/drawing120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152400</xdr:colOff>
      <xdr:row>2</xdr:row>
      <xdr:rowOff>9524</xdr:rowOff>
    </xdr:from>
    <xdr:to>
      <xdr:col>8</xdr:col>
      <xdr:colOff>657225</xdr:colOff>
      <xdr:row>15</xdr:row>
      <xdr:rowOff>9524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64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9</xdr:col>
          <xdr:colOff>19050</xdr:colOff>
          <xdr:row>0</xdr:row>
          <xdr:rowOff>38100</xdr:rowOff>
        </xdr:from>
        <xdr:to>
          <xdr:col>9</xdr:col>
          <xdr:colOff>400050</xdr:colOff>
          <xdr:row>1</xdr:row>
          <xdr:rowOff>152400</xdr:rowOff>
        </xdr:to>
        <xdr:sp macro="" textlink="">
          <xdr:nvSpPr>
            <xdr:cNvPr id="1038337" name="Spinner 1" hidden="1">
              <a:extLst>
                <a:ext uri="{63B3BB69-23CF-44E3-9099-C40C66FF867C}">
                  <a14:compatExt spid="_x0000_s1038337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</xdr:wsDr>
</file>

<file path=xl/drawings/drawing12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152400</xdr:colOff>
      <xdr:row>2</xdr:row>
      <xdr:rowOff>9524</xdr:rowOff>
    </xdr:from>
    <xdr:to>
      <xdr:col>8</xdr:col>
      <xdr:colOff>657225</xdr:colOff>
      <xdr:row>15</xdr:row>
      <xdr:rowOff>9524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65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9</xdr:col>
          <xdr:colOff>19050</xdr:colOff>
          <xdr:row>0</xdr:row>
          <xdr:rowOff>38100</xdr:rowOff>
        </xdr:from>
        <xdr:to>
          <xdr:col>9</xdr:col>
          <xdr:colOff>400050</xdr:colOff>
          <xdr:row>1</xdr:row>
          <xdr:rowOff>152400</xdr:rowOff>
        </xdr:to>
        <xdr:sp macro="" textlink="">
          <xdr:nvSpPr>
            <xdr:cNvPr id="2125825" name="Spinner 1" hidden="1">
              <a:extLst>
                <a:ext uri="{63B3BB69-23CF-44E3-9099-C40C66FF867C}">
                  <a14:compatExt spid="_x0000_s2125825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</xdr:wsDr>
</file>

<file path=xl/drawings/drawing12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152400</xdr:colOff>
      <xdr:row>2</xdr:row>
      <xdr:rowOff>9524</xdr:rowOff>
    </xdr:from>
    <xdr:to>
      <xdr:col>8</xdr:col>
      <xdr:colOff>657225</xdr:colOff>
      <xdr:row>15</xdr:row>
      <xdr:rowOff>9524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65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9</xdr:col>
          <xdr:colOff>19050</xdr:colOff>
          <xdr:row>0</xdr:row>
          <xdr:rowOff>38100</xdr:rowOff>
        </xdr:from>
        <xdr:to>
          <xdr:col>9</xdr:col>
          <xdr:colOff>400050</xdr:colOff>
          <xdr:row>1</xdr:row>
          <xdr:rowOff>152400</xdr:rowOff>
        </xdr:to>
        <xdr:sp macro="" textlink="">
          <xdr:nvSpPr>
            <xdr:cNvPr id="1039361" name="Spinner 1" hidden="1">
              <a:extLst>
                <a:ext uri="{63B3BB69-23CF-44E3-9099-C40C66FF867C}">
                  <a14:compatExt spid="_x0000_s1039361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</xdr:wsDr>
</file>

<file path=xl/drawings/drawing12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152400</xdr:colOff>
      <xdr:row>2</xdr:row>
      <xdr:rowOff>9524</xdr:rowOff>
    </xdr:from>
    <xdr:to>
      <xdr:col>8</xdr:col>
      <xdr:colOff>657225</xdr:colOff>
      <xdr:row>15</xdr:row>
      <xdr:rowOff>9524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66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9</xdr:col>
          <xdr:colOff>19050</xdr:colOff>
          <xdr:row>0</xdr:row>
          <xdr:rowOff>38100</xdr:rowOff>
        </xdr:from>
        <xdr:to>
          <xdr:col>9</xdr:col>
          <xdr:colOff>400050</xdr:colOff>
          <xdr:row>1</xdr:row>
          <xdr:rowOff>152400</xdr:rowOff>
        </xdr:to>
        <xdr:sp macro="" textlink="">
          <xdr:nvSpPr>
            <xdr:cNvPr id="1595393" name="Spinner 1" hidden="1">
              <a:extLst>
                <a:ext uri="{63B3BB69-23CF-44E3-9099-C40C66FF867C}">
                  <a14:compatExt spid="_x0000_s1595393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</xdr:wsDr>
</file>

<file path=xl/drawings/drawing12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152400</xdr:colOff>
      <xdr:row>2</xdr:row>
      <xdr:rowOff>9524</xdr:rowOff>
    </xdr:from>
    <xdr:to>
      <xdr:col>8</xdr:col>
      <xdr:colOff>657225</xdr:colOff>
      <xdr:row>15</xdr:row>
      <xdr:rowOff>9524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66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9</xdr:col>
          <xdr:colOff>19050</xdr:colOff>
          <xdr:row>0</xdr:row>
          <xdr:rowOff>38100</xdr:rowOff>
        </xdr:from>
        <xdr:to>
          <xdr:col>9</xdr:col>
          <xdr:colOff>400050</xdr:colOff>
          <xdr:row>1</xdr:row>
          <xdr:rowOff>152400</xdr:rowOff>
        </xdr:to>
        <xdr:sp macro="" textlink="">
          <xdr:nvSpPr>
            <xdr:cNvPr id="1040385" name="Spinner 1" hidden="1">
              <a:extLst>
                <a:ext uri="{63B3BB69-23CF-44E3-9099-C40C66FF867C}">
                  <a14:compatExt spid="_x0000_s1040385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</xdr:wsDr>
</file>

<file path=xl/drawings/drawing125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152400</xdr:colOff>
      <xdr:row>2</xdr:row>
      <xdr:rowOff>9524</xdr:rowOff>
    </xdr:from>
    <xdr:to>
      <xdr:col>8</xdr:col>
      <xdr:colOff>657225</xdr:colOff>
      <xdr:row>15</xdr:row>
      <xdr:rowOff>9524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67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9</xdr:col>
          <xdr:colOff>19050</xdr:colOff>
          <xdr:row>0</xdr:row>
          <xdr:rowOff>38100</xdr:rowOff>
        </xdr:from>
        <xdr:to>
          <xdr:col>9</xdr:col>
          <xdr:colOff>400050</xdr:colOff>
          <xdr:row>1</xdr:row>
          <xdr:rowOff>152400</xdr:rowOff>
        </xdr:to>
        <xdr:sp macro="" textlink="">
          <xdr:nvSpPr>
            <xdr:cNvPr id="1762305" name="Spinner 1" hidden="1">
              <a:extLst>
                <a:ext uri="{63B3BB69-23CF-44E3-9099-C40C66FF867C}">
                  <a14:compatExt spid="_x0000_s1762305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</xdr:wsDr>
</file>

<file path=xl/drawings/drawing126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152400</xdr:colOff>
      <xdr:row>2</xdr:row>
      <xdr:rowOff>9524</xdr:rowOff>
    </xdr:from>
    <xdr:to>
      <xdr:col>8</xdr:col>
      <xdr:colOff>657225</xdr:colOff>
      <xdr:row>15</xdr:row>
      <xdr:rowOff>9524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67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9</xdr:col>
          <xdr:colOff>19050</xdr:colOff>
          <xdr:row>0</xdr:row>
          <xdr:rowOff>38100</xdr:rowOff>
        </xdr:from>
        <xdr:to>
          <xdr:col>9</xdr:col>
          <xdr:colOff>400050</xdr:colOff>
          <xdr:row>1</xdr:row>
          <xdr:rowOff>152400</xdr:rowOff>
        </xdr:to>
        <xdr:sp macro="" textlink="">
          <xdr:nvSpPr>
            <xdr:cNvPr id="1041409" name="Spinner 1" hidden="1">
              <a:extLst>
                <a:ext uri="{63B3BB69-23CF-44E3-9099-C40C66FF867C}">
                  <a14:compatExt spid="_x0000_s1041409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</xdr:wsDr>
</file>

<file path=xl/drawings/drawing127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152400</xdr:colOff>
      <xdr:row>2</xdr:row>
      <xdr:rowOff>9524</xdr:rowOff>
    </xdr:from>
    <xdr:to>
      <xdr:col>8</xdr:col>
      <xdr:colOff>657225</xdr:colOff>
      <xdr:row>15</xdr:row>
      <xdr:rowOff>9524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68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9</xdr:col>
          <xdr:colOff>19050</xdr:colOff>
          <xdr:row>0</xdr:row>
          <xdr:rowOff>38100</xdr:rowOff>
        </xdr:from>
        <xdr:to>
          <xdr:col>9</xdr:col>
          <xdr:colOff>400050</xdr:colOff>
          <xdr:row>1</xdr:row>
          <xdr:rowOff>152400</xdr:rowOff>
        </xdr:to>
        <xdr:sp macro="" textlink="">
          <xdr:nvSpPr>
            <xdr:cNvPr id="2126849" name="Spinner 1" hidden="1">
              <a:extLst>
                <a:ext uri="{63B3BB69-23CF-44E3-9099-C40C66FF867C}">
                  <a14:compatExt spid="_x0000_s2126849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</xdr:wsDr>
</file>

<file path=xl/drawings/drawing128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152400</xdr:colOff>
      <xdr:row>2</xdr:row>
      <xdr:rowOff>9524</xdr:rowOff>
    </xdr:from>
    <xdr:to>
      <xdr:col>8</xdr:col>
      <xdr:colOff>657225</xdr:colOff>
      <xdr:row>15</xdr:row>
      <xdr:rowOff>9524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68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9</xdr:col>
          <xdr:colOff>19050</xdr:colOff>
          <xdr:row>0</xdr:row>
          <xdr:rowOff>38100</xdr:rowOff>
        </xdr:from>
        <xdr:to>
          <xdr:col>9</xdr:col>
          <xdr:colOff>400050</xdr:colOff>
          <xdr:row>1</xdr:row>
          <xdr:rowOff>152400</xdr:rowOff>
        </xdr:to>
        <xdr:sp macro="" textlink="">
          <xdr:nvSpPr>
            <xdr:cNvPr id="1042433" name="Spinner 1" hidden="1">
              <a:extLst>
                <a:ext uri="{63B3BB69-23CF-44E3-9099-C40C66FF867C}">
                  <a14:compatExt spid="_x0000_s1042433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</xdr:wsDr>
</file>

<file path=xl/drawings/drawing129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152400</xdr:colOff>
      <xdr:row>2</xdr:row>
      <xdr:rowOff>9524</xdr:rowOff>
    </xdr:from>
    <xdr:to>
      <xdr:col>8</xdr:col>
      <xdr:colOff>657225</xdr:colOff>
      <xdr:row>15</xdr:row>
      <xdr:rowOff>9524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69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9</xdr:col>
          <xdr:colOff>19050</xdr:colOff>
          <xdr:row>0</xdr:row>
          <xdr:rowOff>38100</xdr:rowOff>
        </xdr:from>
        <xdr:to>
          <xdr:col>9</xdr:col>
          <xdr:colOff>400050</xdr:colOff>
          <xdr:row>1</xdr:row>
          <xdr:rowOff>152400</xdr:rowOff>
        </xdr:to>
        <xdr:sp macro="" textlink="">
          <xdr:nvSpPr>
            <xdr:cNvPr id="1043457" name="Spinner 1" hidden="1">
              <a:extLst>
                <a:ext uri="{63B3BB69-23CF-44E3-9099-C40C66FF867C}">
                  <a14:compatExt spid="_x0000_s1043457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</xdr:wsDr>
</file>

<file path=xl/drawings/drawing130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152400</xdr:colOff>
      <xdr:row>2</xdr:row>
      <xdr:rowOff>9524</xdr:rowOff>
    </xdr:from>
    <xdr:to>
      <xdr:col>8</xdr:col>
      <xdr:colOff>657225</xdr:colOff>
      <xdr:row>15</xdr:row>
      <xdr:rowOff>9524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6A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9</xdr:col>
          <xdr:colOff>19050</xdr:colOff>
          <xdr:row>0</xdr:row>
          <xdr:rowOff>38100</xdr:rowOff>
        </xdr:from>
        <xdr:to>
          <xdr:col>9</xdr:col>
          <xdr:colOff>400050</xdr:colOff>
          <xdr:row>1</xdr:row>
          <xdr:rowOff>152400</xdr:rowOff>
        </xdr:to>
        <xdr:sp macro="" textlink="">
          <xdr:nvSpPr>
            <xdr:cNvPr id="1044481" name="Spinner 1" hidden="1">
              <a:extLst>
                <a:ext uri="{63B3BB69-23CF-44E3-9099-C40C66FF867C}">
                  <a14:compatExt spid="_x0000_s1044481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</xdr:wsDr>
</file>

<file path=xl/drawings/drawing13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152400</xdr:colOff>
      <xdr:row>2</xdr:row>
      <xdr:rowOff>9524</xdr:rowOff>
    </xdr:from>
    <xdr:to>
      <xdr:col>8</xdr:col>
      <xdr:colOff>657225</xdr:colOff>
      <xdr:row>15</xdr:row>
      <xdr:rowOff>9524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6B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9</xdr:col>
          <xdr:colOff>19050</xdr:colOff>
          <xdr:row>0</xdr:row>
          <xdr:rowOff>38100</xdr:rowOff>
        </xdr:from>
        <xdr:to>
          <xdr:col>9</xdr:col>
          <xdr:colOff>400050</xdr:colOff>
          <xdr:row>1</xdr:row>
          <xdr:rowOff>152400</xdr:rowOff>
        </xdr:to>
        <xdr:sp macro="" textlink="">
          <xdr:nvSpPr>
            <xdr:cNvPr id="1045505" name="Spinner 1" hidden="1">
              <a:extLst>
                <a:ext uri="{63B3BB69-23CF-44E3-9099-C40C66FF867C}">
                  <a14:compatExt spid="_x0000_s1045505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</xdr:wsDr>
</file>

<file path=xl/drawings/drawing13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152400</xdr:colOff>
      <xdr:row>2</xdr:row>
      <xdr:rowOff>9524</xdr:rowOff>
    </xdr:from>
    <xdr:to>
      <xdr:col>8</xdr:col>
      <xdr:colOff>657225</xdr:colOff>
      <xdr:row>15</xdr:row>
      <xdr:rowOff>9524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6C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9</xdr:col>
          <xdr:colOff>19050</xdr:colOff>
          <xdr:row>0</xdr:row>
          <xdr:rowOff>38100</xdr:rowOff>
        </xdr:from>
        <xdr:to>
          <xdr:col>9</xdr:col>
          <xdr:colOff>400050</xdr:colOff>
          <xdr:row>1</xdr:row>
          <xdr:rowOff>152400</xdr:rowOff>
        </xdr:to>
        <xdr:sp macro="" textlink="">
          <xdr:nvSpPr>
            <xdr:cNvPr id="1046529" name="Spinner 1" hidden="1">
              <a:extLst>
                <a:ext uri="{63B3BB69-23CF-44E3-9099-C40C66FF867C}">
                  <a14:compatExt spid="_x0000_s1046529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</xdr:wsDr>
</file>

<file path=xl/drawings/drawing13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152400</xdr:colOff>
      <xdr:row>2</xdr:row>
      <xdr:rowOff>9524</xdr:rowOff>
    </xdr:from>
    <xdr:to>
      <xdr:col>8</xdr:col>
      <xdr:colOff>657225</xdr:colOff>
      <xdr:row>15</xdr:row>
      <xdr:rowOff>9524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6D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9</xdr:col>
          <xdr:colOff>19050</xdr:colOff>
          <xdr:row>0</xdr:row>
          <xdr:rowOff>38100</xdr:rowOff>
        </xdr:from>
        <xdr:to>
          <xdr:col>9</xdr:col>
          <xdr:colOff>400050</xdr:colOff>
          <xdr:row>1</xdr:row>
          <xdr:rowOff>152400</xdr:rowOff>
        </xdr:to>
        <xdr:sp macro="" textlink="">
          <xdr:nvSpPr>
            <xdr:cNvPr id="1047553" name="Spinner 1" hidden="1">
              <a:extLst>
                <a:ext uri="{63B3BB69-23CF-44E3-9099-C40C66FF867C}">
                  <a14:compatExt spid="_x0000_s1047553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</xdr:wsDr>
</file>

<file path=xl/drawings/drawing13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152400</xdr:colOff>
      <xdr:row>2</xdr:row>
      <xdr:rowOff>9524</xdr:rowOff>
    </xdr:from>
    <xdr:to>
      <xdr:col>8</xdr:col>
      <xdr:colOff>657225</xdr:colOff>
      <xdr:row>15</xdr:row>
      <xdr:rowOff>9524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6E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9</xdr:col>
          <xdr:colOff>19050</xdr:colOff>
          <xdr:row>0</xdr:row>
          <xdr:rowOff>38100</xdr:rowOff>
        </xdr:from>
        <xdr:to>
          <xdr:col>9</xdr:col>
          <xdr:colOff>400050</xdr:colOff>
          <xdr:row>1</xdr:row>
          <xdr:rowOff>152400</xdr:rowOff>
        </xdr:to>
        <xdr:sp macro="" textlink="">
          <xdr:nvSpPr>
            <xdr:cNvPr id="1048577" name="Spinner 1" hidden="1">
              <a:extLst>
                <a:ext uri="{63B3BB69-23CF-44E3-9099-C40C66FF867C}">
                  <a14:compatExt spid="_x0000_s1048577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</xdr:wsDr>
</file>

<file path=xl/drawings/drawing135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152400</xdr:colOff>
      <xdr:row>2</xdr:row>
      <xdr:rowOff>9524</xdr:rowOff>
    </xdr:from>
    <xdr:to>
      <xdr:col>8</xdr:col>
      <xdr:colOff>657225</xdr:colOff>
      <xdr:row>15</xdr:row>
      <xdr:rowOff>9524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6F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9</xdr:col>
          <xdr:colOff>19050</xdr:colOff>
          <xdr:row>0</xdr:row>
          <xdr:rowOff>38100</xdr:rowOff>
        </xdr:from>
        <xdr:to>
          <xdr:col>9</xdr:col>
          <xdr:colOff>400050</xdr:colOff>
          <xdr:row>1</xdr:row>
          <xdr:rowOff>152400</xdr:rowOff>
        </xdr:to>
        <xdr:sp macro="" textlink="">
          <xdr:nvSpPr>
            <xdr:cNvPr id="1049601" name="Spinner 1" hidden="1">
              <a:extLst>
                <a:ext uri="{63B3BB69-23CF-44E3-9099-C40C66FF867C}">
                  <a14:compatExt spid="_x0000_s1049601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</xdr:wsDr>
</file>

<file path=xl/drawings/drawing136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152400</xdr:colOff>
      <xdr:row>2</xdr:row>
      <xdr:rowOff>9524</xdr:rowOff>
    </xdr:from>
    <xdr:to>
      <xdr:col>8</xdr:col>
      <xdr:colOff>657225</xdr:colOff>
      <xdr:row>15</xdr:row>
      <xdr:rowOff>9524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70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9</xdr:col>
          <xdr:colOff>19050</xdr:colOff>
          <xdr:row>0</xdr:row>
          <xdr:rowOff>38100</xdr:rowOff>
        </xdr:from>
        <xdr:to>
          <xdr:col>9</xdr:col>
          <xdr:colOff>400050</xdr:colOff>
          <xdr:row>1</xdr:row>
          <xdr:rowOff>152400</xdr:rowOff>
        </xdr:to>
        <xdr:sp macro="" textlink="">
          <xdr:nvSpPr>
            <xdr:cNvPr id="1050625" name="Spinner 1" hidden="1">
              <a:extLst>
                <a:ext uri="{63B3BB69-23CF-44E3-9099-C40C66FF867C}">
                  <a14:compatExt spid="_x0000_s1050625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</xdr:wsDr>
</file>

<file path=xl/drawings/drawing137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152400</xdr:colOff>
      <xdr:row>2</xdr:row>
      <xdr:rowOff>9524</xdr:rowOff>
    </xdr:from>
    <xdr:to>
      <xdr:col>8</xdr:col>
      <xdr:colOff>657225</xdr:colOff>
      <xdr:row>15</xdr:row>
      <xdr:rowOff>9524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71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9</xdr:col>
          <xdr:colOff>19050</xdr:colOff>
          <xdr:row>0</xdr:row>
          <xdr:rowOff>38100</xdr:rowOff>
        </xdr:from>
        <xdr:to>
          <xdr:col>9</xdr:col>
          <xdr:colOff>400050</xdr:colOff>
          <xdr:row>1</xdr:row>
          <xdr:rowOff>152400</xdr:rowOff>
        </xdr:to>
        <xdr:sp macro="" textlink="">
          <xdr:nvSpPr>
            <xdr:cNvPr id="2127874" name="Spinner 2" hidden="1">
              <a:extLst>
                <a:ext uri="{63B3BB69-23CF-44E3-9099-C40C66FF867C}">
                  <a14:compatExt spid="_x0000_s2127874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</xdr:wsDr>
</file>

<file path=xl/drawings/drawing138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152400</xdr:colOff>
      <xdr:row>2</xdr:row>
      <xdr:rowOff>9524</xdr:rowOff>
    </xdr:from>
    <xdr:to>
      <xdr:col>8</xdr:col>
      <xdr:colOff>657225</xdr:colOff>
      <xdr:row>15</xdr:row>
      <xdr:rowOff>9524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71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9</xdr:col>
          <xdr:colOff>19050</xdr:colOff>
          <xdr:row>0</xdr:row>
          <xdr:rowOff>38100</xdr:rowOff>
        </xdr:from>
        <xdr:to>
          <xdr:col>9</xdr:col>
          <xdr:colOff>400050</xdr:colOff>
          <xdr:row>1</xdr:row>
          <xdr:rowOff>152400</xdr:rowOff>
        </xdr:to>
        <xdr:sp macro="" textlink="">
          <xdr:nvSpPr>
            <xdr:cNvPr id="1051649" name="Spinner 1" hidden="1">
              <a:extLst>
                <a:ext uri="{63B3BB69-23CF-44E3-9099-C40C66FF867C}">
                  <a14:compatExt spid="_x0000_s1051649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</xdr:wsDr>
</file>

<file path=xl/drawings/drawing139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152400</xdr:colOff>
      <xdr:row>2</xdr:row>
      <xdr:rowOff>9524</xdr:rowOff>
    </xdr:from>
    <xdr:to>
      <xdr:col>8</xdr:col>
      <xdr:colOff>657225</xdr:colOff>
      <xdr:row>15</xdr:row>
      <xdr:rowOff>9524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72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9</xdr:col>
          <xdr:colOff>19050</xdr:colOff>
          <xdr:row>0</xdr:row>
          <xdr:rowOff>38100</xdr:rowOff>
        </xdr:from>
        <xdr:to>
          <xdr:col>9</xdr:col>
          <xdr:colOff>400050</xdr:colOff>
          <xdr:row>1</xdr:row>
          <xdr:rowOff>152400</xdr:rowOff>
        </xdr:to>
        <xdr:sp macro="" textlink="">
          <xdr:nvSpPr>
            <xdr:cNvPr id="1596417" name="Spinner 1" hidden="1">
              <a:extLst>
                <a:ext uri="{63B3BB69-23CF-44E3-9099-C40C66FF867C}">
                  <a14:compatExt spid="_x0000_s1596417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</xdr:wsDr>
</file>

<file path=xl/drawings/drawing140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152400</xdr:colOff>
      <xdr:row>2</xdr:row>
      <xdr:rowOff>9524</xdr:rowOff>
    </xdr:from>
    <xdr:to>
      <xdr:col>8</xdr:col>
      <xdr:colOff>657225</xdr:colOff>
      <xdr:row>15</xdr:row>
      <xdr:rowOff>9524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72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9</xdr:col>
          <xdr:colOff>19050</xdr:colOff>
          <xdr:row>0</xdr:row>
          <xdr:rowOff>38100</xdr:rowOff>
        </xdr:from>
        <xdr:to>
          <xdr:col>9</xdr:col>
          <xdr:colOff>400050</xdr:colOff>
          <xdr:row>1</xdr:row>
          <xdr:rowOff>152400</xdr:rowOff>
        </xdr:to>
        <xdr:sp macro="" textlink="">
          <xdr:nvSpPr>
            <xdr:cNvPr id="1052673" name="Spinner 1" hidden="1">
              <a:extLst>
                <a:ext uri="{63B3BB69-23CF-44E3-9099-C40C66FF867C}">
                  <a14:compatExt spid="_x0000_s1052673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</xdr:wsDr>
</file>

<file path=xl/drawings/drawing14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152400</xdr:colOff>
      <xdr:row>2</xdr:row>
      <xdr:rowOff>9524</xdr:rowOff>
    </xdr:from>
    <xdr:to>
      <xdr:col>8</xdr:col>
      <xdr:colOff>657225</xdr:colOff>
      <xdr:row>15</xdr:row>
      <xdr:rowOff>9524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73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9</xdr:col>
          <xdr:colOff>19050</xdr:colOff>
          <xdr:row>0</xdr:row>
          <xdr:rowOff>38100</xdr:rowOff>
        </xdr:from>
        <xdr:to>
          <xdr:col>9</xdr:col>
          <xdr:colOff>400050</xdr:colOff>
          <xdr:row>1</xdr:row>
          <xdr:rowOff>152400</xdr:rowOff>
        </xdr:to>
        <xdr:sp macro="" textlink="">
          <xdr:nvSpPr>
            <xdr:cNvPr id="1763329" name="Spinner 1" hidden="1">
              <a:extLst>
                <a:ext uri="{63B3BB69-23CF-44E3-9099-C40C66FF867C}">
                  <a14:compatExt spid="_x0000_s1763329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</xdr:wsDr>
</file>

<file path=xl/drawings/drawing14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152400</xdr:colOff>
      <xdr:row>2</xdr:row>
      <xdr:rowOff>9524</xdr:rowOff>
    </xdr:from>
    <xdr:to>
      <xdr:col>8</xdr:col>
      <xdr:colOff>657225</xdr:colOff>
      <xdr:row>15</xdr:row>
      <xdr:rowOff>9524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73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9</xdr:col>
          <xdr:colOff>19050</xdr:colOff>
          <xdr:row>0</xdr:row>
          <xdr:rowOff>38100</xdr:rowOff>
        </xdr:from>
        <xdr:to>
          <xdr:col>9</xdr:col>
          <xdr:colOff>400050</xdr:colOff>
          <xdr:row>1</xdr:row>
          <xdr:rowOff>152400</xdr:rowOff>
        </xdr:to>
        <xdr:sp macro="" textlink="">
          <xdr:nvSpPr>
            <xdr:cNvPr id="1053697" name="Spinner 1" hidden="1">
              <a:extLst>
                <a:ext uri="{63B3BB69-23CF-44E3-9099-C40C66FF867C}">
                  <a14:compatExt spid="_x0000_s1053697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</xdr:wsDr>
</file>

<file path=xl/drawings/drawing14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152400</xdr:colOff>
      <xdr:row>2</xdr:row>
      <xdr:rowOff>9524</xdr:rowOff>
    </xdr:from>
    <xdr:to>
      <xdr:col>8</xdr:col>
      <xdr:colOff>657225</xdr:colOff>
      <xdr:row>15</xdr:row>
      <xdr:rowOff>9524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74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9</xdr:col>
          <xdr:colOff>19050</xdr:colOff>
          <xdr:row>0</xdr:row>
          <xdr:rowOff>38100</xdr:rowOff>
        </xdr:from>
        <xdr:to>
          <xdr:col>9</xdr:col>
          <xdr:colOff>400050</xdr:colOff>
          <xdr:row>1</xdr:row>
          <xdr:rowOff>152400</xdr:rowOff>
        </xdr:to>
        <xdr:sp macro="" textlink="">
          <xdr:nvSpPr>
            <xdr:cNvPr id="2128897" name="Spinner 1" hidden="1">
              <a:extLst>
                <a:ext uri="{63B3BB69-23CF-44E3-9099-C40C66FF867C}">
                  <a14:compatExt spid="_x0000_s2128897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</xdr:wsDr>
</file>

<file path=xl/drawings/drawing14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152400</xdr:colOff>
      <xdr:row>2</xdr:row>
      <xdr:rowOff>9524</xdr:rowOff>
    </xdr:from>
    <xdr:to>
      <xdr:col>8</xdr:col>
      <xdr:colOff>657225</xdr:colOff>
      <xdr:row>15</xdr:row>
      <xdr:rowOff>9524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74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9</xdr:col>
          <xdr:colOff>19050</xdr:colOff>
          <xdr:row>0</xdr:row>
          <xdr:rowOff>38100</xdr:rowOff>
        </xdr:from>
        <xdr:to>
          <xdr:col>9</xdr:col>
          <xdr:colOff>400050</xdr:colOff>
          <xdr:row>1</xdr:row>
          <xdr:rowOff>152400</xdr:rowOff>
        </xdr:to>
        <xdr:sp macro="" textlink="">
          <xdr:nvSpPr>
            <xdr:cNvPr id="1054721" name="Spinner 1" hidden="1">
              <a:extLst>
                <a:ext uri="{63B3BB69-23CF-44E3-9099-C40C66FF867C}">
                  <a14:compatExt spid="_x0000_s1054721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</xdr:wsDr>
</file>

<file path=xl/drawings/drawing145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152400</xdr:colOff>
      <xdr:row>2</xdr:row>
      <xdr:rowOff>9524</xdr:rowOff>
    </xdr:from>
    <xdr:to>
      <xdr:col>8</xdr:col>
      <xdr:colOff>657225</xdr:colOff>
      <xdr:row>15</xdr:row>
      <xdr:rowOff>9524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75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9</xdr:col>
          <xdr:colOff>19050</xdr:colOff>
          <xdr:row>0</xdr:row>
          <xdr:rowOff>38100</xdr:rowOff>
        </xdr:from>
        <xdr:to>
          <xdr:col>9</xdr:col>
          <xdr:colOff>400050</xdr:colOff>
          <xdr:row>1</xdr:row>
          <xdr:rowOff>152400</xdr:rowOff>
        </xdr:to>
        <xdr:sp macro="" textlink="">
          <xdr:nvSpPr>
            <xdr:cNvPr id="1055745" name="Spinner 1" hidden="1">
              <a:extLst>
                <a:ext uri="{63B3BB69-23CF-44E3-9099-C40C66FF867C}">
                  <a14:compatExt spid="_x0000_s1055745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</xdr:wsDr>
</file>

<file path=xl/drawings/drawing146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152400</xdr:colOff>
      <xdr:row>2</xdr:row>
      <xdr:rowOff>9524</xdr:rowOff>
    </xdr:from>
    <xdr:to>
      <xdr:col>8</xdr:col>
      <xdr:colOff>657225</xdr:colOff>
      <xdr:row>15</xdr:row>
      <xdr:rowOff>9524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76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9</xdr:col>
          <xdr:colOff>19050</xdr:colOff>
          <xdr:row>0</xdr:row>
          <xdr:rowOff>38100</xdr:rowOff>
        </xdr:from>
        <xdr:to>
          <xdr:col>9</xdr:col>
          <xdr:colOff>400050</xdr:colOff>
          <xdr:row>1</xdr:row>
          <xdr:rowOff>152400</xdr:rowOff>
        </xdr:to>
        <xdr:sp macro="" textlink="">
          <xdr:nvSpPr>
            <xdr:cNvPr id="1056769" name="Spinner 1" hidden="1">
              <a:extLst>
                <a:ext uri="{63B3BB69-23CF-44E3-9099-C40C66FF867C}">
                  <a14:compatExt spid="_x0000_s1056769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</xdr:wsDr>
</file>

<file path=xl/drawings/drawing147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152400</xdr:colOff>
      <xdr:row>2</xdr:row>
      <xdr:rowOff>9524</xdr:rowOff>
    </xdr:from>
    <xdr:to>
      <xdr:col>8</xdr:col>
      <xdr:colOff>657225</xdr:colOff>
      <xdr:row>15</xdr:row>
      <xdr:rowOff>9524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77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9</xdr:col>
          <xdr:colOff>19050</xdr:colOff>
          <xdr:row>0</xdr:row>
          <xdr:rowOff>38100</xdr:rowOff>
        </xdr:from>
        <xdr:to>
          <xdr:col>9</xdr:col>
          <xdr:colOff>400050</xdr:colOff>
          <xdr:row>1</xdr:row>
          <xdr:rowOff>152400</xdr:rowOff>
        </xdr:to>
        <xdr:sp macro="" textlink="">
          <xdr:nvSpPr>
            <xdr:cNvPr id="1057793" name="Spinner 1" hidden="1">
              <a:extLst>
                <a:ext uri="{63B3BB69-23CF-44E3-9099-C40C66FF867C}">
                  <a14:compatExt spid="_x0000_s1057793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</xdr:wsDr>
</file>

<file path=xl/drawings/drawing148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152400</xdr:colOff>
      <xdr:row>2</xdr:row>
      <xdr:rowOff>9524</xdr:rowOff>
    </xdr:from>
    <xdr:to>
      <xdr:col>8</xdr:col>
      <xdr:colOff>657225</xdr:colOff>
      <xdr:row>15</xdr:row>
      <xdr:rowOff>9524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78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9</xdr:col>
          <xdr:colOff>19050</xdr:colOff>
          <xdr:row>0</xdr:row>
          <xdr:rowOff>38100</xdr:rowOff>
        </xdr:from>
        <xdr:to>
          <xdr:col>9</xdr:col>
          <xdr:colOff>400050</xdr:colOff>
          <xdr:row>1</xdr:row>
          <xdr:rowOff>152400</xdr:rowOff>
        </xdr:to>
        <xdr:sp macro="" textlink="">
          <xdr:nvSpPr>
            <xdr:cNvPr id="1058817" name="Spinner 1" hidden="1">
              <a:extLst>
                <a:ext uri="{63B3BB69-23CF-44E3-9099-C40C66FF867C}">
                  <a14:compatExt spid="_x0000_s1058817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</xdr:wsDr>
</file>

<file path=xl/drawings/drawing149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152400</xdr:colOff>
      <xdr:row>2</xdr:row>
      <xdr:rowOff>9524</xdr:rowOff>
    </xdr:from>
    <xdr:to>
      <xdr:col>8</xdr:col>
      <xdr:colOff>657225</xdr:colOff>
      <xdr:row>15</xdr:row>
      <xdr:rowOff>9524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79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9</xdr:col>
          <xdr:colOff>19050</xdr:colOff>
          <xdr:row>0</xdr:row>
          <xdr:rowOff>38100</xdr:rowOff>
        </xdr:from>
        <xdr:to>
          <xdr:col>9</xdr:col>
          <xdr:colOff>400050</xdr:colOff>
          <xdr:row>1</xdr:row>
          <xdr:rowOff>152400</xdr:rowOff>
        </xdr:to>
        <xdr:sp macro="" textlink="">
          <xdr:nvSpPr>
            <xdr:cNvPr id="1059841" name="Spinner 1" hidden="1">
              <a:extLst>
                <a:ext uri="{63B3BB69-23CF-44E3-9099-C40C66FF867C}">
                  <a14:compatExt spid="_x0000_s1059841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</xdr:wsDr>
</file>

<file path=xl/drawings/drawing150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152400</xdr:colOff>
      <xdr:row>2</xdr:row>
      <xdr:rowOff>9524</xdr:rowOff>
    </xdr:from>
    <xdr:to>
      <xdr:col>8</xdr:col>
      <xdr:colOff>657225</xdr:colOff>
      <xdr:row>15</xdr:row>
      <xdr:rowOff>9524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7A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9</xdr:col>
          <xdr:colOff>19050</xdr:colOff>
          <xdr:row>0</xdr:row>
          <xdr:rowOff>38100</xdr:rowOff>
        </xdr:from>
        <xdr:to>
          <xdr:col>9</xdr:col>
          <xdr:colOff>400050</xdr:colOff>
          <xdr:row>1</xdr:row>
          <xdr:rowOff>152400</xdr:rowOff>
        </xdr:to>
        <xdr:sp macro="" textlink="">
          <xdr:nvSpPr>
            <xdr:cNvPr id="1060865" name="Spinner 1" hidden="1">
              <a:extLst>
                <a:ext uri="{63B3BB69-23CF-44E3-9099-C40C66FF867C}">
                  <a14:compatExt spid="_x0000_s1060865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</xdr:wsDr>
</file>

<file path=xl/drawings/drawing15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152400</xdr:colOff>
      <xdr:row>2</xdr:row>
      <xdr:rowOff>9524</xdr:rowOff>
    </xdr:from>
    <xdr:to>
      <xdr:col>8</xdr:col>
      <xdr:colOff>657225</xdr:colOff>
      <xdr:row>15</xdr:row>
      <xdr:rowOff>9524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7B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9</xdr:col>
          <xdr:colOff>19050</xdr:colOff>
          <xdr:row>0</xdr:row>
          <xdr:rowOff>38100</xdr:rowOff>
        </xdr:from>
        <xdr:to>
          <xdr:col>9</xdr:col>
          <xdr:colOff>400050</xdr:colOff>
          <xdr:row>1</xdr:row>
          <xdr:rowOff>152400</xdr:rowOff>
        </xdr:to>
        <xdr:sp macro="" textlink="">
          <xdr:nvSpPr>
            <xdr:cNvPr id="1061889" name="Spinner 1" hidden="1">
              <a:extLst>
                <a:ext uri="{63B3BB69-23CF-44E3-9099-C40C66FF867C}">
                  <a14:compatExt spid="_x0000_s1061889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</xdr:wsDr>
</file>

<file path=xl/drawings/drawing15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152400</xdr:colOff>
      <xdr:row>2</xdr:row>
      <xdr:rowOff>9524</xdr:rowOff>
    </xdr:from>
    <xdr:to>
      <xdr:col>8</xdr:col>
      <xdr:colOff>657225</xdr:colOff>
      <xdr:row>15</xdr:row>
      <xdr:rowOff>9524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7C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9</xdr:col>
          <xdr:colOff>19050</xdr:colOff>
          <xdr:row>0</xdr:row>
          <xdr:rowOff>38100</xdr:rowOff>
        </xdr:from>
        <xdr:to>
          <xdr:col>9</xdr:col>
          <xdr:colOff>400050</xdr:colOff>
          <xdr:row>1</xdr:row>
          <xdr:rowOff>152400</xdr:rowOff>
        </xdr:to>
        <xdr:sp macro="" textlink="">
          <xdr:nvSpPr>
            <xdr:cNvPr id="1062913" name="Spinner 1" hidden="1">
              <a:extLst>
                <a:ext uri="{63B3BB69-23CF-44E3-9099-C40C66FF867C}">
                  <a14:compatExt spid="_x0000_s1062913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</xdr:wsDr>
</file>

<file path=xl/drawings/drawing15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152400</xdr:colOff>
      <xdr:row>2</xdr:row>
      <xdr:rowOff>9524</xdr:rowOff>
    </xdr:from>
    <xdr:to>
      <xdr:col>8</xdr:col>
      <xdr:colOff>657225</xdr:colOff>
      <xdr:row>15</xdr:row>
      <xdr:rowOff>9524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7D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9</xdr:col>
          <xdr:colOff>19050</xdr:colOff>
          <xdr:row>0</xdr:row>
          <xdr:rowOff>38100</xdr:rowOff>
        </xdr:from>
        <xdr:to>
          <xdr:col>9</xdr:col>
          <xdr:colOff>400050</xdr:colOff>
          <xdr:row>1</xdr:row>
          <xdr:rowOff>152400</xdr:rowOff>
        </xdr:to>
        <xdr:sp macro="" textlink="">
          <xdr:nvSpPr>
            <xdr:cNvPr id="1063937" name="Spinner 1" hidden="1">
              <a:extLst>
                <a:ext uri="{63B3BB69-23CF-44E3-9099-C40C66FF867C}">
                  <a14:compatExt spid="_x0000_s1063937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</xdr:wsDr>
</file>

<file path=xl/drawings/drawing15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152400</xdr:colOff>
      <xdr:row>2</xdr:row>
      <xdr:rowOff>9524</xdr:rowOff>
    </xdr:from>
    <xdr:to>
      <xdr:col>8</xdr:col>
      <xdr:colOff>657225</xdr:colOff>
      <xdr:row>15</xdr:row>
      <xdr:rowOff>9524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7E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9</xdr:col>
          <xdr:colOff>19050</xdr:colOff>
          <xdr:row>0</xdr:row>
          <xdr:rowOff>38100</xdr:rowOff>
        </xdr:from>
        <xdr:to>
          <xdr:col>9</xdr:col>
          <xdr:colOff>400050</xdr:colOff>
          <xdr:row>1</xdr:row>
          <xdr:rowOff>152400</xdr:rowOff>
        </xdr:to>
        <xdr:sp macro="" textlink="">
          <xdr:nvSpPr>
            <xdr:cNvPr id="1597441" name="Spinner 1" hidden="1">
              <a:extLst>
                <a:ext uri="{63B3BB69-23CF-44E3-9099-C40C66FF867C}">
                  <a14:compatExt spid="_x0000_s1597441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</xdr:wsDr>
</file>

<file path=xl/drawings/drawing155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152400</xdr:colOff>
      <xdr:row>2</xdr:row>
      <xdr:rowOff>9524</xdr:rowOff>
    </xdr:from>
    <xdr:to>
      <xdr:col>8</xdr:col>
      <xdr:colOff>657225</xdr:colOff>
      <xdr:row>15</xdr:row>
      <xdr:rowOff>9524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7E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9</xdr:col>
          <xdr:colOff>19050</xdr:colOff>
          <xdr:row>0</xdr:row>
          <xdr:rowOff>38100</xdr:rowOff>
        </xdr:from>
        <xdr:to>
          <xdr:col>9</xdr:col>
          <xdr:colOff>400050</xdr:colOff>
          <xdr:row>1</xdr:row>
          <xdr:rowOff>152400</xdr:rowOff>
        </xdr:to>
        <xdr:sp macro="" textlink="">
          <xdr:nvSpPr>
            <xdr:cNvPr id="1064961" name="Spinner 1" hidden="1">
              <a:extLst>
                <a:ext uri="{63B3BB69-23CF-44E3-9099-C40C66FF867C}">
                  <a14:compatExt spid="_x0000_s1064961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</xdr:wsDr>
</file>

<file path=xl/drawings/drawing156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152400</xdr:colOff>
      <xdr:row>2</xdr:row>
      <xdr:rowOff>9524</xdr:rowOff>
    </xdr:from>
    <xdr:to>
      <xdr:col>8</xdr:col>
      <xdr:colOff>657225</xdr:colOff>
      <xdr:row>15</xdr:row>
      <xdr:rowOff>9524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7F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9</xdr:col>
          <xdr:colOff>19050</xdr:colOff>
          <xdr:row>0</xdr:row>
          <xdr:rowOff>38100</xdr:rowOff>
        </xdr:from>
        <xdr:to>
          <xdr:col>9</xdr:col>
          <xdr:colOff>400050</xdr:colOff>
          <xdr:row>1</xdr:row>
          <xdr:rowOff>152400</xdr:rowOff>
        </xdr:to>
        <xdr:sp macro="" textlink="">
          <xdr:nvSpPr>
            <xdr:cNvPr id="1065985" name="Spinner 1" hidden="1">
              <a:extLst>
                <a:ext uri="{63B3BB69-23CF-44E3-9099-C40C66FF867C}">
                  <a14:compatExt spid="_x0000_s1065985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</xdr:wsDr>
</file>

<file path=xl/drawings/drawing157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152400</xdr:colOff>
      <xdr:row>2</xdr:row>
      <xdr:rowOff>9524</xdr:rowOff>
    </xdr:from>
    <xdr:to>
      <xdr:col>8</xdr:col>
      <xdr:colOff>657225</xdr:colOff>
      <xdr:row>15</xdr:row>
      <xdr:rowOff>9524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80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9</xdr:col>
          <xdr:colOff>19050</xdr:colOff>
          <xdr:row>0</xdr:row>
          <xdr:rowOff>38100</xdr:rowOff>
        </xdr:from>
        <xdr:to>
          <xdr:col>9</xdr:col>
          <xdr:colOff>400050</xdr:colOff>
          <xdr:row>1</xdr:row>
          <xdr:rowOff>152400</xdr:rowOff>
        </xdr:to>
        <xdr:sp macro="" textlink="">
          <xdr:nvSpPr>
            <xdr:cNvPr id="1067009" name="Spinner 1" hidden="1">
              <a:extLst>
                <a:ext uri="{63B3BB69-23CF-44E3-9099-C40C66FF867C}">
                  <a14:compatExt spid="_x0000_s1067009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</xdr:wsDr>
</file>

<file path=xl/drawings/drawing158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152400</xdr:colOff>
      <xdr:row>2</xdr:row>
      <xdr:rowOff>9524</xdr:rowOff>
    </xdr:from>
    <xdr:to>
      <xdr:col>8</xdr:col>
      <xdr:colOff>657225</xdr:colOff>
      <xdr:row>15</xdr:row>
      <xdr:rowOff>9524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81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9</xdr:col>
          <xdr:colOff>19050</xdr:colOff>
          <xdr:row>0</xdr:row>
          <xdr:rowOff>38100</xdr:rowOff>
        </xdr:from>
        <xdr:to>
          <xdr:col>9</xdr:col>
          <xdr:colOff>400050</xdr:colOff>
          <xdr:row>1</xdr:row>
          <xdr:rowOff>152400</xdr:rowOff>
        </xdr:to>
        <xdr:sp macro="" textlink="">
          <xdr:nvSpPr>
            <xdr:cNvPr id="1509377" name="Spinner 1" hidden="1">
              <a:extLst>
                <a:ext uri="{63B3BB69-23CF-44E3-9099-C40C66FF867C}">
                  <a14:compatExt spid="_x0000_s1509377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</xdr:wsDr>
</file>

<file path=xl/drawings/drawing159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152400</xdr:colOff>
      <xdr:row>2</xdr:row>
      <xdr:rowOff>9524</xdr:rowOff>
    </xdr:from>
    <xdr:to>
      <xdr:col>8</xdr:col>
      <xdr:colOff>657225</xdr:colOff>
      <xdr:row>15</xdr:row>
      <xdr:rowOff>9524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81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9</xdr:col>
          <xdr:colOff>19050</xdr:colOff>
          <xdr:row>0</xdr:row>
          <xdr:rowOff>38100</xdr:rowOff>
        </xdr:from>
        <xdr:to>
          <xdr:col>9</xdr:col>
          <xdr:colOff>400050</xdr:colOff>
          <xdr:row>1</xdr:row>
          <xdr:rowOff>152400</xdr:rowOff>
        </xdr:to>
        <xdr:sp macro="" textlink="">
          <xdr:nvSpPr>
            <xdr:cNvPr id="1510401" name="Spinner 1" hidden="1">
              <a:extLst>
                <a:ext uri="{63B3BB69-23CF-44E3-9099-C40C66FF867C}">
                  <a14:compatExt spid="_x0000_s1510401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</xdr:wsDr>
</file>

<file path=xl/drawings/drawing160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152400</xdr:colOff>
      <xdr:row>2</xdr:row>
      <xdr:rowOff>9524</xdr:rowOff>
    </xdr:from>
    <xdr:to>
      <xdr:col>8</xdr:col>
      <xdr:colOff>657225</xdr:colOff>
      <xdr:row>15</xdr:row>
      <xdr:rowOff>9524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81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9</xdr:col>
          <xdr:colOff>19050</xdr:colOff>
          <xdr:row>0</xdr:row>
          <xdr:rowOff>38100</xdr:rowOff>
        </xdr:from>
        <xdr:to>
          <xdr:col>9</xdr:col>
          <xdr:colOff>400050</xdr:colOff>
          <xdr:row>1</xdr:row>
          <xdr:rowOff>152400</xdr:rowOff>
        </xdr:to>
        <xdr:sp macro="" textlink="">
          <xdr:nvSpPr>
            <xdr:cNvPr id="1549313" name="Spinner 1" hidden="1">
              <a:extLst>
                <a:ext uri="{63B3BB69-23CF-44E3-9099-C40C66FF867C}">
                  <a14:compatExt spid="_x0000_s1549313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</xdr:wsDr>
</file>

<file path=xl/drawings/drawing16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152400</xdr:colOff>
      <xdr:row>2</xdr:row>
      <xdr:rowOff>9524</xdr:rowOff>
    </xdr:from>
    <xdr:to>
      <xdr:col>8</xdr:col>
      <xdr:colOff>657225</xdr:colOff>
      <xdr:row>15</xdr:row>
      <xdr:rowOff>9524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81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9</xdr:col>
          <xdr:colOff>19050</xdr:colOff>
          <xdr:row>0</xdr:row>
          <xdr:rowOff>38100</xdr:rowOff>
        </xdr:from>
        <xdr:to>
          <xdr:col>9</xdr:col>
          <xdr:colOff>400050</xdr:colOff>
          <xdr:row>1</xdr:row>
          <xdr:rowOff>152400</xdr:rowOff>
        </xdr:to>
        <xdr:sp macro="" textlink="">
          <xdr:nvSpPr>
            <xdr:cNvPr id="1511425" name="Spinner 1" hidden="1">
              <a:extLst>
                <a:ext uri="{63B3BB69-23CF-44E3-9099-C40C66FF867C}">
                  <a14:compatExt spid="_x0000_s1511425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</xdr:wsDr>
</file>

<file path=xl/drawings/drawing16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152400</xdr:colOff>
      <xdr:row>2</xdr:row>
      <xdr:rowOff>9524</xdr:rowOff>
    </xdr:from>
    <xdr:to>
      <xdr:col>8</xdr:col>
      <xdr:colOff>657225</xdr:colOff>
      <xdr:row>15</xdr:row>
      <xdr:rowOff>9524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81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9</xdr:col>
          <xdr:colOff>19050</xdr:colOff>
          <xdr:row>0</xdr:row>
          <xdr:rowOff>38100</xdr:rowOff>
        </xdr:from>
        <xdr:to>
          <xdr:col>9</xdr:col>
          <xdr:colOff>400050</xdr:colOff>
          <xdr:row>1</xdr:row>
          <xdr:rowOff>152400</xdr:rowOff>
        </xdr:to>
        <xdr:sp macro="" textlink="">
          <xdr:nvSpPr>
            <xdr:cNvPr id="1512449" name="Spinner 1" hidden="1">
              <a:extLst>
                <a:ext uri="{63B3BB69-23CF-44E3-9099-C40C66FF867C}">
                  <a14:compatExt spid="_x0000_s1512449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</xdr:wsDr>
</file>

<file path=xl/drawings/drawing16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152400</xdr:colOff>
      <xdr:row>2</xdr:row>
      <xdr:rowOff>9524</xdr:rowOff>
    </xdr:from>
    <xdr:to>
      <xdr:col>8</xdr:col>
      <xdr:colOff>657225</xdr:colOff>
      <xdr:row>15</xdr:row>
      <xdr:rowOff>9524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81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9</xdr:col>
          <xdr:colOff>19050</xdr:colOff>
          <xdr:row>0</xdr:row>
          <xdr:rowOff>38100</xdr:rowOff>
        </xdr:from>
        <xdr:to>
          <xdr:col>9</xdr:col>
          <xdr:colOff>400050</xdr:colOff>
          <xdr:row>1</xdr:row>
          <xdr:rowOff>152400</xdr:rowOff>
        </xdr:to>
        <xdr:sp macro="" textlink="">
          <xdr:nvSpPr>
            <xdr:cNvPr id="1068033" name="Spinner 1" hidden="1">
              <a:extLst>
                <a:ext uri="{63B3BB69-23CF-44E3-9099-C40C66FF867C}">
                  <a14:compatExt spid="_x0000_s1068033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</xdr:wsDr>
</file>

<file path=xl/drawings/drawing16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152400</xdr:colOff>
      <xdr:row>2</xdr:row>
      <xdr:rowOff>9524</xdr:rowOff>
    </xdr:from>
    <xdr:to>
      <xdr:col>8</xdr:col>
      <xdr:colOff>657225</xdr:colOff>
      <xdr:row>15</xdr:row>
      <xdr:rowOff>9524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81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9</xdr:col>
          <xdr:colOff>19050</xdr:colOff>
          <xdr:row>0</xdr:row>
          <xdr:rowOff>38100</xdr:rowOff>
        </xdr:from>
        <xdr:to>
          <xdr:col>9</xdr:col>
          <xdr:colOff>400050</xdr:colOff>
          <xdr:row>1</xdr:row>
          <xdr:rowOff>152400</xdr:rowOff>
        </xdr:to>
        <xdr:sp macro="" textlink="">
          <xdr:nvSpPr>
            <xdr:cNvPr id="1513473" name="Spinner 1" hidden="1">
              <a:extLst>
                <a:ext uri="{63B3BB69-23CF-44E3-9099-C40C66FF867C}">
                  <a14:compatExt spid="_x0000_s1513473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</xdr:wsDr>
</file>

<file path=xl/drawings/drawing165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152400</xdr:colOff>
      <xdr:row>2</xdr:row>
      <xdr:rowOff>9524</xdr:rowOff>
    </xdr:from>
    <xdr:to>
      <xdr:col>8</xdr:col>
      <xdr:colOff>657225</xdr:colOff>
      <xdr:row>15</xdr:row>
      <xdr:rowOff>9524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81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9</xdr:col>
          <xdr:colOff>19050</xdr:colOff>
          <xdr:row>0</xdr:row>
          <xdr:rowOff>38100</xdr:rowOff>
        </xdr:from>
        <xdr:to>
          <xdr:col>9</xdr:col>
          <xdr:colOff>400050</xdr:colOff>
          <xdr:row>1</xdr:row>
          <xdr:rowOff>152400</xdr:rowOff>
        </xdr:to>
        <xdr:sp macro="" textlink="">
          <xdr:nvSpPr>
            <xdr:cNvPr id="1514498" name="Spinner 2" hidden="1">
              <a:extLst>
                <a:ext uri="{63B3BB69-23CF-44E3-9099-C40C66FF867C}">
                  <a14:compatExt spid="_x0000_s1514498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</xdr:wsDr>
</file>

<file path=xl/drawings/drawing166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152400</xdr:colOff>
      <xdr:row>2</xdr:row>
      <xdr:rowOff>9524</xdr:rowOff>
    </xdr:from>
    <xdr:to>
      <xdr:col>8</xdr:col>
      <xdr:colOff>657225</xdr:colOff>
      <xdr:row>15</xdr:row>
      <xdr:rowOff>9524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81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9</xdr:col>
          <xdr:colOff>19050</xdr:colOff>
          <xdr:row>0</xdr:row>
          <xdr:rowOff>38100</xdr:rowOff>
        </xdr:from>
        <xdr:to>
          <xdr:col>9</xdr:col>
          <xdr:colOff>400050</xdr:colOff>
          <xdr:row>1</xdr:row>
          <xdr:rowOff>152400</xdr:rowOff>
        </xdr:to>
        <xdr:sp macro="" textlink="">
          <xdr:nvSpPr>
            <xdr:cNvPr id="1515521" name="Spinner 1" hidden="1">
              <a:extLst>
                <a:ext uri="{63B3BB69-23CF-44E3-9099-C40C66FF867C}">
                  <a14:compatExt spid="_x0000_s1515521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</xdr:wsDr>
</file>

<file path=xl/drawings/drawing167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152400</xdr:colOff>
      <xdr:row>2</xdr:row>
      <xdr:rowOff>9524</xdr:rowOff>
    </xdr:from>
    <xdr:to>
      <xdr:col>8</xdr:col>
      <xdr:colOff>657225</xdr:colOff>
      <xdr:row>15</xdr:row>
      <xdr:rowOff>9524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81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9</xdr:col>
          <xdr:colOff>19050</xdr:colOff>
          <xdr:row>0</xdr:row>
          <xdr:rowOff>38100</xdr:rowOff>
        </xdr:from>
        <xdr:to>
          <xdr:col>9</xdr:col>
          <xdr:colOff>400050</xdr:colOff>
          <xdr:row>1</xdr:row>
          <xdr:rowOff>152400</xdr:rowOff>
        </xdr:to>
        <xdr:sp macro="" textlink="">
          <xdr:nvSpPr>
            <xdr:cNvPr id="1516545" name="Spinner 1" hidden="1">
              <a:extLst>
                <a:ext uri="{63B3BB69-23CF-44E3-9099-C40C66FF867C}">
                  <a14:compatExt spid="_x0000_s1516545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</xdr:wsDr>
</file>

<file path=xl/drawings/drawing168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152400</xdr:colOff>
      <xdr:row>2</xdr:row>
      <xdr:rowOff>9524</xdr:rowOff>
    </xdr:from>
    <xdr:to>
      <xdr:col>8</xdr:col>
      <xdr:colOff>657225</xdr:colOff>
      <xdr:row>15</xdr:row>
      <xdr:rowOff>9524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82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9</xdr:col>
          <xdr:colOff>19050</xdr:colOff>
          <xdr:row>0</xdr:row>
          <xdr:rowOff>38100</xdr:rowOff>
        </xdr:from>
        <xdr:to>
          <xdr:col>9</xdr:col>
          <xdr:colOff>400050</xdr:colOff>
          <xdr:row>1</xdr:row>
          <xdr:rowOff>152400</xdr:rowOff>
        </xdr:to>
        <xdr:sp macro="" textlink="">
          <xdr:nvSpPr>
            <xdr:cNvPr id="1069057" name="Spinner 1" hidden="1">
              <a:extLst>
                <a:ext uri="{63B3BB69-23CF-44E3-9099-C40C66FF867C}">
                  <a14:compatExt spid="_x0000_s1069057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</xdr:wsDr>
</file>

<file path=xl/drawings/drawing169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152400</xdr:colOff>
      <xdr:row>2</xdr:row>
      <xdr:rowOff>9524</xdr:rowOff>
    </xdr:from>
    <xdr:to>
      <xdr:col>8</xdr:col>
      <xdr:colOff>657225</xdr:colOff>
      <xdr:row>15</xdr:row>
      <xdr:rowOff>9524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83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9</xdr:col>
          <xdr:colOff>19050</xdr:colOff>
          <xdr:row>0</xdr:row>
          <xdr:rowOff>38100</xdr:rowOff>
        </xdr:from>
        <xdr:to>
          <xdr:col>9</xdr:col>
          <xdr:colOff>400050</xdr:colOff>
          <xdr:row>1</xdr:row>
          <xdr:rowOff>152400</xdr:rowOff>
        </xdr:to>
        <xdr:sp macro="" textlink="">
          <xdr:nvSpPr>
            <xdr:cNvPr id="1070081" name="Spinner 1" hidden="1">
              <a:extLst>
                <a:ext uri="{63B3BB69-23CF-44E3-9099-C40C66FF867C}">
                  <a14:compatExt spid="_x0000_s1070081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</xdr:wsDr>
</file>

<file path=xl/drawings/drawing170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152400</xdr:colOff>
      <xdr:row>2</xdr:row>
      <xdr:rowOff>9524</xdr:rowOff>
    </xdr:from>
    <xdr:to>
      <xdr:col>8</xdr:col>
      <xdr:colOff>657225</xdr:colOff>
      <xdr:row>15</xdr:row>
      <xdr:rowOff>9524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84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9</xdr:col>
          <xdr:colOff>19050</xdr:colOff>
          <xdr:row>0</xdr:row>
          <xdr:rowOff>38100</xdr:rowOff>
        </xdr:from>
        <xdr:to>
          <xdr:col>9</xdr:col>
          <xdr:colOff>400050</xdr:colOff>
          <xdr:row>1</xdr:row>
          <xdr:rowOff>152400</xdr:rowOff>
        </xdr:to>
        <xdr:sp macro="" textlink="">
          <xdr:nvSpPr>
            <xdr:cNvPr id="1071105" name="Spinner 1" hidden="1">
              <a:extLst>
                <a:ext uri="{63B3BB69-23CF-44E3-9099-C40C66FF867C}">
                  <a14:compatExt spid="_x0000_s1071105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</xdr:wsDr>
</file>

<file path=xl/drawings/drawing17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152400</xdr:colOff>
      <xdr:row>2</xdr:row>
      <xdr:rowOff>9524</xdr:rowOff>
    </xdr:from>
    <xdr:to>
      <xdr:col>8</xdr:col>
      <xdr:colOff>657225</xdr:colOff>
      <xdr:row>15</xdr:row>
      <xdr:rowOff>9524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85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9</xdr:col>
          <xdr:colOff>19050</xdr:colOff>
          <xdr:row>0</xdr:row>
          <xdr:rowOff>38100</xdr:rowOff>
        </xdr:from>
        <xdr:to>
          <xdr:col>9</xdr:col>
          <xdr:colOff>400050</xdr:colOff>
          <xdr:row>1</xdr:row>
          <xdr:rowOff>152400</xdr:rowOff>
        </xdr:to>
        <xdr:sp macro="" textlink="">
          <xdr:nvSpPr>
            <xdr:cNvPr id="1072129" name="Spinner 1" hidden="1">
              <a:extLst>
                <a:ext uri="{63B3BB69-23CF-44E3-9099-C40C66FF867C}">
                  <a14:compatExt spid="_x0000_s1072129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</xdr:wsDr>
</file>

<file path=xl/drawings/drawing17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152400</xdr:colOff>
      <xdr:row>2</xdr:row>
      <xdr:rowOff>9524</xdr:rowOff>
    </xdr:from>
    <xdr:to>
      <xdr:col>8</xdr:col>
      <xdr:colOff>657225</xdr:colOff>
      <xdr:row>15</xdr:row>
      <xdr:rowOff>9524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86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9</xdr:col>
          <xdr:colOff>19050</xdr:colOff>
          <xdr:row>0</xdr:row>
          <xdr:rowOff>38100</xdr:rowOff>
        </xdr:from>
        <xdr:to>
          <xdr:col>9</xdr:col>
          <xdr:colOff>400050</xdr:colOff>
          <xdr:row>1</xdr:row>
          <xdr:rowOff>152400</xdr:rowOff>
        </xdr:to>
        <xdr:sp macro="" textlink="">
          <xdr:nvSpPr>
            <xdr:cNvPr id="1076225" name="Spinner 1" hidden="1">
              <a:extLst>
                <a:ext uri="{63B3BB69-23CF-44E3-9099-C40C66FF867C}">
                  <a14:compatExt spid="_x0000_s1076225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</xdr:wsDr>
</file>

<file path=xl/drawings/drawing17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152400</xdr:colOff>
      <xdr:row>2</xdr:row>
      <xdr:rowOff>9524</xdr:rowOff>
    </xdr:from>
    <xdr:to>
      <xdr:col>8</xdr:col>
      <xdr:colOff>657225</xdr:colOff>
      <xdr:row>15</xdr:row>
      <xdr:rowOff>9524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87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9</xdr:col>
          <xdr:colOff>19050</xdr:colOff>
          <xdr:row>0</xdr:row>
          <xdr:rowOff>38100</xdr:rowOff>
        </xdr:from>
        <xdr:to>
          <xdr:col>9</xdr:col>
          <xdr:colOff>400050</xdr:colOff>
          <xdr:row>1</xdr:row>
          <xdr:rowOff>152400</xdr:rowOff>
        </xdr:to>
        <xdr:sp macro="" textlink="">
          <xdr:nvSpPr>
            <xdr:cNvPr id="1077249" name="Spinner 1" hidden="1">
              <a:extLst>
                <a:ext uri="{63B3BB69-23CF-44E3-9099-C40C66FF867C}">
                  <a14:compatExt spid="_x0000_s1077249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</xdr:wsDr>
</file>

<file path=xl/drawings/drawing17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152400</xdr:colOff>
      <xdr:row>2</xdr:row>
      <xdr:rowOff>9524</xdr:rowOff>
    </xdr:from>
    <xdr:to>
      <xdr:col>8</xdr:col>
      <xdr:colOff>657225</xdr:colOff>
      <xdr:row>15</xdr:row>
      <xdr:rowOff>9524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88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9</xdr:col>
          <xdr:colOff>19050</xdr:colOff>
          <xdr:row>0</xdr:row>
          <xdr:rowOff>38100</xdr:rowOff>
        </xdr:from>
        <xdr:to>
          <xdr:col>9</xdr:col>
          <xdr:colOff>400050</xdr:colOff>
          <xdr:row>1</xdr:row>
          <xdr:rowOff>152400</xdr:rowOff>
        </xdr:to>
        <xdr:sp macro="" textlink="">
          <xdr:nvSpPr>
            <xdr:cNvPr id="1078273" name="Spinner 1" hidden="1">
              <a:extLst>
                <a:ext uri="{63B3BB69-23CF-44E3-9099-C40C66FF867C}">
                  <a14:compatExt spid="_x0000_s1078273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</xdr:wsDr>
</file>

<file path=xl/drawings/drawing175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152400</xdr:colOff>
      <xdr:row>2</xdr:row>
      <xdr:rowOff>9524</xdr:rowOff>
    </xdr:from>
    <xdr:to>
      <xdr:col>8</xdr:col>
      <xdr:colOff>657225</xdr:colOff>
      <xdr:row>15</xdr:row>
      <xdr:rowOff>9524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89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9</xdr:col>
          <xdr:colOff>19050</xdr:colOff>
          <xdr:row>0</xdr:row>
          <xdr:rowOff>38100</xdr:rowOff>
        </xdr:from>
        <xdr:to>
          <xdr:col>9</xdr:col>
          <xdr:colOff>400050</xdr:colOff>
          <xdr:row>1</xdr:row>
          <xdr:rowOff>152400</xdr:rowOff>
        </xdr:to>
        <xdr:sp macro="" textlink="">
          <xdr:nvSpPr>
            <xdr:cNvPr id="1079297" name="Spinner 1" hidden="1">
              <a:extLst>
                <a:ext uri="{63B3BB69-23CF-44E3-9099-C40C66FF867C}">
                  <a14:compatExt spid="_x0000_s1079297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</xdr:wsDr>
</file>

<file path=xl/drawings/drawing176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152400</xdr:colOff>
      <xdr:row>2</xdr:row>
      <xdr:rowOff>9524</xdr:rowOff>
    </xdr:from>
    <xdr:to>
      <xdr:col>8</xdr:col>
      <xdr:colOff>657225</xdr:colOff>
      <xdr:row>15</xdr:row>
      <xdr:rowOff>9524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8A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9</xdr:col>
          <xdr:colOff>19050</xdr:colOff>
          <xdr:row>0</xdr:row>
          <xdr:rowOff>38100</xdr:rowOff>
        </xdr:from>
        <xdr:to>
          <xdr:col>9</xdr:col>
          <xdr:colOff>400050</xdr:colOff>
          <xdr:row>1</xdr:row>
          <xdr:rowOff>152400</xdr:rowOff>
        </xdr:to>
        <xdr:sp macro="" textlink="">
          <xdr:nvSpPr>
            <xdr:cNvPr id="1080321" name="Spinner 1" hidden="1">
              <a:extLst>
                <a:ext uri="{63B3BB69-23CF-44E3-9099-C40C66FF867C}">
                  <a14:compatExt spid="_x0000_s1080321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</xdr:wsDr>
</file>

<file path=xl/drawings/drawing177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152400</xdr:colOff>
      <xdr:row>2</xdr:row>
      <xdr:rowOff>9524</xdr:rowOff>
    </xdr:from>
    <xdr:to>
      <xdr:col>8</xdr:col>
      <xdr:colOff>657225</xdr:colOff>
      <xdr:row>15</xdr:row>
      <xdr:rowOff>9524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8B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9</xdr:col>
          <xdr:colOff>19050</xdr:colOff>
          <xdr:row>0</xdr:row>
          <xdr:rowOff>38100</xdr:rowOff>
        </xdr:from>
        <xdr:to>
          <xdr:col>9</xdr:col>
          <xdr:colOff>400050</xdr:colOff>
          <xdr:row>1</xdr:row>
          <xdr:rowOff>152400</xdr:rowOff>
        </xdr:to>
        <xdr:sp macro="" textlink="">
          <xdr:nvSpPr>
            <xdr:cNvPr id="1075201" name="Spinner 1" hidden="1">
              <a:extLst>
                <a:ext uri="{63B3BB69-23CF-44E3-9099-C40C66FF867C}">
                  <a14:compatExt spid="_x0000_s1075201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</xdr:wsDr>
</file>

<file path=xl/drawings/drawing178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152400</xdr:colOff>
      <xdr:row>2</xdr:row>
      <xdr:rowOff>9524</xdr:rowOff>
    </xdr:from>
    <xdr:to>
      <xdr:col>8</xdr:col>
      <xdr:colOff>657225</xdr:colOff>
      <xdr:row>15</xdr:row>
      <xdr:rowOff>9524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8C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9</xdr:col>
          <xdr:colOff>19050</xdr:colOff>
          <xdr:row>0</xdr:row>
          <xdr:rowOff>38100</xdr:rowOff>
        </xdr:from>
        <xdr:to>
          <xdr:col>9</xdr:col>
          <xdr:colOff>400050</xdr:colOff>
          <xdr:row>1</xdr:row>
          <xdr:rowOff>152400</xdr:rowOff>
        </xdr:to>
        <xdr:sp macro="" textlink="">
          <xdr:nvSpPr>
            <xdr:cNvPr id="1081345" name="Spinner 1" hidden="1">
              <a:extLst>
                <a:ext uri="{63B3BB69-23CF-44E3-9099-C40C66FF867C}">
                  <a14:compatExt spid="_x0000_s1081345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</xdr:wsDr>
</file>

<file path=xl/drawings/drawing179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152400</xdr:colOff>
      <xdr:row>2</xdr:row>
      <xdr:rowOff>9524</xdr:rowOff>
    </xdr:from>
    <xdr:to>
      <xdr:col>8</xdr:col>
      <xdr:colOff>657225</xdr:colOff>
      <xdr:row>15</xdr:row>
      <xdr:rowOff>9524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8D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9</xdr:col>
          <xdr:colOff>19050</xdr:colOff>
          <xdr:row>0</xdr:row>
          <xdr:rowOff>38100</xdr:rowOff>
        </xdr:from>
        <xdr:to>
          <xdr:col>9</xdr:col>
          <xdr:colOff>400050</xdr:colOff>
          <xdr:row>1</xdr:row>
          <xdr:rowOff>152400</xdr:rowOff>
        </xdr:to>
        <xdr:sp macro="" textlink="">
          <xdr:nvSpPr>
            <xdr:cNvPr id="1082369" name="Spinner 1" hidden="1">
              <a:extLst>
                <a:ext uri="{63B3BB69-23CF-44E3-9099-C40C66FF867C}">
                  <a14:compatExt spid="_x0000_s1082369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</xdr:wsDr>
</file>

<file path=xl/drawings/drawing180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152400</xdr:colOff>
      <xdr:row>2</xdr:row>
      <xdr:rowOff>9524</xdr:rowOff>
    </xdr:from>
    <xdr:to>
      <xdr:col>8</xdr:col>
      <xdr:colOff>657225</xdr:colOff>
      <xdr:row>15</xdr:row>
      <xdr:rowOff>9524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8E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9</xdr:col>
          <xdr:colOff>19050</xdr:colOff>
          <xdr:row>0</xdr:row>
          <xdr:rowOff>38100</xdr:rowOff>
        </xdr:from>
        <xdr:to>
          <xdr:col>9</xdr:col>
          <xdr:colOff>400050</xdr:colOff>
          <xdr:row>1</xdr:row>
          <xdr:rowOff>152400</xdr:rowOff>
        </xdr:to>
        <xdr:sp macro="" textlink="">
          <xdr:nvSpPr>
            <xdr:cNvPr id="1083393" name="Spinner 1" hidden="1">
              <a:extLst>
                <a:ext uri="{63B3BB69-23CF-44E3-9099-C40C66FF867C}">
                  <a14:compatExt spid="_x0000_s1083393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</xdr:wsDr>
</file>

<file path=xl/drawings/drawing18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152400</xdr:colOff>
      <xdr:row>2</xdr:row>
      <xdr:rowOff>9524</xdr:rowOff>
    </xdr:from>
    <xdr:to>
      <xdr:col>8</xdr:col>
      <xdr:colOff>657225</xdr:colOff>
      <xdr:row>15</xdr:row>
      <xdr:rowOff>9524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8F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9</xdr:col>
          <xdr:colOff>19050</xdr:colOff>
          <xdr:row>0</xdr:row>
          <xdr:rowOff>38100</xdr:rowOff>
        </xdr:from>
        <xdr:to>
          <xdr:col>9</xdr:col>
          <xdr:colOff>400050</xdr:colOff>
          <xdr:row>1</xdr:row>
          <xdr:rowOff>152400</xdr:rowOff>
        </xdr:to>
        <xdr:sp macro="" textlink="">
          <xdr:nvSpPr>
            <xdr:cNvPr id="1084417" name="Spinner 1" hidden="1">
              <a:extLst>
                <a:ext uri="{63B3BB69-23CF-44E3-9099-C40C66FF867C}">
                  <a14:compatExt spid="_x0000_s1084417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</xdr:wsDr>
</file>

<file path=xl/drawings/drawing18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152400</xdr:colOff>
      <xdr:row>2</xdr:row>
      <xdr:rowOff>9524</xdr:rowOff>
    </xdr:from>
    <xdr:to>
      <xdr:col>8</xdr:col>
      <xdr:colOff>657225</xdr:colOff>
      <xdr:row>15</xdr:row>
      <xdr:rowOff>9524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90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9</xdr:col>
          <xdr:colOff>19050</xdr:colOff>
          <xdr:row>0</xdr:row>
          <xdr:rowOff>38100</xdr:rowOff>
        </xdr:from>
        <xdr:to>
          <xdr:col>9</xdr:col>
          <xdr:colOff>400050</xdr:colOff>
          <xdr:row>1</xdr:row>
          <xdr:rowOff>152400</xdr:rowOff>
        </xdr:to>
        <xdr:sp macro="" textlink="">
          <xdr:nvSpPr>
            <xdr:cNvPr id="1085441" name="Spinner 1" hidden="1">
              <a:extLst>
                <a:ext uri="{63B3BB69-23CF-44E3-9099-C40C66FF867C}">
                  <a14:compatExt spid="_x0000_s1085441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</xdr:wsDr>
</file>

<file path=xl/drawings/drawing18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152400</xdr:colOff>
      <xdr:row>2</xdr:row>
      <xdr:rowOff>9524</xdr:rowOff>
    </xdr:from>
    <xdr:to>
      <xdr:col>8</xdr:col>
      <xdr:colOff>657225</xdr:colOff>
      <xdr:row>15</xdr:row>
      <xdr:rowOff>9524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91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9</xdr:col>
          <xdr:colOff>19050</xdr:colOff>
          <xdr:row>0</xdr:row>
          <xdr:rowOff>38100</xdr:rowOff>
        </xdr:from>
        <xdr:to>
          <xdr:col>9</xdr:col>
          <xdr:colOff>400050</xdr:colOff>
          <xdr:row>1</xdr:row>
          <xdr:rowOff>152400</xdr:rowOff>
        </xdr:to>
        <xdr:sp macro="" textlink="">
          <xdr:nvSpPr>
            <xdr:cNvPr id="1074177" name="Spinner 1" hidden="1">
              <a:extLst>
                <a:ext uri="{63B3BB69-23CF-44E3-9099-C40C66FF867C}">
                  <a14:compatExt spid="_x0000_s1074177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</xdr:wsDr>
</file>

<file path=xl/drawings/drawing18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152400</xdr:colOff>
      <xdr:row>2</xdr:row>
      <xdr:rowOff>9524</xdr:rowOff>
    </xdr:from>
    <xdr:to>
      <xdr:col>8</xdr:col>
      <xdr:colOff>657225</xdr:colOff>
      <xdr:row>15</xdr:row>
      <xdr:rowOff>9524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92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9</xdr:col>
          <xdr:colOff>19050</xdr:colOff>
          <xdr:row>0</xdr:row>
          <xdr:rowOff>38100</xdr:rowOff>
        </xdr:from>
        <xdr:to>
          <xdr:col>9</xdr:col>
          <xdr:colOff>400050</xdr:colOff>
          <xdr:row>1</xdr:row>
          <xdr:rowOff>152400</xdr:rowOff>
        </xdr:to>
        <xdr:sp macro="" textlink="">
          <xdr:nvSpPr>
            <xdr:cNvPr id="1073153" name="Spinner 1" hidden="1">
              <a:extLst>
                <a:ext uri="{63B3BB69-23CF-44E3-9099-C40C66FF867C}">
                  <a14:compatExt spid="_x0000_s1073153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</xdr:wsDr>
</file>

<file path=xl/drawings/drawing185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152400</xdr:colOff>
      <xdr:row>2</xdr:row>
      <xdr:rowOff>9524</xdr:rowOff>
    </xdr:from>
    <xdr:to>
      <xdr:col>8</xdr:col>
      <xdr:colOff>657225</xdr:colOff>
      <xdr:row>15</xdr:row>
      <xdr:rowOff>9524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93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9</xdr:col>
          <xdr:colOff>19050</xdr:colOff>
          <xdr:row>0</xdr:row>
          <xdr:rowOff>38100</xdr:rowOff>
        </xdr:from>
        <xdr:to>
          <xdr:col>9</xdr:col>
          <xdr:colOff>400050</xdr:colOff>
          <xdr:row>1</xdr:row>
          <xdr:rowOff>152400</xdr:rowOff>
        </xdr:to>
        <xdr:sp macro="" textlink="">
          <xdr:nvSpPr>
            <xdr:cNvPr id="1093633" name="Spinner 1" hidden="1">
              <a:extLst>
                <a:ext uri="{63B3BB69-23CF-44E3-9099-C40C66FF867C}">
                  <a14:compatExt spid="_x0000_s1093633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</xdr:wsDr>
</file>

<file path=xl/drawings/drawing186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152400</xdr:colOff>
      <xdr:row>2</xdr:row>
      <xdr:rowOff>9524</xdr:rowOff>
    </xdr:from>
    <xdr:to>
      <xdr:col>8</xdr:col>
      <xdr:colOff>657225</xdr:colOff>
      <xdr:row>15</xdr:row>
      <xdr:rowOff>9524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94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9</xdr:col>
          <xdr:colOff>19050</xdr:colOff>
          <xdr:row>0</xdr:row>
          <xdr:rowOff>38100</xdr:rowOff>
        </xdr:from>
        <xdr:to>
          <xdr:col>9</xdr:col>
          <xdr:colOff>400050</xdr:colOff>
          <xdr:row>1</xdr:row>
          <xdr:rowOff>152400</xdr:rowOff>
        </xdr:to>
        <xdr:sp macro="" textlink="">
          <xdr:nvSpPr>
            <xdr:cNvPr id="1094657" name="Spinner 1" hidden="1">
              <a:extLst>
                <a:ext uri="{63B3BB69-23CF-44E3-9099-C40C66FF867C}">
                  <a14:compatExt spid="_x0000_s1094657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</xdr:wsDr>
</file>

<file path=xl/drawings/drawing187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152400</xdr:colOff>
      <xdr:row>2</xdr:row>
      <xdr:rowOff>9524</xdr:rowOff>
    </xdr:from>
    <xdr:to>
      <xdr:col>8</xdr:col>
      <xdr:colOff>657225</xdr:colOff>
      <xdr:row>15</xdr:row>
      <xdr:rowOff>9524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95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9</xdr:col>
          <xdr:colOff>19050</xdr:colOff>
          <xdr:row>0</xdr:row>
          <xdr:rowOff>38100</xdr:rowOff>
        </xdr:from>
        <xdr:to>
          <xdr:col>9</xdr:col>
          <xdr:colOff>400050</xdr:colOff>
          <xdr:row>1</xdr:row>
          <xdr:rowOff>152400</xdr:rowOff>
        </xdr:to>
        <xdr:sp macro="" textlink="">
          <xdr:nvSpPr>
            <xdr:cNvPr id="1095681" name="Spinner 1" hidden="1">
              <a:extLst>
                <a:ext uri="{63B3BB69-23CF-44E3-9099-C40C66FF867C}">
                  <a14:compatExt spid="_x0000_s1095681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</xdr:wsDr>
</file>

<file path=xl/drawings/drawing188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152400</xdr:colOff>
      <xdr:row>2</xdr:row>
      <xdr:rowOff>9524</xdr:rowOff>
    </xdr:from>
    <xdr:to>
      <xdr:col>8</xdr:col>
      <xdr:colOff>657225</xdr:colOff>
      <xdr:row>15</xdr:row>
      <xdr:rowOff>9524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96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9</xdr:col>
          <xdr:colOff>19050</xdr:colOff>
          <xdr:row>0</xdr:row>
          <xdr:rowOff>38100</xdr:rowOff>
        </xdr:from>
        <xdr:to>
          <xdr:col>9</xdr:col>
          <xdr:colOff>400050</xdr:colOff>
          <xdr:row>1</xdr:row>
          <xdr:rowOff>152400</xdr:rowOff>
        </xdr:to>
        <xdr:sp macro="" textlink="">
          <xdr:nvSpPr>
            <xdr:cNvPr id="1096705" name="Spinner 1" hidden="1">
              <a:extLst>
                <a:ext uri="{63B3BB69-23CF-44E3-9099-C40C66FF867C}">
                  <a14:compatExt spid="_x0000_s1096705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</xdr:wsDr>
</file>

<file path=xl/drawings/drawing189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152400</xdr:colOff>
      <xdr:row>2</xdr:row>
      <xdr:rowOff>9524</xdr:rowOff>
    </xdr:from>
    <xdr:to>
      <xdr:col>8</xdr:col>
      <xdr:colOff>657225</xdr:colOff>
      <xdr:row>15</xdr:row>
      <xdr:rowOff>9524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97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9</xdr:col>
          <xdr:colOff>19050</xdr:colOff>
          <xdr:row>0</xdr:row>
          <xdr:rowOff>38100</xdr:rowOff>
        </xdr:from>
        <xdr:to>
          <xdr:col>9</xdr:col>
          <xdr:colOff>400050</xdr:colOff>
          <xdr:row>1</xdr:row>
          <xdr:rowOff>152400</xdr:rowOff>
        </xdr:to>
        <xdr:sp macro="" textlink="">
          <xdr:nvSpPr>
            <xdr:cNvPr id="1097729" name="Spinner 1" hidden="1">
              <a:extLst>
                <a:ext uri="{63B3BB69-23CF-44E3-9099-C40C66FF867C}">
                  <a14:compatExt spid="_x0000_s1097729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</xdr:wsDr>
</file>

<file path=xl/drawings/drawing190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152400</xdr:colOff>
      <xdr:row>2</xdr:row>
      <xdr:rowOff>9524</xdr:rowOff>
    </xdr:from>
    <xdr:to>
      <xdr:col>8</xdr:col>
      <xdr:colOff>657225</xdr:colOff>
      <xdr:row>15</xdr:row>
      <xdr:rowOff>9524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98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9</xdr:col>
          <xdr:colOff>19050</xdr:colOff>
          <xdr:row>0</xdr:row>
          <xdr:rowOff>38100</xdr:rowOff>
        </xdr:from>
        <xdr:to>
          <xdr:col>9</xdr:col>
          <xdr:colOff>400050</xdr:colOff>
          <xdr:row>1</xdr:row>
          <xdr:rowOff>152400</xdr:rowOff>
        </xdr:to>
        <xdr:sp macro="" textlink="">
          <xdr:nvSpPr>
            <xdr:cNvPr id="1098753" name="Spinner 1" hidden="1">
              <a:extLst>
                <a:ext uri="{63B3BB69-23CF-44E3-9099-C40C66FF867C}">
                  <a14:compatExt spid="_x0000_s1098753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trlProp" Target="../ctrlProps/ctrlProp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2.v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6.bin"/><Relationship Id="rId4" Type="http://schemas.openxmlformats.org/officeDocument/2006/relationships/ctrlProp" Target="../ctrlProps/ctrlProp2.xml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4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7.bin"/><Relationship Id="rId4" Type="http://schemas.openxmlformats.org/officeDocument/2006/relationships/ctrlProp" Target="../ctrlProps/ctrlProp3.xml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ctrlProp" Target="../ctrlProps/ctrlProp4.xml"/><Relationship Id="rId2" Type="http://schemas.openxmlformats.org/officeDocument/2006/relationships/vmlDrawing" Target="../drawings/vmlDrawing5.vml"/><Relationship Id="rId1" Type="http://schemas.openxmlformats.org/officeDocument/2006/relationships/drawing" Target="../drawings/drawing4.xml"/></Relationships>
</file>

<file path=xl/worksheets/_rels/sheet1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6.vml"/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8.bin"/><Relationship Id="rId4" Type="http://schemas.openxmlformats.org/officeDocument/2006/relationships/ctrlProp" Target="../ctrlProps/ctrlProp5.xml"/></Relationships>
</file>

<file path=xl/worksheets/_rels/sheet14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7.vml"/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9.bin"/><Relationship Id="rId4" Type="http://schemas.openxmlformats.org/officeDocument/2006/relationships/ctrlProp" Target="../ctrlProps/ctrlProp6.xml"/></Relationships>
</file>

<file path=xl/worksheets/_rels/sheet15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8.vml"/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10.bin"/><Relationship Id="rId4" Type="http://schemas.openxmlformats.org/officeDocument/2006/relationships/ctrlProp" Target="../ctrlProps/ctrlProp7.xml"/></Relationships>
</file>

<file path=xl/worksheets/_rels/sheet16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9.vml"/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11.bin"/><Relationship Id="rId4" Type="http://schemas.openxmlformats.org/officeDocument/2006/relationships/ctrlProp" Target="../ctrlProps/ctrlProp8.xml"/></Relationships>
</file>

<file path=xl/worksheets/_rels/sheet17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0.vml"/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12.bin"/><Relationship Id="rId4" Type="http://schemas.openxmlformats.org/officeDocument/2006/relationships/ctrlProp" Target="../ctrlProps/ctrlProp9.xml"/></Relationships>
</file>

<file path=xl/worksheets/_rels/sheet18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1.vml"/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3.bin"/><Relationship Id="rId4" Type="http://schemas.openxmlformats.org/officeDocument/2006/relationships/ctrlProp" Target="../ctrlProps/ctrlProp10.xml"/></Relationships>
</file>

<file path=xl/worksheets/_rels/sheet19.xml.rels><?xml version="1.0" encoding="UTF-8" standalone="yes"?>
<Relationships xmlns="http://schemas.openxmlformats.org/package/2006/relationships"><Relationship Id="rId3" Type="http://schemas.openxmlformats.org/officeDocument/2006/relationships/ctrlProp" Target="../ctrlProps/ctrlProp11.xml"/><Relationship Id="rId2" Type="http://schemas.openxmlformats.org/officeDocument/2006/relationships/vmlDrawing" Target="../drawings/vmlDrawing12.vml"/><Relationship Id="rId1" Type="http://schemas.openxmlformats.org/officeDocument/2006/relationships/drawing" Target="../drawings/drawing11.xml"/></Relationships>
</file>

<file path=xl/worksheets/_rels/sheet20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3.vml"/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4.bin"/><Relationship Id="rId4" Type="http://schemas.openxmlformats.org/officeDocument/2006/relationships/ctrlProp" Target="../ctrlProps/ctrlProp12.xml"/></Relationships>
</file>

<file path=xl/worksheets/_rels/sheet21.xml.rels><?xml version="1.0" encoding="UTF-8" standalone="yes"?>
<Relationships xmlns="http://schemas.openxmlformats.org/package/2006/relationships"><Relationship Id="rId3" Type="http://schemas.openxmlformats.org/officeDocument/2006/relationships/ctrlProp" Target="../ctrlProps/ctrlProp13.xml"/><Relationship Id="rId2" Type="http://schemas.openxmlformats.org/officeDocument/2006/relationships/vmlDrawing" Target="../drawings/vmlDrawing14.vml"/><Relationship Id="rId1" Type="http://schemas.openxmlformats.org/officeDocument/2006/relationships/drawing" Target="../drawings/drawing13.xml"/></Relationships>
</file>

<file path=xl/worksheets/_rels/sheet2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5.vml"/><Relationship Id="rId2" Type="http://schemas.openxmlformats.org/officeDocument/2006/relationships/drawing" Target="../drawings/drawing14.xml"/><Relationship Id="rId1" Type="http://schemas.openxmlformats.org/officeDocument/2006/relationships/printerSettings" Target="../printerSettings/printerSettings15.bin"/><Relationship Id="rId4" Type="http://schemas.openxmlformats.org/officeDocument/2006/relationships/ctrlProp" Target="../ctrlProps/ctrlProp14.xml"/></Relationships>
</file>

<file path=xl/worksheets/_rels/sheet23.xml.rels><?xml version="1.0" encoding="UTF-8" standalone="yes"?>
<Relationships xmlns="http://schemas.openxmlformats.org/package/2006/relationships"><Relationship Id="rId3" Type="http://schemas.openxmlformats.org/officeDocument/2006/relationships/ctrlProp" Target="../ctrlProps/ctrlProp15.xml"/><Relationship Id="rId2" Type="http://schemas.openxmlformats.org/officeDocument/2006/relationships/vmlDrawing" Target="../drawings/vmlDrawing16.vml"/><Relationship Id="rId1" Type="http://schemas.openxmlformats.org/officeDocument/2006/relationships/drawing" Target="../drawings/drawing15.xml"/></Relationships>
</file>

<file path=xl/worksheets/_rels/sheet24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7.vml"/><Relationship Id="rId2" Type="http://schemas.openxmlformats.org/officeDocument/2006/relationships/drawing" Target="../drawings/drawing16.xml"/><Relationship Id="rId1" Type="http://schemas.openxmlformats.org/officeDocument/2006/relationships/printerSettings" Target="../printerSettings/printerSettings16.bin"/><Relationship Id="rId4" Type="http://schemas.openxmlformats.org/officeDocument/2006/relationships/ctrlProp" Target="../ctrlProps/ctrlProp16.xml"/></Relationships>
</file>

<file path=xl/worksheets/_rels/sheet25.xml.rels><?xml version="1.0" encoding="UTF-8" standalone="yes"?>
<Relationships xmlns="http://schemas.openxmlformats.org/package/2006/relationships"><Relationship Id="rId3" Type="http://schemas.openxmlformats.org/officeDocument/2006/relationships/ctrlProp" Target="../ctrlProps/ctrlProp17.xml"/><Relationship Id="rId2" Type="http://schemas.openxmlformats.org/officeDocument/2006/relationships/vmlDrawing" Target="../drawings/vmlDrawing18.vml"/><Relationship Id="rId1" Type="http://schemas.openxmlformats.org/officeDocument/2006/relationships/drawing" Target="../drawings/drawing17.xml"/></Relationships>
</file>

<file path=xl/worksheets/_rels/sheet26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9.vml"/><Relationship Id="rId2" Type="http://schemas.openxmlformats.org/officeDocument/2006/relationships/drawing" Target="../drawings/drawing18.xml"/><Relationship Id="rId1" Type="http://schemas.openxmlformats.org/officeDocument/2006/relationships/printerSettings" Target="../printerSettings/printerSettings17.bin"/><Relationship Id="rId4" Type="http://schemas.openxmlformats.org/officeDocument/2006/relationships/ctrlProp" Target="../ctrlProps/ctrlProp18.xml"/></Relationships>
</file>

<file path=xl/worksheets/_rels/sheet27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0.vml"/><Relationship Id="rId2" Type="http://schemas.openxmlformats.org/officeDocument/2006/relationships/drawing" Target="../drawings/drawing19.xml"/><Relationship Id="rId1" Type="http://schemas.openxmlformats.org/officeDocument/2006/relationships/printerSettings" Target="../printerSettings/printerSettings18.bin"/><Relationship Id="rId4" Type="http://schemas.openxmlformats.org/officeDocument/2006/relationships/ctrlProp" Target="../ctrlProps/ctrlProp19.xml"/></Relationships>
</file>

<file path=xl/worksheets/_rels/sheet28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1.vml"/><Relationship Id="rId2" Type="http://schemas.openxmlformats.org/officeDocument/2006/relationships/drawing" Target="../drawings/drawing20.xml"/><Relationship Id="rId1" Type="http://schemas.openxmlformats.org/officeDocument/2006/relationships/printerSettings" Target="../printerSettings/printerSettings19.bin"/><Relationship Id="rId4" Type="http://schemas.openxmlformats.org/officeDocument/2006/relationships/ctrlProp" Target="../ctrlProps/ctrlProp20.xml"/></Relationships>
</file>

<file path=xl/worksheets/_rels/sheet29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2.vml"/><Relationship Id="rId2" Type="http://schemas.openxmlformats.org/officeDocument/2006/relationships/drawing" Target="../drawings/drawing21.xml"/><Relationship Id="rId1" Type="http://schemas.openxmlformats.org/officeDocument/2006/relationships/printerSettings" Target="../printerSettings/printerSettings20.bin"/><Relationship Id="rId4" Type="http://schemas.openxmlformats.org/officeDocument/2006/relationships/ctrlProp" Target="../ctrlProps/ctrlProp21.xml"/></Relationships>
</file>

<file path=xl/worksheets/_rels/sheet30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3.vml"/><Relationship Id="rId2" Type="http://schemas.openxmlformats.org/officeDocument/2006/relationships/drawing" Target="../drawings/drawing22.xml"/><Relationship Id="rId1" Type="http://schemas.openxmlformats.org/officeDocument/2006/relationships/printerSettings" Target="../printerSettings/printerSettings21.bin"/><Relationship Id="rId4" Type="http://schemas.openxmlformats.org/officeDocument/2006/relationships/ctrlProp" Target="../ctrlProps/ctrlProp22.xml"/></Relationships>
</file>

<file path=xl/worksheets/_rels/sheet3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4.vml"/><Relationship Id="rId2" Type="http://schemas.openxmlformats.org/officeDocument/2006/relationships/drawing" Target="../drawings/drawing23.xml"/><Relationship Id="rId1" Type="http://schemas.openxmlformats.org/officeDocument/2006/relationships/printerSettings" Target="../printerSettings/printerSettings22.bin"/><Relationship Id="rId4" Type="http://schemas.openxmlformats.org/officeDocument/2006/relationships/ctrlProp" Target="../ctrlProps/ctrlProp23.xml"/></Relationships>
</file>

<file path=xl/worksheets/_rels/sheet3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5.vml"/><Relationship Id="rId2" Type="http://schemas.openxmlformats.org/officeDocument/2006/relationships/drawing" Target="../drawings/drawing24.xml"/><Relationship Id="rId1" Type="http://schemas.openxmlformats.org/officeDocument/2006/relationships/printerSettings" Target="../printerSettings/printerSettings23.bin"/><Relationship Id="rId4" Type="http://schemas.openxmlformats.org/officeDocument/2006/relationships/ctrlProp" Target="../ctrlProps/ctrlProp24.xml"/></Relationships>
</file>

<file path=xl/worksheets/_rels/sheet3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6.vml"/><Relationship Id="rId2" Type="http://schemas.openxmlformats.org/officeDocument/2006/relationships/drawing" Target="../drawings/drawing25.xml"/><Relationship Id="rId1" Type="http://schemas.openxmlformats.org/officeDocument/2006/relationships/printerSettings" Target="../printerSettings/printerSettings24.bin"/><Relationship Id="rId4" Type="http://schemas.openxmlformats.org/officeDocument/2006/relationships/ctrlProp" Target="../ctrlProps/ctrlProp25.xml"/></Relationships>
</file>

<file path=xl/worksheets/_rels/sheet34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7.vml"/><Relationship Id="rId2" Type="http://schemas.openxmlformats.org/officeDocument/2006/relationships/drawing" Target="../drawings/drawing26.xml"/><Relationship Id="rId1" Type="http://schemas.openxmlformats.org/officeDocument/2006/relationships/printerSettings" Target="../printerSettings/printerSettings25.bin"/><Relationship Id="rId4" Type="http://schemas.openxmlformats.org/officeDocument/2006/relationships/ctrlProp" Target="../ctrlProps/ctrlProp26.xml"/></Relationships>
</file>

<file path=xl/worksheets/_rels/sheet35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8.vml"/><Relationship Id="rId2" Type="http://schemas.openxmlformats.org/officeDocument/2006/relationships/drawing" Target="../drawings/drawing27.xml"/><Relationship Id="rId1" Type="http://schemas.openxmlformats.org/officeDocument/2006/relationships/printerSettings" Target="../printerSettings/printerSettings26.bin"/><Relationship Id="rId4" Type="http://schemas.openxmlformats.org/officeDocument/2006/relationships/ctrlProp" Target="../ctrlProps/ctrlProp27.xml"/></Relationships>
</file>

<file path=xl/worksheets/_rels/sheet36.xml.rels><?xml version="1.0" encoding="UTF-8" standalone="yes"?>
<Relationships xmlns="http://schemas.openxmlformats.org/package/2006/relationships"><Relationship Id="rId3" Type="http://schemas.openxmlformats.org/officeDocument/2006/relationships/ctrlProp" Target="../ctrlProps/ctrlProp28.xml"/><Relationship Id="rId2" Type="http://schemas.openxmlformats.org/officeDocument/2006/relationships/vmlDrawing" Target="../drawings/vmlDrawing29.vml"/><Relationship Id="rId1" Type="http://schemas.openxmlformats.org/officeDocument/2006/relationships/drawing" Target="../drawings/drawing28.xml"/></Relationships>
</file>

<file path=xl/worksheets/_rels/sheet37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0.vml"/><Relationship Id="rId2" Type="http://schemas.openxmlformats.org/officeDocument/2006/relationships/drawing" Target="../drawings/drawing29.xml"/><Relationship Id="rId1" Type="http://schemas.openxmlformats.org/officeDocument/2006/relationships/printerSettings" Target="../printerSettings/printerSettings27.bin"/><Relationship Id="rId4" Type="http://schemas.openxmlformats.org/officeDocument/2006/relationships/ctrlProp" Target="../ctrlProps/ctrlProp29.xml"/></Relationships>
</file>

<file path=xl/worksheets/_rels/sheet38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1.vml"/><Relationship Id="rId2" Type="http://schemas.openxmlformats.org/officeDocument/2006/relationships/drawing" Target="../drawings/drawing30.xml"/><Relationship Id="rId1" Type="http://schemas.openxmlformats.org/officeDocument/2006/relationships/printerSettings" Target="../printerSettings/printerSettings28.bin"/><Relationship Id="rId4" Type="http://schemas.openxmlformats.org/officeDocument/2006/relationships/ctrlProp" Target="../ctrlProps/ctrlProp30.xml"/></Relationships>
</file>

<file path=xl/worksheets/_rels/sheet39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2.vml"/><Relationship Id="rId2" Type="http://schemas.openxmlformats.org/officeDocument/2006/relationships/drawing" Target="../drawings/drawing31.xml"/><Relationship Id="rId1" Type="http://schemas.openxmlformats.org/officeDocument/2006/relationships/printerSettings" Target="../printerSettings/printerSettings29.bin"/><Relationship Id="rId4" Type="http://schemas.openxmlformats.org/officeDocument/2006/relationships/ctrlProp" Target="../ctrlProps/ctrlProp31.xml"/></Relationships>
</file>

<file path=xl/worksheets/_rels/sheet40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3.vml"/><Relationship Id="rId2" Type="http://schemas.openxmlformats.org/officeDocument/2006/relationships/drawing" Target="../drawings/drawing32.xml"/><Relationship Id="rId1" Type="http://schemas.openxmlformats.org/officeDocument/2006/relationships/printerSettings" Target="../printerSettings/printerSettings30.bin"/><Relationship Id="rId4" Type="http://schemas.openxmlformats.org/officeDocument/2006/relationships/ctrlProp" Target="../ctrlProps/ctrlProp32.xml"/></Relationships>
</file>

<file path=xl/worksheets/_rels/sheet4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4.vml"/><Relationship Id="rId2" Type="http://schemas.openxmlformats.org/officeDocument/2006/relationships/drawing" Target="../drawings/drawing33.xml"/><Relationship Id="rId1" Type="http://schemas.openxmlformats.org/officeDocument/2006/relationships/printerSettings" Target="../printerSettings/printerSettings31.bin"/><Relationship Id="rId4" Type="http://schemas.openxmlformats.org/officeDocument/2006/relationships/ctrlProp" Target="../ctrlProps/ctrlProp33.xml"/></Relationships>
</file>

<file path=xl/worksheets/_rels/sheet4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5.vml"/><Relationship Id="rId2" Type="http://schemas.openxmlformats.org/officeDocument/2006/relationships/drawing" Target="../drawings/drawing34.xml"/><Relationship Id="rId1" Type="http://schemas.openxmlformats.org/officeDocument/2006/relationships/printerSettings" Target="../printerSettings/printerSettings32.bin"/><Relationship Id="rId4" Type="http://schemas.openxmlformats.org/officeDocument/2006/relationships/ctrlProp" Target="../ctrlProps/ctrlProp34.xml"/></Relationships>
</file>

<file path=xl/worksheets/_rels/sheet4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6.vml"/><Relationship Id="rId2" Type="http://schemas.openxmlformats.org/officeDocument/2006/relationships/drawing" Target="../drawings/drawing35.xml"/><Relationship Id="rId1" Type="http://schemas.openxmlformats.org/officeDocument/2006/relationships/printerSettings" Target="../printerSettings/printerSettings33.bin"/><Relationship Id="rId4" Type="http://schemas.openxmlformats.org/officeDocument/2006/relationships/ctrlProp" Target="../ctrlProps/ctrlProp35.xml"/></Relationships>
</file>

<file path=xl/worksheets/_rels/sheet44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7.vml"/><Relationship Id="rId2" Type="http://schemas.openxmlformats.org/officeDocument/2006/relationships/drawing" Target="../drawings/drawing36.xml"/><Relationship Id="rId1" Type="http://schemas.openxmlformats.org/officeDocument/2006/relationships/printerSettings" Target="../printerSettings/printerSettings34.bin"/><Relationship Id="rId4" Type="http://schemas.openxmlformats.org/officeDocument/2006/relationships/ctrlProp" Target="../ctrlProps/ctrlProp36.xml"/></Relationships>
</file>

<file path=xl/worksheets/_rels/sheet45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8.vml"/><Relationship Id="rId2" Type="http://schemas.openxmlformats.org/officeDocument/2006/relationships/drawing" Target="../drawings/drawing37.xml"/><Relationship Id="rId1" Type="http://schemas.openxmlformats.org/officeDocument/2006/relationships/printerSettings" Target="../printerSettings/printerSettings35.bin"/><Relationship Id="rId4" Type="http://schemas.openxmlformats.org/officeDocument/2006/relationships/ctrlProp" Target="../ctrlProps/ctrlProp37.xml"/></Relationships>
</file>

<file path=xl/worksheets/_rels/sheet46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9.vml"/><Relationship Id="rId2" Type="http://schemas.openxmlformats.org/officeDocument/2006/relationships/drawing" Target="../drawings/drawing38.xml"/><Relationship Id="rId1" Type="http://schemas.openxmlformats.org/officeDocument/2006/relationships/printerSettings" Target="../printerSettings/printerSettings36.bin"/><Relationship Id="rId4" Type="http://schemas.openxmlformats.org/officeDocument/2006/relationships/ctrlProp" Target="../ctrlProps/ctrlProp38.xml"/></Relationships>
</file>

<file path=xl/worksheets/_rels/sheet47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40.vml"/><Relationship Id="rId2" Type="http://schemas.openxmlformats.org/officeDocument/2006/relationships/drawing" Target="../drawings/drawing39.xml"/><Relationship Id="rId1" Type="http://schemas.openxmlformats.org/officeDocument/2006/relationships/printerSettings" Target="../printerSettings/printerSettings37.bin"/><Relationship Id="rId4" Type="http://schemas.openxmlformats.org/officeDocument/2006/relationships/ctrlProp" Target="../ctrlProps/ctrlProp39.xml"/></Relationships>
</file>

<file path=xl/worksheets/_rels/sheet48.xml.rels><?xml version="1.0" encoding="UTF-8" standalone="yes"?>
<Relationships xmlns="http://schemas.openxmlformats.org/package/2006/relationships"><Relationship Id="rId3" Type="http://schemas.openxmlformats.org/officeDocument/2006/relationships/ctrlProp" Target="../ctrlProps/ctrlProp40.xml"/><Relationship Id="rId2" Type="http://schemas.openxmlformats.org/officeDocument/2006/relationships/vmlDrawing" Target="../drawings/vmlDrawing41.vml"/><Relationship Id="rId1" Type="http://schemas.openxmlformats.org/officeDocument/2006/relationships/drawing" Target="../drawings/drawing40.xml"/></Relationships>
</file>

<file path=xl/worksheets/_rels/sheet49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42.vml"/><Relationship Id="rId2" Type="http://schemas.openxmlformats.org/officeDocument/2006/relationships/drawing" Target="../drawings/drawing41.xml"/><Relationship Id="rId1" Type="http://schemas.openxmlformats.org/officeDocument/2006/relationships/printerSettings" Target="../printerSettings/printerSettings38.bin"/><Relationship Id="rId4" Type="http://schemas.openxmlformats.org/officeDocument/2006/relationships/ctrlProp" Target="../ctrlProps/ctrlProp41.xml"/></Relationships>
</file>

<file path=xl/worksheets/_rels/sheet50.xml.rels><?xml version="1.0" encoding="UTF-8" standalone="yes"?>
<Relationships xmlns="http://schemas.openxmlformats.org/package/2006/relationships"><Relationship Id="rId3" Type="http://schemas.openxmlformats.org/officeDocument/2006/relationships/ctrlProp" Target="../ctrlProps/ctrlProp42.xml"/><Relationship Id="rId2" Type="http://schemas.openxmlformats.org/officeDocument/2006/relationships/vmlDrawing" Target="../drawings/vmlDrawing43.vml"/><Relationship Id="rId1" Type="http://schemas.openxmlformats.org/officeDocument/2006/relationships/drawing" Target="../drawings/drawing42.xml"/></Relationships>
</file>

<file path=xl/worksheets/_rels/sheet5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44.vml"/><Relationship Id="rId2" Type="http://schemas.openxmlformats.org/officeDocument/2006/relationships/drawing" Target="../drawings/drawing43.xml"/><Relationship Id="rId1" Type="http://schemas.openxmlformats.org/officeDocument/2006/relationships/printerSettings" Target="../printerSettings/printerSettings39.bin"/><Relationship Id="rId4" Type="http://schemas.openxmlformats.org/officeDocument/2006/relationships/ctrlProp" Target="../ctrlProps/ctrlProp43.xml"/></Relationships>
</file>

<file path=xl/worksheets/_rels/sheet52.xml.rels><?xml version="1.0" encoding="UTF-8" standalone="yes"?>
<Relationships xmlns="http://schemas.openxmlformats.org/package/2006/relationships"><Relationship Id="rId3" Type="http://schemas.openxmlformats.org/officeDocument/2006/relationships/ctrlProp" Target="../ctrlProps/ctrlProp44.xml"/><Relationship Id="rId2" Type="http://schemas.openxmlformats.org/officeDocument/2006/relationships/vmlDrawing" Target="../drawings/vmlDrawing45.vml"/><Relationship Id="rId1" Type="http://schemas.openxmlformats.org/officeDocument/2006/relationships/drawing" Target="../drawings/drawing44.xml"/></Relationships>
</file>

<file path=xl/worksheets/_rels/sheet5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46.vml"/><Relationship Id="rId2" Type="http://schemas.openxmlformats.org/officeDocument/2006/relationships/drawing" Target="../drawings/drawing45.xml"/><Relationship Id="rId1" Type="http://schemas.openxmlformats.org/officeDocument/2006/relationships/printerSettings" Target="../printerSettings/printerSettings40.bin"/><Relationship Id="rId4" Type="http://schemas.openxmlformats.org/officeDocument/2006/relationships/ctrlProp" Target="../ctrlProps/ctrlProp45.xml"/></Relationships>
</file>

<file path=xl/worksheets/_rels/sheet54.xml.rels><?xml version="1.0" encoding="UTF-8" standalone="yes"?>
<Relationships xmlns="http://schemas.openxmlformats.org/package/2006/relationships"><Relationship Id="rId3" Type="http://schemas.openxmlformats.org/officeDocument/2006/relationships/ctrlProp" Target="../ctrlProps/ctrlProp46.xml"/><Relationship Id="rId2" Type="http://schemas.openxmlformats.org/officeDocument/2006/relationships/vmlDrawing" Target="../drawings/vmlDrawing47.vml"/><Relationship Id="rId1" Type="http://schemas.openxmlformats.org/officeDocument/2006/relationships/drawing" Target="../drawings/drawing46.xml"/></Relationships>
</file>

<file path=xl/worksheets/_rels/sheet55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48.vml"/><Relationship Id="rId2" Type="http://schemas.openxmlformats.org/officeDocument/2006/relationships/drawing" Target="../drawings/drawing47.xml"/><Relationship Id="rId1" Type="http://schemas.openxmlformats.org/officeDocument/2006/relationships/printerSettings" Target="../printerSettings/printerSettings41.bin"/><Relationship Id="rId4" Type="http://schemas.openxmlformats.org/officeDocument/2006/relationships/ctrlProp" Target="../ctrlProps/ctrlProp47.xml"/></Relationships>
</file>

<file path=xl/worksheets/_rels/sheet56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49.vml"/><Relationship Id="rId2" Type="http://schemas.openxmlformats.org/officeDocument/2006/relationships/drawing" Target="../drawings/drawing48.xml"/><Relationship Id="rId1" Type="http://schemas.openxmlformats.org/officeDocument/2006/relationships/printerSettings" Target="../printerSettings/printerSettings42.bin"/><Relationship Id="rId4" Type="http://schemas.openxmlformats.org/officeDocument/2006/relationships/ctrlProp" Target="../ctrlProps/ctrlProp48.xml"/></Relationships>
</file>

<file path=xl/worksheets/_rels/sheet57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50.vml"/><Relationship Id="rId2" Type="http://schemas.openxmlformats.org/officeDocument/2006/relationships/drawing" Target="../drawings/drawing49.xml"/><Relationship Id="rId1" Type="http://schemas.openxmlformats.org/officeDocument/2006/relationships/printerSettings" Target="../printerSettings/printerSettings43.bin"/><Relationship Id="rId4" Type="http://schemas.openxmlformats.org/officeDocument/2006/relationships/ctrlProp" Target="../ctrlProps/ctrlProp49.xml"/></Relationships>
</file>

<file path=xl/worksheets/_rels/sheet58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51.vml"/><Relationship Id="rId2" Type="http://schemas.openxmlformats.org/officeDocument/2006/relationships/drawing" Target="../drawings/drawing50.xml"/><Relationship Id="rId1" Type="http://schemas.openxmlformats.org/officeDocument/2006/relationships/printerSettings" Target="../printerSettings/printerSettings44.bin"/><Relationship Id="rId4" Type="http://schemas.openxmlformats.org/officeDocument/2006/relationships/ctrlProp" Target="../ctrlProps/ctrlProp50.xml"/></Relationships>
</file>

<file path=xl/worksheets/_rels/sheet59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52.vml"/><Relationship Id="rId2" Type="http://schemas.openxmlformats.org/officeDocument/2006/relationships/drawing" Target="../drawings/drawing51.xml"/><Relationship Id="rId1" Type="http://schemas.openxmlformats.org/officeDocument/2006/relationships/printerSettings" Target="../printerSettings/printerSettings45.bin"/><Relationship Id="rId4" Type="http://schemas.openxmlformats.org/officeDocument/2006/relationships/ctrlProp" Target="../ctrlProps/ctrlProp51.xml"/></Relationships>
</file>

<file path=xl/worksheets/_rels/sheet60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53.vml"/><Relationship Id="rId2" Type="http://schemas.openxmlformats.org/officeDocument/2006/relationships/drawing" Target="../drawings/drawing52.xml"/><Relationship Id="rId1" Type="http://schemas.openxmlformats.org/officeDocument/2006/relationships/printerSettings" Target="../printerSettings/printerSettings46.bin"/><Relationship Id="rId4" Type="http://schemas.openxmlformats.org/officeDocument/2006/relationships/ctrlProp" Target="../ctrlProps/ctrlProp52.xml"/></Relationships>
</file>

<file path=xl/worksheets/_rels/sheet6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54.vml"/><Relationship Id="rId2" Type="http://schemas.openxmlformats.org/officeDocument/2006/relationships/drawing" Target="../drawings/drawing53.xml"/><Relationship Id="rId1" Type="http://schemas.openxmlformats.org/officeDocument/2006/relationships/printerSettings" Target="../printerSettings/printerSettings47.bin"/><Relationship Id="rId4" Type="http://schemas.openxmlformats.org/officeDocument/2006/relationships/ctrlProp" Target="../ctrlProps/ctrlProp53.xml"/></Relationships>
</file>

<file path=xl/worksheets/_rels/sheet6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55.vml"/><Relationship Id="rId2" Type="http://schemas.openxmlformats.org/officeDocument/2006/relationships/drawing" Target="../drawings/drawing54.xml"/><Relationship Id="rId1" Type="http://schemas.openxmlformats.org/officeDocument/2006/relationships/printerSettings" Target="../printerSettings/printerSettings48.bin"/><Relationship Id="rId4" Type="http://schemas.openxmlformats.org/officeDocument/2006/relationships/ctrlProp" Target="../ctrlProps/ctrlProp54.xml"/></Relationships>
</file>

<file path=xl/worksheets/_rels/sheet6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56.vml"/><Relationship Id="rId2" Type="http://schemas.openxmlformats.org/officeDocument/2006/relationships/drawing" Target="../drawings/drawing55.xml"/><Relationship Id="rId1" Type="http://schemas.openxmlformats.org/officeDocument/2006/relationships/printerSettings" Target="../printerSettings/printerSettings49.bin"/><Relationship Id="rId4" Type="http://schemas.openxmlformats.org/officeDocument/2006/relationships/ctrlProp" Target="../ctrlProps/ctrlProp55.xml"/></Relationships>
</file>

<file path=xl/worksheets/_rels/sheet64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57.vml"/><Relationship Id="rId2" Type="http://schemas.openxmlformats.org/officeDocument/2006/relationships/drawing" Target="../drawings/drawing56.xml"/><Relationship Id="rId1" Type="http://schemas.openxmlformats.org/officeDocument/2006/relationships/printerSettings" Target="../printerSettings/printerSettings50.bin"/><Relationship Id="rId4" Type="http://schemas.openxmlformats.org/officeDocument/2006/relationships/ctrlProp" Target="../ctrlProps/ctrlProp56.xml"/></Relationships>
</file>

<file path=xl/worksheets/_rels/sheet65.xml.rels><?xml version="1.0" encoding="UTF-8" standalone="yes"?>
<Relationships xmlns="http://schemas.openxmlformats.org/package/2006/relationships"><Relationship Id="rId3" Type="http://schemas.openxmlformats.org/officeDocument/2006/relationships/ctrlProp" Target="../ctrlProps/ctrlProp57.xml"/><Relationship Id="rId2" Type="http://schemas.openxmlformats.org/officeDocument/2006/relationships/vmlDrawing" Target="../drawings/vmlDrawing58.vml"/><Relationship Id="rId1" Type="http://schemas.openxmlformats.org/officeDocument/2006/relationships/drawing" Target="../drawings/drawing57.xml"/></Relationships>
</file>

<file path=xl/worksheets/_rels/sheet66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59.vml"/><Relationship Id="rId2" Type="http://schemas.openxmlformats.org/officeDocument/2006/relationships/drawing" Target="../drawings/drawing58.xml"/><Relationship Id="rId1" Type="http://schemas.openxmlformats.org/officeDocument/2006/relationships/printerSettings" Target="../printerSettings/printerSettings51.bin"/><Relationship Id="rId4" Type="http://schemas.openxmlformats.org/officeDocument/2006/relationships/ctrlProp" Target="../ctrlProps/ctrlProp58.xml"/></Relationships>
</file>

<file path=xl/worksheets/_rels/sheet67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60.vml"/><Relationship Id="rId2" Type="http://schemas.openxmlformats.org/officeDocument/2006/relationships/drawing" Target="../drawings/drawing59.xml"/><Relationship Id="rId1" Type="http://schemas.openxmlformats.org/officeDocument/2006/relationships/printerSettings" Target="../printerSettings/printerSettings52.bin"/><Relationship Id="rId4" Type="http://schemas.openxmlformats.org/officeDocument/2006/relationships/ctrlProp" Target="../ctrlProps/ctrlProp59.xml"/></Relationships>
</file>

<file path=xl/worksheets/_rels/sheet68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61.vml"/><Relationship Id="rId2" Type="http://schemas.openxmlformats.org/officeDocument/2006/relationships/drawing" Target="../drawings/drawing60.xml"/><Relationship Id="rId1" Type="http://schemas.openxmlformats.org/officeDocument/2006/relationships/printerSettings" Target="../printerSettings/printerSettings53.bin"/><Relationship Id="rId4" Type="http://schemas.openxmlformats.org/officeDocument/2006/relationships/ctrlProp" Target="../ctrlProps/ctrlProp60.xml"/></Relationships>
</file>

<file path=xl/worksheets/_rels/sheet69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62.vml"/><Relationship Id="rId2" Type="http://schemas.openxmlformats.org/officeDocument/2006/relationships/drawing" Target="../drawings/drawing61.xml"/><Relationship Id="rId1" Type="http://schemas.openxmlformats.org/officeDocument/2006/relationships/printerSettings" Target="../printerSettings/printerSettings54.bin"/><Relationship Id="rId4" Type="http://schemas.openxmlformats.org/officeDocument/2006/relationships/ctrlProp" Target="../ctrlProps/ctrlProp61.xml"/></Relationships>
</file>

<file path=xl/worksheets/_rels/sheet70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63.vml"/><Relationship Id="rId2" Type="http://schemas.openxmlformats.org/officeDocument/2006/relationships/drawing" Target="../drawings/drawing62.xml"/><Relationship Id="rId1" Type="http://schemas.openxmlformats.org/officeDocument/2006/relationships/printerSettings" Target="../printerSettings/printerSettings55.bin"/><Relationship Id="rId4" Type="http://schemas.openxmlformats.org/officeDocument/2006/relationships/ctrlProp" Target="../ctrlProps/ctrlProp62.xml"/></Relationships>
</file>

<file path=xl/worksheets/_rels/sheet7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64.vml"/><Relationship Id="rId2" Type="http://schemas.openxmlformats.org/officeDocument/2006/relationships/drawing" Target="../drawings/drawing63.xml"/><Relationship Id="rId1" Type="http://schemas.openxmlformats.org/officeDocument/2006/relationships/printerSettings" Target="../printerSettings/printerSettings56.bin"/><Relationship Id="rId4" Type="http://schemas.openxmlformats.org/officeDocument/2006/relationships/ctrlProp" Target="../ctrlProps/ctrlProp63.xml"/></Relationships>
</file>

<file path=xl/worksheets/_rels/sheet7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65.vml"/><Relationship Id="rId2" Type="http://schemas.openxmlformats.org/officeDocument/2006/relationships/drawing" Target="../drawings/drawing64.xml"/><Relationship Id="rId1" Type="http://schemas.openxmlformats.org/officeDocument/2006/relationships/printerSettings" Target="../printerSettings/printerSettings57.bin"/><Relationship Id="rId4" Type="http://schemas.openxmlformats.org/officeDocument/2006/relationships/ctrlProp" Target="../ctrlProps/ctrlProp64.xml"/></Relationships>
</file>

<file path=xl/worksheets/_rels/sheet7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66.vml"/><Relationship Id="rId2" Type="http://schemas.openxmlformats.org/officeDocument/2006/relationships/drawing" Target="../drawings/drawing65.xml"/><Relationship Id="rId1" Type="http://schemas.openxmlformats.org/officeDocument/2006/relationships/printerSettings" Target="../printerSettings/printerSettings58.bin"/><Relationship Id="rId4" Type="http://schemas.openxmlformats.org/officeDocument/2006/relationships/ctrlProp" Target="../ctrlProps/ctrlProp65.xml"/></Relationships>
</file>

<file path=xl/worksheets/_rels/sheet74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67.vml"/><Relationship Id="rId2" Type="http://schemas.openxmlformats.org/officeDocument/2006/relationships/drawing" Target="../drawings/drawing66.xml"/><Relationship Id="rId1" Type="http://schemas.openxmlformats.org/officeDocument/2006/relationships/printerSettings" Target="../printerSettings/printerSettings59.bin"/><Relationship Id="rId4" Type="http://schemas.openxmlformats.org/officeDocument/2006/relationships/ctrlProp" Target="../ctrlProps/ctrlProp66.xml"/></Relationships>
</file>

<file path=xl/worksheets/_rels/sheet75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68.vml"/><Relationship Id="rId2" Type="http://schemas.openxmlformats.org/officeDocument/2006/relationships/drawing" Target="../drawings/drawing67.xml"/><Relationship Id="rId1" Type="http://schemas.openxmlformats.org/officeDocument/2006/relationships/printerSettings" Target="../printerSettings/printerSettings60.bin"/><Relationship Id="rId4" Type="http://schemas.openxmlformats.org/officeDocument/2006/relationships/ctrlProp" Target="../ctrlProps/ctrlProp67.xml"/></Relationships>
</file>

<file path=xl/worksheets/_rels/sheet76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69.vml"/><Relationship Id="rId2" Type="http://schemas.openxmlformats.org/officeDocument/2006/relationships/drawing" Target="../drawings/drawing68.xml"/><Relationship Id="rId1" Type="http://schemas.openxmlformats.org/officeDocument/2006/relationships/printerSettings" Target="../printerSettings/printerSettings61.bin"/><Relationship Id="rId4" Type="http://schemas.openxmlformats.org/officeDocument/2006/relationships/ctrlProp" Target="../ctrlProps/ctrlProp68.xml"/></Relationships>
</file>

<file path=xl/worksheets/_rels/sheet77.xml.rels><?xml version="1.0" encoding="UTF-8" standalone="yes"?>
<Relationships xmlns="http://schemas.openxmlformats.org/package/2006/relationships"><Relationship Id="rId3" Type="http://schemas.openxmlformats.org/officeDocument/2006/relationships/ctrlProp" Target="../ctrlProps/ctrlProp69.xml"/><Relationship Id="rId2" Type="http://schemas.openxmlformats.org/officeDocument/2006/relationships/vmlDrawing" Target="../drawings/vmlDrawing70.vml"/><Relationship Id="rId1" Type="http://schemas.openxmlformats.org/officeDocument/2006/relationships/drawing" Target="../drawings/drawing69.xml"/></Relationships>
</file>

<file path=xl/worksheets/_rels/sheet78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71.vml"/><Relationship Id="rId2" Type="http://schemas.openxmlformats.org/officeDocument/2006/relationships/drawing" Target="../drawings/drawing70.xml"/><Relationship Id="rId1" Type="http://schemas.openxmlformats.org/officeDocument/2006/relationships/printerSettings" Target="../printerSettings/printerSettings62.bin"/><Relationship Id="rId4" Type="http://schemas.openxmlformats.org/officeDocument/2006/relationships/ctrlProp" Target="../ctrlProps/ctrlProp70.xml"/></Relationships>
</file>

<file path=xl/worksheets/_rels/sheet79.xml.rels><?xml version="1.0" encoding="UTF-8" standalone="yes"?>
<Relationships xmlns="http://schemas.openxmlformats.org/package/2006/relationships"><Relationship Id="rId3" Type="http://schemas.openxmlformats.org/officeDocument/2006/relationships/ctrlProp" Target="../ctrlProps/ctrlProp71.xml"/><Relationship Id="rId2" Type="http://schemas.openxmlformats.org/officeDocument/2006/relationships/vmlDrawing" Target="../drawings/vmlDrawing72.vml"/><Relationship Id="rId1" Type="http://schemas.openxmlformats.org/officeDocument/2006/relationships/drawing" Target="../drawings/drawing71.xml"/></Relationships>
</file>

<file path=xl/worksheets/_rels/sheet80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73.vml"/><Relationship Id="rId2" Type="http://schemas.openxmlformats.org/officeDocument/2006/relationships/drawing" Target="../drawings/drawing72.xml"/><Relationship Id="rId1" Type="http://schemas.openxmlformats.org/officeDocument/2006/relationships/printerSettings" Target="../printerSettings/printerSettings63.bin"/><Relationship Id="rId4" Type="http://schemas.openxmlformats.org/officeDocument/2006/relationships/ctrlProp" Target="../ctrlProps/ctrlProp72.xml"/></Relationships>
</file>

<file path=xl/worksheets/_rels/sheet81.xml.rels><?xml version="1.0" encoding="UTF-8" standalone="yes"?>
<Relationships xmlns="http://schemas.openxmlformats.org/package/2006/relationships"><Relationship Id="rId3" Type="http://schemas.openxmlformats.org/officeDocument/2006/relationships/ctrlProp" Target="../ctrlProps/ctrlProp73.xml"/><Relationship Id="rId2" Type="http://schemas.openxmlformats.org/officeDocument/2006/relationships/vmlDrawing" Target="../drawings/vmlDrawing74.vml"/><Relationship Id="rId1" Type="http://schemas.openxmlformats.org/officeDocument/2006/relationships/drawing" Target="../drawings/drawing73.xml"/></Relationships>
</file>

<file path=xl/worksheets/_rels/sheet8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75.vml"/><Relationship Id="rId2" Type="http://schemas.openxmlformats.org/officeDocument/2006/relationships/drawing" Target="../drawings/drawing74.xml"/><Relationship Id="rId1" Type="http://schemas.openxmlformats.org/officeDocument/2006/relationships/printerSettings" Target="../printerSettings/printerSettings64.bin"/><Relationship Id="rId4" Type="http://schemas.openxmlformats.org/officeDocument/2006/relationships/ctrlProp" Target="../ctrlProps/ctrlProp74.xml"/></Relationships>
</file>

<file path=xl/worksheets/_rels/sheet83.xml.rels><?xml version="1.0" encoding="UTF-8" standalone="yes"?>
<Relationships xmlns="http://schemas.openxmlformats.org/package/2006/relationships"><Relationship Id="rId3" Type="http://schemas.openxmlformats.org/officeDocument/2006/relationships/ctrlProp" Target="../ctrlProps/ctrlProp75.xml"/><Relationship Id="rId2" Type="http://schemas.openxmlformats.org/officeDocument/2006/relationships/vmlDrawing" Target="../drawings/vmlDrawing76.vml"/><Relationship Id="rId1" Type="http://schemas.openxmlformats.org/officeDocument/2006/relationships/drawing" Target="../drawings/drawing75.xml"/></Relationships>
</file>

<file path=xl/worksheets/_rels/sheet84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77.vml"/><Relationship Id="rId2" Type="http://schemas.openxmlformats.org/officeDocument/2006/relationships/drawing" Target="../drawings/drawing76.xml"/><Relationship Id="rId1" Type="http://schemas.openxmlformats.org/officeDocument/2006/relationships/printerSettings" Target="../printerSettings/printerSettings65.bin"/><Relationship Id="rId4" Type="http://schemas.openxmlformats.org/officeDocument/2006/relationships/ctrlProp" Target="../ctrlProps/ctrlProp76.xml"/></Relationships>
</file>

<file path=xl/worksheets/_rels/sheet85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78.vml"/><Relationship Id="rId2" Type="http://schemas.openxmlformats.org/officeDocument/2006/relationships/drawing" Target="../drawings/drawing77.xml"/><Relationship Id="rId1" Type="http://schemas.openxmlformats.org/officeDocument/2006/relationships/printerSettings" Target="../printerSettings/printerSettings66.bin"/><Relationship Id="rId4" Type="http://schemas.openxmlformats.org/officeDocument/2006/relationships/ctrlProp" Target="../ctrlProps/ctrlProp77.xml"/></Relationships>
</file>

<file path=xl/worksheets/_rels/sheet86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79.vml"/><Relationship Id="rId2" Type="http://schemas.openxmlformats.org/officeDocument/2006/relationships/drawing" Target="../drawings/drawing78.xml"/><Relationship Id="rId1" Type="http://schemas.openxmlformats.org/officeDocument/2006/relationships/printerSettings" Target="../printerSettings/printerSettings67.bin"/><Relationship Id="rId4" Type="http://schemas.openxmlformats.org/officeDocument/2006/relationships/ctrlProp" Target="../ctrlProps/ctrlProp78.xml"/></Relationships>
</file>

<file path=xl/worksheets/_rels/sheet87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80.vml"/><Relationship Id="rId2" Type="http://schemas.openxmlformats.org/officeDocument/2006/relationships/drawing" Target="../drawings/drawing79.xml"/><Relationship Id="rId1" Type="http://schemas.openxmlformats.org/officeDocument/2006/relationships/printerSettings" Target="../printerSettings/printerSettings68.bin"/><Relationship Id="rId4" Type="http://schemas.openxmlformats.org/officeDocument/2006/relationships/ctrlProp" Target="../ctrlProps/ctrlProp79.xml"/></Relationships>
</file>

<file path=xl/worksheets/_rels/sheet88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81.vml"/><Relationship Id="rId2" Type="http://schemas.openxmlformats.org/officeDocument/2006/relationships/drawing" Target="../drawings/drawing80.xml"/><Relationship Id="rId1" Type="http://schemas.openxmlformats.org/officeDocument/2006/relationships/printerSettings" Target="../printerSettings/printerSettings69.bin"/><Relationship Id="rId4" Type="http://schemas.openxmlformats.org/officeDocument/2006/relationships/ctrlProp" Target="../ctrlProps/ctrlProp80.xml"/></Relationships>
</file>

<file path=xl/worksheets/_rels/sheet89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82.vml"/><Relationship Id="rId2" Type="http://schemas.openxmlformats.org/officeDocument/2006/relationships/drawing" Target="../drawings/drawing81.xml"/><Relationship Id="rId1" Type="http://schemas.openxmlformats.org/officeDocument/2006/relationships/printerSettings" Target="../printerSettings/printerSettings70.bin"/><Relationship Id="rId4" Type="http://schemas.openxmlformats.org/officeDocument/2006/relationships/ctrlProp" Target="../ctrlProps/ctrlProp81.xml"/></Relationships>
</file>

<file path=xl/worksheets/_rels/sheet90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83.vml"/><Relationship Id="rId2" Type="http://schemas.openxmlformats.org/officeDocument/2006/relationships/drawing" Target="../drawings/drawing82.xml"/><Relationship Id="rId1" Type="http://schemas.openxmlformats.org/officeDocument/2006/relationships/printerSettings" Target="../printerSettings/printerSettings71.bin"/><Relationship Id="rId4" Type="http://schemas.openxmlformats.org/officeDocument/2006/relationships/ctrlProp" Target="../ctrlProps/ctrlProp82.xml"/></Relationships>
</file>

<file path=xl/worksheets/_rels/sheet9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84.vml"/><Relationship Id="rId2" Type="http://schemas.openxmlformats.org/officeDocument/2006/relationships/drawing" Target="../drawings/drawing83.xml"/><Relationship Id="rId1" Type="http://schemas.openxmlformats.org/officeDocument/2006/relationships/printerSettings" Target="../printerSettings/printerSettings72.bin"/><Relationship Id="rId4" Type="http://schemas.openxmlformats.org/officeDocument/2006/relationships/ctrlProp" Target="../ctrlProps/ctrlProp83.xml"/></Relationships>
</file>

<file path=xl/worksheets/_rels/sheet9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85.vml"/><Relationship Id="rId2" Type="http://schemas.openxmlformats.org/officeDocument/2006/relationships/drawing" Target="../drawings/drawing84.xml"/><Relationship Id="rId1" Type="http://schemas.openxmlformats.org/officeDocument/2006/relationships/printerSettings" Target="../printerSettings/printerSettings73.bin"/><Relationship Id="rId4" Type="http://schemas.openxmlformats.org/officeDocument/2006/relationships/ctrlProp" Target="../ctrlProps/ctrlProp84.xml"/></Relationships>
</file>

<file path=xl/worksheets/_rels/sheet9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86.vml"/><Relationship Id="rId2" Type="http://schemas.openxmlformats.org/officeDocument/2006/relationships/drawing" Target="../drawings/drawing85.xml"/><Relationship Id="rId1" Type="http://schemas.openxmlformats.org/officeDocument/2006/relationships/printerSettings" Target="../printerSettings/printerSettings74.bin"/><Relationship Id="rId4" Type="http://schemas.openxmlformats.org/officeDocument/2006/relationships/ctrlProp" Target="../ctrlProps/ctrlProp85.xml"/></Relationships>
</file>

<file path=xl/worksheets/_rels/sheet94.xml.rels><?xml version="1.0" encoding="UTF-8" standalone="yes"?>
<Relationships xmlns="http://schemas.openxmlformats.org/package/2006/relationships"><Relationship Id="rId3" Type="http://schemas.openxmlformats.org/officeDocument/2006/relationships/ctrlProp" Target="../ctrlProps/ctrlProp86.xml"/><Relationship Id="rId2" Type="http://schemas.openxmlformats.org/officeDocument/2006/relationships/vmlDrawing" Target="../drawings/vmlDrawing87.vml"/><Relationship Id="rId1" Type="http://schemas.openxmlformats.org/officeDocument/2006/relationships/drawing" Target="../drawings/drawing86.xml"/></Relationships>
</file>

<file path=xl/worksheets/_rels/sheet95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88.vml"/><Relationship Id="rId2" Type="http://schemas.openxmlformats.org/officeDocument/2006/relationships/drawing" Target="../drawings/drawing87.xml"/><Relationship Id="rId1" Type="http://schemas.openxmlformats.org/officeDocument/2006/relationships/printerSettings" Target="../printerSettings/printerSettings75.bin"/><Relationship Id="rId4" Type="http://schemas.openxmlformats.org/officeDocument/2006/relationships/ctrlProp" Target="../ctrlProps/ctrlProp87.xml"/></Relationships>
</file>

<file path=xl/worksheets/_rels/sheet96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89.vml"/><Relationship Id="rId2" Type="http://schemas.openxmlformats.org/officeDocument/2006/relationships/drawing" Target="../drawings/drawing88.xml"/><Relationship Id="rId1" Type="http://schemas.openxmlformats.org/officeDocument/2006/relationships/printerSettings" Target="../printerSettings/printerSettings76.bin"/><Relationship Id="rId4" Type="http://schemas.openxmlformats.org/officeDocument/2006/relationships/ctrlProp" Target="../ctrlProps/ctrlProp88.xml"/></Relationships>
</file>

<file path=xl/worksheets/_rels/sheet97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90.vml"/><Relationship Id="rId2" Type="http://schemas.openxmlformats.org/officeDocument/2006/relationships/drawing" Target="../drawings/drawing89.xml"/><Relationship Id="rId1" Type="http://schemas.openxmlformats.org/officeDocument/2006/relationships/printerSettings" Target="../printerSettings/printerSettings77.bin"/><Relationship Id="rId4" Type="http://schemas.openxmlformats.org/officeDocument/2006/relationships/ctrlProp" Target="../ctrlProps/ctrlProp89.xml"/></Relationships>
</file>

<file path=xl/worksheets/_rels/sheet98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91.vml"/><Relationship Id="rId2" Type="http://schemas.openxmlformats.org/officeDocument/2006/relationships/drawing" Target="../drawings/drawing90.xml"/><Relationship Id="rId1" Type="http://schemas.openxmlformats.org/officeDocument/2006/relationships/printerSettings" Target="../printerSettings/printerSettings78.bin"/><Relationship Id="rId4" Type="http://schemas.openxmlformats.org/officeDocument/2006/relationships/ctrlProp" Target="../ctrlProps/ctrlProp90.xml"/></Relationships>
</file>

<file path=xl/worksheets/_rels/sheet99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92.vml"/><Relationship Id="rId2" Type="http://schemas.openxmlformats.org/officeDocument/2006/relationships/drawing" Target="../drawings/drawing91.xml"/><Relationship Id="rId1" Type="http://schemas.openxmlformats.org/officeDocument/2006/relationships/printerSettings" Target="../printerSettings/printerSettings79.bin"/><Relationship Id="rId4" Type="http://schemas.openxmlformats.org/officeDocument/2006/relationships/ctrlProp" Target="../ctrlProps/ctrlProp91.xml"/></Relationships>
</file>

<file path=xl/worksheets/_rels/sheet100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93.vml"/><Relationship Id="rId2" Type="http://schemas.openxmlformats.org/officeDocument/2006/relationships/drawing" Target="../drawings/drawing92.xml"/><Relationship Id="rId1" Type="http://schemas.openxmlformats.org/officeDocument/2006/relationships/printerSettings" Target="../printerSettings/printerSettings80.bin"/><Relationship Id="rId4" Type="http://schemas.openxmlformats.org/officeDocument/2006/relationships/ctrlProp" Target="../ctrlProps/ctrlProp92.xml"/></Relationships>
</file>

<file path=xl/worksheets/_rels/sheet10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94.vml"/><Relationship Id="rId2" Type="http://schemas.openxmlformats.org/officeDocument/2006/relationships/drawing" Target="../drawings/drawing93.xml"/><Relationship Id="rId1" Type="http://schemas.openxmlformats.org/officeDocument/2006/relationships/printerSettings" Target="../printerSettings/printerSettings81.bin"/><Relationship Id="rId4" Type="http://schemas.openxmlformats.org/officeDocument/2006/relationships/ctrlProp" Target="../ctrlProps/ctrlProp93.xml"/></Relationships>
</file>

<file path=xl/worksheets/_rels/sheet10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95.vml"/><Relationship Id="rId2" Type="http://schemas.openxmlformats.org/officeDocument/2006/relationships/drawing" Target="../drawings/drawing94.xml"/><Relationship Id="rId1" Type="http://schemas.openxmlformats.org/officeDocument/2006/relationships/printerSettings" Target="../printerSettings/printerSettings82.bin"/><Relationship Id="rId4" Type="http://schemas.openxmlformats.org/officeDocument/2006/relationships/ctrlProp" Target="../ctrlProps/ctrlProp94.xml"/></Relationships>
</file>

<file path=xl/worksheets/_rels/sheet10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96.vml"/><Relationship Id="rId2" Type="http://schemas.openxmlformats.org/officeDocument/2006/relationships/drawing" Target="../drawings/drawing95.xml"/><Relationship Id="rId1" Type="http://schemas.openxmlformats.org/officeDocument/2006/relationships/printerSettings" Target="../printerSettings/printerSettings83.bin"/><Relationship Id="rId4" Type="http://schemas.openxmlformats.org/officeDocument/2006/relationships/ctrlProp" Target="../ctrlProps/ctrlProp95.xml"/></Relationships>
</file>

<file path=xl/worksheets/_rels/sheet104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97.vml"/><Relationship Id="rId2" Type="http://schemas.openxmlformats.org/officeDocument/2006/relationships/drawing" Target="../drawings/drawing96.xml"/><Relationship Id="rId1" Type="http://schemas.openxmlformats.org/officeDocument/2006/relationships/printerSettings" Target="../printerSettings/printerSettings84.bin"/><Relationship Id="rId4" Type="http://schemas.openxmlformats.org/officeDocument/2006/relationships/ctrlProp" Target="../ctrlProps/ctrlProp96.xml"/></Relationships>
</file>

<file path=xl/worksheets/_rels/sheet105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98.vml"/><Relationship Id="rId2" Type="http://schemas.openxmlformats.org/officeDocument/2006/relationships/drawing" Target="../drawings/drawing97.xml"/><Relationship Id="rId1" Type="http://schemas.openxmlformats.org/officeDocument/2006/relationships/printerSettings" Target="../printerSettings/printerSettings85.bin"/><Relationship Id="rId4" Type="http://schemas.openxmlformats.org/officeDocument/2006/relationships/ctrlProp" Target="../ctrlProps/ctrlProp97.xml"/></Relationships>
</file>

<file path=xl/worksheets/_rels/sheet106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99.vml"/><Relationship Id="rId2" Type="http://schemas.openxmlformats.org/officeDocument/2006/relationships/drawing" Target="../drawings/drawing98.xml"/><Relationship Id="rId1" Type="http://schemas.openxmlformats.org/officeDocument/2006/relationships/printerSettings" Target="../printerSettings/printerSettings86.bin"/><Relationship Id="rId4" Type="http://schemas.openxmlformats.org/officeDocument/2006/relationships/ctrlProp" Target="../ctrlProps/ctrlProp98.xml"/></Relationships>
</file>

<file path=xl/worksheets/_rels/sheet107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00.vml"/><Relationship Id="rId2" Type="http://schemas.openxmlformats.org/officeDocument/2006/relationships/drawing" Target="../drawings/drawing99.xml"/><Relationship Id="rId1" Type="http://schemas.openxmlformats.org/officeDocument/2006/relationships/printerSettings" Target="../printerSettings/printerSettings87.bin"/><Relationship Id="rId4" Type="http://schemas.openxmlformats.org/officeDocument/2006/relationships/ctrlProp" Target="../ctrlProps/ctrlProp99.xml"/></Relationships>
</file>

<file path=xl/worksheets/_rels/sheet108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01.vml"/><Relationship Id="rId2" Type="http://schemas.openxmlformats.org/officeDocument/2006/relationships/drawing" Target="../drawings/drawing100.xml"/><Relationship Id="rId1" Type="http://schemas.openxmlformats.org/officeDocument/2006/relationships/printerSettings" Target="../printerSettings/printerSettings88.bin"/><Relationship Id="rId4" Type="http://schemas.openxmlformats.org/officeDocument/2006/relationships/ctrlProp" Target="../ctrlProps/ctrlProp100.xml"/></Relationships>
</file>

<file path=xl/worksheets/_rels/sheet109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02.vml"/><Relationship Id="rId2" Type="http://schemas.openxmlformats.org/officeDocument/2006/relationships/drawing" Target="../drawings/drawing101.xml"/><Relationship Id="rId1" Type="http://schemas.openxmlformats.org/officeDocument/2006/relationships/printerSettings" Target="../printerSettings/printerSettings89.bin"/><Relationship Id="rId4" Type="http://schemas.openxmlformats.org/officeDocument/2006/relationships/ctrlProp" Target="../ctrlProps/ctrlProp101.xml"/></Relationships>
</file>

<file path=xl/worksheets/_rels/sheet110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03.vml"/><Relationship Id="rId2" Type="http://schemas.openxmlformats.org/officeDocument/2006/relationships/drawing" Target="../drawings/drawing102.xml"/><Relationship Id="rId1" Type="http://schemas.openxmlformats.org/officeDocument/2006/relationships/printerSettings" Target="../printerSettings/printerSettings90.bin"/><Relationship Id="rId4" Type="http://schemas.openxmlformats.org/officeDocument/2006/relationships/ctrlProp" Target="../ctrlProps/ctrlProp102.xml"/></Relationships>
</file>

<file path=xl/worksheets/_rels/sheet11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04.vml"/><Relationship Id="rId2" Type="http://schemas.openxmlformats.org/officeDocument/2006/relationships/drawing" Target="../drawings/drawing103.xml"/><Relationship Id="rId1" Type="http://schemas.openxmlformats.org/officeDocument/2006/relationships/printerSettings" Target="../printerSettings/printerSettings91.bin"/><Relationship Id="rId4" Type="http://schemas.openxmlformats.org/officeDocument/2006/relationships/ctrlProp" Target="../ctrlProps/ctrlProp103.xml"/></Relationships>
</file>

<file path=xl/worksheets/_rels/sheet11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05.vml"/><Relationship Id="rId2" Type="http://schemas.openxmlformats.org/officeDocument/2006/relationships/drawing" Target="../drawings/drawing104.xml"/><Relationship Id="rId1" Type="http://schemas.openxmlformats.org/officeDocument/2006/relationships/printerSettings" Target="../printerSettings/printerSettings92.bin"/><Relationship Id="rId4" Type="http://schemas.openxmlformats.org/officeDocument/2006/relationships/ctrlProp" Target="../ctrlProps/ctrlProp104.xml"/></Relationships>
</file>

<file path=xl/worksheets/_rels/sheet113.xml.rels><?xml version="1.0" encoding="UTF-8" standalone="yes"?>
<Relationships xmlns="http://schemas.openxmlformats.org/package/2006/relationships"><Relationship Id="rId3" Type="http://schemas.openxmlformats.org/officeDocument/2006/relationships/ctrlProp" Target="../ctrlProps/ctrlProp105.xml"/><Relationship Id="rId2" Type="http://schemas.openxmlformats.org/officeDocument/2006/relationships/vmlDrawing" Target="../drawings/vmlDrawing106.vml"/><Relationship Id="rId1" Type="http://schemas.openxmlformats.org/officeDocument/2006/relationships/drawing" Target="../drawings/drawing105.xml"/></Relationships>
</file>

<file path=xl/worksheets/_rels/sheet114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07.vml"/><Relationship Id="rId2" Type="http://schemas.openxmlformats.org/officeDocument/2006/relationships/drawing" Target="../drawings/drawing106.xml"/><Relationship Id="rId1" Type="http://schemas.openxmlformats.org/officeDocument/2006/relationships/printerSettings" Target="../printerSettings/printerSettings93.bin"/><Relationship Id="rId4" Type="http://schemas.openxmlformats.org/officeDocument/2006/relationships/ctrlProp" Target="../ctrlProps/ctrlProp106.xml"/></Relationships>
</file>

<file path=xl/worksheets/_rels/sheet115.xml.rels><?xml version="1.0" encoding="UTF-8" standalone="yes"?>
<Relationships xmlns="http://schemas.openxmlformats.org/package/2006/relationships"><Relationship Id="rId3" Type="http://schemas.openxmlformats.org/officeDocument/2006/relationships/ctrlProp" Target="../ctrlProps/ctrlProp107.xml"/><Relationship Id="rId2" Type="http://schemas.openxmlformats.org/officeDocument/2006/relationships/vmlDrawing" Target="../drawings/vmlDrawing108.vml"/><Relationship Id="rId1" Type="http://schemas.openxmlformats.org/officeDocument/2006/relationships/drawing" Target="../drawings/drawing107.xml"/></Relationships>
</file>

<file path=xl/worksheets/_rels/sheet116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09.vml"/><Relationship Id="rId2" Type="http://schemas.openxmlformats.org/officeDocument/2006/relationships/drawing" Target="../drawings/drawing108.xml"/><Relationship Id="rId1" Type="http://schemas.openxmlformats.org/officeDocument/2006/relationships/printerSettings" Target="../printerSettings/printerSettings94.bin"/><Relationship Id="rId4" Type="http://schemas.openxmlformats.org/officeDocument/2006/relationships/ctrlProp" Target="../ctrlProps/ctrlProp108.xml"/></Relationships>
</file>

<file path=xl/worksheets/_rels/sheet117.xml.rels><?xml version="1.0" encoding="UTF-8" standalone="yes"?>
<Relationships xmlns="http://schemas.openxmlformats.org/package/2006/relationships"><Relationship Id="rId3" Type="http://schemas.openxmlformats.org/officeDocument/2006/relationships/ctrlProp" Target="../ctrlProps/ctrlProp109.xml"/><Relationship Id="rId2" Type="http://schemas.openxmlformats.org/officeDocument/2006/relationships/vmlDrawing" Target="../drawings/vmlDrawing110.vml"/><Relationship Id="rId1" Type="http://schemas.openxmlformats.org/officeDocument/2006/relationships/drawing" Target="../drawings/drawing109.xml"/></Relationships>
</file>

<file path=xl/worksheets/_rels/sheet118.xml.rels><?xml version="1.0" encoding="UTF-8" standalone="yes"?>
<Relationships xmlns="http://schemas.openxmlformats.org/package/2006/relationships"><Relationship Id="rId3" Type="http://schemas.openxmlformats.org/officeDocument/2006/relationships/ctrlProp" Target="../ctrlProps/ctrlProp110.xml"/><Relationship Id="rId2" Type="http://schemas.openxmlformats.org/officeDocument/2006/relationships/vmlDrawing" Target="../drawings/vmlDrawing111.vml"/><Relationship Id="rId1" Type="http://schemas.openxmlformats.org/officeDocument/2006/relationships/drawing" Target="../drawings/drawing110.xml"/></Relationships>
</file>

<file path=xl/worksheets/_rels/sheet119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12.vml"/><Relationship Id="rId2" Type="http://schemas.openxmlformats.org/officeDocument/2006/relationships/drawing" Target="../drawings/drawing111.xml"/><Relationship Id="rId1" Type="http://schemas.openxmlformats.org/officeDocument/2006/relationships/printerSettings" Target="../printerSettings/printerSettings95.bin"/><Relationship Id="rId4" Type="http://schemas.openxmlformats.org/officeDocument/2006/relationships/ctrlProp" Target="../ctrlProps/ctrlProp111.xml"/></Relationships>
</file>

<file path=xl/worksheets/_rels/sheet120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13.vml"/><Relationship Id="rId2" Type="http://schemas.openxmlformats.org/officeDocument/2006/relationships/drawing" Target="../drawings/drawing112.xml"/><Relationship Id="rId1" Type="http://schemas.openxmlformats.org/officeDocument/2006/relationships/printerSettings" Target="../printerSettings/printerSettings96.bin"/><Relationship Id="rId4" Type="http://schemas.openxmlformats.org/officeDocument/2006/relationships/ctrlProp" Target="../ctrlProps/ctrlProp112.xml"/></Relationships>
</file>

<file path=xl/worksheets/_rels/sheet12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14.vml"/><Relationship Id="rId2" Type="http://schemas.openxmlformats.org/officeDocument/2006/relationships/drawing" Target="../drawings/drawing113.xml"/><Relationship Id="rId1" Type="http://schemas.openxmlformats.org/officeDocument/2006/relationships/printerSettings" Target="../printerSettings/printerSettings97.bin"/><Relationship Id="rId4" Type="http://schemas.openxmlformats.org/officeDocument/2006/relationships/ctrlProp" Target="../ctrlProps/ctrlProp113.xml"/></Relationships>
</file>

<file path=xl/worksheets/_rels/sheet12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15.vml"/><Relationship Id="rId2" Type="http://schemas.openxmlformats.org/officeDocument/2006/relationships/drawing" Target="../drawings/drawing114.xml"/><Relationship Id="rId1" Type="http://schemas.openxmlformats.org/officeDocument/2006/relationships/printerSettings" Target="../printerSettings/printerSettings98.bin"/><Relationship Id="rId4" Type="http://schemas.openxmlformats.org/officeDocument/2006/relationships/ctrlProp" Target="../ctrlProps/ctrlProp114.xml"/></Relationships>
</file>

<file path=xl/worksheets/_rels/sheet12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16.vml"/><Relationship Id="rId2" Type="http://schemas.openxmlformats.org/officeDocument/2006/relationships/drawing" Target="../drawings/drawing115.xml"/><Relationship Id="rId1" Type="http://schemas.openxmlformats.org/officeDocument/2006/relationships/printerSettings" Target="../printerSettings/printerSettings99.bin"/><Relationship Id="rId4" Type="http://schemas.openxmlformats.org/officeDocument/2006/relationships/ctrlProp" Target="../ctrlProps/ctrlProp115.xml"/></Relationships>
</file>

<file path=xl/worksheets/_rels/sheet124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17.vml"/><Relationship Id="rId2" Type="http://schemas.openxmlformats.org/officeDocument/2006/relationships/drawing" Target="../drawings/drawing116.xml"/><Relationship Id="rId1" Type="http://schemas.openxmlformats.org/officeDocument/2006/relationships/printerSettings" Target="../printerSettings/printerSettings100.bin"/><Relationship Id="rId4" Type="http://schemas.openxmlformats.org/officeDocument/2006/relationships/ctrlProp" Target="../ctrlProps/ctrlProp116.xml"/></Relationships>
</file>

<file path=xl/worksheets/_rels/sheet125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18.vml"/><Relationship Id="rId2" Type="http://schemas.openxmlformats.org/officeDocument/2006/relationships/drawing" Target="../drawings/drawing117.xml"/><Relationship Id="rId1" Type="http://schemas.openxmlformats.org/officeDocument/2006/relationships/printerSettings" Target="../printerSettings/printerSettings101.bin"/><Relationship Id="rId4" Type="http://schemas.openxmlformats.org/officeDocument/2006/relationships/ctrlProp" Target="../ctrlProps/ctrlProp117.xml"/></Relationships>
</file>

<file path=xl/worksheets/_rels/sheet126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19.vml"/><Relationship Id="rId2" Type="http://schemas.openxmlformats.org/officeDocument/2006/relationships/drawing" Target="../drawings/drawing118.xml"/><Relationship Id="rId1" Type="http://schemas.openxmlformats.org/officeDocument/2006/relationships/printerSettings" Target="../printerSettings/printerSettings102.bin"/><Relationship Id="rId4" Type="http://schemas.openxmlformats.org/officeDocument/2006/relationships/ctrlProp" Target="../ctrlProps/ctrlProp118.xml"/></Relationships>
</file>

<file path=xl/worksheets/_rels/sheet127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20.vml"/><Relationship Id="rId2" Type="http://schemas.openxmlformats.org/officeDocument/2006/relationships/drawing" Target="../drawings/drawing119.xml"/><Relationship Id="rId1" Type="http://schemas.openxmlformats.org/officeDocument/2006/relationships/printerSettings" Target="../printerSettings/printerSettings103.bin"/><Relationship Id="rId4" Type="http://schemas.openxmlformats.org/officeDocument/2006/relationships/ctrlProp" Target="../ctrlProps/ctrlProp119.xml"/></Relationships>
</file>

<file path=xl/worksheets/_rels/sheet128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21.vml"/><Relationship Id="rId2" Type="http://schemas.openxmlformats.org/officeDocument/2006/relationships/drawing" Target="../drawings/drawing120.xml"/><Relationship Id="rId1" Type="http://schemas.openxmlformats.org/officeDocument/2006/relationships/printerSettings" Target="../printerSettings/printerSettings104.bin"/><Relationship Id="rId4" Type="http://schemas.openxmlformats.org/officeDocument/2006/relationships/ctrlProp" Target="../ctrlProps/ctrlProp120.xml"/></Relationships>
</file>

<file path=xl/worksheets/_rels/sheet129.xml.rels><?xml version="1.0" encoding="UTF-8" standalone="yes"?>
<Relationships xmlns="http://schemas.openxmlformats.org/package/2006/relationships"><Relationship Id="rId3" Type="http://schemas.openxmlformats.org/officeDocument/2006/relationships/ctrlProp" Target="../ctrlProps/ctrlProp121.xml"/><Relationship Id="rId2" Type="http://schemas.openxmlformats.org/officeDocument/2006/relationships/vmlDrawing" Target="../drawings/vmlDrawing122.vml"/><Relationship Id="rId1" Type="http://schemas.openxmlformats.org/officeDocument/2006/relationships/drawing" Target="../drawings/drawing121.xml"/></Relationships>
</file>

<file path=xl/worksheets/_rels/sheet130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23.vml"/><Relationship Id="rId2" Type="http://schemas.openxmlformats.org/officeDocument/2006/relationships/drawing" Target="../drawings/drawing122.xml"/><Relationship Id="rId1" Type="http://schemas.openxmlformats.org/officeDocument/2006/relationships/printerSettings" Target="../printerSettings/printerSettings105.bin"/><Relationship Id="rId4" Type="http://schemas.openxmlformats.org/officeDocument/2006/relationships/ctrlProp" Target="../ctrlProps/ctrlProp122.xml"/></Relationships>
</file>

<file path=xl/worksheets/_rels/sheet131.xml.rels><?xml version="1.0" encoding="UTF-8" standalone="yes"?>
<Relationships xmlns="http://schemas.openxmlformats.org/package/2006/relationships"><Relationship Id="rId3" Type="http://schemas.openxmlformats.org/officeDocument/2006/relationships/ctrlProp" Target="../ctrlProps/ctrlProp123.xml"/><Relationship Id="rId2" Type="http://schemas.openxmlformats.org/officeDocument/2006/relationships/vmlDrawing" Target="../drawings/vmlDrawing124.vml"/><Relationship Id="rId1" Type="http://schemas.openxmlformats.org/officeDocument/2006/relationships/drawing" Target="../drawings/drawing123.xml"/></Relationships>
</file>

<file path=xl/worksheets/_rels/sheet13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25.vml"/><Relationship Id="rId2" Type="http://schemas.openxmlformats.org/officeDocument/2006/relationships/drawing" Target="../drawings/drawing124.xml"/><Relationship Id="rId1" Type="http://schemas.openxmlformats.org/officeDocument/2006/relationships/printerSettings" Target="../printerSettings/printerSettings106.bin"/><Relationship Id="rId4" Type="http://schemas.openxmlformats.org/officeDocument/2006/relationships/ctrlProp" Target="../ctrlProps/ctrlProp124.xml"/></Relationships>
</file>

<file path=xl/worksheets/_rels/sheet133.xml.rels><?xml version="1.0" encoding="UTF-8" standalone="yes"?>
<Relationships xmlns="http://schemas.openxmlformats.org/package/2006/relationships"><Relationship Id="rId3" Type="http://schemas.openxmlformats.org/officeDocument/2006/relationships/ctrlProp" Target="../ctrlProps/ctrlProp125.xml"/><Relationship Id="rId2" Type="http://schemas.openxmlformats.org/officeDocument/2006/relationships/vmlDrawing" Target="../drawings/vmlDrawing126.vml"/><Relationship Id="rId1" Type="http://schemas.openxmlformats.org/officeDocument/2006/relationships/drawing" Target="../drawings/drawing125.xml"/></Relationships>
</file>

<file path=xl/worksheets/_rels/sheet134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27.vml"/><Relationship Id="rId2" Type="http://schemas.openxmlformats.org/officeDocument/2006/relationships/drawing" Target="../drawings/drawing126.xml"/><Relationship Id="rId1" Type="http://schemas.openxmlformats.org/officeDocument/2006/relationships/printerSettings" Target="../printerSettings/printerSettings107.bin"/><Relationship Id="rId4" Type="http://schemas.openxmlformats.org/officeDocument/2006/relationships/ctrlProp" Target="../ctrlProps/ctrlProp126.xml"/></Relationships>
</file>

<file path=xl/worksheets/_rels/sheet135.xml.rels><?xml version="1.0" encoding="UTF-8" standalone="yes"?>
<Relationships xmlns="http://schemas.openxmlformats.org/package/2006/relationships"><Relationship Id="rId3" Type="http://schemas.openxmlformats.org/officeDocument/2006/relationships/ctrlProp" Target="../ctrlProps/ctrlProp127.xml"/><Relationship Id="rId2" Type="http://schemas.openxmlformats.org/officeDocument/2006/relationships/vmlDrawing" Target="../drawings/vmlDrawing128.vml"/><Relationship Id="rId1" Type="http://schemas.openxmlformats.org/officeDocument/2006/relationships/drawing" Target="../drawings/drawing127.xml"/></Relationships>
</file>

<file path=xl/worksheets/_rels/sheet136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29.vml"/><Relationship Id="rId2" Type="http://schemas.openxmlformats.org/officeDocument/2006/relationships/drawing" Target="../drawings/drawing128.xml"/><Relationship Id="rId1" Type="http://schemas.openxmlformats.org/officeDocument/2006/relationships/printerSettings" Target="../printerSettings/printerSettings108.bin"/><Relationship Id="rId4" Type="http://schemas.openxmlformats.org/officeDocument/2006/relationships/ctrlProp" Target="../ctrlProps/ctrlProp128.xml"/></Relationships>
</file>

<file path=xl/worksheets/_rels/sheet137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30.vml"/><Relationship Id="rId2" Type="http://schemas.openxmlformats.org/officeDocument/2006/relationships/drawing" Target="../drawings/drawing129.xml"/><Relationship Id="rId1" Type="http://schemas.openxmlformats.org/officeDocument/2006/relationships/printerSettings" Target="../printerSettings/printerSettings109.bin"/><Relationship Id="rId4" Type="http://schemas.openxmlformats.org/officeDocument/2006/relationships/ctrlProp" Target="../ctrlProps/ctrlProp129.xml"/></Relationships>
</file>

<file path=xl/worksheets/_rels/sheet138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31.vml"/><Relationship Id="rId2" Type="http://schemas.openxmlformats.org/officeDocument/2006/relationships/drawing" Target="../drawings/drawing130.xml"/><Relationship Id="rId1" Type="http://schemas.openxmlformats.org/officeDocument/2006/relationships/printerSettings" Target="../printerSettings/printerSettings110.bin"/><Relationship Id="rId4" Type="http://schemas.openxmlformats.org/officeDocument/2006/relationships/ctrlProp" Target="../ctrlProps/ctrlProp130.xml"/></Relationships>
</file>

<file path=xl/worksheets/_rels/sheet139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32.vml"/><Relationship Id="rId2" Type="http://schemas.openxmlformats.org/officeDocument/2006/relationships/drawing" Target="../drawings/drawing131.xml"/><Relationship Id="rId1" Type="http://schemas.openxmlformats.org/officeDocument/2006/relationships/printerSettings" Target="../printerSettings/printerSettings111.bin"/><Relationship Id="rId4" Type="http://schemas.openxmlformats.org/officeDocument/2006/relationships/ctrlProp" Target="../ctrlProps/ctrlProp131.xml"/></Relationships>
</file>

<file path=xl/worksheets/_rels/sheet140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33.vml"/><Relationship Id="rId2" Type="http://schemas.openxmlformats.org/officeDocument/2006/relationships/drawing" Target="../drawings/drawing132.xml"/><Relationship Id="rId1" Type="http://schemas.openxmlformats.org/officeDocument/2006/relationships/printerSettings" Target="../printerSettings/printerSettings112.bin"/><Relationship Id="rId4" Type="http://schemas.openxmlformats.org/officeDocument/2006/relationships/ctrlProp" Target="../ctrlProps/ctrlProp132.xml"/></Relationships>
</file>

<file path=xl/worksheets/_rels/sheet14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34.vml"/><Relationship Id="rId2" Type="http://schemas.openxmlformats.org/officeDocument/2006/relationships/drawing" Target="../drawings/drawing133.xml"/><Relationship Id="rId1" Type="http://schemas.openxmlformats.org/officeDocument/2006/relationships/printerSettings" Target="../printerSettings/printerSettings113.bin"/><Relationship Id="rId4" Type="http://schemas.openxmlformats.org/officeDocument/2006/relationships/ctrlProp" Target="../ctrlProps/ctrlProp133.xml"/></Relationships>
</file>

<file path=xl/worksheets/_rels/sheet14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35.vml"/><Relationship Id="rId2" Type="http://schemas.openxmlformats.org/officeDocument/2006/relationships/drawing" Target="../drawings/drawing134.xml"/><Relationship Id="rId1" Type="http://schemas.openxmlformats.org/officeDocument/2006/relationships/printerSettings" Target="../printerSettings/printerSettings114.bin"/><Relationship Id="rId4" Type="http://schemas.openxmlformats.org/officeDocument/2006/relationships/ctrlProp" Target="../ctrlProps/ctrlProp134.xml"/></Relationships>
</file>

<file path=xl/worksheets/_rels/sheet14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36.vml"/><Relationship Id="rId2" Type="http://schemas.openxmlformats.org/officeDocument/2006/relationships/drawing" Target="../drawings/drawing135.xml"/><Relationship Id="rId1" Type="http://schemas.openxmlformats.org/officeDocument/2006/relationships/printerSettings" Target="../printerSettings/printerSettings115.bin"/><Relationship Id="rId4" Type="http://schemas.openxmlformats.org/officeDocument/2006/relationships/ctrlProp" Target="../ctrlProps/ctrlProp135.xml"/></Relationships>
</file>

<file path=xl/worksheets/_rels/sheet144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37.vml"/><Relationship Id="rId2" Type="http://schemas.openxmlformats.org/officeDocument/2006/relationships/drawing" Target="../drawings/drawing136.xml"/><Relationship Id="rId1" Type="http://schemas.openxmlformats.org/officeDocument/2006/relationships/printerSettings" Target="../printerSettings/printerSettings116.bin"/><Relationship Id="rId4" Type="http://schemas.openxmlformats.org/officeDocument/2006/relationships/ctrlProp" Target="../ctrlProps/ctrlProp136.xml"/></Relationships>
</file>

<file path=xl/worksheets/_rels/sheet145.xml.rels><?xml version="1.0" encoding="UTF-8" standalone="yes"?>
<Relationships xmlns="http://schemas.openxmlformats.org/package/2006/relationships"><Relationship Id="rId3" Type="http://schemas.openxmlformats.org/officeDocument/2006/relationships/ctrlProp" Target="../ctrlProps/ctrlProp137.xml"/><Relationship Id="rId2" Type="http://schemas.openxmlformats.org/officeDocument/2006/relationships/vmlDrawing" Target="../drawings/vmlDrawing138.vml"/><Relationship Id="rId1" Type="http://schemas.openxmlformats.org/officeDocument/2006/relationships/drawing" Target="../drawings/drawing137.xml"/></Relationships>
</file>

<file path=xl/worksheets/_rels/sheet146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39.vml"/><Relationship Id="rId2" Type="http://schemas.openxmlformats.org/officeDocument/2006/relationships/drawing" Target="../drawings/drawing138.xml"/><Relationship Id="rId1" Type="http://schemas.openxmlformats.org/officeDocument/2006/relationships/printerSettings" Target="../printerSettings/printerSettings117.bin"/><Relationship Id="rId4" Type="http://schemas.openxmlformats.org/officeDocument/2006/relationships/ctrlProp" Target="../ctrlProps/ctrlProp138.xml"/></Relationships>
</file>

<file path=xl/worksheets/_rels/sheet147.xml.rels><?xml version="1.0" encoding="UTF-8" standalone="yes"?>
<Relationships xmlns="http://schemas.openxmlformats.org/package/2006/relationships"><Relationship Id="rId3" Type="http://schemas.openxmlformats.org/officeDocument/2006/relationships/ctrlProp" Target="../ctrlProps/ctrlProp139.xml"/><Relationship Id="rId2" Type="http://schemas.openxmlformats.org/officeDocument/2006/relationships/vmlDrawing" Target="../drawings/vmlDrawing140.vml"/><Relationship Id="rId1" Type="http://schemas.openxmlformats.org/officeDocument/2006/relationships/drawing" Target="../drawings/drawing139.xml"/></Relationships>
</file>

<file path=xl/worksheets/_rels/sheet148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41.vml"/><Relationship Id="rId2" Type="http://schemas.openxmlformats.org/officeDocument/2006/relationships/drawing" Target="../drawings/drawing140.xml"/><Relationship Id="rId1" Type="http://schemas.openxmlformats.org/officeDocument/2006/relationships/printerSettings" Target="../printerSettings/printerSettings118.bin"/><Relationship Id="rId4" Type="http://schemas.openxmlformats.org/officeDocument/2006/relationships/ctrlProp" Target="../ctrlProps/ctrlProp140.xml"/></Relationships>
</file>

<file path=xl/worksheets/_rels/sheet149.xml.rels><?xml version="1.0" encoding="UTF-8" standalone="yes"?>
<Relationships xmlns="http://schemas.openxmlformats.org/package/2006/relationships"><Relationship Id="rId3" Type="http://schemas.openxmlformats.org/officeDocument/2006/relationships/ctrlProp" Target="../ctrlProps/ctrlProp141.xml"/><Relationship Id="rId2" Type="http://schemas.openxmlformats.org/officeDocument/2006/relationships/vmlDrawing" Target="../drawings/vmlDrawing142.vml"/><Relationship Id="rId1" Type="http://schemas.openxmlformats.org/officeDocument/2006/relationships/drawing" Target="../drawings/drawing141.xml"/></Relationships>
</file>

<file path=xl/worksheets/_rels/sheet150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43.vml"/><Relationship Id="rId2" Type="http://schemas.openxmlformats.org/officeDocument/2006/relationships/drawing" Target="../drawings/drawing142.xml"/><Relationship Id="rId1" Type="http://schemas.openxmlformats.org/officeDocument/2006/relationships/printerSettings" Target="../printerSettings/printerSettings119.bin"/><Relationship Id="rId4" Type="http://schemas.openxmlformats.org/officeDocument/2006/relationships/ctrlProp" Target="../ctrlProps/ctrlProp142.xml"/></Relationships>
</file>

<file path=xl/worksheets/_rels/sheet151.xml.rels><?xml version="1.0" encoding="UTF-8" standalone="yes"?>
<Relationships xmlns="http://schemas.openxmlformats.org/package/2006/relationships"><Relationship Id="rId3" Type="http://schemas.openxmlformats.org/officeDocument/2006/relationships/ctrlProp" Target="../ctrlProps/ctrlProp143.xml"/><Relationship Id="rId2" Type="http://schemas.openxmlformats.org/officeDocument/2006/relationships/vmlDrawing" Target="../drawings/vmlDrawing144.vml"/><Relationship Id="rId1" Type="http://schemas.openxmlformats.org/officeDocument/2006/relationships/drawing" Target="../drawings/drawing143.xml"/></Relationships>
</file>

<file path=xl/worksheets/_rels/sheet15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45.vml"/><Relationship Id="rId2" Type="http://schemas.openxmlformats.org/officeDocument/2006/relationships/drawing" Target="../drawings/drawing144.xml"/><Relationship Id="rId1" Type="http://schemas.openxmlformats.org/officeDocument/2006/relationships/printerSettings" Target="../printerSettings/printerSettings120.bin"/><Relationship Id="rId4" Type="http://schemas.openxmlformats.org/officeDocument/2006/relationships/ctrlProp" Target="../ctrlProps/ctrlProp144.xml"/></Relationships>
</file>

<file path=xl/worksheets/_rels/sheet15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46.vml"/><Relationship Id="rId2" Type="http://schemas.openxmlformats.org/officeDocument/2006/relationships/drawing" Target="../drawings/drawing145.xml"/><Relationship Id="rId1" Type="http://schemas.openxmlformats.org/officeDocument/2006/relationships/printerSettings" Target="../printerSettings/printerSettings121.bin"/><Relationship Id="rId4" Type="http://schemas.openxmlformats.org/officeDocument/2006/relationships/ctrlProp" Target="../ctrlProps/ctrlProp145.xml"/></Relationships>
</file>

<file path=xl/worksheets/_rels/sheet154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47.vml"/><Relationship Id="rId2" Type="http://schemas.openxmlformats.org/officeDocument/2006/relationships/drawing" Target="../drawings/drawing146.xml"/><Relationship Id="rId1" Type="http://schemas.openxmlformats.org/officeDocument/2006/relationships/printerSettings" Target="../printerSettings/printerSettings122.bin"/><Relationship Id="rId4" Type="http://schemas.openxmlformats.org/officeDocument/2006/relationships/ctrlProp" Target="../ctrlProps/ctrlProp146.xml"/></Relationships>
</file>

<file path=xl/worksheets/_rels/sheet155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48.vml"/><Relationship Id="rId2" Type="http://schemas.openxmlformats.org/officeDocument/2006/relationships/drawing" Target="../drawings/drawing147.xml"/><Relationship Id="rId1" Type="http://schemas.openxmlformats.org/officeDocument/2006/relationships/printerSettings" Target="../printerSettings/printerSettings123.bin"/><Relationship Id="rId4" Type="http://schemas.openxmlformats.org/officeDocument/2006/relationships/ctrlProp" Target="../ctrlProps/ctrlProp147.xml"/></Relationships>
</file>

<file path=xl/worksheets/_rels/sheet156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49.vml"/><Relationship Id="rId2" Type="http://schemas.openxmlformats.org/officeDocument/2006/relationships/drawing" Target="../drawings/drawing148.xml"/><Relationship Id="rId1" Type="http://schemas.openxmlformats.org/officeDocument/2006/relationships/printerSettings" Target="../printerSettings/printerSettings124.bin"/><Relationship Id="rId4" Type="http://schemas.openxmlformats.org/officeDocument/2006/relationships/ctrlProp" Target="../ctrlProps/ctrlProp148.xml"/></Relationships>
</file>

<file path=xl/worksheets/_rels/sheet157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50.vml"/><Relationship Id="rId2" Type="http://schemas.openxmlformats.org/officeDocument/2006/relationships/drawing" Target="../drawings/drawing149.xml"/><Relationship Id="rId1" Type="http://schemas.openxmlformats.org/officeDocument/2006/relationships/printerSettings" Target="../printerSettings/printerSettings125.bin"/><Relationship Id="rId4" Type="http://schemas.openxmlformats.org/officeDocument/2006/relationships/ctrlProp" Target="../ctrlProps/ctrlProp149.xml"/></Relationships>
</file>

<file path=xl/worksheets/_rels/sheet158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51.vml"/><Relationship Id="rId2" Type="http://schemas.openxmlformats.org/officeDocument/2006/relationships/drawing" Target="../drawings/drawing150.xml"/><Relationship Id="rId1" Type="http://schemas.openxmlformats.org/officeDocument/2006/relationships/printerSettings" Target="../printerSettings/printerSettings126.bin"/><Relationship Id="rId4" Type="http://schemas.openxmlformats.org/officeDocument/2006/relationships/ctrlProp" Target="../ctrlProps/ctrlProp150.xml"/></Relationships>
</file>

<file path=xl/worksheets/_rels/sheet159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52.vml"/><Relationship Id="rId2" Type="http://schemas.openxmlformats.org/officeDocument/2006/relationships/drawing" Target="../drawings/drawing151.xml"/><Relationship Id="rId1" Type="http://schemas.openxmlformats.org/officeDocument/2006/relationships/printerSettings" Target="../printerSettings/printerSettings127.bin"/><Relationship Id="rId4" Type="http://schemas.openxmlformats.org/officeDocument/2006/relationships/ctrlProp" Target="../ctrlProps/ctrlProp151.xml"/></Relationships>
</file>

<file path=xl/worksheets/_rels/sheet160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53.vml"/><Relationship Id="rId2" Type="http://schemas.openxmlformats.org/officeDocument/2006/relationships/drawing" Target="../drawings/drawing152.xml"/><Relationship Id="rId1" Type="http://schemas.openxmlformats.org/officeDocument/2006/relationships/printerSettings" Target="../printerSettings/printerSettings128.bin"/><Relationship Id="rId4" Type="http://schemas.openxmlformats.org/officeDocument/2006/relationships/ctrlProp" Target="../ctrlProps/ctrlProp152.xml"/></Relationships>
</file>

<file path=xl/worksheets/_rels/sheet16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54.vml"/><Relationship Id="rId2" Type="http://schemas.openxmlformats.org/officeDocument/2006/relationships/drawing" Target="../drawings/drawing153.xml"/><Relationship Id="rId1" Type="http://schemas.openxmlformats.org/officeDocument/2006/relationships/printerSettings" Target="../printerSettings/printerSettings129.bin"/><Relationship Id="rId4" Type="http://schemas.openxmlformats.org/officeDocument/2006/relationships/ctrlProp" Target="../ctrlProps/ctrlProp153.xml"/></Relationships>
</file>

<file path=xl/worksheets/_rels/sheet162.xml.rels><?xml version="1.0" encoding="UTF-8" standalone="yes"?>
<Relationships xmlns="http://schemas.openxmlformats.org/package/2006/relationships"><Relationship Id="rId3" Type="http://schemas.openxmlformats.org/officeDocument/2006/relationships/ctrlProp" Target="../ctrlProps/ctrlProp154.xml"/><Relationship Id="rId2" Type="http://schemas.openxmlformats.org/officeDocument/2006/relationships/vmlDrawing" Target="../drawings/vmlDrawing155.vml"/><Relationship Id="rId1" Type="http://schemas.openxmlformats.org/officeDocument/2006/relationships/drawing" Target="../drawings/drawing154.xml"/></Relationships>
</file>

<file path=xl/worksheets/_rels/sheet16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56.vml"/><Relationship Id="rId2" Type="http://schemas.openxmlformats.org/officeDocument/2006/relationships/drawing" Target="../drawings/drawing155.xml"/><Relationship Id="rId1" Type="http://schemas.openxmlformats.org/officeDocument/2006/relationships/printerSettings" Target="../printerSettings/printerSettings130.bin"/><Relationship Id="rId4" Type="http://schemas.openxmlformats.org/officeDocument/2006/relationships/ctrlProp" Target="../ctrlProps/ctrlProp155.xml"/></Relationships>
</file>

<file path=xl/worksheets/_rels/sheet164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57.vml"/><Relationship Id="rId2" Type="http://schemas.openxmlformats.org/officeDocument/2006/relationships/drawing" Target="../drawings/drawing156.xml"/><Relationship Id="rId1" Type="http://schemas.openxmlformats.org/officeDocument/2006/relationships/printerSettings" Target="../printerSettings/printerSettings131.bin"/><Relationship Id="rId4" Type="http://schemas.openxmlformats.org/officeDocument/2006/relationships/ctrlProp" Target="../ctrlProps/ctrlProp156.xml"/></Relationships>
</file>

<file path=xl/worksheets/_rels/sheet165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58.vml"/><Relationship Id="rId2" Type="http://schemas.openxmlformats.org/officeDocument/2006/relationships/drawing" Target="../drawings/drawing157.xml"/><Relationship Id="rId1" Type="http://schemas.openxmlformats.org/officeDocument/2006/relationships/printerSettings" Target="../printerSettings/printerSettings132.bin"/><Relationship Id="rId4" Type="http://schemas.openxmlformats.org/officeDocument/2006/relationships/ctrlProp" Target="../ctrlProps/ctrlProp157.xml"/></Relationships>
</file>

<file path=xl/worksheets/_rels/sheet166.xml.rels><?xml version="1.0" encoding="UTF-8" standalone="yes"?>
<Relationships xmlns="http://schemas.openxmlformats.org/package/2006/relationships"><Relationship Id="rId3" Type="http://schemas.openxmlformats.org/officeDocument/2006/relationships/ctrlProp" Target="../ctrlProps/ctrlProp158.xml"/><Relationship Id="rId2" Type="http://schemas.openxmlformats.org/officeDocument/2006/relationships/vmlDrawing" Target="../drawings/vmlDrawing159.vml"/><Relationship Id="rId1" Type="http://schemas.openxmlformats.org/officeDocument/2006/relationships/drawing" Target="../drawings/drawing158.xml"/></Relationships>
</file>

<file path=xl/worksheets/_rels/sheet167.xml.rels><?xml version="1.0" encoding="UTF-8" standalone="yes"?>
<Relationships xmlns="http://schemas.openxmlformats.org/package/2006/relationships"><Relationship Id="rId3" Type="http://schemas.openxmlformats.org/officeDocument/2006/relationships/ctrlProp" Target="../ctrlProps/ctrlProp159.xml"/><Relationship Id="rId2" Type="http://schemas.openxmlformats.org/officeDocument/2006/relationships/vmlDrawing" Target="../drawings/vmlDrawing160.vml"/><Relationship Id="rId1" Type="http://schemas.openxmlformats.org/officeDocument/2006/relationships/drawing" Target="../drawings/drawing159.xml"/></Relationships>
</file>

<file path=xl/worksheets/_rels/sheet168.xml.rels><?xml version="1.0" encoding="UTF-8" standalone="yes"?>
<Relationships xmlns="http://schemas.openxmlformats.org/package/2006/relationships"><Relationship Id="rId3" Type="http://schemas.openxmlformats.org/officeDocument/2006/relationships/ctrlProp" Target="../ctrlProps/ctrlProp160.xml"/><Relationship Id="rId2" Type="http://schemas.openxmlformats.org/officeDocument/2006/relationships/vmlDrawing" Target="../drawings/vmlDrawing161.vml"/><Relationship Id="rId1" Type="http://schemas.openxmlformats.org/officeDocument/2006/relationships/drawing" Target="../drawings/drawing160.xml"/></Relationships>
</file>

<file path=xl/worksheets/_rels/sheet169.xml.rels><?xml version="1.0" encoding="UTF-8" standalone="yes"?>
<Relationships xmlns="http://schemas.openxmlformats.org/package/2006/relationships"><Relationship Id="rId3" Type="http://schemas.openxmlformats.org/officeDocument/2006/relationships/ctrlProp" Target="../ctrlProps/ctrlProp161.xml"/><Relationship Id="rId2" Type="http://schemas.openxmlformats.org/officeDocument/2006/relationships/vmlDrawing" Target="../drawings/vmlDrawing162.vml"/><Relationship Id="rId1" Type="http://schemas.openxmlformats.org/officeDocument/2006/relationships/drawing" Target="../drawings/drawing161.xml"/></Relationships>
</file>

<file path=xl/worksheets/_rels/sheet170.xml.rels><?xml version="1.0" encoding="UTF-8" standalone="yes"?>
<Relationships xmlns="http://schemas.openxmlformats.org/package/2006/relationships"><Relationship Id="rId3" Type="http://schemas.openxmlformats.org/officeDocument/2006/relationships/ctrlProp" Target="../ctrlProps/ctrlProp162.xml"/><Relationship Id="rId2" Type="http://schemas.openxmlformats.org/officeDocument/2006/relationships/vmlDrawing" Target="../drawings/vmlDrawing163.vml"/><Relationship Id="rId1" Type="http://schemas.openxmlformats.org/officeDocument/2006/relationships/drawing" Target="../drawings/drawing162.xml"/></Relationships>
</file>

<file path=xl/worksheets/_rels/sheet17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64.vml"/><Relationship Id="rId2" Type="http://schemas.openxmlformats.org/officeDocument/2006/relationships/drawing" Target="../drawings/drawing163.xml"/><Relationship Id="rId1" Type="http://schemas.openxmlformats.org/officeDocument/2006/relationships/printerSettings" Target="../printerSettings/printerSettings133.bin"/><Relationship Id="rId4" Type="http://schemas.openxmlformats.org/officeDocument/2006/relationships/ctrlProp" Target="../ctrlProps/ctrlProp163.xml"/></Relationships>
</file>

<file path=xl/worksheets/_rels/sheet172.xml.rels><?xml version="1.0" encoding="UTF-8" standalone="yes"?>
<Relationships xmlns="http://schemas.openxmlformats.org/package/2006/relationships"><Relationship Id="rId3" Type="http://schemas.openxmlformats.org/officeDocument/2006/relationships/ctrlProp" Target="../ctrlProps/ctrlProp164.xml"/><Relationship Id="rId2" Type="http://schemas.openxmlformats.org/officeDocument/2006/relationships/vmlDrawing" Target="../drawings/vmlDrawing165.vml"/><Relationship Id="rId1" Type="http://schemas.openxmlformats.org/officeDocument/2006/relationships/drawing" Target="../drawings/drawing164.xml"/></Relationships>
</file>

<file path=xl/worksheets/_rels/sheet173.xml.rels><?xml version="1.0" encoding="UTF-8" standalone="yes"?>
<Relationships xmlns="http://schemas.openxmlformats.org/package/2006/relationships"><Relationship Id="rId3" Type="http://schemas.openxmlformats.org/officeDocument/2006/relationships/ctrlProp" Target="../ctrlProps/ctrlProp165.xml"/><Relationship Id="rId2" Type="http://schemas.openxmlformats.org/officeDocument/2006/relationships/vmlDrawing" Target="../drawings/vmlDrawing166.vml"/><Relationship Id="rId1" Type="http://schemas.openxmlformats.org/officeDocument/2006/relationships/drawing" Target="../drawings/drawing165.xml"/></Relationships>
</file>

<file path=xl/worksheets/_rels/sheet174.xml.rels><?xml version="1.0" encoding="UTF-8" standalone="yes"?>
<Relationships xmlns="http://schemas.openxmlformats.org/package/2006/relationships"><Relationship Id="rId3" Type="http://schemas.openxmlformats.org/officeDocument/2006/relationships/ctrlProp" Target="../ctrlProps/ctrlProp166.xml"/><Relationship Id="rId2" Type="http://schemas.openxmlformats.org/officeDocument/2006/relationships/vmlDrawing" Target="../drawings/vmlDrawing167.vml"/><Relationship Id="rId1" Type="http://schemas.openxmlformats.org/officeDocument/2006/relationships/drawing" Target="../drawings/drawing166.xml"/></Relationships>
</file>

<file path=xl/worksheets/_rels/sheet175.xml.rels><?xml version="1.0" encoding="UTF-8" standalone="yes"?>
<Relationships xmlns="http://schemas.openxmlformats.org/package/2006/relationships"><Relationship Id="rId3" Type="http://schemas.openxmlformats.org/officeDocument/2006/relationships/ctrlProp" Target="../ctrlProps/ctrlProp167.xml"/><Relationship Id="rId2" Type="http://schemas.openxmlformats.org/officeDocument/2006/relationships/vmlDrawing" Target="../drawings/vmlDrawing168.vml"/><Relationship Id="rId1" Type="http://schemas.openxmlformats.org/officeDocument/2006/relationships/drawing" Target="../drawings/drawing167.xml"/></Relationships>
</file>

<file path=xl/worksheets/_rels/sheet176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69.vml"/><Relationship Id="rId2" Type="http://schemas.openxmlformats.org/officeDocument/2006/relationships/drawing" Target="../drawings/drawing168.xml"/><Relationship Id="rId1" Type="http://schemas.openxmlformats.org/officeDocument/2006/relationships/printerSettings" Target="../printerSettings/printerSettings134.bin"/><Relationship Id="rId4" Type="http://schemas.openxmlformats.org/officeDocument/2006/relationships/ctrlProp" Target="../ctrlProps/ctrlProp168.xml"/></Relationships>
</file>

<file path=xl/worksheets/_rels/sheet177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70.vml"/><Relationship Id="rId2" Type="http://schemas.openxmlformats.org/officeDocument/2006/relationships/drawing" Target="../drawings/drawing169.xml"/><Relationship Id="rId1" Type="http://schemas.openxmlformats.org/officeDocument/2006/relationships/printerSettings" Target="../printerSettings/printerSettings135.bin"/><Relationship Id="rId4" Type="http://schemas.openxmlformats.org/officeDocument/2006/relationships/ctrlProp" Target="../ctrlProps/ctrlProp169.xml"/></Relationships>
</file>

<file path=xl/worksheets/_rels/sheet178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71.vml"/><Relationship Id="rId2" Type="http://schemas.openxmlformats.org/officeDocument/2006/relationships/drawing" Target="../drawings/drawing170.xml"/><Relationship Id="rId1" Type="http://schemas.openxmlformats.org/officeDocument/2006/relationships/printerSettings" Target="../printerSettings/printerSettings136.bin"/><Relationship Id="rId4" Type="http://schemas.openxmlformats.org/officeDocument/2006/relationships/ctrlProp" Target="../ctrlProps/ctrlProp170.xml"/></Relationships>
</file>

<file path=xl/worksheets/_rels/sheet179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72.vml"/><Relationship Id="rId2" Type="http://schemas.openxmlformats.org/officeDocument/2006/relationships/drawing" Target="../drawings/drawing171.xml"/><Relationship Id="rId1" Type="http://schemas.openxmlformats.org/officeDocument/2006/relationships/printerSettings" Target="../printerSettings/printerSettings137.bin"/><Relationship Id="rId4" Type="http://schemas.openxmlformats.org/officeDocument/2006/relationships/ctrlProp" Target="../ctrlProps/ctrlProp171.xml"/></Relationships>
</file>

<file path=xl/worksheets/_rels/sheet180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73.vml"/><Relationship Id="rId2" Type="http://schemas.openxmlformats.org/officeDocument/2006/relationships/drawing" Target="../drawings/drawing172.xml"/><Relationship Id="rId1" Type="http://schemas.openxmlformats.org/officeDocument/2006/relationships/printerSettings" Target="../printerSettings/printerSettings138.bin"/><Relationship Id="rId4" Type="http://schemas.openxmlformats.org/officeDocument/2006/relationships/ctrlProp" Target="../ctrlProps/ctrlProp172.xml"/></Relationships>
</file>

<file path=xl/worksheets/_rels/sheet18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74.vml"/><Relationship Id="rId2" Type="http://schemas.openxmlformats.org/officeDocument/2006/relationships/drawing" Target="../drawings/drawing173.xml"/><Relationship Id="rId1" Type="http://schemas.openxmlformats.org/officeDocument/2006/relationships/printerSettings" Target="../printerSettings/printerSettings139.bin"/><Relationship Id="rId4" Type="http://schemas.openxmlformats.org/officeDocument/2006/relationships/ctrlProp" Target="../ctrlProps/ctrlProp173.xml"/></Relationships>
</file>

<file path=xl/worksheets/_rels/sheet18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75.vml"/><Relationship Id="rId2" Type="http://schemas.openxmlformats.org/officeDocument/2006/relationships/drawing" Target="../drawings/drawing174.xml"/><Relationship Id="rId1" Type="http://schemas.openxmlformats.org/officeDocument/2006/relationships/printerSettings" Target="../printerSettings/printerSettings140.bin"/><Relationship Id="rId4" Type="http://schemas.openxmlformats.org/officeDocument/2006/relationships/ctrlProp" Target="../ctrlProps/ctrlProp174.xml"/></Relationships>
</file>

<file path=xl/worksheets/_rels/sheet18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76.vml"/><Relationship Id="rId2" Type="http://schemas.openxmlformats.org/officeDocument/2006/relationships/drawing" Target="../drawings/drawing175.xml"/><Relationship Id="rId1" Type="http://schemas.openxmlformats.org/officeDocument/2006/relationships/printerSettings" Target="../printerSettings/printerSettings141.bin"/><Relationship Id="rId4" Type="http://schemas.openxmlformats.org/officeDocument/2006/relationships/ctrlProp" Target="../ctrlProps/ctrlProp175.xml"/></Relationships>
</file>

<file path=xl/worksheets/_rels/sheet184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77.vml"/><Relationship Id="rId2" Type="http://schemas.openxmlformats.org/officeDocument/2006/relationships/drawing" Target="../drawings/drawing176.xml"/><Relationship Id="rId1" Type="http://schemas.openxmlformats.org/officeDocument/2006/relationships/printerSettings" Target="../printerSettings/printerSettings142.bin"/><Relationship Id="rId4" Type="http://schemas.openxmlformats.org/officeDocument/2006/relationships/ctrlProp" Target="../ctrlProps/ctrlProp176.xml"/></Relationships>
</file>

<file path=xl/worksheets/_rels/sheet185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78.vml"/><Relationship Id="rId2" Type="http://schemas.openxmlformats.org/officeDocument/2006/relationships/drawing" Target="../drawings/drawing177.xml"/><Relationship Id="rId1" Type="http://schemas.openxmlformats.org/officeDocument/2006/relationships/printerSettings" Target="../printerSettings/printerSettings143.bin"/><Relationship Id="rId4" Type="http://schemas.openxmlformats.org/officeDocument/2006/relationships/ctrlProp" Target="../ctrlProps/ctrlProp177.xml"/></Relationships>
</file>

<file path=xl/worksheets/_rels/sheet186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79.vml"/><Relationship Id="rId2" Type="http://schemas.openxmlformats.org/officeDocument/2006/relationships/drawing" Target="../drawings/drawing178.xml"/><Relationship Id="rId1" Type="http://schemas.openxmlformats.org/officeDocument/2006/relationships/printerSettings" Target="../printerSettings/printerSettings144.bin"/><Relationship Id="rId4" Type="http://schemas.openxmlformats.org/officeDocument/2006/relationships/ctrlProp" Target="../ctrlProps/ctrlProp178.xml"/></Relationships>
</file>

<file path=xl/worksheets/_rels/sheet187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80.vml"/><Relationship Id="rId2" Type="http://schemas.openxmlformats.org/officeDocument/2006/relationships/drawing" Target="../drawings/drawing179.xml"/><Relationship Id="rId1" Type="http://schemas.openxmlformats.org/officeDocument/2006/relationships/printerSettings" Target="../printerSettings/printerSettings145.bin"/><Relationship Id="rId4" Type="http://schemas.openxmlformats.org/officeDocument/2006/relationships/ctrlProp" Target="../ctrlProps/ctrlProp179.xml"/></Relationships>
</file>

<file path=xl/worksheets/_rels/sheet188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81.vml"/><Relationship Id="rId2" Type="http://schemas.openxmlformats.org/officeDocument/2006/relationships/drawing" Target="../drawings/drawing180.xml"/><Relationship Id="rId1" Type="http://schemas.openxmlformats.org/officeDocument/2006/relationships/printerSettings" Target="../printerSettings/printerSettings146.bin"/><Relationship Id="rId4" Type="http://schemas.openxmlformats.org/officeDocument/2006/relationships/ctrlProp" Target="../ctrlProps/ctrlProp180.xml"/></Relationships>
</file>

<file path=xl/worksheets/_rels/sheet189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82.vml"/><Relationship Id="rId2" Type="http://schemas.openxmlformats.org/officeDocument/2006/relationships/drawing" Target="../drawings/drawing181.xml"/><Relationship Id="rId1" Type="http://schemas.openxmlformats.org/officeDocument/2006/relationships/printerSettings" Target="../printerSettings/printerSettings147.bin"/><Relationship Id="rId4" Type="http://schemas.openxmlformats.org/officeDocument/2006/relationships/ctrlProp" Target="../ctrlProps/ctrlProp181.xml"/></Relationships>
</file>

<file path=xl/worksheets/_rels/sheet190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83.vml"/><Relationship Id="rId2" Type="http://schemas.openxmlformats.org/officeDocument/2006/relationships/drawing" Target="../drawings/drawing182.xml"/><Relationship Id="rId1" Type="http://schemas.openxmlformats.org/officeDocument/2006/relationships/printerSettings" Target="../printerSettings/printerSettings148.bin"/><Relationship Id="rId4" Type="http://schemas.openxmlformats.org/officeDocument/2006/relationships/ctrlProp" Target="../ctrlProps/ctrlProp182.xml"/></Relationships>
</file>

<file path=xl/worksheets/_rels/sheet19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84.vml"/><Relationship Id="rId2" Type="http://schemas.openxmlformats.org/officeDocument/2006/relationships/drawing" Target="../drawings/drawing183.xml"/><Relationship Id="rId1" Type="http://schemas.openxmlformats.org/officeDocument/2006/relationships/printerSettings" Target="../printerSettings/printerSettings149.bin"/><Relationship Id="rId4" Type="http://schemas.openxmlformats.org/officeDocument/2006/relationships/ctrlProp" Target="../ctrlProps/ctrlProp183.xml"/></Relationships>
</file>

<file path=xl/worksheets/_rels/sheet19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85.vml"/><Relationship Id="rId2" Type="http://schemas.openxmlformats.org/officeDocument/2006/relationships/drawing" Target="../drawings/drawing184.xml"/><Relationship Id="rId1" Type="http://schemas.openxmlformats.org/officeDocument/2006/relationships/printerSettings" Target="../printerSettings/printerSettings150.bin"/><Relationship Id="rId4" Type="http://schemas.openxmlformats.org/officeDocument/2006/relationships/ctrlProp" Target="../ctrlProps/ctrlProp184.xml"/></Relationships>
</file>

<file path=xl/worksheets/_rels/sheet19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86.vml"/><Relationship Id="rId2" Type="http://schemas.openxmlformats.org/officeDocument/2006/relationships/drawing" Target="../drawings/drawing185.xml"/><Relationship Id="rId1" Type="http://schemas.openxmlformats.org/officeDocument/2006/relationships/printerSettings" Target="../printerSettings/printerSettings151.bin"/><Relationship Id="rId4" Type="http://schemas.openxmlformats.org/officeDocument/2006/relationships/ctrlProp" Target="../ctrlProps/ctrlProp185.xml"/></Relationships>
</file>

<file path=xl/worksheets/_rels/sheet194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87.vml"/><Relationship Id="rId2" Type="http://schemas.openxmlformats.org/officeDocument/2006/relationships/drawing" Target="../drawings/drawing186.xml"/><Relationship Id="rId1" Type="http://schemas.openxmlformats.org/officeDocument/2006/relationships/printerSettings" Target="../printerSettings/printerSettings152.bin"/><Relationship Id="rId4" Type="http://schemas.openxmlformats.org/officeDocument/2006/relationships/ctrlProp" Target="../ctrlProps/ctrlProp186.xml"/></Relationships>
</file>

<file path=xl/worksheets/_rels/sheet195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88.vml"/><Relationship Id="rId2" Type="http://schemas.openxmlformats.org/officeDocument/2006/relationships/drawing" Target="../drawings/drawing187.xml"/><Relationship Id="rId1" Type="http://schemas.openxmlformats.org/officeDocument/2006/relationships/printerSettings" Target="../printerSettings/printerSettings153.bin"/><Relationship Id="rId4" Type="http://schemas.openxmlformats.org/officeDocument/2006/relationships/ctrlProp" Target="../ctrlProps/ctrlProp187.xml"/></Relationships>
</file>

<file path=xl/worksheets/_rels/sheet196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89.vml"/><Relationship Id="rId2" Type="http://schemas.openxmlformats.org/officeDocument/2006/relationships/drawing" Target="../drawings/drawing188.xml"/><Relationship Id="rId1" Type="http://schemas.openxmlformats.org/officeDocument/2006/relationships/printerSettings" Target="../printerSettings/printerSettings154.bin"/><Relationship Id="rId4" Type="http://schemas.openxmlformats.org/officeDocument/2006/relationships/ctrlProp" Target="../ctrlProps/ctrlProp188.xml"/></Relationships>
</file>

<file path=xl/worksheets/_rels/sheet197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90.vml"/><Relationship Id="rId2" Type="http://schemas.openxmlformats.org/officeDocument/2006/relationships/drawing" Target="../drawings/drawing189.xml"/><Relationship Id="rId1" Type="http://schemas.openxmlformats.org/officeDocument/2006/relationships/printerSettings" Target="../printerSettings/printerSettings155.bin"/><Relationship Id="rId4" Type="http://schemas.openxmlformats.org/officeDocument/2006/relationships/ctrlProp" Target="../ctrlProps/ctrlProp189.xml"/></Relationships>
</file>

<file path=xl/worksheets/_rels/sheet198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91.vml"/><Relationship Id="rId2" Type="http://schemas.openxmlformats.org/officeDocument/2006/relationships/drawing" Target="../drawings/drawing190.xml"/><Relationship Id="rId1" Type="http://schemas.openxmlformats.org/officeDocument/2006/relationships/printerSettings" Target="../printerSettings/printerSettings156.bin"/><Relationship Id="rId4" Type="http://schemas.openxmlformats.org/officeDocument/2006/relationships/ctrlProp" Target="../ctrlProps/ctrlProp190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1"/>
  <dimension ref="A1:T235"/>
  <sheetViews>
    <sheetView tabSelected="1" zoomScaleNormal="100" workbookViewId="0">
      <pane ySplit="4" topLeftCell="A5" activePane="bottomLeft" state="frozen"/>
      <selection pane="bottomLeft" activeCell="B194" sqref="B194"/>
    </sheetView>
  </sheetViews>
  <sheetFormatPr defaultColWidth="9.1796875" defaultRowHeight="14.5" outlineLevelRow="1" x14ac:dyDescent="0.35"/>
  <cols>
    <col min="1" max="1" width="4.1796875" style="3" customWidth="1"/>
    <col min="2" max="2" width="49.81640625" style="3" customWidth="1"/>
    <col min="3" max="3" width="8.1796875" style="14" customWidth="1"/>
    <col min="4" max="6" width="4.54296875" style="14" bestFit="1" customWidth="1"/>
    <col min="7" max="7" width="13.26953125" style="3" bestFit="1" customWidth="1"/>
    <col min="8" max="8" width="13.81640625" style="3" customWidth="1"/>
    <col min="9" max="9" width="8.1796875" style="3" customWidth="1"/>
    <col min="10" max="12" width="4.54296875" style="3" customWidth="1"/>
    <col min="13" max="13" width="12.54296875" style="3" bestFit="1" customWidth="1"/>
    <col min="14" max="14" width="12" style="3" bestFit="1" customWidth="1"/>
    <col min="15" max="15" width="8.1796875" style="3" customWidth="1"/>
    <col min="16" max="16" width="9.1796875" style="14"/>
    <col min="17" max="17" width="13.54296875" style="14" bestFit="1" customWidth="1"/>
    <col min="18" max="18" width="11.1796875" style="3" bestFit="1" customWidth="1"/>
    <col min="19" max="20" width="3.7265625" style="14" customWidth="1"/>
    <col min="21" max="16384" width="9.1796875" style="3"/>
  </cols>
  <sheetData>
    <row r="1" spans="1:20" ht="21.5" thickBot="1" x14ac:dyDescent="0.55000000000000004">
      <c r="A1" s="78" t="s">
        <v>182</v>
      </c>
      <c r="B1" s="18"/>
      <c r="C1" s="18"/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9"/>
    </row>
    <row r="2" spans="1:20" ht="15" thickBot="1" x14ac:dyDescent="0.4">
      <c r="B2" s="17">
        <f>INDEX('KPI 1'!$E18:$P18,Actual_month)</f>
        <v>46054</v>
      </c>
      <c r="C2" s="13"/>
      <c r="D2" s="13"/>
      <c r="E2" s="13"/>
      <c r="F2" s="13"/>
    </row>
    <row r="3" spans="1:20" ht="15" thickBot="1" x14ac:dyDescent="0.4">
      <c r="C3" s="21"/>
      <c r="D3" s="387" t="s">
        <v>15</v>
      </c>
      <c r="E3" s="388"/>
      <c r="F3" s="388"/>
      <c r="G3" s="388"/>
      <c r="H3" s="388"/>
      <c r="I3" s="389"/>
      <c r="J3" s="387" t="s">
        <v>16</v>
      </c>
      <c r="K3" s="388"/>
      <c r="L3" s="388"/>
      <c r="M3" s="388"/>
      <c r="N3" s="388"/>
      <c r="O3" s="389"/>
      <c r="R3" s="6">
        <v>0.9</v>
      </c>
    </row>
    <row r="4" spans="1:20" ht="15" thickBot="1" x14ac:dyDescent="0.4">
      <c r="B4" s="16"/>
      <c r="C4" s="27" t="s">
        <v>13</v>
      </c>
      <c r="G4" s="28" t="s">
        <v>17</v>
      </c>
      <c r="H4" s="29" t="s">
        <v>1</v>
      </c>
      <c r="I4" s="30" t="s">
        <v>20</v>
      </c>
      <c r="J4" s="8"/>
      <c r="K4" s="8"/>
      <c r="L4" s="8"/>
      <c r="M4" s="28" t="s">
        <v>17</v>
      </c>
      <c r="N4" s="29" t="s">
        <v>1</v>
      </c>
      <c r="O4" s="30" t="s">
        <v>20</v>
      </c>
    </row>
    <row r="5" spans="1:20" ht="15" thickBot="1" x14ac:dyDescent="0.4">
      <c r="A5" s="383" t="s">
        <v>44</v>
      </c>
      <c r="B5" s="384"/>
      <c r="C5" s="32"/>
      <c r="D5" s="32"/>
      <c r="E5" s="32"/>
      <c r="F5" s="32"/>
      <c r="G5" s="33"/>
      <c r="H5" s="33"/>
      <c r="I5" s="33"/>
      <c r="J5" s="33"/>
      <c r="K5" s="33"/>
      <c r="L5" s="33"/>
      <c r="M5" s="33"/>
      <c r="N5" s="33"/>
      <c r="O5" s="34"/>
      <c r="Q5" s="14" t="s">
        <v>26</v>
      </c>
      <c r="R5" s="3" t="s">
        <v>25</v>
      </c>
    </row>
    <row r="6" spans="1:20" ht="20" outlineLevel="1" x14ac:dyDescent="0.35">
      <c r="A6" s="39">
        <v>1</v>
      </c>
      <c r="B6" s="24" t="s">
        <v>51</v>
      </c>
      <c r="C6" s="22" t="s">
        <v>71</v>
      </c>
      <c r="D6" s="31" t="s">
        <v>5</v>
      </c>
      <c r="E6" s="31" t="s">
        <v>5</v>
      </c>
      <c r="F6" s="31" t="s">
        <v>5</v>
      </c>
      <c r="G6" s="37">
        <f>IFERROR(INDEX('KPI 1'!E$19:P$19,Actual_month),)</f>
        <v>1</v>
      </c>
      <c r="H6" s="38">
        <f>IFERROR(INDEX('KPI 1'!$E$20:$P$20,Actual_month),)</f>
        <v>0</v>
      </c>
      <c r="I6" s="23">
        <f t="shared" ref="I6:I8" si="0">IFERROR(H6/G6,"")</f>
        <v>0</v>
      </c>
      <c r="J6" s="20" t="s">
        <v>5</v>
      </c>
      <c r="K6" s="20" t="s">
        <v>5</v>
      </c>
      <c r="L6" s="20" t="s">
        <v>5</v>
      </c>
      <c r="M6" s="37">
        <f>IFERROR(INDEX('KPI 1'!$E$26:$P$26,Actual_month),)</f>
        <v>8</v>
      </c>
      <c r="N6" s="38">
        <f>IFERROR(INDEX('KPI 1'!$E$27:$P$27,Actual_month),)</f>
        <v>2</v>
      </c>
      <c r="O6" s="23">
        <f t="shared" ref="O6:O7" si="1">IFERROR(N6/M6,"")</f>
        <v>0.25</v>
      </c>
      <c r="P6" s="15" t="s">
        <v>18</v>
      </c>
      <c r="Q6" s="5">
        <f t="shared" ref="Q6:Q8" si="2">G6*$R$3</f>
        <v>0.9</v>
      </c>
      <c r="R6" s="5">
        <f t="shared" ref="R6:R8" si="3">M6*$R$3</f>
        <v>7.2</v>
      </c>
      <c r="S6" s="26" t="s">
        <v>21</v>
      </c>
      <c r="T6" s="14" t="s">
        <v>24</v>
      </c>
    </row>
    <row r="7" spans="1:20" ht="20" outlineLevel="1" x14ac:dyDescent="0.35">
      <c r="A7" s="35">
        <v>2</v>
      </c>
      <c r="B7" s="24" t="s">
        <v>52</v>
      </c>
      <c r="C7" s="22" t="s">
        <v>71</v>
      </c>
      <c r="D7" s="31" t="s">
        <v>5</v>
      </c>
      <c r="E7" s="31" t="s">
        <v>5</v>
      </c>
      <c r="F7" s="31" t="s">
        <v>5</v>
      </c>
      <c r="G7" s="37">
        <f>IFERROR(INDEX('KPI 2'!E$19:P$19,Actual_month),)</f>
        <v>10</v>
      </c>
      <c r="H7" s="38">
        <f>IFERROR(INDEX('KPI 2'!$E$20:$P$20,Actual_month),)</f>
        <v>3</v>
      </c>
      <c r="I7" s="23">
        <f t="shared" si="0"/>
        <v>0.3</v>
      </c>
      <c r="J7" s="20" t="s">
        <v>5</v>
      </c>
      <c r="K7" s="20" t="s">
        <v>5</v>
      </c>
      <c r="L7" s="20" t="s">
        <v>5</v>
      </c>
      <c r="M7" s="37">
        <f>IFERROR(INDEX('KPI 2'!$E$26:$P$26,Actual_month),)</f>
        <v>79</v>
      </c>
      <c r="N7" s="38">
        <f>IFERROR(INDEX('KPI 2'!$E$27:$P$27,Actual_month),)</f>
        <v>20</v>
      </c>
      <c r="O7" s="23">
        <f t="shared" si="1"/>
        <v>0.25316455696202533</v>
      </c>
      <c r="P7" s="15" t="s">
        <v>18</v>
      </c>
      <c r="Q7" s="5">
        <f t="shared" si="2"/>
        <v>9</v>
      </c>
      <c r="R7" s="5">
        <f t="shared" si="3"/>
        <v>71.100000000000009</v>
      </c>
      <c r="S7" s="26" t="s">
        <v>21</v>
      </c>
      <c r="T7" s="14" t="s">
        <v>24</v>
      </c>
    </row>
    <row r="8" spans="1:20" ht="20" outlineLevel="1" x14ac:dyDescent="0.35">
      <c r="A8" s="39">
        <v>3</v>
      </c>
      <c r="B8" s="36" t="s">
        <v>53</v>
      </c>
      <c r="C8" s="22" t="s">
        <v>71</v>
      </c>
      <c r="D8" s="31" t="s">
        <v>5</v>
      </c>
      <c r="E8" s="31" t="s">
        <v>5</v>
      </c>
      <c r="F8" s="31" t="s">
        <v>5</v>
      </c>
      <c r="G8" s="37">
        <f>IFERROR(INDEX('KPI 3'!E$19:P$19,Actual_month),)</f>
        <v>4</v>
      </c>
      <c r="H8" s="38">
        <f>IFERROR(INDEX('KPI 3'!$E$20:$P$20,Actual_month),)</f>
        <v>0</v>
      </c>
      <c r="I8" s="23">
        <f t="shared" si="0"/>
        <v>0</v>
      </c>
      <c r="J8" s="20" t="s">
        <v>5</v>
      </c>
      <c r="K8" s="20" t="s">
        <v>5</v>
      </c>
      <c r="L8" s="20" t="s">
        <v>5</v>
      </c>
      <c r="M8" s="37">
        <f>IFERROR(INDEX('KPI 3'!$E$26:$P$26,Actual_month),)</f>
        <v>32</v>
      </c>
      <c r="N8" s="38">
        <f>IFERROR(INDEX('KPI 3'!$E$27:$P$27,Actual_month),)</f>
        <v>10</v>
      </c>
      <c r="O8" s="23">
        <f t="shared" ref="O8:O9" si="4">IFERROR(N8/M8,"")</f>
        <v>0.3125</v>
      </c>
      <c r="P8" s="25" t="s">
        <v>18</v>
      </c>
      <c r="Q8" s="5">
        <f t="shared" si="2"/>
        <v>3.6</v>
      </c>
      <c r="R8" s="5">
        <f t="shared" si="3"/>
        <v>28.8</v>
      </c>
      <c r="S8" s="26" t="s">
        <v>21</v>
      </c>
      <c r="T8" s="14" t="s">
        <v>24</v>
      </c>
    </row>
    <row r="9" spans="1:20" ht="20" outlineLevel="1" x14ac:dyDescent="0.35">
      <c r="A9" s="35">
        <v>4</v>
      </c>
      <c r="B9" s="36" t="s">
        <v>54</v>
      </c>
      <c r="C9" s="22" t="s">
        <v>71</v>
      </c>
      <c r="D9" s="31" t="s">
        <v>5</v>
      </c>
      <c r="E9" s="31" t="s">
        <v>5</v>
      </c>
      <c r="F9" s="31" t="s">
        <v>5</v>
      </c>
      <c r="G9" s="37">
        <f>IFERROR(INDEX('KPI 4'!E$19:P$19,Actual_month),)</f>
        <v>1</v>
      </c>
      <c r="H9" s="38">
        <f>IFERROR(INDEX('KPI 4'!$E$20:$P$20,Actual_month),)</f>
        <v>0</v>
      </c>
      <c r="I9" s="23">
        <f t="shared" ref="I9" si="5">IFERROR(H9/G9,"")</f>
        <v>0</v>
      </c>
      <c r="J9" s="20" t="s">
        <v>5</v>
      </c>
      <c r="K9" s="20" t="s">
        <v>5</v>
      </c>
      <c r="L9" s="20" t="s">
        <v>5</v>
      </c>
      <c r="M9" s="37">
        <f>IFERROR(INDEX('KPI 4'!$E$26:$P$26,Actual_month),)</f>
        <v>8</v>
      </c>
      <c r="N9" s="38">
        <f>IFERROR(INDEX('KPI 4'!$E$27:$P$27,Actual_month),)</f>
        <v>7</v>
      </c>
      <c r="O9" s="23">
        <f t="shared" si="4"/>
        <v>0.875</v>
      </c>
      <c r="P9" s="25" t="s">
        <v>18</v>
      </c>
      <c r="Q9" s="5">
        <f t="shared" ref="Q9" si="6">G9*$R$3</f>
        <v>0.9</v>
      </c>
      <c r="R9" s="5">
        <f t="shared" ref="R9" si="7">M9*$R$3</f>
        <v>7.2</v>
      </c>
      <c r="S9" s="26" t="s">
        <v>21</v>
      </c>
      <c r="T9" s="14" t="s">
        <v>24</v>
      </c>
    </row>
    <row r="10" spans="1:20" ht="20" outlineLevel="1" x14ac:dyDescent="0.35">
      <c r="A10" s="39">
        <v>5</v>
      </c>
      <c r="B10" s="36" t="s">
        <v>55</v>
      </c>
      <c r="C10" s="22" t="s">
        <v>71</v>
      </c>
      <c r="D10" s="31" t="s">
        <v>5</v>
      </c>
      <c r="E10" s="31" t="s">
        <v>5</v>
      </c>
      <c r="F10" s="31" t="s">
        <v>5</v>
      </c>
      <c r="G10" s="37">
        <f>IFERROR(INDEX('KPI 5'!E$19:P$19,Actual_month),)</f>
        <v>1</v>
      </c>
      <c r="H10" s="38">
        <f>IFERROR(INDEX('KPI 5'!$E$20:$P$20,Actual_month),)</f>
        <v>1</v>
      </c>
      <c r="I10" s="23">
        <f t="shared" ref="I10:I14" si="8">IFERROR(H10/G10,"")</f>
        <v>1</v>
      </c>
      <c r="J10" s="20" t="s">
        <v>5</v>
      </c>
      <c r="K10" s="20" t="s">
        <v>5</v>
      </c>
      <c r="L10" s="20" t="s">
        <v>5</v>
      </c>
      <c r="M10" s="37">
        <f>IFERROR(INDEX('KPI 5'!$E$26:$P$26,Actual_month),)</f>
        <v>8</v>
      </c>
      <c r="N10" s="38">
        <f>IFERROR(INDEX('KPI 5'!$E$27:$P$27,Actual_month),)</f>
        <v>3</v>
      </c>
      <c r="O10" s="23">
        <f t="shared" ref="O10:O14" si="9">IFERROR(N10/M10,"")</f>
        <v>0.375</v>
      </c>
      <c r="P10" s="25" t="s">
        <v>18</v>
      </c>
      <c r="Q10" s="5">
        <f t="shared" ref="Q10:Q14" si="10">G10*$R$3</f>
        <v>0.9</v>
      </c>
      <c r="R10" s="5">
        <f t="shared" ref="R10:R14" si="11">M10*$R$3</f>
        <v>7.2</v>
      </c>
      <c r="S10" s="26" t="s">
        <v>21</v>
      </c>
      <c r="T10" s="14" t="s">
        <v>24</v>
      </c>
    </row>
    <row r="11" spans="1:20" ht="20" outlineLevel="1" x14ac:dyDescent="0.35">
      <c r="A11" s="35">
        <v>6</v>
      </c>
      <c r="B11" s="36" t="s">
        <v>59</v>
      </c>
      <c r="C11" s="22" t="s">
        <v>71</v>
      </c>
      <c r="D11" s="31" t="s">
        <v>5</v>
      </c>
      <c r="E11" s="31" t="s">
        <v>5</v>
      </c>
      <c r="F11" s="31" t="s">
        <v>5</v>
      </c>
      <c r="G11" s="37">
        <f>IFERROR(INDEX('KPI 10'!E$19:P$19,Actual_month),)</f>
        <v>2</v>
      </c>
      <c r="H11" s="38">
        <f>IFERROR(INDEX('KPI 10'!$E$20:$P$20,Actual_month),)</f>
        <v>0</v>
      </c>
      <c r="I11" s="23">
        <f>IFERROR(H11/G11,"")</f>
        <v>0</v>
      </c>
      <c r="J11" s="20" t="s">
        <v>5</v>
      </c>
      <c r="K11" s="20" t="s">
        <v>5</v>
      </c>
      <c r="L11" s="20" t="s">
        <v>5</v>
      </c>
      <c r="M11" s="37">
        <f>IFERROR(INDEX('KPI 10'!$E$26:$P$26,Actual_month),)</f>
        <v>16</v>
      </c>
      <c r="N11" s="38">
        <f>IFERROR(INDEX('KPI 10'!$E$27:$P$27,Actual_month),)</f>
        <v>14</v>
      </c>
      <c r="O11" s="23">
        <f>IFERROR(N11/M11,"")</f>
        <v>0.875</v>
      </c>
      <c r="P11" s="25" t="s">
        <v>18</v>
      </c>
      <c r="Q11" s="5">
        <f>G11*$R$3</f>
        <v>1.8</v>
      </c>
      <c r="R11" s="5">
        <f>M11*$R$3</f>
        <v>14.4</v>
      </c>
      <c r="S11" s="26" t="s">
        <v>21</v>
      </c>
      <c r="T11" s="14" t="s">
        <v>24</v>
      </c>
    </row>
    <row r="12" spans="1:20" ht="20" outlineLevel="1" x14ac:dyDescent="0.35">
      <c r="A12" s="35">
        <v>7</v>
      </c>
      <c r="B12" s="36" t="s">
        <v>443</v>
      </c>
      <c r="C12" s="22" t="s">
        <v>71</v>
      </c>
      <c r="D12" s="31" t="s">
        <v>5</v>
      </c>
      <c r="E12" s="31" t="s">
        <v>5</v>
      </c>
      <c r="F12" s="31" t="s">
        <v>5</v>
      </c>
      <c r="G12" s="37">
        <f>IFERROR(INDEX('KPI 10A'!E$19:P$19,Actual_month),)</f>
        <v>2</v>
      </c>
      <c r="H12" s="38">
        <f>IFERROR(INDEX('KPI 10A'!$E$20:$P$20,Actual_month),)</f>
        <v>3</v>
      </c>
      <c r="I12" s="23">
        <f>IFERROR(H12/G12,"")</f>
        <v>1.5</v>
      </c>
      <c r="J12" s="20" t="s">
        <v>5</v>
      </c>
      <c r="K12" s="20" t="s">
        <v>5</v>
      </c>
      <c r="L12" s="20" t="s">
        <v>5</v>
      </c>
      <c r="M12" s="37">
        <f>IFERROR(INDEX('KPI 10A'!$E$26:$P$26,Actual_month),)</f>
        <v>16</v>
      </c>
      <c r="N12" s="38">
        <f>IFERROR(INDEX('KPI 10A'!$E$27:$P$27,Actual_month),)</f>
        <v>53</v>
      </c>
      <c r="O12" s="23">
        <f>IFERROR(N12/M12,"")</f>
        <v>3.3125</v>
      </c>
      <c r="P12" s="25" t="s">
        <v>18</v>
      </c>
      <c r="Q12" s="5">
        <f>G12*$R$3</f>
        <v>1.8</v>
      </c>
      <c r="R12" s="5">
        <f>M12*$R$3</f>
        <v>14.4</v>
      </c>
      <c r="S12" s="26" t="s">
        <v>21</v>
      </c>
      <c r="T12" s="14" t="s">
        <v>24</v>
      </c>
    </row>
    <row r="13" spans="1:20" s="7" customFormat="1" ht="20" x14ac:dyDescent="0.35">
      <c r="A13" s="43"/>
      <c r="B13" s="44" t="s">
        <v>504</v>
      </c>
      <c r="C13" s="370" t="s">
        <v>71</v>
      </c>
      <c r="D13" s="371" t="s">
        <v>5</v>
      </c>
      <c r="E13" s="371" t="s">
        <v>5</v>
      </c>
      <c r="F13" s="371" t="s">
        <v>5</v>
      </c>
      <c r="G13" s="372">
        <f>IFERROR(INDEX('KPI 6'!E$19:P$19,Actual_month),)</f>
        <v>21</v>
      </c>
      <c r="H13" s="373">
        <f>IFERROR(INDEX('KPI 6'!$E$20:$P$20,Actual_month),)</f>
        <v>7</v>
      </c>
      <c r="I13" s="374">
        <f t="shared" si="8"/>
        <v>0.33333333333333331</v>
      </c>
      <c r="J13" s="375" t="s">
        <v>5</v>
      </c>
      <c r="K13" s="375" t="s">
        <v>5</v>
      </c>
      <c r="L13" s="375" t="s">
        <v>5</v>
      </c>
      <c r="M13" s="372">
        <f>IFERROR(INDEX('KPI 6'!$E$26:$P$26,Actual_month),)</f>
        <v>167</v>
      </c>
      <c r="N13" s="373">
        <f>IFERROR(INDEX('KPI 6'!$E$27:$P$27,Actual_month),)</f>
        <v>109</v>
      </c>
      <c r="O13" s="374">
        <f t="shared" si="9"/>
        <v>0.65269461077844315</v>
      </c>
      <c r="P13" s="376" t="s">
        <v>18</v>
      </c>
      <c r="Q13" s="377">
        <f t="shared" si="10"/>
        <v>18.900000000000002</v>
      </c>
      <c r="R13" s="377">
        <f t="shared" si="11"/>
        <v>150.30000000000001</v>
      </c>
      <c r="S13" s="378" t="s">
        <v>21</v>
      </c>
      <c r="T13" s="379" t="s">
        <v>24</v>
      </c>
    </row>
    <row r="14" spans="1:20" ht="20" outlineLevel="1" x14ac:dyDescent="0.35">
      <c r="A14" s="39">
        <v>1</v>
      </c>
      <c r="B14" s="36" t="s">
        <v>56</v>
      </c>
      <c r="C14" s="22" t="s">
        <v>71</v>
      </c>
      <c r="D14" s="31" t="s">
        <v>5</v>
      </c>
      <c r="E14" s="31" t="s">
        <v>5</v>
      </c>
      <c r="F14" s="31" t="s">
        <v>5</v>
      </c>
      <c r="G14" s="37">
        <f>IFERROR(INDEX('KPI 7'!E$19:P$19,Actual_month),)</f>
        <v>45</v>
      </c>
      <c r="H14" s="38">
        <f>IFERROR(INDEX('KPI 7'!$E$20:$P$20,Actual_month),)</f>
        <v>14</v>
      </c>
      <c r="I14" s="23">
        <f t="shared" si="8"/>
        <v>0.31111111111111112</v>
      </c>
      <c r="J14" s="20" t="s">
        <v>5</v>
      </c>
      <c r="K14" s="20" t="s">
        <v>5</v>
      </c>
      <c r="L14" s="20" t="s">
        <v>5</v>
      </c>
      <c r="M14" s="37">
        <f>IFERROR(INDEX('KPI 7'!$E$26:$P$26,Actual_month),)</f>
        <v>276</v>
      </c>
      <c r="N14" s="38">
        <f>IFERROR(INDEX('KPI 7'!$E$27:$P$27,Actual_month),)</f>
        <v>147</v>
      </c>
      <c r="O14" s="23">
        <f t="shared" si="9"/>
        <v>0.53260869565217395</v>
      </c>
      <c r="P14" s="25" t="s">
        <v>18</v>
      </c>
      <c r="Q14" s="5">
        <f t="shared" si="10"/>
        <v>40.5</v>
      </c>
      <c r="R14" s="5">
        <f t="shared" si="11"/>
        <v>248.4</v>
      </c>
      <c r="S14" s="26" t="s">
        <v>21</v>
      </c>
      <c r="T14" s="14" t="s">
        <v>24</v>
      </c>
    </row>
    <row r="15" spans="1:20" ht="20" outlineLevel="1" x14ac:dyDescent="0.35">
      <c r="A15" s="35">
        <v>2</v>
      </c>
      <c r="B15" s="36" t="s">
        <v>57</v>
      </c>
      <c r="C15" s="22" t="s">
        <v>71</v>
      </c>
      <c r="D15" s="31" t="s">
        <v>5</v>
      </c>
      <c r="E15" s="31" t="s">
        <v>5</v>
      </c>
      <c r="F15" s="31" t="s">
        <v>5</v>
      </c>
      <c r="G15" s="37">
        <f>IFERROR(INDEX('KPI 8'!E$19:P$19,Actual_month),)</f>
        <v>11</v>
      </c>
      <c r="H15" s="38">
        <f>IFERROR(INDEX('KPI 8'!$E$20:$P$20,Actual_month),)</f>
        <v>14</v>
      </c>
      <c r="I15" s="23">
        <f t="shared" ref="I15:I18" si="12">IFERROR(H15/G15,"")</f>
        <v>1.2727272727272727</v>
      </c>
      <c r="J15" s="20" t="s">
        <v>5</v>
      </c>
      <c r="K15" s="20" t="s">
        <v>5</v>
      </c>
      <c r="L15" s="20" t="s">
        <v>5</v>
      </c>
      <c r="M15" s="37">
        <f>IFERROR(INDEX('KPI 8'!$E$26:$P$26,Actual_month),)</f>
        <v>68</v>
      </c>
      <c r="N15" s="38">
        <f>IFERROR(INDEX('KPI 8'!$E$27:$P$27,Actual_month),)</f>
        <v>147</v>
      </c>
      <c r="O15" s="23">
        <f t="shared" ref="O15:O18" si="13">IFERROR(N15/M15,"")</f>
        <v>2.1617647058823528</v>
      </c>
      <c r="P15" s="25" t="s">
        <v>18</v>
      </c>
      <c r="Q15" s="5">
        <f t="shared" ref="Q15:Q18" si="14">G15*$R$3</f>
        <v>9.9</v>
      </c>
      <c r="R15" s="5">
        <f t="shared" ref="R15:R18" si="15">M15*$R$3</f>
        <v>61.2</v>
      </c>
      <c r="S15" s="26" t="s">
        <v>21</v>
      </c>
      <c r="T15" s="14" t="s">
        <v>24</v>
      </c>
    </row>
    <row r="16" spans="1:20" ht="20" outlineLevel="1" x14ac:dyDescent="0.35">
      <c r="A16" s="39">
        <v>3</v>
      </c>
      <c r="B16" s="36" t="s">
        <v>60</v>
      </c>
      <c r="C16" s="22" t="s">
        <v>71</v>
      </c>
      <c r="D16" s="31" t="s">
        <v>5</v>
      </c>
      <c r="E16" s="31" t="s">
        <v>5</v>
      </c>
      <c r="F16" s="31" t="s">
        <v>5</v>
      </c>
      <c r="G16" s="37">
        <f>IFERROR(INDEX('KPI 11'!E$19:P$19,Actual_month),)</f>
        <v>61</v>
      </c>
      <c r="H16" s="38">
        <f>IFERROR(INDEX('KPI 11'!$E$20:$P$20,Actual_month),)</f>
        <v>33</v>
      </c>
      <c r="I16" s="23">
        <f t="shared" si="12"/>
        <v>0.54098360655737709</v>
      </c>
      <c r="J16" s="20" t="s">
        <v>5</v>
      </c>
      <c r="K16" s="20" t="s">
        <v>5</v>
      </c>
      <c r="L16" s="20" t="s">
        <v>5</v>
      </c>
      <c r="M16" s="38">
        <f>IFERROR(INDEX('KPI 11'!$E$26:$P$26,Actual_month),)</f>
        <v>478</v>
      </c>
      <c r="N16" s="38">
        <f>IFERROR(INDEX('KPI 11'!$E$27:$P$27,Actual_month),)</f>
        <v>384</v>
      </c>
      <c r="O16" s="23">
        <f t="shared" si="13"/>
        <v>0.80334728033472802</v>
      </c>
      <c r="P16" s="25" t="s">
        <v>18</v>
      </c>
      <c r="Q16" s="5">
        <f t="shared" si="14"/>
        <v>54.9</v>
      </c>
      <c r="R16" s="5">
        <f t="shared" si="15"/>
        <v>430.2</v>
      </c>
      <c r="S16" s="26" t="s">
        <v>21</v>
      </c>
      <c r="T16" s="14" t="s">
        <v>24</v>
      </c>
    </row>
    <row r="17" spans="1:20" ht="20" outlineLevel="1" x14ac:dyDescent="0.35">
      <c r="A17" s="39">
        <v>4</v>
      </c>
      <c r="B17" s="36" t="s">
        <v>453</v>
      </c>
      <c r="C17" s="22" t="s">
        <v>71</v>
      </c>
      <c r="D17" s="31" t="s">
        <v>5</v>
      </c>
      <c r="E17" s="31" t="s">
        <v>5</v>
      </c>
      <c r="F17" s="31" t="s">
        <v>5</v>
      </c>
      <c r="G17" s="37">
        <f>IFERROR(INDEX('KPI 11B'!E$19:P$19,Actual_month),)</f>
        <v>10</v>
      </c>
      <c r="H17" s="38">
        <f>IFERROR(INDEX('KPI 11B'!$E$20:$P$20,Actual_month),)</f>
        <v>2</v>
      </c>
      <c r="I17" s="23">
        <f t="shared" ref="I17" si="16">IFERROR(H17/G17,"")</f>
        <v>0.2</v>
      </c>
      <c r="J17" s="20" t="s">
        <v>5</v>
      </c>
      <c r="K17" s="20" t="s">
        <v>5</v>
      </c>
      <c r="L17" s="20" t="s">
        <v>5</v>
      </c>
      <c r="M17" s="37">
        <f>IFERROR(INDEX('KPI 11B'!$E$26:$P$26,Actual_month),)</f>
        <v>80</v>
      </c>
      <c r="N17" s="38">
        <f>IFERROR(INDEX('KPI 11B'!$E$27:$P$27,Actual_month),)</f>
        <v>71</v>
      </c>
      <c r="O17" s="23">
        <f t="shared" ref="O17" si="17">IFERROR(N17/M17,"")</f>
        <v>0.88749999999999996</v>
      </c>
      <c r="P17" s="25" t="s">
        <v>18</v>
      </c>
      <c r="Q17" s="5">
        <f t="shared" ref="Q17" si="18">G17*$R$3</f>
        <v>9</v>
      </c>
      <c r="R17" s="5">
        <f t="shared" ref="R17" si="19">M17*$R$3</f>
        <v>72</v>
      </c>
      <c r="S17" s="26" t="s">
        <v>21</v>
      </c>
      <c r="T17" s="14" t="s">
        <v>24</v>
      </c>
    </row>
    <row r="18" spans="1:20" ht="20.5" thickBot="1" x14ac:dyDescent="0.4">
      <c r="A18" s="35"/>
      <c r="B18" s="44" t="s">
        <v>503</v>
      </c>
      <c r="C18" s="22" t="s">
        <v>71</v>
      </c>
      <c r="D18" s="31" t="s">
        <v>5</v>
      </c>
      <c r="E18" s="31" t="s">
        <v>5</v>
      </c>
      <c r="F18" s="31" t="s">
        <v>5</v>
      </c>
      <c r="G18" s="37">
        <f>IFERROR(INDEX('KPI 12'!E$19:P$19,Actual_month),)</f>
        <v>127</v>
      </c>
      <c r="H18" s="38">
        <f>IFERROR(INDEX('KPI 12'!$E$20:$P$20,Actual_month),)</f>
        <v>51</v>
      </c>
      <c r="I18" s="23">
        <f t="shared" si="12"/>
        <v>0.40157480314960631</v>
      </c>
      <c r="J18" s="20" t="s">
        <v>5</v>
      </c>
      <c r="K18" s="20" t="s">
        <v>5</v>
      </c>
      <c r="L18" s="20" t="s">
        <v>5</v>
      </c>
      <c r="M18" s="37">
        <f>IFERROR(INDEX('KPI 12'!$E$26:$P$26,Actual_month),)</f>
        <v>902</v>
      </c>
      <c r="N18" s="38">
        <f>IFERROR(INDEX('KPI 12'!$E$27:$P$27,Actual_month),)</f>
        <v>646</v>
      </c>
      <c r="O18" s="23">
        <f t="shared" si="13"/>
        <v>0.71618625277161863</v>
      </c>
      <c r="P18" s="25" t="s">
        <v>18</v>
      </c>
      <c r="Q18" s="5">
        <f t="shared" si="14"/>
        <v>114.3</v>
      </c>
      <c r="R18" s="5">
        <f t="shared" si="15"/>
        <v>811.80000000000007</v>
      </c>
      <c r="S18" s="26" t="s">
        <v>21</v>
      </c>
      <c r="T18" s="14" t="s">
        <v>24</v>
      </c>
    </row>
    <row r="19" spans="1:20" ht="15" thickBot="1" x14ac:dyDescent="0.4">
      <c r="A19" s="385" t="s">
        <v>197</v>
      </c>
      <c r="B19" s="386"/>
      <c r="C19" s="32"/>
      <c r="D19" s="32"/>
      <c r="E19" s="32"/>
      <c r="F19" s="32"/>
      <c r="G19" s="33"/>
      <c r="H19" s="33"/>
      <c r="I19" s="33"/>
      <c r="J19" s="33"/>
      <c r="K19" s="33"/>
      <c r="L19" s="33"/>
      <c r="M19" s="33"/>
      <c r="N19" s="33"/>
      <c r="O19" s="34"/>
      <c r="Q19" s="14" t="s">
        <v>26</v>
      </c>
      <c r="R19" s="3" t="s">
        <v>25</v>
      </c>
    </row>
    <row r="20" spans="1:20" ht="20" x14ac:dyDescent="0.35">
      <c r="A20" s="39">
        <v>1</v>
      </c>
      <c r="B20" s="36" t="s">
        <v>58</v>
      </c>
      <c r="C20" s="22" t="s">
        <v>71</v>
      </c>
      <c r="D20" s="31" t="s">
        <v>5</v>
      </c>
      <c r="E20" s="31" t="s">
        <v>5</v>
      </c>
      <c r="F20" s="31" t="s">
        <v>5</v>
      </c>
      <c r="G20" s="37">
        <f>IFERROR(INDEX('KPI 9'!E$19:P$19,Actual_month),)</f>
        <v>23</v>
      </c>
      <c r="H20" s="38">
        <f>IFERROR(INDEX('KPI 9'!$E$20:$P$20,Actual_month),)</f>
        <v>17</v>
      </c>
      <c r="I20" s="23">
        <f>IFERROR(H20/G20,"")</f>
        <v>0.73913043478260865</v>
      </c>
      <c r="J20" s="20" t="s">
        <v>5</v>
      </c>
      <c r="K20" s="20" t="s">
        <v>5</v>
      </c>
      <c r="L20" s="20" t="s">
        <v>5</v>
      </c>
      <c r="M20" s="37">
        <f>IFERROR(INDEX('KPI 9'!$E$26:$P$26,Actual_month),)</f>
        <v>184</v>
      </c>
      <c r="N20" s="38">
        <f>IFERROR(INDEX('KPI 9'!$E$27:$P$27,Actual_month),)</f>
        <v>270</v>
      </c>
      <c r="O20" s="23">
        <f>IFERROR(N20/M20,"")</f>
        <v>1.4673913043478262</v>
      </c>
      <c r="P20" s="25" t="s">
        <v>18</v>
      </c>
      <c r="Q20" s="5">
        <f>G20*$R$3</f>
        <v>20.7</v>
      </c>
      <c r="R20" s="5">
        <f>M20*$R$3</f>
        <v>165.6</v>
      </c>
      <c r="S20" s="26" t="s">
        <v>21</v>
      </c>
      <c r="T20" s="14" t="s">
        <v>24</v>
      </c>
    </row>
    <row r="21" spans="1:20" ht="20" x14ac:dyDescent="0.35">
      <c r="A21" s="39">
        <v>2</v>
      </c>
      <c r="B21" s="36" t="s">
        <v>497</v>
      </c>
      <c r="C21" s="22" t="s">
        <v>71</v>
      </c>
      <c r="D21" s="31" t="s">
        <v>5</v>
      </c>
      <c r="E21" s="31" t="s">
        <v>5</v>
      </c>
      <c r="F21" s="31" t="s">
        <v>5</v>
      </c>
      <c r="G21" s="37">
        <f>IFERROR(INDEX('KPI 9B'!E$19:P$19,Actual_month),)</f>
        <v>18</v>
      </c>
      <c r="H21" s="38">
        <f>IFERROR(INDEX('KPI 9B'!$E$20:$P$20,Actual_month),)</f>
        <v>0</v>
      </c>
      <c r="I21" s="23">
        <f>IFERROR(H21/G21,"")</f>
        <v>0</v>
      </c>
      <c r="J21" s="20" t="s">
        <v>5</v>
      </c>
      <c r="K21" s="20" t="s">
        <v>5</v>
      </c>
      <c r="L21" s="20" t="s">
        <v>5</v>
      </c>
      <c r="M21" s="37">
        <f>IFERROR(INDEX('KPI 9B'!$E$26:$P$26,Actual_month),)</f>
        <v>229</v>
      </c>
      <c r="N21" s="38">
        <f>IFERROR(INDEX('KPI 9B'!$E$27:$P$27,Actual_month),)</f>
        <v>4</v>
      </c>
      <c r="O21" s="23">
        <f>IFERROR(N21/M21,"")</f>
        <v>1.7467248908296942E-2</v>
      </c>
      <c r="P21" s="25" t="s">
        <v>18</v>
      </c>
      <c r="Q21" s="5">
        <f>G21*$R$3</f>
        <v>16.2</v>
      </c>
      <c r="R21" s="5">
        <f>M21*$R$3</f>
        <v>206.1</v>
      </c>
      <c r="S21" s="26" t="s">
        <v>21</v>
      </c>
      <c r="T21" s="14" t="s">
        <v>24</v>
      </c>
    </row>
    <row r="22" spans="1:20" s="7" customFormat="1" ht="20.5" thickBot="1" x14ac:dyDescent="0.4">
      <c r="A22" s="43"/>
      <c r="B22" s="44" t="s">
        <v>498</v>
      </c>
      <c r="C22" s="370" t="s">
        <v>71</v>
      </c>
      <c r="D22" s="371" t="s">
        <v>5</v>
      </c>
      <c r="E22" s="371" t="s">
        <v>5</v>
      </c>
      <c r="F22" s="371" t="s">
        <v>5</v>
      </c>
      <c r="G22" s="372">
        <f>IFERROR(INDEX('KPI 12B'!E$19:P$19,Actual_month),)</f>
        <v>41</v>
      </c>
      <c r="H22" s="373">
        <f>IFERROR(INDEX('KPI 12B'!$E$20:$P$20,Actual_month),)</f>
        <v>17</v>
      </c>
      <c r="I22" s="374">
        <f t="shared" ref="I22" si="20">IFERROR(H22/G22,"")</f>
        <v>0.41463414634146339</v>
      </c>
      <c r="J22" s="375" t="s">
        <v>5</v>
      </c>
      <c r="K22" s="375" t="s">
        <v>5</v>
      </c>
      <c r="L22" s="375" t="s">
        <v>5</v>
      </c>
      <c r="M22" s="372">
        <f>IFERROR(INDEX('KPI 12B'!$E$26:$P$26,Actual_month),)</f>
        <v>413</v>
      </c>
      <c r="N22" s="373">
        <f>IFERROR(INDEX('KPI 12B'!$E$27:$P$27,Actual_month),)</f>
        <v>274</v>
      </c>
      <c r="O22" s="374">
        <f t="shared" ref="O22" si="21">IFERROR(N22/M22,"")</f>
        <v>0.66343825665859568</v>
      </c>
      <c r="P22" s="376" t="s">
        <v>18</v>
      </c>
      <c r="Q22" s="377">
        <f t="shared" ref="Q22" si="22">G22*$R$3</f>
        <v>36.9</v>
      </c>
      <c r="R22" s="377">
        <f t="shared" ref="R22" si="23">M22*$R$3</f>
        <v>371.7</v>
      </c>
      <c r="S22" s="378" t="s">
        <v>21</v>
      </c>
      <c r="T22" s="379" t="s">
        <v>24</v>
      </c>
    </row>
    <row r="23" spans="1:20" ht="15" thickBot="1" x14ac:dyDescent="0.4">
      <c r="A23" s="383" t="s">
        <v>45</v>
      </c>
      <c r="B23" s="384"/>
      <c r="C23" s="32"/>
      <c r="D23" s="32"/>
      <c r="E23" s="32"/>
      <c r="F23" s="32"/>
      <c r="G23" s="33"/>
      <c r="H23" s="33"/>
      <c r="I23" s="33"/>
      <c r="J23" s="33"/>
      <c r="K23" s="33"/>
      <c r="L23" s="33"/>
      <c r="M23" s="33"/>
      <c r="N23" s="33"/>
      <c r="O23" s="34"/>
      <c r="Q23" s="14" t="s">
        <v>26</v>
      </c>
      <c r="R23" s="3" t="s">
        <v>25</v>
      </c>
    </row>
    <row r="24" spans="1:20" ht="20" outlineLevel="1" x14ac:dyDescent="0.35">
      <c r="A24" s="39">
        <v>1</v>
      </c>
      <c r="B24" s="24" t="s">
        <v>61</v>
      </c>
      <c r="C24" s="22" t="s">
        <v>71</v>
      </c>
      <c r="D24" s="31" t="s">
        <v>5</v>
      </c>
      <c r="E24" s="31" t="s">
        <v>5</v>
      </c>
      <c r="F24" s="31" t="s">
        <v>5</v>
      </c>
      <c r="G24" s="37">
        <f>IFERROR(INDEX('KPI 13'!E$19:P$19,Actual_month),)</f>
        <v>1</v>
      </c>
      <c r="H24" s="38">
        <f>IFERROR(INDEX('KPI 13'!$E$20:$P$20,Actual_month),)</f>
        <v>0</v>
      </c>
      <c r="I24" s="23">
        <f t="shared" ref="I24:I35" si="24">IFERROR(H24/G24,"")</f>
        <v>0</v>
      </c>
      <c r="J24" s="20" t="s">
        <v>5</v>
      </c>
      <c r="K24" s="20" t="s">
        <v>5</v>
      </c>
      <c r="L24" s="20" t="s">
        <v>5</v>
      </c>
      <c r="M24" s="37">
        <f>IFERROR(INDEX('KPI 13'!$E$26:$P$26,Actual_month),)</f>
        <v>8</v>
      </c>
      <c r="N24" s="38">
        <f>IFERROR(INDEX('KPI 13'!$E$27:$P$27,Actual_month),)</f>
        <v>0</v>
      </c>
      <c r="O24" s="23">
        <f t="shared" ref="O24:O35" si="25">IFERROR(N24/M24,"")</f>
        <v>0</v>
      </c>
      <c r="P24" s="15" t="s">
        <v>18</v>
      </c>
      <c r="Q24" s="5">
        <f t="shared" ref="Q24:Q35" si="26">G24*$R$3</f>
        <v>0.9</v>
      </c>
      <c r="R24" s="5">
        <f t="shared" ref="R24:R35" si="27">M24*$R$3</f>
        <v>7.2</v>
      </c>
      <c r="S24" s="26" t="s">
        <v>21</v>
      </c>
      <c r="T24" s="14" t="s">
        <v>24</v>
      </c>
    </row>
    <row r="25" spans="1:20" ht="20" outlineLevel="1" x14ac:dyDescent="0.35">
      <c r="A25" s="35">
        <v>2</v>
      </c>
      <c r="B25" s="24" t="s">
        <v>62</v>
      </c>
      <c r="C25" s="22" t="s">
        <v>71</v>
      </c>
      <c r="D25" s="31" t="s">
        <v>5</v>
      </c>
      <c r="E25" s="31" t="s">
        <v>5</v>
      </c>
      <c r="F25" s="31" t="s">
        <v>5</v>
      </c>
      <c r="G25" s="37">
        <f>IFERROR(INDEX('KPI 14'!E$19:P$19,Actual_month),)</f>
        <v>7</v>
      </c>
      <c r="H25" s="38">
        <f>IFERROR(INDEX('KPI 14'!$E$20:$P$20,Actual_month),)</f>
        <v>2</v>
      </c>
      <c r="I25" s="23">
        <f t="shared" si="24"/>
        <v>0.2857142857142857</v>
      </c>
      <c r="J25" s="20" t="s">
        <v>5</v>
      </c>
      <c r="K25" s="20" t="s">
        <v>5</v>
      </c>
      <c r="L25" s="20" t="s">
        <v>5</v>
      </c>
      <c r="M25" s="37">
        <f>IFERROR(INDEX('KPI 14'!$E$26:$P$26,Actual_month),)</f>
        <v>56</v>
      </c>
      <c r="N25" s="38">
        <f>IFERROR(INDEX('KPI 14'!$E$27:$P$27,Actual_month),)</f>
        <v>5</v>
      </c>
      <c r="O25" s="23">
        <f t="shared" si="25"/>
        <v>8.9285714285714288E-2</v>
      </c>
      <c r="P25" s="15" t="s">
        <v>18</v>
      </c>
      <c r="Q25" s="5">
        <f t="shared" si="26"/>
        <v>6.3</v>
      </c>
      <c r="R25" s="5">
        <f t="shared" si="27"/>
        <v>50.4</v>
      </c>
      <c r="S25" s="26" t="s">
        <v>21</v>
      </c>
      <c r="T25" s="14" t="s">
        <v>24</v>
      </c>
    </row>
    <row r="26" spans="1:20" ht="20" outlineLevel="1" x14ac:dyDescent="0.35">
      <c r="A26" s="39">
        <v>3</v>
      </c>
      <c r="B26" s="36" t="s">
        <v>63</v>
      </c>
      <c r="C26" s="22" t="s">
        <v>71</v>
      </c>
      <c r="D26" s="31" t="s">
        <v>5</v>
      </c>
      <c r="E26" s="31" t="s">
        <v>5</v>
      </c>
      <c r="F26" s="31" t="s">
        <v>5</v>
      </c>
      <c r="G26" s="37">
        <f>IFERROR(INDEX('KPI 15'!E$19:P$19,Actual_month),)</f>
        <v>3</v>
      </c>
      <c r="H26" s="38">
        <f>IFERROR(INDEX('KPI 15'!$E$20:$P$20,Actual_month),)</f>
        <v>1</v>
      </c>
      <c r="I26" s="23">
        <f t="shared" si="24"/>
        <v>0.33333333333333331</v>
      </c>
      <c r="J26" s="20" t="s">
        <v>5</v>
      </c>
      <c r="K26" s="20" t="s">
        <v>5</v>
      </c>
      <c r="L26" s="20" t="s">
        <v>5</v>
      </c>
      <c r="M26" s="37">
        <f>IFERROR(INDEX('KPI 15'!$E$26:$P$26,Actual_month),)</f>
        <v>25</v>
      </c>
      <c r="N26" s="38">
        <f>IFERROR(INDEX('KPI 15'!$E$27:$P$27,Actual_month),)</f>
        <v>6</v>
      </c>
      <c r="O26" s="23">
        <f t="shared" si="25"/>
        <v>0.24</v>
      </c>
      <c r="P26" s="25" t="s">
        <v>18</v>
      </c>
      <c r="Q26" s="5">
        <f t="shared" si="26"/>
        <v>2.7</v>
      </c>
      <c r="R26" s="5">
        <f t="shared" si="27"/>
        <v>22.5</v>
      </c>
      <c r="S26" s="26" t="s">
        <v>21</v>
      </c>
      <c r="T26" s="14" t="s">
        <v>24</v>
      </c>
    </row>
    <row r="27" spans="1:20" ht="20" outlineLevel="1" x14ac:dyDescent="0.35">
      <c r="A27" s="35">
        <v>4</v>
      </c>
      <c r="B27" s="36" t="s">
        <v>64</v>
      </c>
      <c r="C27" s="22" t="s">
        <v>71</v>
      </c>
      <c r="D27" s="31" t="s">
        <v>5</v>
      </c>
      <c r="E27" s="31" t="s">
        <v>5</v>
      </c>
      <c r="F27" s="31" t="s">
        <v>5</v>
      </c>
      <c r="G27" s="37">
        <f>IFERROR(INDEX('KPI 16'!E$19:P$19,Actual_month),)</f>
        <v>1</v>
      </c>
      <c r="H27" s="38">
        <f>IFERROR(INDEX('KPI 16'!$E$20:$P$20,Actual_month),)</f>
        <v>0</v>
      </c>
      <c r="I27" s="23">
        <f t="shared" si="24"/>
        <v>0</v>
      </c>
      <c r="J27" s="20" t="s">
        <v>5</v>
      </c>
      <c r="K27" s="20" t="s">
        <v>5</v>
      </c>
      <c r="L27" s="20" t="s">
        <v>5</v>
      </c>
      <c r="M27" s="37">
        <f>IFERROR(INDEX('KPI 16'!$E$26:$P$26,Actual_month),)</f>
        <v>8</v>
      </c>
      <c r="N27" s="38">
        <f>IFERROR(INDEX('KPI 16'!$E$27:$P$27,Actual_month),)</f>
        <v>1</v>
      </c>
      <c r="O27" s="23">
        <f t="shared" si="25"/>
        <v>0.125</v>
      </c>
      <c r="P27" s="25" t="s">
        <v>18</v>
      </c>
      <c r="Q27" s="5">
        <f t="shared" si="26"/>
        <v>0.9</v>
      </c>
      <c r="R27" s="5">
        <f t="shared" si="27"/>
        <v>7.2</v>
      </c>
      <c r="S27" s="26" t="s">
        <v>21</v>
      </c>
      <c r="T27" s="14" t="s">
        <v>24</v>
      </c>
    </row>
    <row r="28" spans="1:20" ht="20" outlineLevel="1" x14ac:dyDescent="0.35">
      <c r="A28" s="39">
        <v>5</v>
      </c>
      <c r="B28" s="36" t="s">
        <v>65</v>
      </c>
      <c r="C28" s="22" t="s">
        <v>71</v>
      </c>
      <c r="D28" s="31" t="s">
        <v>5</v>
      </c>
      <c r="E28" s="31" t="s">
        <v>5</v>
      </c>
      <c r="F28" s="31" t="s">
        <v>5</v>
      </c>
      <c r="G28" s="37">
        <f>IFERROR(INDEX('KPI 17'!E$19:P$19,Actual_month),)</f>
        <v>0</v>
      </c>
      <c r="H28" s="38">
        <f>IFERROR(INDEX('KPI 17'!$E$20:$P$20,Actual_month),)</f>
        <v>0</v>
      </c>
      <c r="I28" s="23" t="str">
        <f t="shared" si="24"/>
        <v/>
      </c>
      <c r="J28" s="20" t="s">
        <v>5</v>
      </c>
      <c r="K28" s="20" t="s">
        <v>5</v>
      </c>
      <c r="L28" s="20" t="s">
        <v>5</v>
      </c>
      <c r="M28" s="37">
        <f>IFERROR(INDEX('KPI 17'!$E$26:$P$26,Actual_month),)</f>
        <v>0</v>
      </c>
      <c r="N28" s="38">
        <f>IFERROR(INDEX('KPI 17'!$E$27:$P$27,Actual_month),)</f>
        <v>0</v>
      </c>
      <c r="O28" s="23" t="str">
        <f t="shared" si="25"/>
        <v/>
      </c>
      <c r="P28" s="25" t="s">
        <v>18</v>
      </c>
      <c r="Q28" s="5">
        <f t="shared" si="26"/>
        <v>0</v>
      </c>
      <c r="R28" s="5">
        <f t="shared" si="27"/>
        <v>0</v>
      </c>
      <c r="S28" s="26" t="s">
        <v>21</v>
      </c>
      <c r="T28" s="14" t="s">
        <v>24</v>
      </c>
    </row>
    <row r="29" spans="1:20" ht="20" outlineLevel="1" x14ac:dyDescent="0.35">
      <c r="A29" s="35">
        <v>6</v>
      </c>
      <c r="B29" s="36" t="s">
        <v>69</v>
      </c>
      <c r="C29" s="22" t="s">
        <v>71</v>
      </c>
      <c r="D29" s="31" t="s">
        <v>5</v>
      </c>
      <c r="E29" s="31" t="s">
        <v>5</v>
      </c>
      <c r="F29" s="31" t="s">
        <v>5</v>
      </c>
      <c r="G29" s="37">
        <f>IFERROR(INDEX('KPI 22'!E$19:P$19,Actual_month),)</f>
        <v>1</v>
      </c>
      <c r="H29" s="38">
        <f>IFERROR(INDEX('KPI 22'!$E$20:$P$20,Actual_month),)</f>
        <v>0</v>
      </c>
      <c r="I29" s="23">
        <f>IFERROR(H29/G29,"")</f>
        <v>0</v>
      </c>
      <c r="J29" s="20" t="s">
        <v>5</v>
      </c>
      <c r="K29" s="20" t="s">
        <v>5</v>
      </c>
      <c r="L29" s="20" t="s">
        <v>5</v>
      </c>
      <c r="M29" s="37">
        <f>IFERROR(INDEX('KPI 22'!$E$26:$P$26,Actual_month),)</f>
        <v>8</v>
      </c>
      <c r="N29" s="38">
        <f>IFERROR(INDEX('KPI 22'!$E$27:$P$27,Actual_month),)</f>
        <v>3</v>
      </c>
      <c r="O29" s="23">
        <f>IFERROR(N29/M29,"")</f>
        <v>0.375</v>
      </c>
      <c r="P29" s="25" t="s">
        <v>18</v>
      </c>
      <c r="Q29" s="5">
        <f>G29*$R$3</f>
        <v>0.9</v>
      </c>
      <c r="R29" s="5">
        <f>M29*$R$3</f>
        <v>7.2</v>
      </c>
      <c r="S29" s="26" t="s">
        <v>21</v>
      </c>
      <c r="T29" s="14" t="s">
        <v>24</v>
      </c>
    </row>
    <row r="30" spans="1:20" ht="20" outlineLevel="1" x14ac:dyDescent="0.35">
      <c r="A30" s="35">
        <v>7</v>
      </c>
      <c r="B30" s="36" t="s">
        <v>444</v>
      </c>
      <c r="C30" s="22" t="s">
        <v>71</v>
      </c>
      <c r="D30" s="31" t="s">
        <v>5</v>
      </c>
      <c r="E30" s="31" t="s">
        <v>5</v>
      </c>
      <c r="F30" s="31" t="s">
        <v>5</v>
      </c>
      <c r="G30" s="37">
        <f>IFERROR(INDEX('KPI 22A'!E$19:P$19,Actual_month),)</f>
        <v>0</v>
      </c>
      <c r="H30" s="38">
        <f>IFERROR(INDEX('KPI 22A'!$E$20:$P$20,Actual_month),)</f>
        <v>0</v>
      </c>
      <c r="I30" s="23" t="str">
        <f>IFERROR(H30/G30,"")</f>
        <v/>
      </c>
      <c r="J30" s="20" t="s">
        <v>5</v>
      </c>
      <c r="K30" s="20" t="s">
        <v>5</v>
      </c>
      <c r="L30" s="20" t="s">
        <v>5</v>
      </c>
      <c r="M30" s="37">
        <f>IFERROR(INDEX('KPI 22A'!$E$26:$P$26,Actual_month),)</f>
        <v>0</v>
      </c>
      <c r="N30" s="38">
        <f>IFERROR(INDEX('KPI 22A'!$E$27:$P$27,Actual_month),)</f>
        <v>0</v>
      </c>
      <c r="O30" s="23" t="str">
        <f>IFERROR(N30/M30,"")</f>
        <v/>
      </c>
      <c r="P30" s="25" t="s">
        <v>18</v>
      </c>
      <c r="Q30" s="5">
        <f>G30*$R$3</f>
        <v>0</v>
      </c>
      <c r="R30" s="5">
        <f>M30*$R$3</f>
        <v>0</v>
      </c>
      <c r="S30" s="26" t="s">
        <v>21</v>
      </c>
      <c r="T30" s="14" t="s">
        <v>24</v>
      </c>
    </row>
    <row r="31" spans="1:20" s="7" customFormat="1" ht="20" x14ac:dyDescent="0.35">
      <c r="A31" s="43"/>
      <c r="B31" s="44" t="s">
        <v>505</v>
      </c>
      <c r="C31" s="370" t="s">
        <v>71</v>
      </c>
      <c r="D31" s="371" t="s">
        <v>5</v>
      </c>
      <c r="E31" s="371" t="s">
        <v>5</v>
      </c>
      <c r="F31" s="371" t="s">
        <v>5</v>
      </c>
      <c r="G31" s="372">
        <f>IFERROR(INDEX('KPI 18'!E$19:P$19,Actual_month),)</f>
        <v>13</v>
      </c>
      <c r="H31" s="373">
        <f>IFERROR(INDEX('KPI 18'!$E$20:$P$20,Actual_month),)</f>
        <v>3</v>
      </c>
      <c r="I31" s="374">
        <f t="shared" si="24"/>
        <v>0.23076923076923078</v>
      </c>
      <c r="J31" s="375" t="s">
        <v>5</v>
      </c>
      <c r="K31" s="375" t="s">
        <v>5</v>
      </c>
      <c r="L31" s="375" t="s">
        <v>5</v>
      </c>
      <c r="M31" s="372">
        <f>IFERROR(INDEX('KPI 18'!$E$26:$P$26,Actual_month),)</f>
        <v>105</v>
      </c>
      <c r="N31" s="373">
        <f>IFERROR(INDEX('KPI 18'!$E$27:$P$27,Actual_month),)</f>
        <v>15</v>
      </c>
      <c r="O31" s="374">
        <f t="shared" si="25"/>
        <v>0.14285714285714285</v>
      </c>
      <c r="P31" s="376" t="s">
        <v>18</v>
      </c>
      <c r="Q31" s="377">
        <f t="shared" si="26"/>
        <v>11.700000000000001</v>
      </c>
      <c r="R31" s="377">
        <f t="shared" si="27"/>
        <v>94.5</v>
      </c>
      <c r="S31" s="378" t="s">
        <v>21</v>
      </c>
      <c r="T31" s="379" t="s">
        <v>24</v>
      </c>
    </row>
    <row r="32" spans="1:20" ht="20" outlineLevel="1" x14ac:dyDescent="0.35">
      <c r="A32" s="39">
        <v>1</v>
      </c>
      <c r="B32" s="36" t="s">
        <v>66</v>
      </c>
      <c r="C32" s="22" t="s">
        <v>71</v>
      </c>
      <c r="D32" s="31" t="s">
        <v>5</v>
      </c>
      <c r="E32" s="31" t="s">
        <v>5</v>
      </c>
      <c r="F32" s="31" t="s">
        <v>5</v>
      </c>
      <c r="G32" s="37">
        <f>IFERROR(INDEX('KPI 19'!E$19:P$19,Actual_month),)</f>
        <v>0</v>
      </c>
      <c r="H32" s="38">
        <f>IFERROR(INDEX('KPI 19'!$E$20:$P$20,Actual_month),)</f>
        <v>0</v>
      </c>
      <c r="I32" s="23" t="str">
        <f t="shared" si="24"/>
        <v/>
      </c>
      <c r="J32" s="20" t="s">
        <v>5</v>
      </c>
      <c r="K32" s="20" t="s">
        <v>5</v>
      </c>
      <c r="L32" s="20" t="s">
        <v>5</v>
      </c>
      <c r="M32" s="37">
        <f>IFERROR(INDEX('KPI 19'!$E$26:$P$26,Actual_month),)</f>
        <v>0</v>
      </c>
      <c r="N32" s="38">
        <f>IFERROR(INDEX('KPI 19'!$E$27:$P$27,Actual_month),)</f>
        <v>0</v>
      </c>
      <c r="O32" s="23" t="str">
        <f t="shared" si="25"/>
        <v/>
      </c>
      <c r="P32" s="25" t="s">
        <v>18</v>
      </c>
      <c r="Q32" s="5">
        <f t="shared" si="26"/>
        <v>0</v>
      </c>
      <c r="R32" s="5">
        <f t="shared" si="27"/>
        <v>0</v>
      </c>
      <c r="S32" s="26" t="s">
        <v>21</v>
      </c>
      <c r="T32" s="14" t="s">
        <v>24</v>
      </c>
    </row>
    <row r="33" spans="1:20" ht="20" outlineLevel="1" x14ac:dyDescent="0.35">
      <c r="A33" s="35">
        <v>2</v>
      </c>
      <c r="B33" s="36" t="s">
        <v>67</v>
      </c>
      <c r="C33" s="22" t="s">
        <v>71</v>
      </c>
      <c r="D33" s="31" t="s">
        <v>5</v>
      </c>
      <c r="E33" s="31" t="s">
        <v>5</v>
      </c>
      <c r="F33" s="31" t="s">
        <v>5</v>
      </c>
      <c r="G33" s="37">
        <f>IFERROR(INDEX('KPI 20'!E$19:P$19,Actual_month),)</f>
        <v>0</v>
      </c>
      <c r="H33" s="38">
        <f>IFERROR(INDEX('KPI 20'!$E$20:$P$20,Actual_month),)</f>
        <v>0</v>
      </c>
      <c r="I33" s="23" t="str">
        <f t="shared" si="24"/>
        <v/>
      </c>
      <c r="J33" s="20" t="s">
        <v>5</v>
      </c>
      <c r="K33" s="20" t="s">
        <v>5</v>
      </c>
      <c r="L33" s="20" t="s">
        <v>5</v>
      </c>
      <c r="M33" s="37">
        <f>IFERROR(INDEX('KPI 20'!$E$26:$P$26,Actual_month),)</f>
        <v>0</v>
      </c>
      <c r="N33" s="38">
        <f>IFERROR(INDEX('KPI 20'!$E$27:$P$27,Actual_month),)</f>
        <v>0</v>
      </c>
      <c r="O33" s="23" t="str">
        <f t="shared" si="25"/>
        <v/>
      </c>
      <c r="P33" s="25" t="s">
        <v>18</v>
      </c>
      <c r="Q33" s="5">
        <f t="shared" si="26"/>
        <v>0</v>
      </c>
      <c r="R33" s="5">
        <f t="shared" si="27"/>
        <v>0</v>
      </c>
      <c r="S33" s="26" t="s">
        <v>21</v>
      </c>
      <c r="T33" s="14" t="s">
        <v>24</v>
      </c>
    </row>
    <row r="34" spans="1:20" ht="20" outlineLevel="1" x14ac:dyDescent="0.35">
      <c r="A34" s="39">
        <v>3</v>
      </c>
      <c r="B34" s="36" t="s">
        <v>70</v>
      </c>
      <c r="C34" s="22" t="s">
        <v>71</v>
      </c>
      <c r="D34" s="31" t="s">
        <v>5</v>
      </c>
      <c r="E34" s="31" t="s">
        <v>5</v>
      </c>
      <c r="F34" s="31" t="s">
        <v>5</v>
      </c>
      <c r="G34" s="37">
        <f>IFERROR(INDEX('KPI 23'!E$19:P$19,Actual_month),)</f>
        <v>0</v>
      </c>
      <c r="H34" s="38">
        <f>IFERROR(INDEX('KPI 23'!$E$20:$P$20,Actual_month),)</f>
        <v>0</v>
      </c>
      <c r="I34" s="23" t="str">
        <f t="shared" si="24"/>
        <v/>
      </c>
      <c r="J34" s="20" t="s">
        <v>5</v>
      </c>
      <c r="K34" s="20" t="s">
        <v>5</v>
      </c>
      <c r="L34" s="20" t="s">
        <v>5</v>
      </c>
      <c r="M34" s="37">
        <f>IFERROR(INDEX('KPI 23'!$E$26:$P$26,Actual_month),)</f>
        <v>0</v>
      </c>
      <c r="N34" s="38">
        <f>IFERROR(INDEX('KPI 23'!$E$27:$P$27,Actual_month),)</f>
        <v>0</v>
      </c>
      <c r="O34" s="23" t="str">
        <f t="shared" si="25"/>
        <v/>
      </c>
      <c r="P34" s="25" t="s">
        <v>18</v>
      </c>
      <c r="Q34" s="5">
        <f t="shared" si="26"/>
        <v>0</v>
      </c>
      <c r="R34" s="5">
        <f t="shared" si="27"/>
        <v>0</v>
      </c>
      <c r="S34" s="26" t="s">
        <v>21</v>
      </c>
      <c r="T34" s="14" t="s">
        <v>24</v>
      </c>
    </row>
    <row r="35" spans="1:20" s="7" customFormat="1" ht="20.5" thickBot="1" x14ac:dyDescent="0.4">
      <c r="A35" s="43"/>
      <c r="B35" s="44" t="s">
        <v>217</v>
      </c>
      <c r="C35" s="370" t="s">
        <v>71</v>
      </c>
      <c r="D35" s="371" t="s">
        <v>5</v>
      </c>
      <c r="E35" s="371" t="s">
        <v>5</v>
      </c>
      <c r="F35" s="371" t="s">
        <v>5</v>
      </c>
      <c r="G35" s="372">
        <f>IFERROR(INDEX('KPI 24'!E$19:P$19,Actual_month),)</f>
        <v>0</v>
      </c>
      <c r="H35" s="373">
        <f>IFERROR(INDEX('KPI 24'!$E$20:$P$20,Actual_month),)</f>
        <v>0</v>
      </c>
      <c r="I35" s="374" t="str">
        <f t="shared" si="24"/>
        <v/>
      </c>
      <c r="J35" s="375" t="s">
        <v>5</v>
      </c>
      <c r="K35" s="375" t="s">
        <v>5</v>
      </c>
      <c r="L35" s="375" t="s">
        <v>5</v>
      </c>
      <c r="M35" s="372">
        <f>IFERROR(INDEX('KPI 24'!$E$26:$P$26,Actual_month),)</f>
        <v>0</v>
      </c>
      <c r="N35" s="373">
        <f>IFERROR(INDEX('KPI 24'!$E$27:$P$27,Actual_month),)</f>
        <v>0</v>
      </c>
      <c r="O35" s="374" t="str">
        <f t="shared" si="25"/>
        <v/>
      </c>
      <c r="P35" s="376" t="s">
        <v>18</v>
      </c>
      <c r="Q35" s="377">
        <f t="shared" si="26"/>
        <v>0</v>
      </c>
      <c r="R35" s="377">
        <f t="shared" si="27"/>
        <v>0</v>
      </c>
      <c r="S35" s="378" t="s">
        <v>21</v>
      </c>
      <c r="T35" s="379" t="s">
        <v>24</v>
      </c>
    </row>
    <row r="36" spans="1:20" ht="15" thickBot="1" x14ac:dyDescent="0.4">
      <c r="A36" s="385" t="s">
        <v>197</v>
      </c>
      <c r="B36" s="386"/>
      <c r="C36" s="32"/>
      <c r="D36" s="32"/>
      <c r="E36" s="32"/>
      <c r="F36" s="32"/>
      <c r="G36" s="33"/>
      <c r="H36" s="33"/>
      <c r="I36" s="33"/>
      <c r="J36" s="33"/>
      <c r="K36" s="33"/>
      <c r="L36" s="33"/>
      <c r="M36" s="33"/>
      <c r="N36" s="33"/>
      <c r="O36" s="34"/>
      <c r="Q36" s="14" t="s">
        <v>26</v>
      </c>
      <c r="R36" s="3" t="s">
        <v>25</v>
      </c>
    </row>
    <row r="37" spans="1:20" ht="20.5" thickBot="1" x14ac:dyDescent="0.4">
      <c r="A37" s="39">
        <v>1</v>
      </c>
      <c r="B37" s="36" t="s">
        <v>68</v>
      </c>
      <c r="C37" s="22" t="s">
        <v>71</v>
      </c>
      <c r="D37" s="31" t="s">
        <v>5</v>
      </c>
      <c r="E37" s="31" t="s">
        <v>5</v>
      </c>
      <c r="F37" s="31" t="s">
        <v>5</v>
      </c>
      <c r="G37" s="37">
        <f>IFERROR(INDEX('KPI 21'!E$19:P$19,Actual_month),)</f>
        <v>1</v>
      </c>
      <c r="H37" s="38">
        <f>IFERROR(INDEX('KPI 21'!$E$20:$P$20,Actual_month),)</f>
        <v>2</v>
      </c>
      <c r="I37" s="23">
        <f>IFERROR(H37/G37,"")</f>
        <v>2</v>
      </c>
      <c r="J37" s="20" t="s">
        <v>5</v>
      </c>
      <c r="K37" s="20" t="s">
        <v>5</v>
      </c>
      <c r="L37" s="20" t="s">
        <v>5</v>
      </c>
      <c r="M37" s="37">
        <f>IFERROR(INDEX('KPI 21'!$E$26:$P$26,Actual_month),)</f>
        <v>8</v>
      </c>
      <c r="N37" s="38">
        <f>IFERROR(INDEX('KPI 21'!$E$27:$P$27,Actual_month),)</f>
        <v>10</v>
      </c>
      <c r="O37" s="23">
        <f>IFERROR(N37/M37,"")</f>
        <v>1.25</v>
      </c>
      <c r="P37" s="25" t="s">
        <v>18</v>
      </c>
      <c r="Q37" s="5">
        <f>G37*$R$3</f>
        <v>0.9</v>
      </c>
      <c r="R37" s="5">
        <f>M37*$R$3</f>
        <v>7.2</v>
      </c>
      <c r="S37" s="26" t="s">
        <v>21</v>
      </c>
      <c r="T37" s="14" t="s">
        <v>24</v>
      </c>
    </row>
    <row r="38" spans="1:20" ht="15" thickBot="1" x14ac:dyDescent="0.4">
      <c r="A38" s="383" t="s">
        <v>145</v>
      </c>
      <c r="B38" s="384"/>
      <c r="C38" s="32"/>
      <c r="D38" s="32"/>
      <c r="E38" s="32"/>
      <c r="F38" s="32"/>
      <c r="G38" s="33"/>
      <c r="H38" s="33"/>
      <c r="I38" s="33"/>
      <c r="J38" s="33"/>
      <c r="K38" s="33"/>
      <c r="L38" s="33"/>
      <c r="M38" s="33"/>
      <c r="N38" s="33"/>
      <c r="O38" s="34"/>
      <c r="Q38" s="14" t="s">
        <v>26</v>
      </c>
      <c r="R38" s="3" t="s">
        <v>25</v>
      </c>
    </row>
    <row r="39" spans="1:20" ht="20" outlineLevel="1" x14ac:dyDescent="0.35">
      <c r="A39" s="39">
        <v>1</v>
      </c>
      <c r="B39" s="24" t="s">
        <v>146</v>
      </c>
      <c r="C39" s="22" t="s">
        <v>71</v>
      </c>
      <c r="D39" s="31" t="s">
        <v>5</v>
      </c>
      <c r="E39" s="31" t="s">
        <v>5</v>
      </c>
      <c r="F39" s="31" t="s">
        <v>5</v>
      </c>
      <c r="G39" s="37">
        <f>IFERROR(INDEX('KPI 25'!E$19:P$19,Actual_month),)</f>
        <v>798</v>
      </c>
      <c r="H39" s="38">
        <f>IFERROR(INDEX('KPI 25'!$E$20:$P$20,Actual_month),)</f>
        <v>792</v>
      </c>
      <c r="I39" s="23">
        <f t="shared" ref="I39:I51" si="28">IFERROR(H39/G39,"")</f>
        <v>0.99248120300751874</v>
      </c>
      <c r="J39" s="20" t="s">
        <v>5</v>
      </c>
      <c r="K39" s="20" t="s">
        <v>5</v>
      </c>
      <c r="L39" s="20" t="s">
        <v>5</v>
      </c>
      <c r="M39" s="37">
        <f>IFERROR(INDEX('KPI 25'!$E$26:$P$26,Actual_month),)</f>
        <v>798</v>
      </c>
      <c r="N39" s="38">
        <f>IFERROR(INDEX('KPI 25'!$E$27:$P$27,Actual_month),)</f>
        <v>792</v>
      </c>
      <c r="O39" s="23">
        <f t="shared" ref="O39:O51" si="29">IFERROR(N39/M39,"")</f>
        <v>0.99248120300751874</v>
      </c>
      <c r="P39" s="15" t="s">
        <v>18</v>
      </c>
      <c r="Q39" s="5">
        <f t="shared" ref="Q39:Q51" si="30">G39*$R$3</f>
        <v>718.2</v>
      </c>
      <c r="R39" s="5">
        <f t="shared" ref="R39:R51" si="31">M39*$R$3</f>
        <v>718.2</v>
      </c>
      <c r="S39" s="26" t="s">
        <v>21</v>
      </c>
      <c r="T39" s="14" t="s">
        <v>24</v>
      </c>
    </row>
    <row r="40" spans="1:20" ht="20" outlineLevel="1" x14ac:dyDescent="0.35">
      <c r="A40" s="35">
        <v>2</v>
      </c>
      <c r="B40" s="24" t="s">
        <v>147</v>
      </c>
      <c r="C40" s="22" t="s">
        <v>71</v>
      </c>
      <c r="D40" s="31" t="s">
        <v>5</v>
      </c>
      <c r="E40" s="31" t="s">
        <v>5</v>
      </c>
      <c r="F40" s="31" t="s">
        <v>5</v>
      </c>
      <c r="G40" s="37">
        <f>IFERROR(INDEX('KPI 26'!E$19:P$19,Actual_month),)</f>
        <v>959</v>
      </c>
      <c r="H40" s="38">
        <f>IFERROR(INDEX('KPI 26'!$E$20:$P$20,Actual_month),)</f>
        <v>898</v>
      </c>
      <c r="I40" s="23">
        <f t="shared" si="28"/>
        <v>0.93639207507820643</v>
      </c>
      <c r="J40" s="20" t="s">
        <v>5</v>
      </c>
      <c r="K40" s="20" t="s">
        <v>5</v>
      </c>
      <c r="L40" s="20" t="s">
        <v>5</v>
      </c>
      <c r="M40" s="37">
        <f>IFERROR(INDEX('KPI 26'!$E$26:$P$26,Actual_month),)</f>
        <v>959</v>
      </c>
      <c r="N40" s="38">
        <f>IFERROR(INDEX('KPI 26'!$E$27:$P$27,Actual_month),)</f>
        <v>898</v>
      </c>
      <c r="O40" s="23">
        <f t="shared" si="29"/>
        <v>0.93639207507820643</v>
      </c>
      <c r="P40" s="15" t="s">
        <v>18</v>
      </c>
      <c r="Q40" s="5">
        <f t="shared" si="30"/>
        <v>863.1</v>
      </c>
      <c r="R40" s="5">
        <f t="shared" si="31"/>
        <v>863.1</v>
      </c>
      <c r="S40" s="26" t="s">
        <v>21</v>
      </c>
      <c r="T40" s="14" t="s">
        <v>24</v>
      </c>
    </row>
    <row r="41" spans="1:20" ht="20" outlineLevel="1" x14ac:dyDescent="0.35">
      <c r="A41" s="39">
        <v>3</v>
      </c>
      <c r="B41" s="36" t="s">
        <v>148</v>
      </c>
      <c r="C41" s="22" t="s">
        <v>71</v>
      </c>
      <c r="D41" s="31" t="s">
        <v>5</v>
      </c>
      <c r="E41" s="31" t="s">
        <v>5</v>
      </c>
      <c r="F41" s="31" t="s">
        <v>5</v>
      </c>
      <c r="G41" s="37">
        <f>IFERROR(INDEX('KPI 27'!E$19:P$19,Actual_month),)</f>
        <v>985</v>
      </c>
      <c r="H41" s="38">
        <f>IFERROR(INDEX('KPI 27'!$E$20:$P$20,Actual_month),)</f>
        <v>959</v>
      </c>
      <c r="I41" s="23">
        <f t="shared" si="28"/>
        <v>0.97360406091370555</v>
      </c>
      <c r="J41" s="20" t="s">
        <v>5</v>
      </c>
      <c r="K41" s="20" t="s">
        <v>5</v>
      </c>
      <c r="L41" s="20" t="s">
        <v>5</v>
      </c>
      <c r="M41" s="37">
        <f>IFERROR(INDEX('KPI 27'!$E$26:$P$26,Actual_month),)</f>
        <v>985</v>
      </c>
      <c r="N41" s="38">
        <f>IFERROR(INDEX('KPI 27'!$E$27:$P$27,Actual_month),)</f>
        <v>959</v>
      </c>
      <c r="O41" s="23">
        <f t="shared" si="29"/>
        <v>0.97360406091370555</v>
      </c>
      <c r="P41" s="25" t="s">
        <v>18</v>
      </c>
      <c r="Q41" s="5">
        <f t="shared" si="30"/>
        <v>886.5</v>
      </c>
      <c r="R41" s="5">
        <f t="shared" si="31"/>
        <v>886.5</v>
      </c>
      <c r="S41" s="26" t="s">
        <v>21</v>
      </c>
      <c r="T41" s="14" t="s">
        <v>24</v>
      </c>
    </row>
    <row r="42" spans="1:20" ht="20" outlineLevel="1" x14ac:dyDescent="0.35">
      <c r="A42" s="35">
        <v>4</v>
      </c>
      <c r="B42" s="36" t="s">
        <v>149</v>
      </c>
      <c r="C42" s="22" t="s">
        <v>71</v>
      </c>
      <c r="D42" s="31" t="s">
        <v>5</v>
      </c>
      <c r="E42" s="31" t="s">
        <v>5</v>
      </c>
      <c r="F42" s="31" t="s">
        <v>5</v>
      </c>
      <c r="G42" s="37">
        <f>IFERROR(INDEX('KPI 28'!E$19:P$19,Actual_month),)</f>
        <v>947</v>
      </c>
      <c r="H42" s="38">
        <f>IFERROR(INDEX('KPI 28'!$E$20:$P$20,Actual_month),)</f>
        <v>944</v>
      </c>
      <c r="I42" s="23">
        <f t="shared" si="28"/>
        <v>0.99683210137275602</v>
      </c>
      <c r="J42" s="20" t="s">
        <v>5</v>
      </c>
      <c r="K42" s="20" t="s">
        <v>5</v>
      </c>
      <c r="L42" s="20" t="s">
        <v>5</v>
      </c>
      <c r="M42" s="37">
        <f>IFERROR(INDEX('KPI 28'!$E$26:$P$26,Actual_month),)</f>
        <v>947</v>
      </c>
      <c r="N42" s="38">
        <f>IFERROR(INDEX('KPI 28'!$E$27:$P$27,Actual_month),)</f>
        <v>944</v>
      </c>
      <c r="O42" s="23">
        <f t="shared" si="29"/>
        <v>0.99683210137275602</v>
      </c>
      <c r="P42" s="25" t="s">
        <v>18</v>
      </c>
      <c r="Q42" s="5">
        <f t="shared" si="30"/>
        <v>852.30000000000007</v>
      </c>
      <c r="R42" s="5">
        <f t="shared" si="31"/>
        <v>852.30000000000007</v>
      </c>
      <c r="S42" s="26" t="s">
        <v>21</v>
      </c>
      <c r="T42" s="14" t="s">
        <v>24</v>
      </c>
    </row>
    <row r="43" spans="1:20" ht="20" outlineLevel="1" x14ac:dyDescent="0.35">
      <c r="A43" s="39">
        <v>5</v>
      </c>
      <c r="B43" s="36" t="s">
        <v>150</v>
      </c>
      <c r="C43" s="22" t="s">
        <v>71</v>
      </c>
      <c r="D43" s="31" t="s">
        <v>5</v>
      </c>
      <c r="E43" s="31" t="s">
        <v>5</v>
      </c>
      <c r="F43" s="31" t="s">
        <v>5</v>
      </c>
      <c r="G43" s="37">
        <f>IFERROR(INDEX('KPI 29'!E$19:P$19,Actual_month),)</f>
        <v>227</v>
      </c>
      <c r="H43" s="38">
        <f>IFERROR(INDEX('KPI 29'!$E$20:$P$20,Actual_month),)</f>
        <v>222</v>
      </c>
      <c r="I43" s="23">
        <f t="shared" si="28"/>
        <v>0.97797356828193838</v>
      </c>
      <c r="J43" s="20" t="s">
        <v>5</v>
      </c>
      <c r="K43" s="20" t="s">
        <v>5</v>
      </c>
      <c r="L43" s="20" t="s">
        <v>5</v>
      </c>
      <c r="M43" s="37">
        <f>IFERROR(INDEX('KPI 29'!$E$26:$P$26,Actual_month),)</f>
        <v>227</v>
      </c>
      <c r="N43" s="38">
        <f>IFERROR(INDEX('KPI 29'!$E$27:$P$27,Actual_month),)</f>
        <v>222</v>
      </c>
      <c r="O43" s="23">
        <f t="shared" si="29"/>
        <v>0.97797356828193838</v>
      </c>
      <c r="P43" s="25" t="s">
        <v>18</v>
      </c>
      <c r="Q43" s="5">
        <f t="shared" si="30"/>
        <v>204.3</v>
      </c>
      <c r="R43" s="5">
        <f t="shared" si="31"/>
        <v>204.3</v>
      </c>
      <c r="S43" s="26" t="s">
        <v>21</v>
      </c>
      <c r="T43" s="14" t="s">
        <v>24</v>
      </c>
    </row>
    <row r="44" spans="1:20" ht="20" outlineLevel="1" x14ac:dyDescent="0.35">
      <c r="A44" s="35">
        <v>6</v>
      </c>
      <c r="B44" s="36" t="s">
        <v>154</v>
      </c>
      <c r="C44" s="22" t="s">
        <v>71</v>
      </c>
      <c r="D44" s="31" t="s">
        <v>5</v>
      </c>
      <c r="E44" s="31" t="s">
        <v>5</v>
      </c>
      <c r="F44" s="31" t="s">
        <v>5</v>
      </c>
      <c r="G44" s="37">
        <f>IFERROR(INDEX('KPI 34'!E$19:P$19,Actual_month),)</f>
        <v>1168</v>
      </c>
      <c r="H44" s="38">
        <f>IFERROR(INDEX('KPI 34'!$E$20:$P$20,Actual_month),)</f>
        <v>1168</v>
      </c>
      <c r="I44" s="23">
        <f>IFERROR(H44/G44,"")</f>
        <v>1</v>
      </c>
      <c r="J44" s="20" t="s">
        <v>5</v>
      </c>
      <c r="K44" s="20" t="s">
        <v>5</v>
      </c>
      <c r="L44" s="20" t="s">
        <v>5</v>
      </c>
      <c r="M44" s="37">
        <f>IFERROR(INDEX('KPI 34'!$E$26:$P$26,Actual_month),)</f>
        <v>1168</v>
      </c>
      <c r="N44" s="38">
        <f>IFERROR(INDEX('KPI 34'!$E$27:$P$27,Actual_month),)</f>
        <v>1168</v>
      </c>
      <c r="O44" s="23">
        <f>IFERROR(N44/M44,"")</f>
        <v>1</v>
      </c>
      <c r="P44" s="25" t="s">
        <v>18</v>
      </c>
      <c r="Q44" s="5">
        <f>G44*$R$3</f>
        <v>1051.2</v>
      </c>
      <c r="R44" s="5">
        <f>M44*$R$3</f>
        <v>1051.2</v>
      </c>
      <c r="S44" s="26" t="s">
        <v>21</v>
      </c>
      <c r="T44" s="14" t="s">
        <v>24</v>
      </c>
    </row>
    <row r="45" spans="1:20" ht="20" outlineLevel="1" x14ac:dyDescent="0.35">
      <c r="A45" s="35">
        <v>7</v>
      </c>
      <c r="B45" s="36" t="s">
        <v>445</v>
      </c>
      <c r="C45" s="22" t="s">
        <v>71</v>
      </c>
      <c r="D45" s="31" t="s">
        <v>5</v>
      </c>
      <c r="E45" s="31" t="s">
        <v>5</v>
      </c>
      <c r="F45" s="31" t="s">
        <v>5</v>
      </c>
      <c r="G45" s="37">
        <f>IFERROR(INDEX('KPI 34A'!E$19:P$19,Actual_month),)</f>
        <v>381</v>
      </c>
      <c r="H45" s="38">
        <f>IFERROR(INDEX('KPI 34A'!$E$20:$P$20,Actual_month),)</f>
        <v>418</v>
      </c>
      <c r="I45" s="23">
        <f>IFERROR(H45/G45,"")</f>
        <v>1.0971128608923884</v>
      </c>
      <c r="J45" s="20" t="s">
        <v>5</v>
      </c>
      <c r="K45" s="20" t="s">
        <v>5</v>
      </c>
      <c r="L45" s="20" t="s">
        <v>5</v>
      </c>
      <c r="M45" s="37">
        <f>IFERROR(INDEX('KPI 34A'!$E$26:$P$26,Actual_month),)</f>
        <v>381</v>
      </c>
      <c r="N45" s="38">
        <f>IFERROR(INDEX('KPI 34A'!$E$27:$P$27,Actual_month),)</f>
        <v>418</v>
      </c>
      <c r="O45" s="23">
        <f>IFERROR(N45/M45,"")</f>
        <v>1.0971128608923884</v>
      </c>
      <c r="P45" s="25" t="s">
        <v>18</v>
      </c>
      <c r="Q45" s="5">
        <f>G45*$R$3</f>
        <v>342.90000000000003</v>
      </c>
      <c r="R45" s="5">
        <f>M45*$R$3</f>
        <v>342.90000000000003</v>
      </c>
      <c r="S45" s="26" t="s">
        <v>21</v>
      </c>
      <c r="T45" s="14" t="s">
        <v>24</v>
      </c>
    </row>
    <row r="46" spans="1:20" s="7" customFormat="1" ht="20" x14ac:dyDescent="0.35">
      <c r="A46" s="43"/>
      <c r="B46" s="44" t="s">
        <v>199</v>
      </c>
      <c r="C46" s="370" t="s">
        <v>71</v>
      </c>
      <c r="D46" s="371" t="s">
        <v>5</v>
      </c>
      <c r="E46" s="371" t="s">
        <v>5</v>
      </c>
      <c r="F46" s="371" t="s">
        <v>5</v>
      </c>
      <c r="G46" s="372">
        <f>IFERROR(INDEX('KPI 30'!E$19:P$19,Actual_month),)</f>
        <v>5465</v>
      </c>
      <c r="H46" s="373">
        <f>IFERROR(INDEX('KPI 30'!$E$20:$P$20,Actual_month),)</f>
        <v>5401</v>
      </c>
      <c r="I46" s="374">
        <f t="shared" si="28"/>
        <v>0.98828911253430929</v>
      </c>
      <c r="J46" s="375" t="s">
        <v>5</v>
      </c>
      <c r="K46" s="375" t="s">
        <v>5</v>
      </c>
      <c r="L46" s="375" t="s">
        <v>5</v>
      </c>
      <c r="M46" s="372">
        <f>IFERROR(INDEX('KPI 30'!$E$26:$P$26,Actual_month),)</f>
        <v>5465</v>
      </c>
      <c r="N46" s="373">
        <f>IFERROR(INDEX('KPI 30'!$E$27:$P$27,Actual_month),)</f>
        <v>5401</v>
      </c>
      <c r="O46" s="374">
        <f t="shared" si="29"/>
        <v>0.98828911253430929</v>
      </c>
      <c r="P46" s="376" t="s">
        <v>18</v>
      </c>
      <c r="Q46" s="377">
        <f t="shared" si="30"/>
        <v>4918.5</v>
      </c>
      <c r="R46" s="377">
        <f t="shared" si="31"/>
        <v>4918.5</v>
      </c>
      <c r="S46" s="378" t="s">
        <v>21</v>
      </c>
      <c r="T46" s="379" t="s">
        <v>24</v>
      </c>
    </row>
    <row r="47" spans="1:20" ht="20" outlineLevel="1" x14ac:dyDescent="0.35">
      <c r="A47" s="39">
        <v>1</v>
      </c>
      <c r="B47" s="36" t="s">
        <v>151</v>
      </c>
      <c r="C47" s="22" t="s">
        <v>71</v>
      </c>
      <c r="D47" s="31" t="s">
        <v>5</v>
      </c>
      <c r="E47" s="31" t="s">
        <v>5</v>
      </c>
      <c r="F47" s="31" t="s">
        <v>5</v>
      </c>
      <c r="G47" s="37">
        <f>IFERROR(INDEX('KPI 31'!E$19:P$19,Actual_month),)</f>
        <v>2111</v>
      </c>
      <c r="H47" s="38">
        <f>IFERROR(INDEX('KPI 31'!$E$20:$P$20,Actual_month),)</f>
        <v>1975</v>
      </c>
      <c r="I47" s="23">
        <f t="shared" si="28"/>
        <v>0.93557555660824254</v>
      </c>
      <c r="J47" s="20" t="s">
        <v>5</v>
      </c>
      <c r="K47" s="20" t="s">
        <v>5</v>
      </c>
      <c r="L47" s="20" t="s">
        <v>5</v>
      </c>
      <c r="M47" s="37">
        <f>IFERROR(INDEX('KPI 31'!$E$26:$P$26,Actual_month),)</f>
        <v>2111</v>
      </c>
      <c r="N47" s="38">
        <f>IFERROR(INDEX('KPI 31'!$E$27:$P$27,Actual_month),)</f>
        <v>1975</v>
      </c>
      <c r="O47" s="23">
        <f t="shared" si="29"/>
        <v>0.93557555660824254</v>
      </c>
      <c r="P47" s="25" t="s">
        <v>18</v>
      </c>
      <c r="Q47" s="5">
        <f t="shared" si="30"/>
        <v>1899.9</v>
      </c>
      <c r="R47" s="5">
        <f t="shared" si="31"/>
        <v>1899.9</v>
      </c>
      <c r="S47" s="26" t="s">
        <v>21</v>
      </c>
      <c r="T47" s="14" t="s">
        <v>24</v>
      </c>
    </row>
    <row r="48" spans="1:20" ht="20" outlineLevel="1" x14ac:dyDescent="0.35">
      <c r="A48" s="35">
        <v>2</v>
      </c>
      <c r="B48" s="36" t="s">
        <v>152</v>
      </c>
      <c r="C48" s="22" t="s">
        <v>71</v>
      </c>
      <c r="D48" s="31" t="s">
        <v>5</v>
      </c>
      <c r="E48" s="31" t="s">
        <v>5</v>
      </c>
      <c r="F48" s="31" t="s">
        <v>5</v>
      </c>
      <c r="G48" s="37">
        <f>IFERROR(INDEX('KPI 32'!E$19:P$19,Actual_month),)</f>
        <v>433</v>
      </c>
      <c r="H48" s="38">
        <f>IFERROR(INDEX('KPI 32'!$E$20:$P$20,Actual_month),)</f>
        <v>407</v>
      </c>
      <c r="I48" s="23">
        <f t="shared" si="28"/>
        <v>0.93995381062355654</v>
      </c>
      <c r="J48" s="20" t="s">
        <v>5</v>
      </c>
      <c r="K48" s="20" t="s">
        <v>5</v>
      </c>
      <c r="L48" s="20" t="s">
        <v>5</v>
      </c>
      <c r="M48" s="37">
        <f>IFERROR(INDEX('KPI 32'!$E$26:$P$26,Actual_month),)</f>
        <v>433</v>
      </c>
      <c r="N48" s="38">
        <f>IFERROR(INDEX('KPI 32'!$E$27:$P$27,Actual_month),)</f>
        <v>407</v>
      </c>
      <c r="O48" s="23">
        <f t="shared" si="29"/>
        <v>0.93995381062355654</v>
      </c>
      <c r="P48" s="25" t="s">
        <v>18</v>
      </c>
      <c r="Q48" s="5">
        <f t="shared" si="30"/>
        <v>389.7</v>
      </c>
      <c r="R48" s="5">
        <f t="shared" si="31"/>
        <v>389.7</v>
      </c>
      <c r="S48" s="26" t="s">
        <v>21</v>
      </c>
      <c r="T48" s="14" t="s">
        <v>24</v>
      </c>
    </row>
    <row r="49" spans="1:20" ht="20" outlineLevel="1" x14ac:dyDescent="0.35">
      <c r="A49" s="39">
        <v>3</v>
      </c>
      <c r="B49" s="36" t="s">
        <v>155</v>
      </c>
      <c r="C49" s="22" t="s">
        <v>71</v>
      </c>
      <c r="D49" s="31" t="s">
        <v>5</v>
      </c>
      <c r="E49" s="31" t="s">
        <v>5</v>
      </c>
      <c r="F49" s="31" t="s">
        <v>5</v>
      </c>
      <c r="G49" s="37">
        <f>IFERROR(INDEX('KPI 35'!E$19:P$19,Actual_month),)</f>
        <v>1624</v>
      </c>
      <c r="H49" s="38">
        <f>IFERROR(INDEX('KPI 35'!$E$20:$P$20,Actual_month),)</f>
        <v>1509</v>
      </c>
      <c r="I49" s="23">
        <f t="shared" si="28"/>
        <v>0.92918719211822665</v>
      </c>
      <c r="J49" s="20" t="s">
        <v>5</v>
      </c>
      <c r="K49" s="20" t="s">
        <v>5</v>
      </c>
      <c r="L49" s="20" t="s">
        <v>5</v>
      </c>
      <c r="M49" s="37">
        <f>IFERROR(INDEX('KPI 35'!$E$26:$P$26,Actual_month),)</f>
        <v>1624</v>
      </c>
      <c r="N49" s="38">
        <f>IFERROR(INDEX('KPI 35'!$E$27:$P$27,Actual_month),)</f>
        <v>1509</v>
      </c>
      <c r="O49" s="23">
        <f t="shared" si="29"/>
        <v>0.92918719211822665</v>
      </c>
      <c r="P49" s="25" t="s">
        <v>18</v>
      </c>
      <c r="Q49" s="5">
        <f t="shared" si="30"/>
        <v>1461.6000000000001</v>
      </c>
      <c r="R49" s="5">
        <f t="shared" si="31"/>
        <v>1461.6000000000001</v>
      </c>
      <c r="S49" s="26" t="s">
        <v>21</v>
      </c>
      <c r="T49" s="14" t="s">
        <v>24</v>
      </c>
    </row>
    <row r="50" spans="1:20" ht="20" outlineLevel="1" x14ac:dyDescent="0.35">
      <c r="A50" s="39">
        <v>4</v>
      </c>
      <c r="B50" s="36" t="s">
        <v>454</v>
      </c>
      <c r="C50" s="22" t="s">
        <v>71</v>
      </c>
      <c r="D50" s="31" t="s">
        <v>5</v>
      </c>
      <c r="E50" s="31" t="s">
        <v>5</v>
      </c>
      <c r="F50" s="31" t="s">
        <v>5</v>
      </c>
      <c r="G50" s="37">
        <f>IFERROR(INDEX('KPI 35B'!E$19:P$19,Actual_month),)</f>
        <v>698</v>
      </c>
      <c r="H50" s="38">
        <f>IFERROR(INDEX('KPI 35B'!$E$20:$P$20,Actual_month),)</f>
        <v>696</v>
      </c>
      <c r="I50" s="23">
        <f t="shared" ref="I50" si="32">IFERROR(H50/G50,"")</f>
        <v>0.99713467048710602</v>
      </c>
      <c r="J50" s="20" t="s">
        <v>5</v>
      </c>
      <c r="K50" s="20" t="s">
        <v>5</v>
      </c>
      <c r="L50" s="20" t="s">
        <v>5</v>
      </c>
      <c r="M50" s="37">
        <f>IFERROR(INDEX('KPI 35B'!$E$26:$P$26,Actual_month),)</f>
        <v>698</v>
      </c>
      <c r="N50" s="38">
        <f>IFERROR(INDEX('KPI 35B'!$E$27:$P$27,Actual_month),)</f>
        <v>696</v>
      </c>
      <c r="O50" s="23">
        <f t="shared" ref="O50" si="33">IFERROR(N50/M50,"")</f>
        <v>0.99713467048710602</v>
      </c>
      <c r="P50" s="25" t="s">
        <v>18</v>
      </c>
      <c r="Q50" s="5">
        <f t="shared" ref="Q50" si="34">G50*$R$3</f>
        <v>628.20000000000005</v>
      </c>
      <c r="R50" s="5">
        <f t="shared" ref="R50" si="35">M50*$R$3</f>
        <v>628.20000000000005</v>
      </c>
      <c r="S50" s="26" t="s">
        <v>21</v>
      </c>
      <c r="T50" s="14" t="s">
        <v>24</v>
      </c>
    </row>
    <row r="51" spans="1:20" ht="20.5" thickBot="1" x14ac:dyDescent="0.4">
      <c r="A51" s="35"/>
      <c r="B51" s="44" t="s">
        <v>200</v>
      </c>
      <c r="C51" s="22" t="s">
        <v>71</v>
      </c>
      <c r="D51" s="31" t="s">
        <v>5</v>
      </c>
      <c r="E51" s="31" t="s">
        <v>5</v>
      </c>
      <c r="F51" s="31" t="s">
        <v>5</v>
      </c>
      <c r="G51" s="37">
        <f>IFERROR(INDEX('KPI 36'!E$19:P$19,Actual_month),)</f>
        <v>4866</v>
      </c>
      <c r="H51" s="38">
        <f>IFERROR(INDEX('KPI 36'!$E$20:$P$20,Actual_month),)</f>
        <v>4587</v>
      </c>
      <c r="I51" s="23">
        <f t="shared" si="28"/>
        <v>0.94266337854500615</v>
      </c>
      <c r="J51" s="20" t="s">
        <v>5</v>
      </c>
      <c r="K51" s="20" t="s">
        <v>5</v>
      </c>
      <c r="L51" s="20" t="s">
        <v>5</v>
      </c>
      <c r="M51" s="37">
        <f>IFERROR(INDEX('KPI 36'!$E$26:$P$26,Actual_month),)</f>
        <v>4866</v>
      </c>
      <c r="N51" s="38">
        <f>IFERROR(INDEX('KPI 36'!$E$27:$P$27,Actual_month),)</f>
        <v>4587</v>
      </c>
      <c r="O51" s="23">
        <f t="shared" si="29"/>
        <v>0.94266337854500615</v>
      </c>
      <c r="P51" s="25" t="s">
        <v>18</v>
      </c>
      <c r="Q51" s="5">
        <f t="shared" si="30"/>
        <v>4379.4000000000005</v>
      </c>
      <c r="R51" s="5">
        <f t="shared" si="31"/>
        <v>4379.4000000000005</v>
      </c>
      <c r="S51" s="26" t="s">
        <v>21</v>
      </c>
      <c r="T51" s="14" t="s">
        <v>24</v>
      </c>
    </row>
    <row r="52" spans="1:20" ht="15" thickBot="1" x14ac:dyDescent="0.4">
      <c r="A52" s="385" t="s">
        <v>197</v>
      </c>
      <c r="B52" s="386"/>
      <c r="C52" s="32"/>
      <c r="D52" s="32"/>
      <c r="E52" s="32"/>
      <c r="F52" s="32"/>
      <c r="G52" s="33"/>
      <c r="H52" s="33"/>
      <c r="I52" s="33"/>
      <c r="J52" s="33"/>
      <c r="K52" s="33"/>
      <c r="L52" s="33"/>
      <c r="M52" s="33"/>
      <c r="N52" s="33"/>
      <c r="O52" s="34"/>
      <c r="Q52" s="14" t="s">
        <v>26</v>
      </c>
      <c r="R52" s="3" t="s">
        <v>25</v>
      </c>
    </row>
    <row r="53" spans="1:20" ht="20" x14ac:dyDescent="0.35">
      <c r="A53" s="39">
        <v>1</v>
      </c>
      <c r="B53" s="36" t="s">
        <v>153</v>
      </c>
      <c r="C53" s="22" t="s">
        <v>71</v>
      </c>
      <c r="D53" s="31" t="s">
        <v>5</v>
      </c>
      <c r="E53" s="31" t="s">
        <v>5</v>
      </c>
      <c r="F53" s="31" t="s">
        <v>5</v>
      </c>
      <c r="G53" s="37">
        <f>IFERROR(INDEX('KPI 33'!E$19:P$19,Actual_month),)</f>
        <v>3047</v>
      </c>
      <c r="H53" s="38">
        <f>IFERROR(INDEX('KPI 33'!$E$20:$P$20,Actual_month),)</f>
        <v>3131</v>
      </c>
      <c r="I53" s="23">
        <f>IFERROR(H53/G53,"")</f>
        <v>1.0275680997702659</v>
      </c>
      <c r="J53" s="20" t="s">
        <v>5</v>
      </c>
      <c r="K53" s="20" t="s">
        <v>5</v>
      </c>
      <c r="L53" s="20" t="s">
        <v>5</v>
      </c>
      <c r="M53" s="37">
        <f>IFERROR(INDEX('KPI 33'!$E$26:$P$26,Actual_month),)</f>
        <v>3047</v>
      </c>
      <c r="N53" s="38">
        <f>IFERROR(INDEX('KPI 33'!$E$27:$P$27,Actual_month),)</f>
        <v>3131</v>
      </c>
      <c r="O53" s="23">
        <f>IFERROR(N53/M53,"")</f>
        <v>1.0275680997702659</v>
      </c>
      <c r="P53" s="25" t="s">
        <v>18</v>
      </c>
      <c r="Q53" s="5">
        <f>G53*$R$3</f>
        <v>2742.3</v>
      </c>
      <c r="R53" s="5">
        <f>M53*$R$3</f>
        <v>2742.3</v>
      </c>
      <c r="S53" s="26" t="s">
        <v>21</v>
      </c>
      <c r="T53" s="14" t="s">
        <v>24</v>
      </c>
    </row>
    <row r="54" spans="1:20" ht="20" x14ac:dyDescent="0.35">
      <c r="A54" s="39">
        <v>2</v>
      </c>
      <c r="B54" s="36" t="s">
        <v>499</v>
      </c>
      <c r="C54" s="22" t="s">
        <v>71</v>
      </c>
      <c r="D54" s="31" t="s">
        <v>5</v>
      </c>
      <c r="E54" s="31" t="s">
        <v>5</v>
      </c>
      <c r="F54" s="31" t="s">
        <v>5</v>
      </c>
      <c r="G54" s="37">
        <f>IFERROR(INDEX('KPI 33B'!E$19:P$19,Actual_month),)</f>
        <v>285</v>
      </c>
      <c r="H54" s="38">
        <f>IFERROR(INDEX('KPI 33B'!$E$20:$P$20,Actual_month),)</f>
        <v>60</v>
      </c>
      <c r="I54" s="23">
        <f>IFERROR(H54/G54,"")</f>
        <v>0.21052631578947367</v>
      </c>
      <c r="J54" s="20" t="s">
        <v>5</v>
      </c>
      <c r="K54" s="20" t="s">
        <v>5</v>
      </c>
      <c r="L54" s="20" t="s">
        <v>5</v>
      </c>
      <c r="M54" s="37">
        <f>IFERROR(INDEX('KPI 33B'!$E$26:$P$26,Actual_month),)</f>
        <v>285</v>
      </c>
      <c r="N54" s="38">
        <f>IFERROR(INDEX('KPI 33B'!$E$27:$P$27,Actual_month),)</f>
        <v>60</v>
      </c>
      <c r="O54" s="23">
        <f>IFERROR(N54/M54,"")</f>
        <v>0.21052631578947367</v>
      </c>
      <c r="P54" s="25" t="s">
        <v>18</v>
      </c>
      <c r="Q54" s="5">
        <f>G54*$R$3</f>
        <v>256.5</v>
      </c>
      <c r="R54" s="5">
        <f>M54*$R$3</f>
        <v>256.5</v>
      </c>
      <c r="S54" s="26" t="s">
        <v>21</v>
      </c>
      <c r="T54" s="14" t="s">
        <v>24</v>
      </c>
    </row>
    <row r="55" spans="1:20" ht="20.5" thickBot="1" x14ac:dyDescent="0.4">
      <c r="A55" s="35"/>
      <c r="B55" s="44" t="s">
        <v>500</v>
      </c>
      <c r="C55" s="22" t="s">
        <v>71</v>
      </c>
      <c r="D55" s="31" t="s">
        <v>5</v>
      </c>
      <c r="E55" s="31" t="s">
        <v>5</v>
      </c>
      <c r="F55" s="31" t="s">
        <v>5</v>
      </c>
      <c r="G55" s="37">
        <f>IFERROR(INDEX('KPI 36B'!E$19:P$19,Actual_month),)</f>
        <v>3332</v>
      </c>
      <c r="H55" s="38">
        <f>IFERROR(INDEX('KPI 36B'!$E$20:$P$20,Actual_month),)</f>
        <v>3191</v>
      </c>
      <c r="I55" s="23">
        <f t="shared" ref="I55" si="36">IFERROR(H55/G55,"")</f>
        <v>0.95768307322929169</v>
      </c>
      <c r="J55" s="20" t="s">
        <v>5</v>
      </c>
      <c r="K55" s="20" t="s">
        <v>5</v>
      </c>
      <c r="L55" s="20" t="s">
        <v>5</v>
      </c>
      <c r="M55" s="37">
        <f>IFERROR(INDEX('KPI 36B'!$E$26:$P$26,Actual_month),)</f>
        <v>3332</v>
      </c>
      <c r="N55" s="38">
        <f>IFERROR(INDEX('KPI 36B'!$E$27:$P$27,Actual_month),)</f>
        <v>3191</v>
      </c>
      <c r="O55" s="23">
        <f t="shared" ref="O55" si="37">IFERROR(N55/M55,"")</f>
        <v>0.95768307322929169</v>
      </c>
      <c r="P55" s="25" t="s">
        <v>18</v>
      </c>
      <c r="Q55" s="5">
        <f t="shared" ref="Q55" si="38">G55*$R$3</f>
        <v>2998.8</v>
      </c>
      <c r="R55" s="5">
        <f t="shared" ref="R55" si="39">M55*$R$3</f>
        <v>2998.8</v>
      </c>
      <c r="S55" s="26" t="s">
        <v>21</v>
      </c>
      <c r="T55" s="14" t="s">
        <v>24</v>
      </c>
    </row>
    <row r="56" spans="1:20" ht="15" thickBot="1" x14ac:dyDescent="0.4">
      <c r="A56" s="383" t="s">
        <v>156</v>
      </c>
      <c r="B56" s="384"/>
      <c r="C56" s="32"/>
      <c r="D56" s="32"/>
      <c r="E56" s="32"/>
      <c r="F56" s="32"/>
      <c r="G56" s="33"/>
      <c r="H56" s="33"/>
      <c r="I56" s="33"/>
      <c r="J56" s="33"/>
      <c r="K56" s="33"/>
      <c r="L56" s="33"/>
      <c r="M56" s="33"/>
      <c r="N56" s="33"/>
      <c r="O56" s="34"/>
      <c r="Q56" s="14" t="s">
        <v>26</v>
      </c>
      <c r="R56" s="3" t="s">
        <v>25</v>
      </c>
    </row>
    <row r="57" spans="1:20" ht="20" outlineLevel="1" x14ac:dyDescent="0.35">
      <c r="A57" s="39">
        <v>1</v>
      </c>
      <c r="B57" s="24" t="s">
        <v>157</v>
      </c>
      <c r="C57" s="22" t="s">
        <v>71</v>
      </c>
      <c r="D57" s="31" t="s">
        <v>5</v>
      </c>
      <c r="E57" s="31" t="s">
        <v>5</v>
      </c>
      <c r="F57" s="31" t="s">
        <v>5</v>
      </c>
      <c r="G57" s="37">
        <f>IFERROR(INDEX('KPI 37'!E$19:P$19,Actual_month),)</f>
        <v>488</v>
      </c>
      <c r="H57" s="38">
        <f>IFERROR(INDEX('KPI 37'!$E$20:$P$20,Actual_month),)</f>
        <v>482</v>
      </c>
      <c r="I57" s="23">
        <f t="shared" ref="I57:I69" si="40">IFERROR(H57/G57,"")</f>
        <v>0.98770491803278693</v>
      </c>
      <c r="J57" s="20" t="s">
        <v>5</v>
      </c>
      <c r="K57" s="20" t="s">
        <v>5</v>
      </c>
      <c r="L57" s="20" t="s">
        <v>5</v>
      </c>
      <c r="M57" s="37">
        <f>IFERROR(INDEX('KPI 37'!$E$26:$P$26,Actual_month),)</f>
        <v>488</v>
      </c>
      <c r="N57" s="38">
        <f>IFERROR(INDEX('KPI 37'!$E$27:$P$27,Actual_month),)</f>
        <v>482</v>
      </c>
      <c r="O57" s="23">
        <f t="shared" ref="O57:O69" si="41">IFERROR(N57/M57,"")</f>
        <v>0.98770491803278693</v>
      </c>
      <c r="P57" s="15" t="s">
        <v>18</v>
      </c>
      <c r="Q57" s="5">
        <f t="shared" ref="Q57:Q69" si="42">G57*$R$3</f>
        <v>439.2</v>
      </c>
      <c r="R57" s="5">
        <f t="shared" ref="R57:R69" si="43">M57*$R$3</f>
        <v>439.2</v>
      </c>
      <c r="S57" s="26" t="s">
        <v>21</v>
      </c>
      <c r="T57" s="14" t="s">
        <v>24</v>
      </c>
    </row>
    <row r="58" spans="1:20" ht="20" outlineLevel="1" x14ac:dyDescent="0.35">
      <c r="A58" s="35">
        <v>2</v>
      </c>
      <c r="B58" s="24" t="s">
        <v>158</v>
      </c>
      <c r="C58" s="22" t="s">
        <v>71</v>
      </c>
      <c r="D58" s="31" t="s">
        <v>5</v>
      </c>
      <c r="E58" s="31" t="s">
        <v>5</v>
      </c>
      <c r="F58" s="31" t="s">
        <v>5</v>
      </c>
      <c r="G58" s="37">
        <f>IFERROR(INDEX('KPI 38'!E$19:P$19,Actual_month),)</f>
        <v>509</v>
      </c>
      <c r="H58" s="38">
        <f>IFERROR(INDEX('KPI 38'!$E$20:$P$20,Actual_month),)</f>
        <v>456</v>
      </c>
      <c r="I58" s="23">
        <f t="shared" si="40"/>
        <v>0.89587426326129671</v>
      </c>
      <c r="J58" s="20" t="s">
        <v>5</v>
      </c>
      <c r="K58" s="20" t="s">
        <v>5</v>
      </c>
      <c r="L58" s="20" t="s">
        <v>5</v>
      </c>
      <c r="M58" s="37">
        <f>IFERROR(INDEX('KPI 38'!$E$26:$P$26,Actual_month),)</f>
        <v>509</v>
      </c>
      <c r="N58" s="38">
        <f>IFERROR(INDEX('KPI 38'!$E$27:$P$27,Actual_month),)</f>
        <v>456</v>
      </c>
      <c r="O58" s="23">
        <f t="shared" si="41"/>
        <v>0.89587426326129671</v>
      </c>
      <c r="P58" s="15" t="s">
        <v>18</v>
      </c>
      <c r="Q58" s="5">
        <f t="shared" si="42"/>
        <v>458.1</v>
      </c>
      <c r="R58" s="5">
        <f t="shared" si="43"/>
        <v>458.1</v>
      </c>
      <c r="S58" s="26" t="s">
        <v>21</v>
      </c>
      <c r="T58" s="14" t="s">
        <v>24</v>
      </c>
    </row>
    <row r="59" spans="1:20" ht="20" outlineLevel="1" x14ac:dyDescent="0.35">
      <c r="A59" s="39">
        <v>3</v>
      </c>
      <c r="B59" s="36" t="s">
        <v>159</v>
      </c>
      <c r="C59" s="22" t="s">
        <v>71</v>
      </c>
      <c r="D59" s="31" t="s">
        <v>5</v>
      </c>
      <c r="E59" s="31" t="s">
        <v>5</v>
      </c>
      <c r="F59" s="31" t="s">
        <v>5</v>
      </c>
      <c r="G59" s="37">
        <f>IFERROR(INDEX('KPI 39'!E$19:P$19,Actual_month),)</f>
        <v>407</v>
      </c>
      <c r="H59" s="38">
        <f>IFERROR(INDEX('KPI 39'!$E$20:$P$20,Actual_month),)</f>
        <v>384</v>
      </c>
      <c r="I59" s="23">
        <f t="shared" si="40"/>
        <v>0.94348894348894352</v>
      </c>
      <c r="J59" s="20" t="s">
        <v>5</v>
      </c>
      <c r="K59" s="20" t="s">
        <v>5</v>
      </c>
      <c r="L59" s="20" t="s">
        <v>5</v>
      </c>
      <c r="M59" s="37">
        <f>IFERROR(INDEX('KPI 39'!$E$26:$P$26,Actual_month),)</f>
        <v>407</v>
      </c>
      <c r="N59" s="38">
        <f>IFERROR(INDEX('KPI 39'!$E$27:$P$27,Actual_month),)</f>
        <v>384</v>
      </c>
      <c r="O59" s="23">
        <f t="shared" si="41"/>
        <v>0.94348894348894352</v>
      </c>
      <c r="P59" s="25" t="s">
        <v>18</v>
      </c>
      <c r="Q59" s="5">
        <f t="shared" si="42"/>
        <v>366.3</v>
      </c>
      <c r="R59" s="5">
        <f t="shared" si="43"/>
        <v>366.3</v>
      </c>
      <c r="S59" s="26" t="s">
        <v>21</v>
      </c>
      <c r="T59" s="14" t="s">
        <v>24</v>
      </c>
    </row>
    <row r="60" spans="1:20" ht="20" outlineLevel="1" x14ac:dyDescent="0.35">
      <c r="A60" s="35">
        <v>4</v>
      </c>
      <c r="B60" s="36" t="s">
        <v>160</v>
      </c>
      <c r="C60" s="22" t="s">
        <v>71</v>
      </c>
      <c r="D60" s="31" t="s">
        <v>5</v>
      </c>
      <c r="E60" s="31" t="s">
        <v>5</v>
      </c>
      <c r="F60" s="31" t="s">
        <v>5</v>
      </c>
      <c r="G60" s="37">
        <f>IFERROR(INDEX('KPI 40'!E$19:P$19,Actual_month),)</f>
        <v>613</v>
      </c>
      <c r="H60" s="38">
        <f>IFERROR(INDEX('KPI 40'!$E$20:$P$20,Actual_month),)</f>
        <v>604</v>
      </c>
      <c r="I60" s="23">
        <f t="shared" si="40"/>
        <v>0.9853181076672104</v>
      </c>
      <c r="J60" s="20" t="s">
        <v>5</v>
      </c>
      <c r="K60" s="20" t="s">
        <v>5</v>
      </c>
      <c r="L60" s="20" t="s">
        <v>5</v>
      </c>
      <c r="M60" s="37">
        <f>IFERROR(INDEX('KPI 40'!$E$26:$P$26,Actual_month),)</f>
        <v>613</v>
      </c>
      <c r="N60" s="38">
        <f>IFERROR(INDEX('KPI 40'!$E$27:$P$27,Actual_month),)</f>
        <v>604</v>
      </c>
      <c r="O60" s="23">
        <f t="shared" si="41"/>
        <v>0.9853181076672104</v>
      </c>
      <c r="P60" s="25" t="s">
        <v>18</v>
      </c>
      <c r="Q60" s="5">
        <f t="shared" si="42"/>
        <v>551.70000000000005</v>
      </c>
      <c r="R60" s="5">
        <f t="shared" si="43"/>
        <v>551.70000000000005</v>
      </c>
      <c r="S60" s="26" t="s">
        <v>21</v>
      </c>
      <c r="T60" s="14" t="s">
        <v>24</v>
      </c>
    </row>
    <row r="61" spans="1:20" ht="20" outlineLevel="1" x14ac:dyDescent="0.35">
      <c r="A61" s="39">
        <v>5</v>
      </c>
      <c r="B61" s="36" t="s">
        <v>161</v>
      </c>
      <c r="C61" s="22" t="s">
        <v>71</v>
      </c>
      <c r="D61" s="31" t="s">
        <v>5</v>
      </c>
      <c r="E61" s="31" t="s">
        <v>5</v>
      </c>
      <c r="F61" s="31" t="s">
        <v>5</v>
      </c>
      <c r="G61" s="37">
        <f>IFERROR(INDEX('KPI 41'!E$19:P$19,Actual_month),)</f>
        <v>0</v>
      </c>
      <c r="H61" s="38">
        <f>IFERROR(INDEX('KPI 41'!$E$20:$P$20,Actual_month),)</f>
        <v>0</v>
      </c>
      <c r="I61" s="23" t="str">
        <f t="shared" si="40"/>
        <v/>
      </c>
      <c r="J61" s="20" t="s">
        <v>5</v>
      </c>
      <c r="K61" s="20" t="s">
        <v>5</v>
      </c>
      <c r="L61" s="20" t="s">
        <v>5</v>
      </c>
      <c r="M61" s="37">
        <f>IFERROR(INDEX('KPI 41'!$E$26:$P$26,Actual_month),)</f>
        <v>0</v>
      </c>
      <c r="N61" s="38">
        <f>IFERROR(INDEX('KPI 41'!$E$27:$P$27,Actual_month),)</f>
        <v>0</v>
      </c>
      <c r="O61" s="23" t="str">
        <f t="shared" si="41"/>
        <v/>
      </c>
      <c r="P61" s="25" t="s">
        <v>18</v>
      </c>
      <c r="Q61" s="5">
        <f t="shared" si="42"/>
        <v>0</v>
      </c>
      <c r="R61" s="5">
        <f t="shared" si="43"/>
        <v>0</v>
      </c>
      <c r="S61" s="26" t="s">
        <v>21</v>
      </c>
      <c r="T61" s="14" t="s">
        <v>24</v>
      </c>
    </row>
    <row r="62" spans="1:20" ht="20" outlineLevel="1" x14ac:dyDescent="0.35">
      <c r="A62" s="35">
        <v>6</v>
      </c>
      <c r="B62" s="36" t="s">
        <v>165</v>
      </c>
      <c r="C62" s="22" t="s">
        <v>71</v>
      </c>
      <c r="D62" s="31" t="s">
        <v>5</v>
      </c>
      <c r="E62" s="31" t="s">
        <v>5</v>
      </c>
      <c r="F62" s="31" t="s">
        <v>5</v>
      </c>
      <c r="G62" s="37">
        <f>IFERROR(INDEX('KPI 46'!E$19:P$19,Actual_month),)</f>
        <v>188</v>
      </c>
      <c r="H62" s="38">
        <f>IFERROR(INDEX('KPI 46'!$E$20:$P$20,Actual_month),)</f>
        <v>184</v>
      </c>
      <c r="I62" s="23">
        <f>IFERROR(H62/G62,"")</f>
        <v>0.97872340425531912</v>
      </c>
      <c r="J62" s="20" t="s">
        <v>5</v>
      </c>
      <c r="K62" s="20" t="s">
        <v>5</v>
      </c>
      <c r="L62" s="20" t="s">
        <v>5</v>
      </c>
      <c r="M62" s="37">
        <f>IFERROR(INDEX('KPI 46'!$E$26:$P$26,Actual_month),)</f>
        <v>188</v>
      </c>
      <c r="N62" s="38">
        <f>IFERROR(INDEX('KPI 46'!$E$27:$P$27,Actual_month),)</f>
        <v>184</v>
      </c>
      <c r="O62" s="23">
        <f>IFERROR(N62/M62,"")</f>
        <v>0.97872340425531912</v>
      </c>
      <c r="P62" s="25" t="s">
        <v>18</v>
      </c>
      <c r="Q62" s="5">
        <f>G62*$R$3</f>
        <v>169.20000000000002</v>
      </c>
      <c r="R62" s="5">
        <f>M62*$R$3</f>
        <v>169.20000000000002</v>
      </c>
      <c r="S62" s="26" t="s">
        <v>21</v>
      </c>
      <c r="T62" s="14" t="s">
        <v>24</v>
      </c>
    </row>
    <row r="63" spans="1:20" ht="20" outlineLevel="1" x14ac:dyDescent="0.35">
      <c r="A63" s="35">
        <v>7</v>
      </c>
      <c r="B63" s="36" t="s">
        <v>446</v>
      </c>
      <c r="C63" s="22" t="s">
        <v>71</v>
      </c>
      <c r="D63" s="31" t="s">
        <v>5</v>
      </c>
      <c r="E63" s="31" t="s">
        <v>5</v>
      </c>
      <c r="F63" s="31" t="s">
        <v>5</v>
      </c>
      <c r="G63" s="37">
        <f>IFERROR(INDEX('KPI 46A'!E$19:P$19,Actual_month),)</f>
        <v>2</v>
      </c>
      <c r="H63" s="38">
        <f>IFERROR(INDEX('KPI 46A'!$E$20:$P$20,Actual_month),)</f>
        <v>2</v>
      </c>
      <c r="I63" s="23">
        <f>IFERROR(H63/G63,"")</f>
        <v>1</v>
      </c>
      <c r="J63" s="20" t="s">
        <v>5</v>
      </c>
      <c r="K63" s="20" t="s">
        <v>5</v>
      </c>
      <c r="L63" s="20" t="s">
        <v>5</v>
      </c>
      <c r="M63" s="37">
        <f>IFERROR(INDEX('KPI 46A'!$E$26:$P$26,Actual_month),)</f>
        <v>2</v>
      </c>
      <c r="N63" s="38">
        <f>IFERROR(INDEX('KPI 46A'!$E$27:$P$27,Actual_month),)</f>
        <v>2</v>
      </c>
      <c r="O63" s="23">
        <f>IFERROR(N63/M63,"")</f>
        <v>1</v>
      </c>
      <c r="P63" s="25" t="s">
        <v>18</v>
      </c>
      <c r="Q63" s="5">
        <f>G63*$R$3</f>
        <v>1.8</v>
      </c>
      <c r="R63" s="5">
        <f>M63*$R$3</f>
        <v>1.8</v>
      </c>
      <c r="S63" s="26" t="s">
        <v>21</v>
      </c>
      <c r="T63" s="14" t="s">
        <v>24</v>
      </c>
    </row>
    <row r="64" spans="1:20" ht="20.5" thickBot="1" x14ac:dyDescent="0.4">
      <c r="A64" s="35"/>
      <c r="B64" s="44" t="s">
        <v>201</v>
      </c>
      <c r="C64" s="22" t="s">
        <v>71</v>
      </c>
      <c r="D64" s="31" t="s">
        <v>5</v>
      </c>
      <c r="E64" s="31" t="s">
        <v>5</v>
      </c>
      <c r="F64" s="31" t="s">
        <v>5</v>
      </c>
      <c r="G64" s="37">
        <f>IFERROR(INDEX('KPI 42'!E$19:P$19,Actual_month),)</f>
        <v>2207</v>
      </c>
      <c r="H64" s="38">
        <f>IFERROR(INDEX('KPI 42'!$E$20:$P$20,Actual_month),)</f>
        <v>2112</v>
      </c>
      <c r="I64" s="23">
        <f t="shared" si="40"/>
        <v>0.95695514272768467</v>
      </c>
      <c r="J64" s="20" t="s">
        <v>5</v>
      </c>
      <c r="K64" s="20" t="s">
        <v>5</v>
      </c>
      <c r="L64" s="20" t="s">
        <v>5</v>
      </c>
      <c r="M64" s="37">
        <f>IFERROR(INDEX('KPI 42'!$E$26:$P$26,Actual_month),)</f>
        <v>2207</v>
      </c>
      <c r="N64" s="38">
        <f>IFERROR(INDEX('KPI 42'!$E$27:$P$27,Actual_month),)</f>
        <v>2112</v>
      </c>
      <c r="O64" s="23">
        <f t="shared" si="41"/>
        <v>0.95695514272768467</v>
      </c>
      <c r="P64" s="25" t="s">
        <v>18</v>
      </c>
      <c r="Q64" s="5">
        <f t="shared" si="42"/>
        <v>1986.3</v>
      </c>
      <c r="R64" s="5">
        <f t="shared" si="43"/>
        <v>1986.3</v>
      </c>
      <c r="S64" s="26" t="s">
        <v>21</v>
      </c>
      <c r="T64" s="14" t="s">
        <v>24</v>
      </c>
    </row>
    <row r="65" spans="1:20" ht="15" thickBot="1" x14ac:dyDescent="0.4">
      <c r="A65" s="385" t="s">
        <v>198</v>
      </c>
      <c r="B65" s="386"/>
      <c r="C65" s="32"/>
      <c r="D65" s="32"/>
      <c r="E65" s="32"/>
      <c r="F65" s="32"/>
      <c r="G65" s="33"/>
      <c r="H65" s="33"/>
      <c r="I65" s="33"/>
      <c r="J65" s="33"/>
      <c r="K65" s="33"/>
      <c r="L65" s="33"/>
      <c r="M65" s="33"/>
      <c r="N65" s="33"/>
      <c r="O65" s="34"/>
      <c r="Q65" s="14" t="s">
        <v>26</v>
      </c>
      <c r="R65" s="3" t="s">
        <v>25</v>
      </c>
    </row>
    <row r="66" spans="1:20" ht="20" outlineLevel="1" x14ac:dyDescent="0.35">
      <c r="A66" s="39">
        <v>1</v>
      </c>
      <c r="B66" s="36" t="s">
        <v>162</v>
      </c>
      <c r="C66" s="22" t="s">
        <v>71</v>
      </c>
      <c r="D66" s="31" t="s">
        <v>5</v>
      </c>
      <c r="E66" s="31" t="s">
        <v>5</v>
      </c>
      <c r="F66" s="31" t="s">
        <v>5</v>
      </c>
      <c r="G66" s="37">
        <f>IFERROR(INDEX('KPI 43'!E$19:P$19,Actual_month),)</f>
        <v>0</v>
      </c>
      <c r="H66" s="38">
        <f>IFERROR(INDEX('KPI 43'!$E$20:$P$20,Actual_month),)</f>
        <v>0</v>
      </c>
      <c r="I66" s="23" t="str">
        <f t="shared" si="40"/>
        <v/>
      </c>
      <c r="J66" s="20" t="s">
        <v>5</v>
      </c>
      <c r="K66" s="20" t="s">
        <v>5</v>
      </c>
      <c r="L66" s="20" t="s">
        <v>5</v>
      </c>
      <c r="M66" s="37">
        <f>IFERROR(INDEX('KPI 43'!$E$26:$P$26,Actual_month),)</f>
        <v>0</v>
      </c>
      <c r="N66" s="38">
        <f>IFERROR(INDEX('KPI 43'!$E$27:$P$27,Actual_month),)</f>
        <v>0</v>
      </c>
      <c r="O66" s="23" t="str">
        <f t="shared" si="41"/>
        <v/>
      </c>
      <c r="P66" s="25" t="s">
        <v>18</v>
      </c>
      <c r="Q66" s="5">
        <f t="shared" si="42"/>
        <v>0</v>
      </c>
      <c r="R66" s="5">
        <f t="shared" si="43"/>
        <v>0</v>
      </c>
      <c r="S66" s="26" t="s">
        <v>21</v>
      </c>
      <c r="T66" s="14" t="s">
        <v>24</v>
      </c>
    </row>
    <row r="67" spans="1:20" ht="20" outlineLevel="1" x14ac:dyDescent="0.35">
      <c r="A67" s="35">
        <v>2</v>
      </c>
      <c r="B67" s="36" t="s">
        <v>163</v>
      </c>
      <c r="C67" s="22" t="s">
        <v>71</v>
      </c>
      <c r="D67" s="31" t="s">
        <v>5</v>
      </c>
      <c r="E67" s="31" t="s">
        <v>5</v>
      </c>
      <c r="F67" s="31" t="s">
        <v>5</v>
      </c>
      <c r="G67" s="37">
        <f>IFERROR(INDEX('KPI 44'!E$19:P$19,Actual_month),)</f>
        <v>0</v>
      </c>
      <c r="H67" s="38">
        <f>IFERROR(INDEX('KPI 44'!$E$20:$P$20,Actual_month),)</f>
        <v>0</v>
      </c>
      <c r="I67" s="23" t="str">
        <f t="shared" si="40"/>
        <v/>
      </c>
      <c r="J67" s="20" t="s">
        <v>5</v>
      </c>
      <c r="K67" s="20" t="s">
        <v>5</v>
      </c>
      <c r="L67" s="20" t="s">
        <v>5</v>
      </c>
      <c r="M67" s="37">
        <f>IFERROR(INDEX('KPI 44'!$E$26:$P$26,Actual_month),)</f>
        <v>0</v>
      </c>
      <c r="N67" s="38">
        <f>IFERROR(INDEX('KPI 44'!$E$27:$P$27,Actual_month),)</f>
        <v>0</v>
      </c>
      <c r="O67" s="23" t="str">
        <f t="shared" si="41"/>
        <v/>
      </c>
      <c r="P67" s="25" t="s">
        <v>18</v>
      </c>
      <c r="Q67" s="5">
        <f t="shared" si="42"/>
        <v>0</v>
      </c>
      <c r="R67" s="5">
        <f t="shared" si="43"/>
        <v>0</v>
      </c>
      <c r="S67" s="26" t="s">
        <v>21</v>
      </c>
      <c r="T67" s="14" t="s">
        <v>24</v>
      </c>
    </row>
    <row r="68" spans="1:20" ht="20" outlineLevel="1" x14ac:dyDescent="0.35">
      <c r="A68" s="39">
        <v>3</v>
      </c>
      <c r="B68" s="36" t="s">
        <v>166</v>
      </c>
      <c r="C68" s="22" t="s">
        <v>71</v>
      </c>
      <c r="D68" s="31" t="s">
        <v>5</v>
      </c>
      <c r="E68" s="31" t="s">
        <v>5</v>
      </c>
      <c r="F68" s="31" t="s">
        <v>5</v>
      </c>
      <c r="G68" s="37">
        <f>IFERROR(INDEX('KPI 47'!E$19:P$19,Actual_month),)</f>
        <v>0</v>
      </c>
      <c r="H68" s="38">
        <f>IFERROR(INDEX('KPI 47'!$E$20:$P$20,Actual_month),)</f>
        <v>0</v>
      </c>
      <c r="I68" s="23" t="str">
        <f t="shared" si="40"/>
        <v/>
      </c>
      <c r="J68" s="20" t="s">
        <v>5</v>
      </c>
      <c r="K68" s="20" t="s">
        <v>5</v>
      </c>
      <c r="L68" s="20" t="s">
        <v>5</v>
      </c>
      <c r="M68" s="37">
        <f>IFERROR(INDEX('KPI 47'!$E$26:$P$26,Actual_month),)</f>
        <v>0</v>
      </c>
      <c r="N68" s="38">
        <f>IFERROR(INDEX('KPI 47'!$E$27:$P$27,Actual_month),)</f>
        <v>0</v>
      </c>
      <c r="O68" s="23" t="str">
        <f t="shared" si="41"/>
        <v/>
      </c>
      <c r="P68" s="25" t="s">
        <v>18</v>
      </c>
      <c r="Q68" s="5">
        <f t="shared" si="42"/>
        <v>0</v>
      </c>
      <c r="R68" s="5">
        <f t="shared" si="43"/>
        <v>0</v>
      </c>
      <c r="S68" s="26" t="s">
        <v>21</v>
      </c>
      <c r="T68" s="14" t="s">
        <v>24</v>
      </c>
    </row>
    <row r="69" spans="1:20" ht="20.5" thickBot="1" x14ac:dyDescent="0.4">
      <c r="A69" s="35"/>
      <c r="B69" s="44" t="s">
        <v>202</v>
      </c>
      <c r="C69" s="22" t="s">
        <v>71</v>
      </c>
      <c r="D69" s="31" t="s">
        <v>5</v>
      </c>
      <c r="E69" s="31" t="s">
        <v>5</v>
      </c>
      <c r="F69" s="31" t="s">
        <v>5</v>
      </c>
      <c r="G69" s="37">
        <f>IFERROR(INDEX('KPI 48'!E$19:P$19,Actual_month),)</f>
        <v>0</v>
      </c>
      <c r="H69" s="38">
        <f>IFERROR(INDEX('KPI 48'!$E$20:$P$20,Actual_month),)</f>
        <v>0</v>
      </c>
      <c r="I69" s="23" t="str">
        <f t="shared" si="40"/>
        <v/>
      </c>
      <c r="J69" s="20" t="s">
        <v>5</v>
      </c>
      <c r="K69" s="20" t="s">
        <v>5</v>
      </c>
      <c r="L69" s="20" t="s">
        <v>5</v>
      </c>
      <c r="M69" s="37">
        <f>IFERROR(INDEX('KPI 48'!$E$26:$P$26,Actual_month),)</f>
        <v>0</v>
      </c>
      <c r="N69" s="38">
        <f>IFERROR(INDEX('KPI 48'!$E$27:$P$27,Actual_month),)</f>
        <v>0</v>
      </c>
      <c r="O69" s="23" t="str">
        <f t="shared" si="41"/>
        <v/>
      </c>
      <c r="P69" s="25" t="s">
        <v>18</v>
      </c>
      <c r="Q69" s="5">
        <f t="shared" si="42"/>
        <v>0</v>
      </c>
      <c r="R69" s="5">
        <f t="shared" si="43"/>
        <v>0</v>
      </c>
      <c r="S69" s="26" t="s">
        <v>21</v>
      </c>
      <c r="T69" s="14" t="s">
        <v>24</v>
      </c>
    </row>
    <row r="70" spans="1:20" ht="15" thickBot="1" x14ac:dyDescent="0.4">
      <c r="A70" s="385" t="s">
        <v>197</v>
      </c>
      <c r="B70" s="386"/>
      <c r="C70" s="32"/>
      <c r="D70" s="32"/>
      <c r="E70" s="32"/>
      <c r="F70" s="32"/>
      <c r="G70" s="33"/>
      <c r="H70" s="33"/>
      <c r="I70" s="33"/>
      <c r="J70" s="33"/>
      <c r="K70" s="33"/>
      <c r="L70" s="33"/>
      <c r="M70" s="33"/>
      <c r="N70" s="33"/>
      <c r="O70" s="34"/>
      <c r="Q70" s="14" t="s">
        <v>26</v>
      </c>
      <c r="R70" s="3" t="s">
        <v>25</v>
      </c>
    </row>
    <row r="71" spans="1:20" ht="20.5" thickBot="1" x14ac:dyDescent="0.4">
      <c r="A71" s="39">
        <v>1</v>
      </c>
      <c r="B71" s="36" t="s">
        <v>164</v>
      </c>
      <c r="C71" s="22" t="s">
        <v>71</v>
      </c>
      <c r="D71" s="31" t="s">
        <v>5</v>
      </c>
      <c r="E71" s="31" t="s">
        <v>5</v>
      </c>
      <c r="F71" s="31" t="s">
        <v>5</v>
      </c>
      <c r="G71" s="37">
        <f>IFERROR(INDEX('KPI 45'!E$19:P$19,Actual_month),)</f>
        <v>60</v>
      </c>
      <c r="H71" s="38">
        <f>IFERROR(INDEX('KPI 45'!$E$20:$P$20,Actual_month),)</f>
        <v>64</v>
      </c>
      <c r="I71" s="23">
        <f>IFERROR(H71/G71,"")</f>
        <v>1.0666666666666667</v>
      </c>
      <c r="J71" s="20" t="s">
        <v>5</v>
      </c>
      <c r="K71" s="20" t="s">
        <v>5</v>
      </c>
      <c r="L71" s="20" t="s">
        <v>5</v>
      </c>
      <c r="M71" s="37">
        <f>IFERROR(INDEX('KPI 45'!$E$26:$P$26,Actual_month),)</f>
        <v>60</v>
      </c>
      <c r="N71" s="38">
        <f>IFERROR(INDEX('KPI 45'!$E$27:$P$27,Actual_month),)</f>
        <v>64</v>
      </c>
      <c r="O71" s="23">
        <f>IFERROR(N71/M71,"")</f>
        <v>1.0666666666666667</v>
      </c>
      <c r="P71" s="25" t="s">
        <v>18</v>
      </c>
      <c r="Q71" s="5">
        <f>G71*$R$3</f>
        <v>54</v>
      </c>
      <c r="R71" s="5">
        <f>M71*$R$3</f>
        <v>54</v>
      </c>
      <c r="S71" s="26" t="s">
        <v>21</v>
      </c>
      <c r="T71" s="14" t="s">
        <v>24</v>
      </c>
    </row>
    <row r="72" spans="1:20" ht="15" thickBot="1" x14ac:dyDescent="0.4">
      <c r="A72" s="383" t="s">
        <v>123</v>
      </c>
      <c r="B72" s="384"/>
      <c r="C72" s="32"/>
      <c r="D72" s="32"/>
      <c r="E72" s="32"/>
      <c r="F72" s="32"/>
      <c r="G72" s="33"/>
      <c r="H72" s="33"/>
      <c r="I72" s="33"/>
      <c r="J72" s="33"/>
      <c r="K72" s="33"/>
      <c r="L72" s="33"/>
      <c r="M72" s="33"/>
      <c r="N72" s="33"/>
      <c r="O72" s="34"/>
      <c r="Q72" s="14" t="s">
        <v>26</v>
      </c>
      <c r="R72" s="3" t="s">
        <v>25</v>
      </c>
    </row>
    <row r="73" spans="1:20" ht="20" outlineLevel="1" x14ac:dyDescent="0.35">
      <c r="A73" s="39">
        <v>1</v>
      </c>
      <c r="B73" s="24" t="s">
        <v>125</v>
      </c>
      <c r="C73" s="22" t="s">
        <v>71</v>
      </c>
      <c r="D73" s="31" t="s">
        <v>5</v>
      </c>
      <c r="E73" s="31" t="s">
        <v>5</v>
      </c>
      <c r="F73" s="31" t="s">
        <v>5</v>
      </c>
      <c r="G73" s="37">
        <f>IFERROR(INDEX('KPI 49'!E$19:P$19,Actual_month),)</f>
        <v>604</v>
      </c>
      <c r="H73" s="38">
        <f>IFERROR(INDEX('KPI 49'!$E$20:$P$20,Actual_month),)</f>
        <v>600</v>
      </c>
      <c r="I73" s="23">
        <f t="shared" ref="I73:I85" si="44">IFERROR(H73/G73,"")</f>
        <v>0.99337748344370858</v>
      </c>
      <c r="J73" s="20" t="s">
        <v>5</v>
      </c>
      <c r="K73" s="20" t="s">
        <v>5</v>
      </c>
      <c r="L73" s="20" t="s">
        <v>5</v>
      </c>
      <c r="M73" s="37">
        <f>IFERROR(INDEX('KPI 49'!$E$26:$P$26,Actual_month),)</f>
        <v>604</v>
      </c>
      <c r="N73" s="38">
        <f>IFERROR(INDEX('KPI 49'!$E$27:$P$27,Actual_month),)</f>
        <v>600</v>
      </c>
      <c r="O73" s="23">
        <f t="shared" ref="O73:O85" si="45">IFERROR(N73/M73,"")</f>
        <v>0.99337748344370858</v>
      </c>
      <c r="P73" s="15" t="s">
        <v>18</v>
      </c>
      <c r="Q73" s="5">
        <f t="shared" ref="Q73:Q85" si="46">G73*$R$3</f>
        <v>543.6</v>
      </c>
      <c r="R73" s="5">
        <f t="shared" ref="R73:R85" si="47">M73*$R$3</f>
        <v>543.6</v>
      </c>
      <c r="S73" s="26" t="s">
        <v>21</v>
      </c>
      <c r="T73" s="14" t="s">
        <v>24</v>
      </c>
    </row>
    <row r="74" spans="1:20" ht="20" outlineLevel="1" x14ac:dyDescent="0.35">
      <c r="A74" s="35">
        <v>2</v>
      </c>
      <c r="B74" s="24" t="s">
        <v>126</v>
      </c>
      <c r="C74" s="22" t="s">
        <v>71</v>
      </c>
      <c r="D74" s="31" t="s">
        <v>5</v>
      </c>
      <c r="E74" s="31" t="s">
        <v>5</v>
      </c>
      <c r="F74" s="31" t="s">
        <v>5</v>
      </c>
      <c r="G74" s="37">
        <f>IFERROR(INDEX('KPI 50'!E$19:P$19,Actual_month),)</f>
        <v>779</v>
      </c>
      <c r="H74" s="38">
        <f>IFERROR(INDEX('KPI 50'!$E$20:$P$20,Actual_month),)</f>
        <v>716</v>
      </c>
      <c r="I74" s="23">
        <f t="shared" si="44"/>
        <v>0.91912708600770221</v>
      </c>
      <c r="J74" s="20" t="s">
        <v>5</v>
      </c>
      <c r="K74" s="20" t="s">
        <v>5</v>
      </c>
      <c r="L74" s="20" t="s">
        <v>5</v>
      </c>
      <c r="M74" s="37">
        <f>IFERROR(INDEX('KPI 50'!$E$26:$P$26,Actual_month),)</f>
        <v>779</v>
      </c>
      <c r="N74" s="38">
        <f>IFERROR(INDEX('KPI 50'!$E$27:$P$27,Actual_month),)</f>
        <v>716</v>
      </c>
      <c r="O74" s="23">
        <f t="shared" si="45"/>
        <v>0.91912708600770221</v>
      </c>
      <c r="P74" s="15" t="s">
        <v>18</v>
      </c>
      <c r="Q74" s="5">
        <f t="shared" si="46"/>
        <v>701.1</v>
      </c>
      <c r="R74" s="5">
        <f t="shared" si="47"/>
        <v>701.1</v>
      </c>
      <c r="S74" s="26" t="s">
        <v>21</v>
      </c>
      <c r="T74" s="14" t="s">
        <v>24</v>
      </c>
    </row>
    <row r="75" spans="1:20" ht="20" outlineLevel="1" x14ac:dyDescent="0.35">
      <c r="A75" s="39">
        <v>3</v>
      </c>
      <c r="B75" s="36" t="s">
        <v>127</v>
      </c>
      <c r="C75" s="22" t="s">
        <v>71</v>
      </c>
      <c r="D75" s="31" t="s">
        <v>5</v>
      </c>
      <c r="E75" s="31" t="s">
        <v>5</v>
      </c>
      <c r="F75" s="31" t="s">
        <v>5</v>
      </c>
      <c r="G75" s="37">
        <f>IFERROR(INDEX('KPI 51'!E$19:P$19,Actual_month),)</f>
        <v>894</v>
      </c>
      <c r="H75" s="38">
        <f>IFERROR(INDEX('KPI 51'!$E$20:$P$20,Actual_month),)</f>
        <v>870</v>
      </c>
      <c r="I75" s="23">
        <f t="shared" si="44"/>
        <v>0.97315436241610742</v>
      </c>
      <c r="J75" s="20" t="s">
        <v>5</v>
      </c>
      <c r="K75" s="20" t="s">
        <v>5</v>
      </c>
      <c r="L75" s="20" t="s">
        <v>5</v>
      </c>
      <c r="M75" s="37">
        <f>IFERROR(INDEX('KPI 51'!$E$26:$P$26,Actual_month),)</f>
        <v>894</v>
      </c>
      <c r="N75" s="38">
        <f>IFERROR(INDEX('KPI 51'!$E$27:$P$27,Actual_month),)</f>
        <v>870</v>
      </c>
      <c r="O75" s="23">
        <f t="shared" si="45"/>
        <v>0.97315436241610742</v>
      </c>
      <c r="P75" s="25" t="s">
        <v>18</v>
      </c>
      <c r="Q75" s="5">
        <f t="shared" si="46"/>
        <v>804.6</v>
      </c>
      <c r="R75" s="5">
        <f t="shared" si="47"/>
        <v>804.6</v>
      </c>
      <c r="S75" s="26" t="s">
        <v>21</v>
      </c>
      <c r="T75" s="14" t="s">
        <v>24</v>
      </c>
    </row>
    <row r="76" spans="1:20" ht="20" outlineLevel="1" x14ac:dyDescent="0.35">
      <c r="A76" s="35">
        <v>4</v>
      </c>
      <c r="B76" s="36" t="s">
        <v>128</v>
      </c>
      <c r="C76" s="22" t="s">
        <v>71</v>
      </c>
      <c r="D76" s="31" t="s">
        <v>5</v>
      </c>
      <c r="E76" s="31" t="s">
        <v>5</v>
      </c>
      <c r="F76" s="31" t="s">
        <v>5</v>
      </c>
      <c r="G76" s="37">
        <f>IFERROR(INDEX('KPI 52'!E$19:P$19,Actual_month),)</f>
        <v>844</v>
      </c>
      <c r="H76" s="38">
        <f>IFERROR(INDEX('KPI 52'!$E$20:$P$20,Actual_month),)</f>
        <v>842</v>
      </c>
      <c r="I76" s="23">
        <f t="shared" si="44"/>
        <v>0.99763033175355453</v>
      </c>
      <c r="J76" s="20" t="s">
        <v>5</v>
      </c>
      <c r="K76" s="20" t="s">
        <v>5</v>
      </c>
      <c r="L76" s="20" t="s">
        <v>5</v>
      </c>
      <c r="M76" s="37">
        <f>IFERROR(INDEX('KPI 52'!$E$26:$P$26,Actual_month),)</f>
        <v>844</v>
      </c>
      <c r="N76" s="38">
        <f>IFERROR(INDEX('KPI 52'!$E$27:$P$27,Actual_month),)</f>
        <v>842</v>
      </c>
      <c r="O76" s="23">
        <f t="shared" si="45"/>
        <v>0.99763033175355453</v>
      </c>
      <c r="P76" s="25" t="s">
        <v>18</v>
      </c>
      <c r="Q76" s="5">
        <f t="shared" si="46"/>
        <v>759.6</v>
      </c>
      <c r="R76" s="5">
        <f t="shared" si="47"/>
        <v>759.6</v>
      </c>
      <c r="S76" s="26" t="s">
        <v>21</v>
      </c>
      <c r="T76" s="14" t="s">
        <v>24</v>
      </c>
    </row>
    <row r="77" spans="1:20" ht="20" outlineLevel="1" x14ac:dyDescent="0.35">
      <c r="A77" s="39">
        <v>5</v>
      </c>
      <c r="B77" s="36" t="s">
        <v>129</v>
      </c>
      <c r="C77" s="22" t="s">
        <v>71</v>
      </c>
      <c r="D77" s="31" t="s">
        <v>5</v>
      </c>
      <c r="E77" s="31" t="s">
        <v>5</v>
      </c>
      <c r="F77" s="31" t="s">
        <v>5</v>
      </c>
      <c r="G77" s="37">
        <f>IFERROR(INDEX('KPI 53'!E$19:P$19,Actual_month),)</f>
        <v>183</v>
      </c>
      <c r="H77" s="38">
        <f>IFERROR(INDEX('KPI 53'!$E$20:$P$20,Actual_month),)</f>
        <v>176</v>
      </c>
      <c r="I77" s="23">
        <f t="shared" si="44"/>
        <v>0.96174863387978138</v>
      </c>
      <c r="J77" s="20" t="s">
        <v>5</v>
      </c>
      <c r="K77" s="20" t="s">
        <v>5</v>
      </c>
      <c r="L77" s="20" t="s">
        <v>5</v>
      </c>
      <c r="M77" s="37">
        <f>IFERROR(INDEX('KPI 53'!$E$26:$P$26,Actual_month),)</f>
        <v>183</v>
      </c>
      <c r="N77" s="38">
        <f>IFERROR(INDEX('KPI 53'!$E$27:$P$27,Actual_month),)</f>
        <v>176</v>
      </c>
      <c r="O77" s="23">
        <f t="shared" si="45"/>
        <v>0.96174863387978138</v>
      </c>
      <c r="P77" s="25" t="s">
        <v>18</v>
      </c>
      <c r="Q77" s="5">
        <f t="shared" si="46"/>
        <v>164.70000000000002</v>
      </c>
      <c r="R77" s="5">
        <f t="shared" si="47"/>
        <v>164.70000000000002</v>
      </c>
      <c r="S77" s="26" t="s">
        <v>21</v>
      </c>
      <c r="T77" s="14" t="s">
        <v>24</v>
      </c>
    </row>
    <row r="78" spans="1:20" ht="20" outlineLevel="1" x14ac:dyDescent="0.35">
      <c r="A78" s="35">
        <v>6</v>
      </c>
      <c r="B78" s="36" t="s">
        <v>133</v>
      </c>
      <c r="C78" s="22" t="s">
        <v>71</v>
      </c>
      <c r="D78" s="31" t="s">
        <v>5</v>
      </c>
      <c r="E78" s="31" t="s">
        <v>5</v>
      </c>
      <c r="F78" s="31" t="s">
        <v>5</v>
      </c>
      <c r="G78" s="37">
        <f>IFERROR(INDEX('KPI 58'!E$19:P$19,Actual_month),)</f>
        <v>997</v>
      </c>
      <c r="H78" s="38">
        <f>IFERROR(INDEX('KPI 58'!$E$20:$P$20,Actual_month),)</f>
        <v>1000</v>
      </c>
      <c r="I78" s="23">
        <f>IFERROR(H78/G78,"")</f>
        <v>1.0030090270812437</v>
      </c>
      <c r="J78" s="20" t="s">
        <v>5</v>
      </c>
      <c r="K78" s="20" t="s">
        <v>5</v>
      </c>
      <c r="L78" s="20" t="s">
        <v>5</v>
      </c>
      <c r="M78" s="37">
        <f>IFERROR(INDEX('KPI 58'!$E$26:$P$26,Actual_month),)</f>
        <v>997</v>
      </c>
      <c r="N78" s="38">
        <f>IFERROR(INDEX('KPI 58'!$E$27:$P$27,Actual_month),)</f>
        <v>1000</v>
      </c>
      <c r="O78" s="23">
        <f>IFERROR(N78/M78,"")</f>
        <v>1.0030090270812437</v>
      </c>
      <c r="P78" s="25" t="s">
        <v>18</v>
      </c>
      <c r="Q78" s="5">
        <f>G78*$R$3</f>
        <v>897.30000000000007</v>
      </c>
      <c r="R78" s="5">
        <f>M78*$R$3</f>
        <v>897.30000000000007</v>
      </c>
      <c r="S78" s="26" t="s">
        <v>21</v>
      </c>
      <c r="T78" s="14" t="s">
        <v>24</v>
      </c>
    </row>
    <row r="79" spans="1:20" ht="20" outlineLevel="1" x14ac:dyDescent="0.35">
      <c r="A79" s="35">
        <v>7</v>
      </c>
      <c r="B79" s="36" t="s">
        <v>447</v>
      </c>
      <c r="C79" s="22" t="s">
        <v>71</v>
      </c>
      <c r="D79" s="31" t="s">
        <v>5</v>
      </c>
      <c r="E79" s="31" t="s">
        <v>5</v>
      </c>
      <c r="F79" s="31" t="s">
        <v>5</v>
      </c>
      <c r="G79" s="37">
        <f>IFERROR(INDEX('KPI 58A'!E$19:P$19,Actual_month),)</f>
        <v>311</v>
      </c>
      <c r="H79" s="38">
        <f>IFERROR(INDEX('KPI 58A'!$E$20:$P$20,Actual_month),)</f>
        <v>343</v>
      </c>
      <c r="I79" s="23">
        <f>IFERROR(H79/G79,"")</f>
        <v>1.1028938906752412</v>
      </c>
      <c r="J79" s="20" t="s">
        <v>5</v>
      </c>
      <c r="K79" s="20" t="s">
        <v>5</v>
      </c>
      <c r="L79" s="20" t="s">
        <v>5</v>
      </c>
      <c r="M79" s="37">
        <f>IFERROR(INDEX('KPI 58A'!$E$26:$P$26,Actual_month),)</f>
        <v>311</v>
      </c>
      <c r="N79" s="38">
        <f>IFERROR(INDEX('KPI 58A'!$E$27:$P$27,Actual_month),)</f>
        <v>343</v>
      </c>
      <c r="O79" s="23">
        <f>IFERROR(N79/M79,"")</f>
        <v>1.1028938906752412</v>
      </c>
      <c r="P79" s="25" t="s">
        <v>18</v>
      </c>
      <c r="Q79" s="5">
        <f>G79*$R$3</f>
        <v>279.90000000000003</v>
      </c>
      <c r="R79" s="5">
        <f>M79*$R$3</f>
        <v>279.90000000000003</v>
      </c>
      <c r="S79" s="26" t="s">
        <v>21</v>
      </c>
      <c r="T79" s="14" t="s">
        <v>24</v>
      </c>
    </row>
    <row r="80" spans="1:20" s="7" customFormat="1" ht="20" x14ac:dyDescent="0.35">
      <c r="A80" s="43"/>
      <c r="B80" s="44" t="s">
        <v>203</v>
      </c>
      <c r="C80" s="370" t="s">
        <v>71</v>
      </c>
      <c r="D80" s="371" t="s">
        <v>5</v>
      </c>
      <c r="E80" s="371" t="s">
        <v>5</v>
      </c>
      <c r="F80" s="371" t="s">
        <v>5</v>
      </c>
      <c r="G80" s="372">
        <f>IFERROR(INDEX('KPI 54'!E$19:P$19,Actual_month),)</f>
        <v>4612</v>
      </c>
      <c r="H80" s="373">
        <f>IFERROR(INDEX('KPI 54'!$E$20:$P$20,Actual_month),)</f>
        <v>4547</v>
      </c>
      <c r="I80" s="374">
        <f t="shared" si="44"/>
        <v>0.98590633130962702</v>
      </c>
      <c r="J80" s="375" t="s">
        <v>5</v>
      </c>
      <c r="K80" s="375" t="s">
        <v>5</v>
      </c>
      <c r="L80" s="375" t="s">
        <v>5</v>
      </c>
      <c r="M80" s="372">
        <f>IFERROR(INDEX('KPI 54'!$E$26:$P$26,Actual_month),)</f>
        <v>4612</v>
      </c>
      <c r="N80" s="373">
        <f>IFERROR(INDEX('KPI 54'!$E$27:$P$27,Actual_month),)</f>
        <v>4547</v>
      </c>
      <c r="O80" s="374">
        <f t="shared" si="45"/>
        <v>0.98590633130962702</v>
      </c>
      <c r="P80" s="376" t="s">
        <v>18</v>
      </c>
      <c r="Q80" s="377">
        <f t="shared" si="46"/>
        <v>4150.8</v>
      </c>
      <c r="R80" s="377">
        <f t="shared" si="47"/>
        <v>4150.8</v>
      </c>
      <c r="S80" s="378" t="s">
        <v>21</v>
      </c>
      <c r="T80" s="379" t="s">
        <v>24</v>
      </c>
    </row>
    <row r="81" spans="1:20" ht="20" outlineLevel="1" x14ac:dyDescent="0.35">
      <c r="A81" s="39">
        <v>1</v>
      </c>
      <c r="B81" s="36" t="s">
        <v>130</v>
      </c>
      <c r="C81" s="22" t="s">
        <v>71</v>
      </c>
      <c r="D81" s="31" t="s">
        <v>5</v>
      </c>
      <c r="E81" s="31" t="s">
        <v>5</v>
      </c>
      <c r="F81" s="31" t="s">
        <v>5</v>
      </c>
      <c r="G81" s="37">
        <f>IFERROR(INDEX('KPI 55'!E$19:P$19,Actual_month),)</f>
        <v>1859</v>
      </c>
      <c r="H81" s="38">
        <f>IFERROR(INDEX('KPI 55'!$E$20:$P$20,Actual_month),)</f>
        <v>1719</v>
      </c>
      <c r="I81" s="23">
        <f t="shared" si="44"/>
        <v>0.92469069392146319</v>
      </c>
      <c r="J81" s="20" t="s">
        <v>5</v>
      </c>
      <c r="K81" s="20" t="s">
        <v>5</v>
      </c>
      <c r="L81" s="20" t="s">
        <v>5</v>
      </c>
      <c r="M81" s="37">
        <f>IFERROR(INDEX('KPI 55'!$E$26:$P$26,Actual_month),)</f>
        <v>1859</v>
      </c>
      <c r="N81" s="38">
        <f>IFERROR(INDEX('KPI 55'!$E$27:$P$27,Actual_month),)</f>
        <v>1719</v>
      </c>
      <c r="O81" s="23">
        <f t="shared" si="45"/>
        <v>0.92469069392146319</v>
      </c>
      <c r="P81" s="25" t="s">
        <v>18</v>
      </c>
      <c r="Q81" s="5">
        <f t="shared" si="46"/>
        <v>1673.1000000000001</v>
      </c>
      <c r="R81" s="5">
        <f t="shared" si="47"/>
        <v>1673.1000000000001</v>
      </c>
      <c r="S81" s="26" t="s">
        <v>21</v>
      </c>
      <c r="T81" s="14" t="s">
        <v>24</v>
      </c>
    </row>
    <row r="82" spans="1:20" ht="20" x14ac:dyDescent="0.35">
      <c r="A82" s="35">
        <v>2</v>
      </c>
      <c r="B82" s="36" t="s">
        <v>131</v>
      </c>
      <c r="C82" s="22" t="s">
        <v>71</v>
      </c>
      <c r="D82" s="31" t="s">
        <v>5</v>
      </c>
      <c r="E82" s="31" t="s">
        <v>5</v>
      </c>
      <c r="F82" s="31" t="s">
        <v>5</v>
      </c>
      <c r="G82" s="37">
        <f>IFERROR(INDEX('KPI 56'!E$19:P$19,Actual_month),)</f>
        <v>332</v>
      </c>
      <c r="H82" s="38">
        <f>IFERROR(INDEX('KPI 56'!$E$20:$P$20,Actual_month),)</f>
        <v>296</v>
      </c>
      <c r="I82" s="23">
        <f>IFERROR(H82/G82,"")</f>
        <v>0.89156626506024095</v>
      </c>
      <c r="J82" s="20" t="s">
        <v>5</v>
      </c>
      <c r="K82" s="20" t="s">
        <v>5</v>
      </c>
      <c r="L82" s="20" t="s">
        <v>5</v>
      </c>
      <c r="M82" s="37">
        <f>IFERROR(INDEX('KPI 56'!$E$26:$P$26,Actual_month),)</f>
        <v>332</v>
      </c>
      <c r="N82" s="38">
        <f>IFERROR(INDEX('KPI 56'!$E$27:$P$27,Actual_month),)</f>
        <v>296</v>
      </c>
      <c r="O82" s="23">
        <f>IFERROR(N82/M82,"")</f>
        <v>0.89156626506024095</v>
      </c>
      <c r="P82" s="25" t="s">
        <v>18</v>
      </c>
      <c r="Q82" s="5">
        <f>G82*$R$3</f>
        <v>298.8</v>
      </c>
      <c r="R82" s="5">
        <f>M82*$R$3</f>
        <v>298.8</v>
      </c>
      <c r="S82" s="26" t="s">
        <v>21</v>
      </c>
      <c r="T82" s="14" t="s">
        <v>24</v>
      </c>
    </row>
    <row r="83" spans="1:20" ht="20" outlineLevel="1" x14ac:dyDescent="0.35">
      <c r="A83" s="39">
        <v>3</v>
      </c>
      <c r="B83" s="36" t="s">
        <v>134</v>
      </c>
      <c r="C83" s="22" t="s">
        <v>71</v>
      </c>
      <c r="D83" s="31" t="s">
        <v>5</v>
      </c>
      <c r="E83" s="31" t="s">
        <v>5</v>
      </c>
      <c r="F83" s="31" t="s">
        <v>5</v>
      </c>
      <c r="G83" s="37">
        <f>IFERROR(INDEX('KPI 59'!E$19:P$19,Actual_month),)</f>
        <v>1159</v>
      </c>
      <c r="H83" s="38">
        <f>IFERROR(INDEX('KPI 59'!$E$20:$P$20,Actual_month),)</f>
        <v>985</v>
      </c>
      <c r="I83" s="23">
        <f t="shared" si="44"/>
        <v>0.84987057808455568</v>
      </c>
      <c r="J83" s="20" t="s">
        <v>5</v>
      </c>
      <c r="K83" s="20" t="s">
        <v>5</v>
      </c>
      <c r="L83" s="20" t="s">
        <v>5</v>
      </c>
      <c r="M83" s="37">
        <f>IFERROR(INDEX('KPI 59'!$E$26:$P$26,Actual_month),)</f>
        <v>1159</v>
      </c>
      <c r="N83" s="38">
        <f>IFERROR(INDEX('KPI 59'!$E$27:$P$27,Actual_month),)</f>
        <v>985</v>
      </c>
      <c r="O83" s="23">
        <f t="shared" si="45"/>
        <v>0.84987057808455568</v>
      </c>
      <c r="P83" s="25" t="s">
        <v>18</v>
      </c>
      <c r="Q83" s="5">
        <f t="shared" si="46"/>
        <v>1043.1000000000001</v>
      </c>
      <c r="R83" s="5">
        <f t="shared" si="47"/>
        <v>1043.1000000000001</v>
      </c>
      <c r="S83" s="26" t="s">
        <v>21</v>
      </c>
      <c r="T83" s="14" t="s">
        <v>24</v>
      </c>
    </row>
    <row r="84" spans="1:20" ht="20" outlineLevel="1" x14ac:dyDescent="0.35">
      <c r="A84" s="39">
        <v>4</v>
      </c>
      <c r="B84" s="36" t="s">
        <v>455</v>
      </c>
      <c r="C84" s="22" t="s">
        <v>71</v>
      </c>
      <c r="D84" s="31" t="s">
        <v>5</v>
      </c>
      <c r="E84" s="31" t="s">
        <v>5</v>
      </c>
      <c r="F84" s="31" t="s">
        <v>5</v>
      </c>
      <c r="G84" s="37">
        <f>IFERROR(INDEX('KPI 59B'!E$19:P$19,Actual_month),)</f>
        <v>599</v>
      </c>
      <c r="H84" s="38">
        <f>IFERROR(INDEX('KPI 59B'!$E$20:$P$20,Actual_month),)</f>
        <v>605</v>
      </c>
      <c r="I84" s="23">
        <f t="shared" ref="I84" si="48">IFERROR(H84/G84,"")</f>
        <v>1.010016694490818</v>
      </c>
      <c r="J84" s="20" t="s">
        <v>5</v>
      </c>
      <c r="K84" s="20" t="s">
        <v>5</v>
      </c>
      <c r="L84" s="20" t="s">
        <v>5</v>
      </c>
      <c r="M84" s="37">
        <f>IFERROR(INDEX('KPI 59B'!$E$26:$P$26,Actual_month),)</f>
        <v>599</v>
      </c>
      <c r="N84" s="38">
        <f>IFERROR(INDEX('KPI 59B'!$E$27:$P$27,Actual_month),)</f>
        <v>605</v>
      </c>
      <c r="O84" s="23">
        <f t="shared" ref="O84" si="49">IFERROR(N84/M84,"")</f>
        <v>1.010016694490818</v>
      </c>
      <c r="P84" s="25" t="s">
        <v>18</v>
      </c>
      <c r="Q84" s="5">
        <f t="shared" ref="Q84" si="50">G84*$R$3</f>
        <v>539.1</v>
      </c>
      <c r="R84" s="5">
        <f t="shared" ref="R84" si="51">M84*$R$3</f>
        <v>539.1</v>
      </c>
      <c r="S84" s="26" t="s">
        <v>21</v>
      </c>
      <c r="T84" s="14" t="s">
        <v>24</v>
      </c>
    </row>
    <row r="85" spans="1:20" s="7" customFormat="1" ht="20.5" thickBot="1" x14ac:dyDescent="0.4">
      <c r="A85" s="43"/>
      <c r="B85" s="44" t="s">
        <v>204</v>
      </c>
      <c r="C85" s="370" t="s">
        <v>71</v>
      </c>
      <c r="D85" s="371" t="s">
        <v>5</v>
      </c>
      <c r="E85" s="371" t="s">
        <v>5</v>
      </c>
      <c r="F85" s="371" t="s">
        <v>5</v>
      </c>
      <c r="G85" s="372">
        <f>IFERROR(INDEX('KPI 60'!E$19:P$19,Actual_month),)</f>
        <v>3949</v>
      </c>
      <c r="H85" s="373">
        <f>IFERROR(INDEX('KPI 60'!$E$20:$P$20,Actual_month),)</f>
        <v>3605</v>
      </c>
      <c r="I85" s="374">
        <f t="shared" si="44"/>
        <v>0.91288933907318304</v>
      </c>
      <c r="J85" s="375" t="s">
        <v>5</v>
      </c>
      <c r="K85" s="375" t="s">
        <v>5</v>
      </c>
      <c r="L85" s="375" t="s">
        <v>5</v>
      </c>
      <c r="M85" s="372">
        <f>IFERROR(INDEX('KPI 60'!$E$26:$P$26,Actual_month),)</f>
        <v>3949</v>
      </c>
      <c r="N85" s="373">
        <f>IFERROR(INDEX('KPI 60'!$E$27:$P$27,Actual_month),)</f>
        <v>3605</v>
      </c>
      <c r="O85" s="374">
        <f t="shared" si="45"/>
        <v>0.91288933907318304</v>
      </c>
      <c r="P85" s="376" t="s">
        <v>18</v>
      </c>
      <c r="Q85" s="377">
        <f t="shared" si="46"/>
        <v>3554.1</v>
      </c>
      <c r="R85" s="377">
        <f t="shared" si="47"/>
        <v>3554.1</v>
      </c>
      <c r="S85" s="378" t="s">
        <v>21</v>
      </c>
      <c r="T85" s="379" t="s">
        <v>24</v>
      </c>
    </row>
    <row r="86" spans="1:20" ht="15" thickBot="1" x14ac:dyDescent="0.4">
      <c r="A86" s="385" t="s">
        <v>197</v>
      </c>
      <c r="B86" s="386"/>
      <c r="C86" s="32"/>
      <c r="D86" s="32"/>
      <c r="E86" s="32"/>
      <c r="F86" s="32"/>
      <c r="G86" s="33"/>
      <c r="H86" s="33"/>
      <c r="I86" s="33"/>
      <c r="J86" s="33"/>
      <c r="K86" s="33"/>
      <c r="L86" s="33"/>
      <c r="M86" s="33"/>
      <c r="N86" s="33"/>
      <c r="O86" s="34"/>
      <c r="Q86" s="14" t="s">
        <v>26</v>
      </c>
      <c r="R86" s="3" t="s">
        <v>25</v>
      </c>
    </row>
    <row r="87" spans="1:20" ht="20" outlineLevel="1" x14ac:dyDescent="0.35">
      <c r="A87" s="39">
        <v>1</v>
      </c>
      <c r="B87" s="36" t="s">
        <v>132</v>
      </c>
      <c r="C87" s="22" t="s">
        <v>71</v>
      </c>
      <c r="D87" s="31" t="s">
        <v>5</v>
      </c>
      <c r="E87" s="31" t="s">
        <v>5</v>
      </c>
      <c r="F87" s="31" t="s">
        <v>5</v>
      </c>
      <c r="G87" s="37">
        <f>IFERROR(INDEX('KPI 57'!E$19:P$19,Actual_month),)</f>
        <v>2886</v>
      </c>
      <c r="H87" s="38">
        <f>IFERROR(INDEX('KPI 57'!$E$20:$P$20,Actual_month),)</f>
        <v>2926</v>
      </c>
      <c r="I87" s="23">
        <f>IFERROR(H87/G87,"")</f>
        <v>1.0138600138600138</v>
      </c>
      <c r="J87" s="20" t="s">
        <v>5</v>
      </c>
      <c r="K87" s="20" t="s">
        <v>5</v>
      </c>
      <c r="L87" s="20" t="s">
        <v>5</v>
      </c>
      <c r="M87" s="37">
        <f>IFERROR(INDEX('KPI 57'!$E$26:$P$26,Actual_month),)</f>
        <v>2886</v>
      </c>
      <c r="N87" s="38">
        <f>IFERROR(INDEX('KPI 57'!$E$27:$P$27,Actual_month),)</f>
        <v>2926</v>
      </c>
      <c r="O87" s="23">
        <f>IFERROR(N87/M87,"")</f>
        <v>1.0138600138600138</v>
      </c>
      <c r="P87" s="25" t="s">
        <v>18</v>
      </c>
      <c r="Q87" s="5">
        <f>G87*$R$3</f>
        <v>2597.4</v>
      </c>
      <c r="R87" s="5">
        <f>M87*$R$3</f>
        <v>2597.4</v>
      </c>
      <c r="S87" s="26" t="s">
        <v>21</v>
      </c>
      <c r="T87" s="14" t="s">
        <v>24</v>
      </c>
    </row>
    <row r="88" spans="1:20" ht="20" outlineLevel="1" x14ac:dyDescent="0.35">
      <c r="A88" s="39">
        <v>2</v>
      </c>
      <c r="B88" s="36" t="s">
        <v>506</v>
      </c>
      <c r="C88" s="22" t="s">
        <v>71</v>
      </c>
      <c r="D88" s="31" t="s">
        <v>5</v>
      </c>
      <c r="E88" s="31" t="s">
        <v>5</v>
      </c>
      <c r="F88" s="31" t="s">
        <v>5</v>
      </c>
      <c r="G88" s="37">
        <f>IFERROR(INDEX('KPI 57B'!E$19:P$19,Actual_month),)</f>
        <v>242</v>
      </c>
      <c r="H88" s="38">
        <f>IFERROR(INDEX('KPI 57B'!$E$20:$P$20,Actual_month),)</f>
        <v>17</v>
      </c>
      <c r="I88" s="23">
        <f>IFERROR(H88/G88,"")</f>
        <v>7.0247933884297523E-2</v>
      </c>
      <c r="J88" s="20" t="s">
        <v>5</v>
      </c>
      <c r="K88" s="20" t="s">
        <v>5</v>
      </c>
      <c r="L88" s="20" t="s">
        <v>5</v>
      </c>
      <c r="M88" s="37">
        <f>IFERROR(INDEX('KPI 57B'!$E$26:$P$26,Actual_month),)</f>
        <v>242</v>
      </c>
      <c r="N88" s="38">
        <f>IFERROR(INDEX('KPI 57B'!$E$27:$P$27,Actual_month),)</f>
        <v>17</v>
      </c>
      <c r="O88" s="23">
        <f>IFERROR(N88/M88,"")</f>
        <v>7.0247933884297523E-2</v>
      </c>
      <c r="P88" s="25" t="s">
        <v>18</v>
      </c>
      <c r="Q88" s="5">
        <f>G88*$R$3</f>
        <v>217.8</v>
      </c>
      <c r="R88" s="5">
        <f>M88*$R$3</f>
        <v>217.8</v>
      </c>
      <c r="S88" s="26" t="s">
        <v>21</v>
      </c>
      <c r="T88" s="14" t="s">
        <v>24</v>
      </c>
    </row>
    <row r="89" spans="1:20" ht="20.5" thickBot="1" x14ac:dyDescent="0.4">
      <c r="A89" s="35"/>
      <c r="B89" s="44" t="s">
        <v>507</v>
      </c>
      <c r="C89" s="22" t="s">
        <v>71</v>
      </c>
      <c r="D89" s="31" t="s">
        <v>5</v>
      </c>
      <c r="E89" s="31" t="s">
        <v>5</v>
      </c>
      <c r="F89" s="31" t="s">
        <v>5</v>
      </c>
      <c r="G89" s="37">
        <f>IFERROR(INDEX('KPI 60B'!E$19:P$19,Actual_month),)</f>
        <v>3128</v>
      </c>
      <c r="H89" s="38">
        <f>IFERROR(INDEX('KPI 60B'!$E$20:$P$20,Actual_month),)</f>
        <v>2943</v>
      </c>
      <c r="I89" s="23">
        <f t="shared" ref="I89" si="52">IFERROR(H89/G89,"")</f>
        <v>0.94085677749360619</v>
      </c>
      <c r="J89" s="20" t="s">
        <v>5</v>
      </c>
      <c r="K89" s="20" t="s">
        <v>5</v>
      </c>
      <c r="L89" s="20" t="s">
        <v>5</v>
      </c>
      <c r="M89" s="37">
        <f>IFERROR(INDEX('KPI 60B'!$E$26:$P$26,Actual_month),)</f>
        <v>3128</v>
      </c>
      <c r="N89" s="38">
        <f>IFERROR(INDEX('KPI 60B'!$E$27:$P$27,Actual_month),)</f>
        <v>2943</v>
      </c>
      <c r="O89" s="23">
        <f t="shared" ref="O89" si="53">IFERROR(N89/M89,"")</f>
        <v>0.94085677749360619</v>
      </c>
      <c r="P89" s="25" t="s">
        <v>18</v>
      </c>
      <c r="Q89" s="5">
        <f t="shared" ref="Q89" si="54">G89*$R$3</f>
        <v>2815.2000000000003</v>
      </c>
      <c r="R89" s="5">
        <f t="shared" ref="R89" si="55">M89*$R$3</f>
        <v>2815.2000000000003</v>
      </c>
      <c r="S89" s="26" t="s">
        <v>21</v>
      </c>
      <c r="T89" s="14" t="s">
        <v>24</v>
      </c>
    </row>
    <row r="90" spans="1:20" ht="15" thickBot="1" x14ac:dyDescent="0.4">
      <c r="A90" s="383" t="s">
        <v>124</v>
      </c>
      <c r="B90" s="384"/>
      <c r="C90" s="32"/>
      <c r="D90" s="32"/>
      <c r="E90" s="32"/>
      <c r="F90" s="32"/>
      <c r="G90" s="33"/>
      <c r="H90" s="33"/>
      <c r="I90" s="33"/>
      <c r="J90" s="33"/>
      <c r="K90" s="33"/>
      <c r="L90" s="33"/>
      <c r="M90" s="33"/>
      <c r="N90" s="33"/>
      <c r="O90" s="34"/>
      <c r="Q90" s="14" t="s">
        <v>26</v>
      </c>
      <c r="R90" s="3" t="s">
        <v>25</v>
      </c>
    </row>
    <row r="91" spans="1:20" ht="20" outlineLevel="1" x14ac:dyDescent="0.35">
      <c r="A91" s="39">
        <v>1</v>
      </c>
      <c r="B91" s="24" t="s">
        <v>135</v>
      </c>
      <c r="C91" s="22" t="s">
        <v>71</v>
      </c>
      <c r="D91" s="31" t="s">
        <v>5</v>
      </c>
      <c r="E91" s="31" t="s">
        <v>5</v>
      </c>
      <c r="F91" s="31" t="s">
        <v>5</v>
      </c>
      <c r="G91" s="37">
        <f>IFERROR(INDEX('KPI 61'!E$19:P$19,Actual_month),)</f>
        <v>396</v>
      </c>
      <c r="H91" s="38">
        <f>IFERROR(INDEX('KPI 61'!$E$20:$P$20,Actual_month),)</f>
        <v>389</v>
      </c>
      <c r="I91" s="23">
        <f t="shared" ref="I91:I102" si="56">IFERROR(H91/G91,"")</f>
        <v>0.98232323232323238</v>
      </c>
      <c r="J91" s="20" t="s">
        <v>5</v>
      </c>
      <c r="K91" s="20" t="s">
        <v>5</v>
      </c>
      <c r="L91" s="20" t="s">
        <v>5</v>
      </c>
      <c r="M91" s="37">
        <f>IFERROR(INDEX('KPI 61'!$E$26:$P$26,Actual_month),)</f>
        <v>396</v>
      </c>
      <c r="N91" s="38">
        <f>IFERROR(INDEX('KPI 61'!$E$27:$P$27,Actual_month),)</f>
        <v>389</v>
      </c>
      <c r="O91" s="23">
        <f t="shared" ref="O91:O102" si="57">IFERROR(N91/M91,"")</f>
        <v>0.98232323232323238</v>
      </c>
      <c r="P91" s="15" t="s">
        <v>18</v>
      </c>
      <c r="Q91" s="5">
        <f t="shared" ref="Q91:Q102" si="58">G91*$R$3</f>
        <v>356.40000000000003</v>
      </c>
      <c r="R91" s="5">
        <f t="shared" ref="R91:R102" si="59">M91*$R$3</f>
        <v>356.40000000000003</v>
      </c>
      <c r="S91" s="26" t="s">
        <v>21</v>
      </c>
      <c r="T91" s="14" t="s">
        <v>24</v>
      </c>
    </row>
    <row r="92" spans="1:20" ht="20" outlineLevel="1" x14ac:dyDescent="0.35">
      <c r="A92" s="35">
        <v>2</v>
      </c>
      <c r="B92" s="24" t="s">
        <v>136</v>
      </c>
      <c r="C92" s="22" t="s">
        <v>71</v>
      </c>
      <c r="D92" s="31" t="s">
        <v>5</v>
      </c>
      <c r="E92" s="31" t="s">
        <v>5</v>
      </c>
      <c r="F92" s="31" t="s">
        <v>5</v>
      </c>
      <c r="G92" s="37">
        <f>IFERROR(INDEX('KPI 62'!E$19:P$19,Actual_month),)</f>
        <v>447</v>
      </c>
      <c r="H92" s="38">
        <f>IFERROR(INDEX('KPI 62'!$E$20:$P$20,Actual_month),)</f>
        <v>392</v>
      </c>
      <c r="I92" s="23">
        <f t="shared" si="56"/>
        <v>0.87695749440715887</v>
      </c>
      <c r="J92" s="20" t="s">
        <v>5</v>
      </c>
      <c r="K92" s="20" t="s">
        <v>5</v>
      </c>
      <c r="L92" s="20" t="s">
        <v>5</v>
      </c>
      <c r="M92" s="37">
        <f>IFERROR(INDEX('KPI 62'!$E$26:$P$26,Actual_month),)</f>
        <v>447</v>
      </c>
      <c r="N92" s="38">
        <f>IFERROR(INDEX('KPI 62'!$E$27:$P$27,Actual_month),)</f>
        <v>392</v>
      </c>
      <c r="O92" s="23">
        <f t="shared" si="57"/>
        <v>0.87695749440715887</v>
      </c>
      <c r="P92" s="15" t="s">
        <v>18</v>
      </c>
      <c r="Q92" s="5">
        <f t="shared" si="58"/>
        <v>402.3</v>
      </c>
      <c r="R92" s="5">
        <f t="shared" si="59"/>
        <v>402.3</v>
      </c>
      <c r="S92" s="26" t="s">
        <v>21</v>
      </c>
      <c r="T92" s="14" t="s">
        <v>24</v>
      </c>
    </row>
    <row r="93" spans="1:20" ht="20" outlineLevel="1" x14ac:dyDescent="0.35">
      <c r="A93" s="39">
        <v>3</v>
      </c>
      <c r="B93" s="36" t="s">
        <v>137</v>
      </c>
      <c r="C93" s="22" t="s">
        <v>71</v>
      </c>
      <c r="D93" s="31" t="s">
        <v>5</v>
      </c>
      <c r="E93" s="31" t="s">
        <v>5</v>
      </c>
      <c r="F93" s="31" t="s">
        <v>5</v>
      </c>
      <c r="G93" s="37">
        <f>IFERROR(INDEX('KPI 63'!E$19:P$19,Actual_month),)</f>
        <v>353</v>
      </c>
      <c r="H93" s="38">
        <f>IFERROR(INDEX('KPI 63'!$E$20:$P$20,Actual_month),)</f>
        <v>330</v>
      </c>
      <c r="I93" s="23">
        <f t="shared" si="56"/>
        <v>0.93484419263456087</v>
      </c>
      <c r="J93" s="20" t="s">
        <v>5</v>
      </c>
      <c r="K93" s="20" t="s">
        <v>5</v>
      </c>
      <c r="L93" s="20" t="s">
        <v>5</v>
      </c>
      <c r="M93" s="37">
        <f>IFERROR(INDEX('KPI 63'!$E$26:$P$26,Actual_month),)</f>
        <v>353</v>
      </c>
      <c r="N93" s="38">
        <f>IFERROR(INDEX('KPI 63'!$E$27:$P$27,Actual_month),)</f>
        <v>330</v>
      </c>
      <c r="O93" s="23">
        <f t="shared" si="57"/>
        <v>0.93484419263456087</v>
      </c>
      <c r="P93" s="25" t="s">
        <v>18</v>
      </c>
      <c r="Q93" s="5">
        <f t="shared" si="58"/>
        <v>317.7</v>
      </c>
      <c r="R93" s="5">
        <f t="shared" si="59"/>
        <v>317.7</v>
      </c>
      <c r="S93" s="26" t="s">
        <v>21</v>
      </c>
      <c r="T93" s="14" t="s">
        <v>24</v>
      </c>
    </row>
    <row r="94" spans="1:20" ht="20" outlineLevel="1" x14ac:dyDescent="0.35">
      <c r="A94" s="35">
        <v>4</v>
      </c>
      <c r="B94" s="36" t="s">
        <v>138</v>
      </c>
      <c r="C94" s="22" t="s">
        <v>71</v>
      </c>
      <c r="D94" s="31" t="s">
        <v>5</v>
      </c>
      <c r="E94" s="31" t="s">
        <v>5</v>
      </c>
      <c r="F94" s="31" t="s">
        <v>5</v>
      </c>
      <c r="G94" s="37">
        <f>IFERROR(INDEX('KPI 64'!E$19:P$19,Actual_month),)</f>
        <v>527</v>
      </c>
      <c r="H94" s="38">
        <f>IFERROR(INDEX('KPI 64'!$E$20:$P$20,Actual_month),)</f>
        <v>518</v>
      </c>
      <c r="I94" s="23">
        <f t="shared" si="56"/>
        <v>0.98292220113851991</v>
      </c>
      <c r="J94" s="20" t="s">
        <v>5</v>
      </c>
      <c r="K94" s="20" t="s">
        <v>5</v>
      </c>
      <c r="L94" s="20" t="s">
        <v>5</v>
      </c>
      <c r="M94" s="37">
        <f>IFERROR(INDEX('KPI 64'!$E$26:$P$26,Actual_month),)</f>
        <v>527</v>
      </c>
      <c r="N94" s="38">
        <f>IFERROR(INDEX('KPI 64'!$E$27:$P$27,Actual_month),)</f>
        <v>518</v>
      </c>
      <c r="O94" s="23">
        <f t="shared" si="57"/>
        <v>0.98292220113851991</v>
      </c>
      <c r="P94" s="25" t="s">
        <v>18</v>
      </c>
      <c r="Q94" s="5">
        <f t="shared" si="58"/>
        <v>474.3</v>
      </c>
      <c r="R94" s="5">
        <f t="shared" si="59"/>
        <v>474.3</v>
      </c>
      <c r="S94" s="26" t="s">
        <v>21</v>
      </c>
      <c r="T94" s="14" t="s">
        <v>24</v>
      </c>
    </row>
    <row r="95" spans="1:20" ht="20" outlineLevel="1" x14ac:dyDescent="0.35">
      <c r="A95" s="39">
        <v>5</v>
      </c>
      <c r="B95" s="36" t="s">
        <v>139</v>
      </c>
      <c r="C95" s="22" t="s">
        <v>71</v>
      </c>
      <c r="D95" s="31" t="s">
        <v>5</v>
      </c>
      <c r="E95" s="31" t="s">
        <v>5</v>
      </c>
      <c r="F95" s="31" t="s">
        <v>5</v>
      </c>
      <c r="G95" s="37">
        <f>IFERROR(INDEX('KPI 65'!E$19:P$19,Actual_month),)</f>
        <v>0</v>
      </c>
      <c r="H95" s="38">
        <f>IFERROR(INDEX('KPI 65'!$E$20:$P$20,Actual_month),)</f>
        <v>0</v>
      </c>
      <c r="I95" s="23" t="str">
        <f t="shared" si="56"/>
        <v/>
      </c>
      <c r="J95" s="20" t="s">
        <v>5</v>
      </c>
      <c r="K95" s="20" t="s">
        <v>5</v>
      </c>
      <c r="L95" s="20" t="s">
        <v>5</v>
      </c>
      <c r="M95" s="37">
        <f>IFERROR(INDEX('KPI 65'!$E$26:$P$26,Actual_month),)</f>
        <v>0</v>
      </c>
      <c r="N95" s="38">
        <f>IFERROR(INDEX('KPI 65'!$E$27:$P$27,Actual_month),)</f>
        <v>0</v>
      </c>
      <c r="O95" s="23" t="str">
        <f t="shared" si="57"/>
        <v/>
      </c>
      <c r="P95" s="25" t="s">
        <v>18</v>
      </c>
      <c r="Q95" s="5">
        <f t="shared" si="58"/>
        <v>0</v>
      </c>
      <c r="R95" s="5">
        <f t="shared" si="59"/>
        <v>0</v>
      </c>
      <c r="S95" s="26" t="s">
        <v>21</v>
      </c>
      <c r="T95" s="14" t="s">
        <v>24</v>
      </c>
    </row>
    <row r="96" spans="1:20" ht="20" outlineLevel="1" x14ac:dyDescent="0.35">
      <c r="A96" s="35">
        <v>6</v>
      </c>
      <c r="B96" s="36" t="s">
        <v>143</v>
      </c>
      <c r="C96" s="22" t="s">
        <v>71</v>
      </c>
      <c r="D96" s="31" t="s">
        <v>5</v>
      </c>
      <c r="E96" s="31" t="s">
        <v>5</v>
      </c>
      <c r="F96" s="31" t="s">
        <v>5</v>
      </c>
      <c r="G96" s="37">
        <f>IFERROR(INDEX('KPI 70'!E$19:P$19,Actual_month),)</f>
        <v>163</v>
      </c>
      <c r="H96" s="38">
        <f>IFERROR(INDEX('KPI 70'!$E$20:$P$20,Actual_month),)</f>
        <v>159</v>
      </c>
      <c r="I96" s="23">
        <f>IFERROR(H96/G96,"")</f>
        <v>0.97546012269938653</v>
      </c>
      <c r="J96" s="20" t="s">
        <v>5</v>
      </c>
      <c r="K96" s="20" t="s">
        <v>5</v>
      </c>
      <c r="L96" s="20" t="s">
        <v>5</v>
      </c>
      <c r="M96" s="37">
        <f>IFERROR(INDEX('KPI 70'!$E$26:$P$26,Actual_month),)</f>
        <v>163</v>
      </c>
      <c r="N96" s="38">
        <f>IFERROR(INDEX('KPI 70'!$E$27:$P$27,Actual_month),)</f>
        <v>159</v>
      </c>
      <c r="O96" s="23">
        <f>IFERROR(N96/M96,"")</f>
        <v>0.97546012269938653</v>
      </c>
      <c r="P96" s="25" t="s">
        <v>18</v>
      </c>
      <c r="Q96" s="5">
        <f>G96*$R$3</f>
        <v>146.70000000000002</v>
      </c>
      <c r="R96" s="5">
        <f>M96*$R$3</f>
        <v>146.70000000000002</v>
      </c>
      <c r="S96" s="26" t="s">
        <v>21</v>
      </c>
      <c r="T96" s="14" t="s">
        <v>24</v>
      </c>
    </row>
    <row r="97" spans="1:20" ht="20" outlineLevel="1" x14ac:dyDescent="0.35">
      <c r="A97" s="35">
        <v>7</v>
      </c>
      <c r="B97" s="36" t="s">
        <v>448</v>
      </c>
      <c r="C97" s="22" t="s">
        <v>71</v>
      </c>
      <c r="D97" s="31" t="s">
        <v>5</v>
      </c>
      <c r="E97" s="31" t="s">
        <v>5</v>
      </c>
      <c r="F97" s="31" t="s">
        <v>5</v>
      </c>
      <c r="G97" s="37">
        <f>IFERROR(INDEX('KPI 70A'!E$19:P$19,Actual_month),)</f>
        <v>2</v>
      </c>
      <c r="H97" s="38">
        <f>IFERROR(INDEX('KPI 70A'!$E$20:$P$20,Actual_month),)</f>
        <v>2</v>
      </c>
      <c r="I97" s="23">
        <f>IFERROR(H97/G97,"")</f>
        <v>1</v>
      </c>
      <c r="J97" s="20" t="s">
        <v>5</v>
      </c>
      <c r="K97" s="20" t="s">
        <v>5</v>
      </c>
      <c r="L97" s="20" t="s">
        <v>5</v>
      </c>
      <c r="M97" s="37">
        <f>IFERROR(INDEX('KPI 70A'!$E$26:$P$26,Actual_month),)</f>
        <v>2</v>
      </c>
      <c r="N97" s="38">
        <f>IFERROR(INDEX('KPI 70A'!$E$27:$P$27,Actual_month),)</f>
        <v>2</v>
      </c>
      <c r="O97" s="23">
        <f>IFERROR(N97/M97,"")</f>
        <v>1</v>
      </c>
      <c r="P97" s="25" t="s">
        <v>18</v>
      </c>
      <c r="Q97" s="5">
        <f>G97*$R$3</f>
        <v>1.8</v>
      </c>
      <c r="R97" s="5">
        <f>M97*$R$3</f>
        <v>1.8</v>
      </c>
      <c r="S97" s="26" t="s">
        <v>21</v>
      </c>
      <c r="T97" s="14" t="s">
        <v>24</v>
      </c>
    </row>
    <row r="98" spans="1:20" s="7" customFormat="1" ht="20" x14ac:dyDescent="0.35">
      <c r="A98" s="43"/>
      <c r="B98" s="44" t="s">
        <v>205</v>
      </c>
      <c r="C98" s="370" t="s">
        <v>71</v>
      </c>
      <c r="D98" s="371" t="s">
        <v>5</v>
      </c>
      <c r="E98" s="371" t="s">
        <v>5</v>
      </c>
      <c r="F98" s="371" t="s">
        <v>5</v>
      </c>
      <c r="G98" s="372">
        <f>IFERROR(INDEX('KPI 66'!E$19:P$19,Actual_month),)</f>
        <v>1888</v>
      </c>
      <c r="H98" s="373">
        <f>IFERROR(INDEX('KPI 66'!$E$20:$P$20,Actual_month),)</f>
        <v>1790</v>
      </c>
      <c r="I98" s="374">
        <f t="shared" si="56"/>
        <v>0.94809322033898302</v>
      </c>
      <c r="J98" s="375" t="s">
        <v>5</v>
      </c>
      <c r="K98" s="375" t="s">
        <v>5</v>
      </c>
      <c r="L98" s="375" t="s">
        <v>5</v>
      </c>
      <c r="M98" s="372">
        <f>IFERROR(INDEX('KPI 66'!$E$26:$P$26,Actual_month),)</f>
        <v>1888</v>
      </c>
      <c r="N98" s="373">
        <f>IFERROR(INDEX('KPI 66'!$E$27:$P$27,Actual_month),)</f>
        <v>1790</v>
      </c>
      <c r="O98" s="374">
        <f t="shared" si="57"/>
        <v>0.94809322033898302</v>
      </c>
      <c r="P98" s="376" t="s">
        <v>18</v>
      </c>
      <c r="Q98" s="377">
        <f t="shared" si="58"/>
        <v>1699.2</v>
      </c>
      <c r="R98" s="377">
        <f t="shared" si="59"/>
        <v>1699.2</v>
      </c>
      <c r="S98" s="378" t="s">
        <v>21</v>
      </c>
      <c r="T98" s="379" t="s">
        <v>24</v>
      </c>
    </row>
    <row r="99" spans="1:20" ht="20" outlineLevel="1" x14ac:dyDescent="0.35">
      <c r="A99" s="39">
        <v>1</v>
      </c>
      <c r="B99" s="36" t="s">
        <v>140</v>
      </c>
      <c r="C99" s="22" t="s">
        <v>71</v>
      </c>
      <c r="D99" s="31" t="s">
        <v>5</v>
      </c>
      <c r="E99" s="31" t="s">
        <v>5</v>
      </c>
      <c r="F99" s="31" t="s">
        <v>5</v>
      </c>
      <c r="G99" s="37">
        <f>IFERROR(INDEX('KPI 67'!E$19:P$19,Actual_month),)</f>
        <v>0</v>
      </c>
      <c r="H99" s="38">
        <f>IFERROR(INDEX('KPI 67'!$E$20:$P$20,Actual_month),)</f>
        <v>0</v>
      </c>
      <c r="I99" s="23" t="str">
        <f t="shared" si="56"/>
        <v/>
      </c>
      <c r="J99" s="20" t="s">
        <v>5</v>
      </c>
      <c r="K99" s="20" t="s">
        <v>5</v>
      </c>
      <c r="L99" s="20" t="s">
        <v>5</v>
      </c>
      <c r="M99" s="37">
        <f>IFERROR(INDEX('KPI 67'!$E$26:$P$26,Actual_month),)</f>
        <v>0</v>
      </c>
      <c r="N99" s="38">
        <f>IFERROR(INDEX('KPI 67'!$E$27:$P$27,Actual_month),)</f>
        <v>0</v>
      </c>
      <c r="O99" s="23" t="str">
        <f t="shared" si="57"/>
        <v/>
      </c>
      <c r="P99" s="25" t="s">
        <v>18</v>
      </c>
      <c r="Q99" s="5">
        <f t="shared" si="58"/>
        <v>0</v>
      </c>
      <c r="R99" s="5">
        <f t="shared" si="59"/>
        <v>0</v>
      </c>
      <c r="S99" s="26" t="s">
        <v>21</v>
      </c>
      <c r="T99" s="14" t="s">
        <v>24</v>
      </c>
    </row>
    <row r="100" spans="1:20" ht="20" outlineLevel="1" x14ac:dyDescent="0.35">
      <c r="A100" s="35">
        <v>2</v>
      </c>
      <c r="B100" s="36" t="s">
        <v>141</v>
      </c>
      <c r="C100" s="22" t="s">
        <v>71</v>
      </c>
      <c r="D100" s="31" t="s">
        <v>5</v>
      </c>
      <c r="E100" s="31" t="s">
        <v>5</v>
      </c>
      <c r="F100" s="31" t="s">
        <v>5</v>
      </c>
      <c r="G100" s="37">
        <f>IFERROR(INDEX('KPI 68'!E$19:P$19,Actual_month),)</f>
        <v>0</v>
      </c>
      <c r="H100" s="38">
        <f>IFERROR(INDEX('KPI 68'!$E$20:$P$20,Actual_month),)</f>
        <v>0</v>
      </c>
      <c r="I100" s="23" t="str">
        <f t="shared" si="56"/>
        <v/>
      </c>
      <c r="J100" s="20" t="s">
        <v>5</v>
      </c>
      <c r="K100" s="20" t="s">
        <v>5</v>
      </c>
      <c r="L100" s="20" t="s">
        <v>5</v>
      </c>
      <c r="M100" s="37">
        <f>IFERROR(INDEX('KPI 68'!$E$26:$P$26,Actual_month),)</f>
        <v>0</v>
      </c>
      <c r="N100" s="38">
        <f>IFERROR(INDEX('KPI 68'!$E$27:$P$27,Actual_month),)</f>
        <v>0</v>
      </c>
      <c r="O100" s="23" t="str">
        <f t="shared" si="57"/>
        <v/>
      </c>
      <c r="P100" s="25" t="s">
        <v>18</v>
      </c>
      <c r="Q100" s="5">
        <f t="shared" si="58"/>
        <v>0</v>
      </c>
      <c r="R100" s="5">
        <f t="shared" si="59"/>
        <v>0</v>
      </c>
      <c r="S100" s="26" t="s">
        <v>21</v>
      </c>
      <c r="T100" s="14" t="s">
        <v>24</v>
      </c>
    </row>
    <row r="101" spans="1:20" ht="20" outlineLevel="1" x14ac:dyDescent="0.35">
      <c r="A101" s="39">
        <v>3</v>
      </c>
      <c r="B101" s="36" t="s">
        <v>144</v>
      </c>
      <c r="C101" s="22" t="s">
        <v>71</v>
      </c>
      <c r="D101" s="31" t="s">
        <v>5</v>
      </c>
      <c r="E101" s="31" t="s">
        <v>5</v>
      </c>
      <c r="F101" s="31" t="s">
        <v>5</v>
      </c>
      <c r="G101" s="37">
        <f>IFERROR(INDEX('KPI 71'!E$19:P$19,Actual_month),)</f>
        <v>0</v>
      </c>
      <c r="H101" s="38">
        <f>IFERROR(INDEX('KPI 71'!$E$20:$P$20,Actual_month),)</f>
        <v>0</v>
      </c>
      <c r="I101" s="23" t="str">
        <f t="shared" si="56"/>
        <v/>
      </c>
      <c r="J101" s="20" t="s">
        <v>5</v>
      </c>
      <c r="K101" s="20" t="s">
        <v>5</v>
      </c>
      <c r="L101" s="20" t="s">
        <v>5</v>
      </c>
      <c r="M101" s="37">
        <f>IFERROR(INDEX('KPI 71'!$E$26:$P$26,Actual_month),)</f>
        <v>0</v>
      </c>
      <c r="N101" s="38">
        <f>IFERROR(INDEX('KPI 71'!$E$27:$P$27,Actual_month),)</f>
        <v>0</v>
      </c>
      <c r="O101" s="23" t="str">
        <f t="shared" si="57"/>
        <v/>
      </c>
      <c r="P101" s="25" t="s">
        <v>18</v>
      </c>
      <c r="Q101" s="5">
        <f t="shared" si="58"/>
        <v>0</v>
      </c>
      <c r="R101" s="5">
        <f t="shared" si="59"/>
        <v>0</v>
      </c>
      <c r="S101" s="26" t="s">
        <v>21</v>
      </c>
      <c r="T101" s="14" t="s">
        <v>24</v>
      </c>
    </row>
    <row r="102" spans="1:20" ht="20.5" thickBot="1" x14ac:dyDescent="0.4">
      <c r="A102" s="35"/>
      <c r="B102" s="44" t="s">
        <v>206</v>
      </c>
      <c r="C102" s="22" t="s">
        <v>71</v>
      </c>
      <c r="D102" s="31" t="s">
        <v>5</v>
      </c>
      <c r="E102" s="31" t="s">
        <v>5</v>
      </c>
      <c r="F102" s="31" t="s">
        <v>5</v>
      </c>
      <c r="G102" s="37">
        <f>IFERROR(INDEX('KPI 72'!E$19:P$19,Actual_month),)</f>
        <v>0</v>
      </c>
      <c r="H102" s="38">
        <f>IFERROR(INDEX('KPI 72'!$E$20:$P$20,Actual_month),)</f>
        <v>0</v>
      </c>
      <c r="I102" s="23" t="str">
        <f t="shared" si="56"/>
        <v/>
      </c>
      <c r="J102" s="20" t="s">
        <v>5</v>
      </c>
      <c r="K102" s="20" t="s">
        <v>5</v>
      </c>
      <c r="L102" s="20" t="s">
        <v>5</v>
      </c>
      <c r="M102" s="37">
        <f>IFERROR(INDEX('KPI 72'!$E$26:$P$26,Actual_month),)</f>
        <v>0</v>
      </c>
      <c r="N102" s="38">
        <f>IFERROR(INDEX('KPI 72'!$E$27:$P$27,Actual_month),)</f>
        <v>0</v>
      </c>
      <c r="O102" s="23" t="str">
        <f t="shared" si="57"/>
        <v/>
      </c>
      <c r="P102" s="25" t="s">
        <v>18</v>
      </c>
      <c r="Q102" s="5">
        <f t="shared" si="58"/>
        <v>0</v>
      </c>
      <c r="R102" s="5">
        <f t="shared" si="59"/>
        <v>0</v>
      </c>
      <c r="S102" s="26" t="s">
        <v>21</v>
      </c>
      <c r="T102" s="14" t="s">
        <v>24</v>
      </c>
    </row>
    <row r="103" spans="1:20" ht="15" thickBot="1" x14ac:dyDescent="0.4">
      <c r="A103" s="385" t="s">
        <v>197</v>
      </c>
      <c r="B103" s="386"/>
      <c r="C103" s="32"/>
      <c r="D103" s="32"/>
      <c r="E103" s="32"/>
      <c r="F103" s="32"/>
      <c r="G103" s="33"/>
      <c r="H103" s="33"/>
      <c r="I103" s="33"/>
      <c r="J103" s="33"/>
      <c r="K103" s="33"/>
      <c r="L103" s="33"/>
      <c r="M103" s="33"/>
      <c r="N103" s="33"/>
      <c r="O103" s="34"/>
      <c r="Q103" s="14" t="s">
        <v>26</v>
      </c>
      <c r="R103" s="3" t="s">
        <v>25</v>
      </c>
    </row>
    <row r="104" spans="1:20" ht="20.5" thickBot="1" x14ac:dyDescent="0.4">
      <c r="A104" s="39">
        <v>1</v>
      </c>
      <c r="B104" s="36" t="s">
        <v>142</v>
      </c>
      <c r="C104" s="22" t="s">
        <v>71</v>
      </c>
      <c r="D104" s="31" t="s">
        <v>5</v>
      </c>
      <c r="E104" s="31" t="s">
        <v>5</v>
      </c>
      <c r="F104" s="31" t="s">
        <v>5</v>
      </c>
      <c r="G104" s="37">
        <f>IFERROR(INDEX('KPI 69'!E$19:P$19,Actual_month),)</f>
        <v>58</v>
      </c>
      <c r="H104" s="38">
        <f>IFERROR(INDEX('KPI 69'!$E$20:$P$20,Actual_month),)</f>
        <v>61</v>
      </c>
      <c r="I104" s="23">
        <f>IFERROR(H104/G104,"")</f>
        <v>1.0517241379310345</v>
      </c>
      <c r="J104" s="20" t="s">
        <v>5</v>
      </c>
      <c r="K104" s="20" t="s">
        <v>5</v>
      </c>
      <c r="L104" s="20" t="s">
        <v>5</v>
      </c>
      <c r="M104" s="37">
        <f>IFERROR(INDEX('KPI 69'!$E$26:$P$26,Actual_month),)</f>
        <v>58</v>
      </c>
      <c r="N104" s="38">
        <f>IFERROR(INDEX('KPI 69'!$E$27:$P$27,Actual_month),)</f>
        <v>61</v>
      </c>
      <c r="O104" s="23">
        <f>IFERROR(N104/M104,"")</f>
        <v>1.0517241379310345</v>
      </c>
      <c r="P104" s="25" t="s">
        <v>18</v>
      </c>
      <c r="Q104" s="5">
        <f>G104*$R$3</f>
        <v>52.2</v>
      </c>
      <c r="R104" s="5">
        <f>M104*$R$3</f>
        <v>52.2</v>
      </c>
      <c r="S104" s="26" t="s">
        <v>21</v>
      </c>
      <c r="T104" s="14" t="s">
        <v>24</v>
      </c>
    </row>
    <row r="105" spans="1:20" ht="15" thickBot="1" x14ac:dyDescent="0.4">
      <c r="A105" s="383" t="s">
        <v>172</v>
      </c>
      <c r="B105" s="384"/>
      <c r="C105" s="32"/>
      <c r="D105" s="32"/>
      <c r="E105" s="32"/>
      <c r="F105" s="32"/>
      <c r="G105" s="33"/>
      <c r="H105" s="33"/>
      <c r="I105" s="33"/>
      <c r="J105" s="33"/>
      <c r="K105" s="33"/>
      <c r="L105" s="33"/>
      <c r="M105" s="33"/>
      <c r="N105" s="33"/>
      <c r="O105" s="34"/>
      <c r="Q105" s="14" t="s">
        <v>26</v>
      </c>
      <c r="R105" s="3" t="s">
        <v>25</v>
      </c>
    </row>
    <row r="106" spans="1:20" ht="20" x14ac:dyDescent="0.35">
      <c r="A106" s="43">
        <v>1</v>
      </c>
      <c r="B106" s="44" t="s">
        <v>167</v>
      </c>
      <c r="C106" s="22" t="s">
        <v>71</v>
      </c>
      <c r="D106" s="31" t="s">
        <v>5</v>
      </c>
      <c r="E106" s="31" t="s">
        <v>5</v>
      </c>
      <c r="F106" s="31" t="s">
        <v>5</v>
      </c>
      <c r="G106" s="37">
        <f>IFERROR(INDEX('KPI 73'!E$19:P$19,Actual_month),)</f>
        <v>13663</v>
      </c>
      <c r="H106" s="38">
        <f>IFERROR(INDEX('KPI 73'!$E$20:$P$20,Actual_month),)</f>
        <v>13179</v>
      </c>
      <c r="I106" s="23">
        <f t="shared" ref="I106:I112" si="60">IFERROR(H106/G106,"")</f>
        <v>0.96457586181658495</v>
      </c>
      <c r="J106" s="20" t="s">
        <v>5</v>
      </c>
      <c r="K106" s="20" t="s">
        <v>5</v>
      </c>
      <c r="L106" s="20" t="s">
        <v>5</v>
      </c>
      <c r="M106" s="37">
        <f>IFERROR(INDEX('KPI 73'!$E$26:$P$26,Actual_month),)</f>
        <v>13663</v>
      </c>
      <c r="N106" s="38">
        <f>IFERROR(INDEX('KPI 73'!$E$27:$P$27,Actual_month),)</f>
        <v>13179</v>
      </c>
      <c r="O106" s="23">
        <f t="shared" ref="O106:O112" si="61">IFERROR(N106/M106,"")</f>
        <v>0.96457586181658495</v>
      </c>
      <c r="P106" s="25" t="s">
        <v>18</v>
      </c>
      <c r="Q106" s="5">
        <f t="shared" ref="Q106:Q112" si="62">G106*$R$3</f>
        <v>12296.7</v>
      </c>
      <c r="R106" s="5">
        <f t="shared" ref="R106:R112" si="63">M106*$R$3</f>
        <v>12296.7</v>
      </c>
      <c r="S106" s="26" t="s">
        <v>21</v>
      </c>
      <c r="T106" s="14" t="s">
        <v>24</v>
      </c>
    </row>
    <row r="107" spans="1:20" ht="20" x14ac:dyDescent="0.35">
      <c r="A107" s="45">
        <v>2</v>
      </c>
      <c r="B107" s="44" t="s">
        <v>168</v>
      </c>
      <c r="C107" s="22" t="s">
        <v>71</v>
      </c>
      <c r="D107" s="31" t="s">
        <v>5</v>
      </c>
      <c r="E107" s="31" t="s">
        <v>5</v>
      </c>
      <c r="F107" s="31" t="s">
        <v>5</v>
      </c>
      <c r="G107" s="37">
        <f>IFERROR(INDEX('KPI 74'!E$19:P$19,Actual_month),)</f>
        <v>2267</v>
      </c>
      <c r="H107" s="38">
        <f>IFERROR(INDEX('KPI 74'!$E$20:$P$20,Actual_month),)</f>
        <v>2176</v>
      </c>
      <c r="I107" s="23">
        <f t="shared" si="60"/>
        <v>0.95985884428760482</v>
      </c>
      <c r="J107" s="20" t="s">
        <v>5</v>
      </c>
      <c r="K107" s="20" t="s">
        <v>5</v>
      </c>
      <c r="L107" s="20" t="s">
        <v>5</v>
      </c>
      <c r="M107" s="37">
        <f>IFERROR(INDEX('KPI 74'!$E$26:$P$26,Actual_month),)</f>
        <v>2267</v>
      </c>
      <c r="N107" s="38">
        <f>IFERROR(INDEX('KPI 74'!$E$27:$P$27,Actual_month),)</f>
        <v>2176</v>
      </c>
      <c r="O107" s="23">
        <f t="shared" si="61"/>
        <v>0.95985884428760482</v>
      </c>
      <c r="P107" s="25" t="s">
        <v>18</v>
      </c>
      <c r="Q107" s="5">
        <f t="shared" si="62"/>
        <v>2040.3</v>
      </c>
      <c r="R107" s="5">
        <f t="shared" si="63"/>
        <v>2040.3</v>
      </c>
      <c r="S107" s="26" t="s">
        <v>21</v>
      </c>
      <c r="T107" s="14" t="s">
        <v>24</v>
      </c>
    </row>
    <row r="108" spans="1:20" ht="20" x14ac:dyDescent="0.35">
      <c r="A108" s="43">
        <v>3</v>
      </c>
      <c r="B108" s="44" t="s">
        <v>169</v>
      </c>
      <c r="C108" s="22" t="s">
        <v>71</v>
      </c>
      <c r="D108" s="31" t="s">
        <v>5</v>
      </c>
      <c r="E108" s="31" t="s">
        <v>5</v>
      </c>
      <c r="F108" s="31" t="s">
        <v>5</v>
      </c>
      <c r="G108" s="37">
        <f>IFERROR(INDEX('KPI 75'!E$19:P$19,Actual_month),)</f>
        <v>11689</v>
      </c>
      <c r="H108" s="38">
        <f>IFERROR(INDEX('KPI 75'!$E$20:$P$20,Actual_month),)</f>
        <v>11095</v>
      </c>
      <c r="I108" s="23">
        <f t="shared" si="60"/>
        <v>0.94918299255710492</v>
      </c>
      <c r="J108" s="20" t="s">
        <v>5</v>
      </c>
      <c r="K108" s="20" t="s">
        <v>5</v>
      </c>
      <c r="L108" s="20" t="s">
        <v>5</v>
      </c>
      <c r="M108" s="37">
        <f>IFERROR(INDEX('KPI 75'!$E$26:$P$26,Actual_month),)</f>
        <v>11689</v>
      </c>
      <c r="N108" s="38">
        <f>IFERROR(INDEX('KPI 75'!$E$27:$P$27,Actual_month),)</f>
        <v>11095</v>
      </c>
      <c r="O108" s="23">
        <f t="shared" si="61"/>
        <v>0.94918299255710492</v>
      </c>
      <c r="P108" s="25" t="s">
        <v>18</v>
      </c>
      <c r="Q108" s="5">
        <f t="shared" si="62"/>
        <v>10520.1</v>
      </c>
      <c r="R108" s="5">
        <f t="shared" si="63"/>
        <v>10520.1</v>
      </c>
      <c r="S108" s="26" t="s">
        <v>21</v>
      </c>
      <c r="T108" s="14" t="s">
        <v>24</v>
      </c>
    </row>
    <row r="109" spans="1:20" ht="20" x14ac:dyDescent="0.35">
      <c r="A109" s="45">
        <v>4</v>
      </c>
      <c r="B109" s="44" t="s">
        <v>170</v>
      </c>
      <c r="C109" s="22" t="s">
        <v>71</v>
      </c>
      <c r="D109" s="31" t="s">
        <v>5</v>
      </c>
      <c r="E109" s="31" t="s">
        <v>5</v>
      </c>
      <c r="F109" s="31" t="s">
        <v>5</v>
      </c>
      <c r="G109" s="37">
        <f>IFERROR(INDEX('KPI 76'!E$19:P$19,Actual_month),)</f>
        <v>1946</v>
      </c>
      <c r="H109" s="38">
        <f>IFERROR(INDEX('KPI 76'!$E$20:$P$20,Actual_month),)</f>
        <v>1851</v>
      </c>
      <c r="I109" s="23">
        <f t="shared" ref="I109:I111" si="64">IFERROR(H109/G109,"")</f>
        <v>0.95118191161356624</v>
      </c>
      <c r="J109" s="20" t="s">
        <v>5</v>
      </c>
      <c r="K109" s="20" t="s">
        <v>5</v>
      </c>
      <c r="L109" s="20" t="s">
        <v>5</v>
      </c>
      <c r="M109" s="37">
        <f>IFERROR(INDEX('KPI 76'!$E$26:$P$26,Actual_month),)</f>
        <v>1946</v>
      </c>
      <c r="N109" s="38">
        <f>IFERROR(INDEX('KPI 76'!$E$27:$P$27,Actual_month),)</f>
        <v>1851</v>
      </c>
      <c r="O109" s="23">
        <f t="shared" ref="O109:O111" si="65">IFERROR(N109/M109,"")</f>
        <v>0.95118191161356624</v>
      </c>
      <c r="P109" s="25" t="s">
        <v>18</v>
      </c>
      <c r="Q109" s="5">
        <f t="shared" ref="Q109:Q111" si="66">G109*$R$3</f>
        <v>1751.4</v>
      </c>
      <c r="R109" s="5">
        <f t="shared" ref="R109:R111" si="67">M109*$R$3</f>
        <v>1751.4</v>
      </c>
      <c r="S109" s="26" t="s">
        <v>21</v>
      </c>
      <c r="T109" s="14" t="s">
        <v>24</v>
      </c>
    </row>
    <row r="110" spans="1:20" ht="20" x14ac:dyDescent="0.35">
      <c r="A110" s="43" t="s">
        <v>222</v>
      </c>
      <c r="B110" s="44" t="s">
        <v>224</v>
      </c>
      <c r="C110" s="22" t="s">
        <v>71</v>
      </c>
      <c r="D110" s="31" t="s">
        <v>5</v>
      </c>
      <c r="E110" s="31" t="s">
        <v>5</v>
      </c>
      <c r="F110" s="31" t="s">
        <v>5</v>
      </c>
      <c r="G110" s="37">
        <f>IFERROR(INDEX('KPI 73 (2)'!E$19:P$19,Actual_month),)</f>
        <v>189</v>
      </c>
      <c r="H110" s="38">
        <f>IFERROR(INDEX('KPI 73 (2)'!$E$20:$P$20,Actual_month),)</f>
        <v>75</v>
      </c>
      <c r="I110" s="23">
        <f t="shared" si="64"/>
        <v>0.3968253968253968</v>
      </c>
      <c r="J110" s="20" t="s">
        <v>5</v>
      </c>
      <c r="K110" s="20" t="s">
        <v>5</v>
      </c>
      <c r="L110" s="20" t="s">
        <v>5</v>
      </c>
      <c r="M110" s="37">
        <f>IFERROR(INDEX('KPI 73 (2)'!$E$26:$P$26,Actual_month),)</f>
        <v>1482</v>
      </c>
      <c r="N110" s="38">
        <f>IFERROR(INDEX('KPI 73 (2)'!$E$27:$P$27,Actual_month),)</f>
        <v>1029</v>
      </c>
      <c r="O110" s="23">
        <f t="shared" si="65"/>
        <v>0.69433198380566796</v>
      </c>
      <c r="P110" s="25" t="s">
        <v>18</v>
      </c>
      <c r="Q110" s="5">
        <f t="shared" si="66"/>
        <v>170.1</v>
      </c>
      <c r="R110" s="5">
        <f t="shared" si="67"/>
        <v>1333.8</v>
      </c>
      <c r="S110" s="26" t="s">
        <v>21</v>
      </c>
      <c r="T110" s="14" t="s">
        <v>24</v>
      </c>
    </row>
    <row r="111" spans="1:20" ht="20" x14ac:dyDescent="0.35">
      <c r="A111" s="43" t="s">
        <v>223</v>
      </c>
      <c r="B111" s="44" t="s">
        <v>225</v>
      </c>
      <c r="C111" s="22" t="s">
        <v>71</v>
      </c>
      <c r="D111" s="31" t="s">
        <v>5</v>
      </c>
      <c r="E111" s="31" t="s">
        <v>5</v>
      </c>
      <c r="F111" s="31" t="s">
        <v>5</v>
      </c>
      <c r="G111" s="37">
        <f>IFERROR(INDEX('KPI 75 (2)'!E$19:P$19,Actual_month),)</f>
        <v>14</v>
      </c>
      <c r="H111" s="38">
        <f>IFERROR(INDEX('KPI 75 (2)'!$E$20:$P$20,Actual_month),)</f>
        <v>5</v>
      </c>
      <c r="I111" s="23">
        <f t="shared" si="64"/>
        <v>0.35714285714285715</v>
      </c>
      <c r="J111" s="20" t="s">
        <v>5</v>
      </c>
      <c r="K111" s="20" t="s">
        <v>5</v>
      </c>
      <c r="L111" s="20" t="s">
        <v>5</v>
      </c>
      <c r="M111" s="37">
        <f>IFERROR(INDEX('KPI 75 (2)'!$E$26:$P$26,Actual_month),)</f>
        <v>113</v>
      </c>
      <c r="N111" s="38">
        <f>IFERROR(INDEX('KPI 75 (2)'!$E$27:$P$27,Actual_month),)</f>
        <v>25</v>
      </c>
      <c r="O111" s="23">
        <f t="shared" si="65"/>
        <v>0.22123893805309736</v>
      </c>
      <c r="P111" s="25" t="s">
        <v>18</v>
      </c>
      <c r="Q111" s="5">
        <f t="shared" si="66"/>
        <v>12.6</v>
      </c>
      <c r="R111" s="5">
        <f t="shared" si="67"/>
        <v>101.7</v>
      </c>
      <c r="S111" s="26" t="s">
        <v>21</v>
      </c>
      <c r="T111" s="14" t="s">
        <v>24</v>
      </c>
    </row>
    <row r="112" spans="1:20" ht="20.5" thickBot="1" x14ac:dyDescent="0.4">
      <c r="A112" s="43">
        <v>5</v>
      </c>
      <c r="B112" s="44" t="s">
        <v>171</v>
      </c>
      <c r="C112" s="22" t="s">
        <v>71</v>
      </c>
      <c r="D112" s="31" t="s">
        <v>5</v>
      </c>
      <c r="E112" s="31" t="s">
        <v>5</v>
      </c>
      <c r="F112" s="31" t="s">
        <v>5</v>
      </c>
      <c r="G112" s="55">
        <f>IFERROR(INDEX('KPI 77'!E$19:P$19,Actual_month),)</f>
        <v>0.85593220338983056</v>
      </c>
      <c r="H112" s="56">
        <f>IFERROR(INDEX('KPI 77'!$E$20:$P$20,Actual_month),)</f>
        <v>0.84311299251058291</v>
      </c>
      <c r="I112" s="23">
        <f t="shared" si="60"/>
        <v>0.98502310016087902</v>
      </c>
      <c r="J112" s="20" t="s">
        <v>5</v>
      </c>
      <c r="K112" s="20" t="s">
        <v>5</v>
      </c>
      <c r="L112" s="20" t="s">
        <v>5</v>
      </c>
      <c r="M112" s="55">
        <f>IFERROR(INDEX('KPI 77'!$E$26:$P$26,Actual_month),)</f>
        <v>0.85593220338983056</v>
      </c>
      <c r="N112" s="56">
        <f>IFERROR(INDEX('KPI 77'!$E$27:$P$27,Actual_month),)</f>
        <v>0.84311299251058291</v>
      </c>
      <c r="O112" s="23">
        <f t="shared" si="61"/>
        <v>0.98502310016087902</v>
      </c>
      <c r="P112" s="25" t="s">
        <v>18</v>
      </c>
      <c r="Q112" s="5">
        <f t="shared" si="62"/>
        <v>0.77033898305084747</v>
      </c>
      <c r="R112" s="5">
        <f t="shared" si="63"/>
        <v>0.77033898305084747</v>
      </c>
      <c r="S112" s="26" t="s">
        <v>21</v>
      </c>
      <c r="T112" s="14" t="s">
        <v>24</v>
      </c>
    </row>
    <row r="113" spans="1:20" ht="15" thickBot="1" x14ac:dyDescent="0.4">
      <c r="A113" s="383" t="s">
        <v>46</v>
      </c>
      <c r="B113" s="384"/>
      <c r="C113" s="32"/>
      <c r="D113" s="32"/>
      <c r="E113" s="32"/>
      <c r="F113" s="32"/>
      <c r="G113" s="33"/>
      <c r="H113" s="33"/>
      <c r="I113" s="33"/>
      <c r="J113" s="33"/>
      <c r="K113" s="33"/>
      <c r="L113" s="33"/>
      <c r="M113" s="33"/>
      <c r="N113" s="33"/>
      <c r="O113" s="34"/>
      <c r="Q113" s="14" t="s">
        <v>26</v>
      </c>
      <c r="R113" s="3" t="s">
        <v>25</v>
      </c>
    </row>
    <row r="114" spans="1:20" ht="20" outlineLevel="1" x14ac:dyDescent="0.35">
      <c r="A114" s="39">
        <v>1</v>
      </c>
      <c r="B114" s="24" t="s">
        <v>72</v>
      </c>
      <c r="C114" s="22" t="s">
        <v>83</v>
      </c>
      <c r="D114" s="31" t="s">
        <v>5</v>
      </c>
      <c r="E114" s="31" t="s">
        <v>5</v>
      </c>
      <c r="F114" s="31" t="s">
        <v>5</v>
      </c>
      <c r="G114" s="37">
        <f>IFERROR(INDEX('KPI 78'!E$19:P$19,Actual_month),)</f>
        <v>16218.62495618647</v>
      </c>
      <c r="H114" s="38">
        <f>IFERROR(INDEX('KPI 78'!$E$20:$P$20,Actual_month),)</f>
        <v>15811</v>
      </c>
      <c r="I114" s="23">
        <f t="shared" ref="I114:I126" si="68">IFERROR(H114/G114,"")</f>
        <v>0.97486686095229147</v>
      </c>
      <c r="J114" s="20" t="s">
        <v>5</v>
      </c>
      <c r="K114" s="20" t="s">
        <v>5</v>
      </c>
      <c r="L114" s="20" t="s">
        <v>5</v>
      </c>
      <c r="M114" s="37">
        <f>IFERROR(INDEX('KPI 78'!$E$26:$P$26,Actual_month),)</f>
        <v>129411.97896950578</v>
      </c>
      <c r="N114" s="38">
        <f>IFERROR(INDEX('KPI 78'!$E$27:$P$27,Actual_month),)</f>
        <v>125957</v>
      </c>
      <c r="O114" s="23">
        <f t="shared" ref="O114:O126" si="69">IFERROR(N114/M114,"")</f>
        <v>0.97330247943801318</v>
      </c>
      <c r="P114" s="15" t="s">
        <v>18</v>
      </c>
      <c r="Q114" s="5">
        <f t="shared" ref="Q114:Q126" si="70">G114*$R$3</f>
        <v>14596.762460567823</v>
      </c>
      <c r="R114" s="5">
        <f t="shared" ref="R114:R126" si="71">M114*$R$3</f>
        <v>116470.78107255521</v>
      </c>
      <c r="S114" s="26" t="s">
        <v>21</v>
      </c>
      <c r="T114" s="14" t="s">
        <v>24</v>
      </c>
    </row>
    <row r="115" spans="1:20" ht="20" outlineLevel="1" x14ac:dyDescent="0.35">
      <c r="A115" s="35">
        <v>2</v>
      </c>
      <c r="B115" s="24" t="s">
        <v>73</v>
      </c>
      <c r="C115" s="22" t="s">
        <v>83</v>
      </c>
      <c r="D115" s="31" t="s">
        <v>5</v>
      </c>
      <c r="E115" s="31" t="s">
        <v>5</v>
      </c>
      <c r="F115" s="31" t="s">
        <v>5</v>
      </c>
      <c r="G115" s="37">
        <f>IFERROR(INDEX('KPI 79'!E$19:P$19,Actual_month),)</f>
        <v>17168.19102616256</v>
      </c>
      <c r="H115" s="38">
        <f>IFERROR(INDEX('KPI 79'!$E$20:$P$20,Actual_month),)</f>
        <v>17374</v>
      </c>
      <c r="I115" s="23">
        <f t="shared" si="68"/>
        <v>1.0119878077733298</v>
      </c>
      <c r="J115" s="20" t="s">
        <v>5</v>
      </c>
      <c r="K115" s="20" t="s">
        <v>5</v>
      </c>
      <c r="L115" s="20" t="s">
        <v>5</v>
      </c>
      <c r="M115" s="37">
        <f>IFERROR(INDEX('KPI 79'!$E$26:$P$26,Actual_month),)</f>
        <v>130834.10228977131</v>
      </c>
      <c r="N115" s="38">
        <f>IFERROR(INDEX('KPI 79'!$E$27:$P$27,Actual_month),)</f>
        <v>127731</v>
      </c>
      <c r="O115" s="23">
        <f t="shared" si="69"/>
        <v>0.97628216011374036</v>
      </c>
      <c r="P115" s="15" t="s">
        <v>18</v>
      </c>
      <c r="Q115" s="5">
        <f t="shared" si="70"/>
        <v>15451.371923546305</v>
      </c>
      <c r="R115" s="5">
        <f t="shared" si="71"/>
        <v>117750.69206079419</v>
      </c>
      <c r="S115" s="26" t="s">
        <v>21</v>
      </c>
      <c r="T115" s="14" t="s">
        <v>24</v>
      </c>
    </row>
    <row r="116" spans="1:20" ht="20" outlineLevel="1" x14ac:dyDescent="0.35">
      <c r="A116" s="39">
        <v>3</v>
      </c>
      <c r="B116" s="36" t="s">
        <v>74</v>
      </c>
      <c r="C116" s="22" t="s">
        <v>83</v>
      </c>
      <c r="D116" s="31" t="s">
        <v>5</v>
      </c>
      <c r="E116" s="31" t="s">
        <v>5</v>
      </c>
      <c r="F116" s="31" t="s">
        <v>5</v>
      </c>
      <c r="G116" s="37">
        <f>IFERROR(INDEX('KPI 80'!E$19:P$19,Actual_month),)</f>
        <v>14080.942938452383</v>
      </c>
      <c r="H116" s="38">
        <f>IFERROR(INDEX('KPI 80'!$E$20:$P$20,Actual_month),)</f>
        <v>12061</v>
      </c>
      <c r="I116" s="23">
        <f t="shared" si="68"/>
        <v>0.856547750581653</v>
      </c>
      <c r="J116" s="20" t="s">
        <v>5</v>
      </c>
      <c r="K116" s="20" t="s">
        <v>5</v>
      </c>
      <c r="L116" s="20" t="s">
        <v>5</v>
      </c>
      <c r="M116" s="37">
        <f>IFERROR(INDEX('KPI 80'!$E$26:$P$26,Actual_month),)</f>
        <v>110287.71152387623</v>
      </c>
      <c r="N116" s="38">
        <f>IFERROR(INDEX('KPI 80'!$E$27:$P$27,Actual_month),)</f>
        <v>97037</v>
      </c>
      <c r="O116" s="23">
        <f t="shared" si="69"/>
        <v>0.87985323713052488</v>
      </c>
      <c r="P116" s="25" t="s">
        <v>18</v>
      </c>
      <c r="Q116" s="5">
        <f t="shared" si="70"/>
        <v>12672.848644607146</v>
      </c>
      <c r="R116" s="5">
        <f t="shared" si="71"/>
        <v>99258.940371488614</v>
      </c>
      <c r="S116" s="26" t="s">
        <v>21</v>
      </c>
      <c r="T116" s="14" t="s">
        <v>24</v>
      </c>
    </row>
    <row r="117" spans="1:20" ht="20" outlineLevel="1" x14ac:dyDescent="0.35">
      <c r="A117" s="35">
        <v>4</v>
      </c>
      <c r="B117" s="36" t="s">
        <v>75</v>
      </c>
      <c r="C117" s="22" t="s">
        <v>83</v>
      </c>
      <c r="D117" s="31" t="s">
        <v>5</v>
      </c>
      <c r="E117" s="31" t="s">
        <v>5</v>
      </c>
      <c r="F117" s="31" t="s">
        <v>5</v>
      </c>
      <c r="G117" s="37">
        <f>IFERROR(INDEX('KPI 81'!E$19:P$19,Actual_month),)</f>
        <v>10832.328911377692</v>
      </c>
      <c r="H117" s="38">
        <f>IFERROR(INDEX('KPI 81'!$E$20:$P$20,Actual_month),)</f>
        <v>10175</v>
      </c>
      <c r="I117" s="23">
        <f t="shared" si="68"/>
        <v>0.93931785890592101</v>
      </c>
      <c r="J117" s="20" t="s">
        <v>5</v>
      </c>
      <c r="K117" s="20" t="s">
        <v>5</v>
      </c>
      <c r="L117" s="20" t="s">
        <v>5</v>
      </c>
      <c r="M117" s="37">
        <f>IFERROR(INDEX('KPI 81'!$E$26:$P$26,Actual_month),)</f>
        <v>86236.369726028264</v>
      </c>
      <c r="N117" s="38">
        <f>IFERROR(INDEX('KPI 81'!$E$27:$P$27,Actual_month),)</f>
        <v>82306</v>
      </c>
      <c r="O117" s="23">
        <f t="shared" si="69"/>
        <v>0.95442329334461784</v>
      </c>
      <c r="P117" s="25" t="s">
        <v>18</v>
      </c>
      <c r="Q117" s="5">
        <f t="shared" si="70"/>
        <v>9749.0960202399237</v>
      </c>
      <c r="R117" s="5">
        <f t="shared" si="71"/>
        <v>77612.732753425444</v>
      </c>
      <c r="S117" s="26" t="s">
        <v>21</v>
      </c>
      <c r="T117" s="14" t="s">
        <v>24</v>
      </c>
    </row>
    <row r="118" spans="1:20" ht="20" outlineLevel="1" x14ac:dyDescent="0.35">
      <c r="A118" s="39">
        <v>5</v>
      </c>
      <c r="B118" s="36" t="s">
        <v>76</v>
      </c>
      <c r="C118" s="22" t="s">
        <v>83</v>
      </c>
      <c r="D118" s="31" t="s">
        <v>5</v>
      </c>
      <c r="E118" s="31" t="s">
        <v>5</v>
      </c>
      <c r="F118" s="31" t="s">
        <v>5</v>
      </c>
      <c r="G118" s="37">
        <f>IFERROR(INDEX('KPI 82'!E$19:P$19,Actual_month),)</f>
        <v>1868.1719738030713</v>
      </c>
      <c r="H118" s="38">
        <f>IFERROR(INDEX('KPI 82'!$E$20:$P$20,Actual_month),)</f>
        <v>1575</v>
      </c>
      <c r="I118" s="23">
        <f t="shared" si="68"/>
        <v>0.84307013598632685</v>
      </c>
      <c r="J118" s="20" t="s">
        <v>5</v>
      </c>
      <c r="K118" s="20" t="s">
        <v>5</v>
      </c>
      <c r="L118" s="20" t="s">
        <v>5</v>
      </c>
      <c r="M118" s="37">
        <f>IFERROR(INDEX('KPI 82'!$E$26:$P$26,Actual_month),)</f>
        <v>14669.460072267388</v>
      </c>
      <c r="N118" s="38">
        <f>IFERROR(INDEX('KPI 82'!$E$27:$P$27,Actual_month),)</f>
        <v>12025</v>
      </c>
      <c r="O118" s="23">
        <f t="shared" si="69"/>
        <v>0.81973023824736813</v>
      </c>
      <c r="P118" s="25" t="s">
        <v>18</v>
      </c>
      <c r="Q118" s="5">
        <f t="shared" si="70"/>
        <v>1681.3547764227642</v>
      </c>
      <c r="R118" s="5">
        <f t="shared" si="71"/>
        <v>13202.514065040648</v>
      </c>
      <c r="S118" s="26" t="s">
        <v>21</v>
      </c>
      <c r="T118" s="14" t="s">
        <v>24</v>
      </c>
    </row>
    <row r="119" spans="1:20" ht="20" outlineLevel="1" x14ac:dyDescent="0.35">
      <c r="A119" s="35">
        <v>6</v>
      </c>
      <c r="B119" s="36" t="s">
        <v>80</v>
      </c>
      <c r="C119" s="22" t="s">
        <v>83</v>
      </c>
      <c r="D119" s="31" t="s">
        <v>5</v>
      </c>
      <c r="E119" s="31" t="s">
        <v>5</v>
      </c>
      <c r="F119" s="31" t="s">
        <v>5</v>
      </c>
      <c r="G119" s="37">
        <f>IFERROR(INDEX('KPI 87'!E$19:P$19,Actual_month),)</f>
        <v>21596.292915128477</v>
      </c>
      <c r="H119" s="38">
        <f>IFERROR(INDEX('KPI 87'!$E$20:$P$20,Actual_month),)</f>
        <v>21183</v>
      </c>
      <c r="I119" s="23">
        <f>IFERROR(H119/G119,"")</f>
        <v>0.98086278433281671</v>
      </c>
      <c r="J119" s="20" t="s">
        <v>5</v>
      </c>
      <c r="K119" s="20" t="s">
        <v>5</v>
      </c>
      <c r="L119" s="20" t="s">
        <v>5</v>
      </c>
      <c r="M119" s="37">
        <f>IFERROR(INDEX('KPI 87'!$E$26:$P$26,Actual_month),)</f>
        <v>170748.56220691337</v>
      </c>
      <c r="N119" s="38">
        <f>IFERROR(INDEX('KPI 87'!$E$27:$P$27,Actual_month),)</f>
        <v>157584</v>
      </c>
      <c r="O119" s="23">
        <f>IFERROR(N119/M119,"")</f>
        <v>0.92290088984198571</v>
      </c>
      <c r="P119" s="25" t="s">
        <v>18</v>
      </c>
      <c r="Q119" s="5">
        <f>G119*$R$3</f>
        <v>19436.66362361563</v>
      </c>
      <c r="R119" s="5">
        <f>M119*$R$3</f>
        <v>153673.70598622205</v>
      </c>
      <c r="S119" s="26" t="s">
        <v>21</v>
      </c>
      <c r="T119" s="14" t="s">
        <v>24</v>
      </c>
    </row>
    <row r="120" spans="1:20" ht="20" outlineLevel="1" x14ac:dyDescent="0.35">
      <c r="A120" s="35">
        <v>7</v>
      </c>
      <c r="B120" s="36" t="s">
        <v>449</v>
      </c>
      <c r="C120" s="22" t="s">
        <v>83</v>
      </c>
      <c r="D120" s="31" t="s">
        <v>5</v>
      </c>
      <c r="E120" s="31" t="s">
        <v>5</v>
      </c>
      <c r="F120" s="31" t="s">
        <v>5</v>
      </c>
      <c r="G120" s="37">
        <f>IFERROR(INDEX('KPI 87A'!E$19:P$19,Actual_month),)</f>
        <v>6088.6001507289257</v>
      </c>
      <c r="H120" s="38">
        <f>IFERROR(INDEX('KPI 87A'!$E$20:$P$20,Actual_month),)</f>
        <v>5420</v>
      </c>
      <c r="I120" s="23">
        <f>IFERROR(H120/G120,"")</f>
        <v>0.89018819857157461</v>
      </c>
      <c r="J120" s="20" t="s">
        <v>5</v>
      </c>
      <c r="K120" s="20" t="s">
        <v>5</v>
      </c>
      <c r="L120" s="20" t="s">
        <v>5</v>
      </c>
      <c r="M120" s="37">
        <f>IFERROR(INDEX('KPI 87A'!$E$26:$P$26,Actual_month),)</f>
        <v>47144.896020092638</v>
      </c>
      <c r="N120" s="38">
        <f>IFERROR(INDEX('KPI 87A'!$E$27:$P$27,Actual_month),)</f>
        <v>44878</v>
      </c>
      <c r="O120" s="23">
        <f>IFERROR(N120/M120,"")</f>
        <v>0.95191640640958231</v>
      </c>
      <c r="P120" s="25" t="s">
        <v>18</v>
      </c>
      <c r="Q120" s="5">
        <f>G120*$R$3</f>
        <v>5479.7401356560331</v>
      </c>
      <c r="R120" s="5">
        <f>M120*$R$3</f>
        <v>42430.406418083374</v>
      </c>
      <c r="S120" s="26" t="s">
        <v>21</v>
      </c>
      <c r="T120" s="14" t="s">
        <v>24</v>
      </c>
    </row>
    <row r="121" spans="1:20" s="7" customFormat="1" ht="20" x14ac:dyDescent="0.35">
      <c r="A121" s="43"/>
      <c r="B121" s="44" t="s">
        <v>207</v>
      </c>
      <c r="C121" s="370" t="s">
        <v>83</v>
      </c>
      <c r="D121" s="371" t="s">
        <v>5</v>
      </c>
      <c r="E121" s="371" t="s">
        <v>5</v>
      </c>
      <c r="F121" s="371" t="s">
        <v>5</v>
      </c>
      <c r="G121" s="372">
        <f>IFERROR(INDEX('KPI 83'!E$19:P$19,Actual_month),)</f>
        <v>87853.152871839586</v>
      </c>
      <c r="H121" s="373">
        <f>IFERROR(INDEX('KPI 83'!$E$20:$P$20,Actual_month),)</f>
        <v>83599</v>
      </c>
      <c r="I121" s="374">
        <f t="shared" si="68"/>
        <v>0.9515765486749741</v>
      </c>
      <c r="J121" s="375" t="s">
        <v>5</v>
      </c>
      <c r="K121" s="375" t="s">
        <v>5</v>
      </c>
      <c r="L121" s="375" t="s">
        <v>5</v>
      </c>
      <c r="M121" s="372">
        <f>IFERROR(INDEX('KPI 83'!$E$26:$P$26,Actual_month),)</f>
        <v>689333.08080845501</v>
      </c>
      <c r="N121" s="373">
        <f>IFERROR(INDEX('KPI 83'!$E$27:$P$27,Actual_month),)</f>
        <v>647518</v>
      </c>
      <c r="O121" s="374">
        <f t="shared" si="69"/>
        <v>0.93933980252418181</v>
      </c>
      <c r="P121" s="376" t="s">
        <v>18</v>
      </c>
      <c r="Q121" s="377">
        <f t="shared" si="70"/>
        <v>79067.83758465563</v>
      </c>
      <c r="R121" s="377">
        <f t="shared" si="71"/>
        <v>620399.7727276095</v>
      </c>
      <c r="S121" s="378" t="s">
        <v>21</v>
      </c>
      <c r="T121" s="379" t="s">
        <v>24</v>
      </c>
    </row>
    <row r="122" spans="1:20" ht="20" outlineLevel="1" x14ac:dyDescent="0.35">
      <c r="A122" s="39">
        <v>1</v>
      </c>
      <c r="B122" s="36" t="s">
        <v>77</v>
      </c>
      <c r="C122" s="22" t="s">
        <v>83</v>
      </c>
      <c r="D122" s="31" t="s">
        <v>5</v>
      </c>
      <c r="E122" s="31" t="s">
        <v>5</v>
      </c>
      <c r="F122" s="31" t="s">
        <v>5</v>
      </c>
      <c r="G122" s="37">
        <f>IFERROR(INDEX('KPI 84'!E$19:P$19,Actual_month),)</f>
        <v>31004.835010021769</v>
      </c>
      <c r="H122" s="38">
        <f>IFERROR(INDEX('KPI 84'!$E$20:$P$20,Actual_month),)</f>
        <v>26800</v>
      </c>
      <c r="I122" s="23">
        <f t="shared" si="68"/>
        <v>0.86438131315123501</v>
      </c>
      <c r="J122" s="20" t="s">
        <v>5</v>
      </c>
      <c r="K122" s="20" t="s">
        <v>5</v>
      </c>
      <c r="L122" s="20" t="s">
        <v>5</v>
      </c>
      <c r="M122" s="37">
        <f>IFERROR(INDEX('KPI 84'!$E$26:$P$26,Actual_month),)</f>
        <v>228405.72897862166</v>
      </c>
      <c r="N122" s="38">
        <f>IFERROR(INDEX('KPI 84'!$E$27:$P$27,Actual_month),)</f>
        <v>200670</v>
      </c>
      <c r="O122" s="23">
        <f t="shared" si="69"/>
        <v>0.87856815543703959</v>
      </c>
      <c r="P122" s="25" t="s">
        <v>18</v>
      </c>
      <c r="Q122" s="5">
        <f t="shared" si="70"/>
        <v>27904.351509019591</v>
      </c>
      <c r="R122" s="5">
        <f t="shared" si="71"/>
        <v>205565.15608075951</v>
      </c>
      <c r="S122" s="26" t="s">
        <v>21</v>
      </c>
      <c r="T122" s="14" t="s">
        <v>24</v>
      </c>
    </row>
    <row r="123" spans="1:20" ht="20" outlineLevel="1" x14ac:dyDescent="0.35">
      <c r="A123" s="35">
        <v>2</v>
      </c>
      <c r="B123" s="36" t="s">
        <v>78</v>
      </c>
      <c r="C123" s="22" t="s">
        <v>83</v>
      </c>
      <c r="D123" s="31" t="s">
        <v>5</v>
      </c>
      <c r="E123" s="31" t="s">
        <v>5</v>
      </c>
      <c r="F123" s="31" t="s">
        <v>5</v>
      </c>
      <c r="G123" s="37">
        <f>IFERROR(INDEX('KPI 85'!E$19:P$19,Actual_month),)</f>
        <v>8487.7304169300241</v>
      </c>
      <c r="H123" s="38">
        <f>IFERROR(INDEX('KPI 85'!$E$20:$P$20,Actual_month),)</f>
        <v>7181</v>
      </c>
      <c r="I123" s="23">
        <f t="shared" si="68"/>
        <v>0.84604477843410786</v>
      </c>
      <c r="J123" s="20" t="s">
        <v>5</v>
      </c>
      <c r="K123" s="20" t="s">
        <v>5</v>
      </c>
      <c r="L123" s="20" t="s">
        <v>5</v>
      </c>
      <c r="M123" s="37">
        <f>IFERROR(INDEX('KPI 85'!$E$26:$P$26,Actual_month),)</f>
        <v>61865.086481984479</v>
      </c>
      <c r="N123" s="38">
        <f>IFERROR(INDEX('KPI 85'!$E$27:$P$27,Actual_month),)</f>
        <v>50827</v>
      </c>
      <c r="O123" s="23">
        <f t="shared" si="69"/>
        <v>0.82157809663453973</v>
      </c>
      <c r="P123" s="25" t="s">
        <v>18</v>
      </c>
      <c r="Q123" s="5">
        <f t="shared" si="70"/>
        <v>7638.9573752370216</v>
      </c>
      <c r="R123" s="5">
        <f t="shared" si="71"/>
        <v>55678.577833786032</v>
      </c>
      <c r="S123" s="26" t="s">
        <v>21</v>
      </c>
      <c r="T123" s="14" t="s">
        <v>24</v>
      </c>
    </row>
    <row r="124" spans="1:20" ht="20" outlineLevel="1" x14ac:dyDescent="0.35">
      <c r="A124" s="39">
        <v>3</v>
      </c>
      <c r="B124" s="36" t="s">
        <v>81</v>
      </c>
      <c r="C124" s="22" t="s">
        <v>83</v>
      </c>
      <c r="D124" s="31" t="s">
        <v>5</v>
      </c>
      <c r="E124" s="31" t="s">
        <v>5</v>
      </c>
      <c r="F124" s="31" t="s">
        <v>5</v>
      </c>
      <c r="G124" s="37">
        <f>IFERROR(INDEX('KPI 88B'!E$19:P$19,Actual_month),)</f>
        <v>19986.028815109647</v>
      </c>
      <c r="H124" s="38">
        <f>IFERROR(INDEX('KPI 88B'!$E$20:$P$20,Actual_month),)</f>
        <v>15292</v>
      </c>
      <c r="I124" s="23">
        <f t="shared" si="68"/>
        <v>0.76513449177252701</v>
      </c>
      <c r="J124" s="20" t="s">
        <v>5</v>
      </c>
      <c r="K124" s="20" t="s">
        <v>5</v>
      </c>
      <c r="L124" s="20" t="s">
        <v>5</v>
      </c>
      <c r="M124" s="37">
        <f>IFERROR(INDEX('KPI 88B'!$E$26:$P$26,Actual_month),)</f>
        <v>123022.44901961212</v>
      </c>
      <c r="N124" s="38">
        <f>IFERROR(INDEX('KPI 88B'!$E$27:$P$27,Actual_month),)</f>
        <v>106366</v>
      </c>
      <c r="O124" s="23">
        <f t="shared" si="69"/>
        <v>0.86460642628763829</v>
      </c>
      <c r="P124" s="25" t="s">
        <v>18</v>
      </c>
      <c r="Q124" s="5">
        <f t="shared" si="70"/>
        <v>17987.425933598683</v>
      </c>
      <c r="R124" s="5">
        <f t="shared" si="71"/>
        <v>110720.20411765091</v>
      </c>
      <c r="S124" s="26" t="s">
        <v>21</v>
      </c>
      <c r="T124" s="14" t="s">
        <v>24</v>
      </c>
    </row>
    <row r="125" spans="1:20" ht="20" outlineLevel="1" x14ac:dyDescent="0.35">
      <c r="A125" s="39">
        <v>4</v>
      </c>
      <c r="B125" s="36" t="s">
        <v>456</v>
      </c>
      <c r="C125" s="22" t="s">
        <v>83</v>
      </c>
      <c r="D125" s="31" t="s">
        <v>5</v>
      </c>
      <c r="E125" s="31" t="s">
        <v>5</v>
      </c>
      <c r="F125" s="31" t="s">
        <v>5</v>
      </c>
      <c r="G125" s="37">
        <f>IFERROR(INDEX('KPI 88'!E$19:P$19,Actual_month),)</f>
        <v>5085.9041533441923</v>
      </c>
      <c r="H125" s="38">
        <f>IFERROR(INDEX('KPI 88'!$E$20:$P$20,Actual_month),)</f>
        <v>5749</v>
      </c>
      <c r="I125" s="23">
        <f t="shared" ref="I125" si="72">IFERROR(H125/G125,"")</f>
        <v>1.1303791472790132</v>
      </c>
      <c r="J125" s="20" t="s">
        <v>5</v>
      </c>
      <c r="K125" s="20" t="s">
        <v>5</v>
      </c>
      <c r="L125" s="20" t="s">
        <v>5</v>
      </c>
      <c r="M125" s="37">
        <f>IFERROR(INDEX('KPI 88'!$E$26:$P$26,Actual_month),)</f>
        <v>38715.830873932668</v>
      </c>
      <c r="N125" s="38">
        <f>IFERROR(INDEX('KPI 88'!$E$27:$P$27,Actual_month),)</f>
        <v>37385</v>
      </c>
      <c r="O125" s="23">
        <f t="shared" ref="O125" si="73">IFERROR(N125/M125,"")</f>
        <v>0.96562566671328465</v>
      </c>
      <c r="P125" s="25" t="s">
        <v>18</v>
      </c>
      <c r="Q125" s="5">
        <f t="shared" ref="Q125" si="74">G125*$R$3</f>
        <v>4577.3137380097733</v>
      </c>
      <c r="R125" s="5">
        <f t="shared" ref="R125" si="75">M125*$R$3</f>
        <v>34844.247786539403</v>
      </c>
      <c r="S125" s="26" t="s">
        <v>21</v>
      </c>
      <c r="T125" s="14" t="s">
        <v>24</v>
      </c>
    </row>
    <row r="126" spans="1:20" s="7" customFormat="1" ht="20.5" thickBot="1" x14ac:dyDescent="0.4">
      <c r="A126" s="43"/>
      <c r="B126" s="44" t="s">
        <v>208</v>
      </c>
      <c r="C126" s="370" t="s">
        <v>83</v>
      </c>
      <c r="D126" s="371" t="s">
        <v>5</v>
      </c>
      <c r="E126" s="371" t="s">
        <v>5</v>
      </c>
      <c r="F126" s="371" t="s">
        <v>5</v>
      </c>
      <c r="G126" s="372">
        <f>IFERROR(INDEX('KPI 88C'!E$19:P$19,Actual_month),)</f>
        <v>64564.49839540563</v>
      </c>
      <c r="H126" s="373">
        <f>IFERROR(INDEX('KPI 88C'!$E$20:$P$20,Actual_month),)</f>
        <v>55022</v>
      </c>
      <c r="I126" s="374">
        <f t="shared" si="68"/>
        <v>0.85220208268380715</v>
      </c>
      <c r="J126" s="375" t="s">
        <v>5</v>
      </c>
      <c r="K126" s="375" t="s">
        <v>5</v>
      </c>
      <c r="L126" s="375" t="s">
        <v>5</v>
      </c>
      <c r="M126" s="372">
        <f>IFERROR(INDEX('KPI 88C'!$E$26:$P$26,Actual_month),)</f>
        <v>452009.09535415098</v>
      </c>
      <c r="N126" s="373">
        <f>IFERROR(INDEX('KPI 88C'!$E$27:$P$27,Actual_month),)</f>
        <v>395248</v>
      </c>
      <c r="O126" s="374">
        <f t="shared" si="69"/>
        <v>0.87442488229207327</v>
      </c>
      <c r="P126" s="25" t="s">
        <v>18</v>
      </c>
      <c r="Q126" s="377">
        <f t="shared" si="70"/>
        <v>58108.048555865069</v>
      </c>
      <c r="R126" s="377">
        <f t="shared" si="71"/>
        <v>406808.18581873592</v>
      </c>
      <c r="S126" s="378" t="s">
        <v>21</v>
      </c>
      <c r="T126" s="379" t="s">
        <v>24</v>
      </c>
    </row>
    <row r="127" spans="1:20" ht="15" thickBot="1" x14ac:dyDescent="0.4">
      <c r="A127" s="385" t="s">
        <v>197</v>
      </c>
      <c r="B127" s="386"/>
      <c r="C127" s="32"/>
      <c r="D127" s="32"/>
      <c r="E127" s="32"/>
      <c r="F127" s="32"/>
      <c r="G127" s="33"/>
      <c r="H127" s="33"/>
      <c r="I127" s="33"/>
      <c r="J127" s="33"/>
      <c r="K127" s="33"/>
      <c r="L127" s="33"/>
      <c r="M127" s="33"/>
      <c r="N127" s="33"/>
      <c r="O127" s="34"/>
      <c r="Q127" s="14" t="s">
        <v>26</v>
      </c>
      <c r="R127" s="3" t="s">
        <v>25</v>
      </c>
    </row>
    <row r="128" spans="1:20" ht="20" x14ac:dyDescent="0.35">
      <c r="A128" s="39">
        <v>1</v>
      </c>
      <c r="B128" s="36" t="s">
        <v>79</v>
      </c>
      <c r="C128" s="22" t="s">
        <v>83</v>
      </c>
      <c r="D128" s="31" t="s">
        <v>5</v>
      </c>
      <c r="E128" s="31" t="s">
        <v>5</v>
      </c>
      <c r="F128" s="31" t="s">
        <v>5</v>
      </c>
      <c r="G128" s="37">
        <f>IFERROR(INDEX('KPI 86'!E$19:P$19,Actual_month),)</f>
        <v>30023.594695713906</v>
      </c>
      <c r="H128" s="38">
        <f>IFERROR(INDEX('KPI 86'!$E$20:$P$20,Actual_month),)</f>
        <v>33445</v>
      </c>
      <c r="I128" s="23">
        <f>IFERROR(H128/G128,"")</f>
        <v>1.1139572172806651</v>
      </c>
      <c r="J128" s="20" t="s">
        <v>5</v>
      </c>
      <c r="K128" s="20" t="s">
        <v>5</v>
      </c>
      <c r="L128" s="20" t="s">
        <v>5</v>
      </c>
      <c r="M128" s="37">
        <f>IFERROR(INDEX('KPI 86'!$E$26:$P$26,Actual_month),)</f>
        <v>233476.18716720684</v>
      </c>
      <c r="N128" s="38">
        <f>IFERROR(INDEX('KPI 86'!$E$27:$P$27,Actual_month),)</f>
        <v>232122</v>
      </c>
      <c r="O128" s="23">
        <f>IFERROR(N128/M128,"")</f>
        <v>0.99419989171642154</v>
      </c>
      <c r="P128" s="25" t="s">
        <v>18</v>
      </c>
      <c r="Q128" s="5">
        <f>G128*$R$3</f>
        <v>27021.235226142515</v>
      </c>
      <c r="R128" s="5">
        <f>M128*$R$3</f>
        <v>210128.56845048617</v>
      </c>
      <c r="S128" s="26" t="s">
        <v>21</v>
      </c>
      <c r="T128" s="14" t="s">
        <v>24</v>
      </c>
    </row>
    <row r="129" spans="1:20" ht="20" x14ac:dyDescent="0.35">
      <c r="A129" s="39">
        <v>2</v>
      </c>
      <c r="B129" s="36" t="s">
        <v>508</v>
      </c>
      <c r="C129" s="22" t="s">
        <v>83</v>
      </c>
      <c r="D129" s="31" t="s">
        <v>5</v>
      </c>
      <c r="E129" s="31" t="s">
        <v>5</v>
      </c>
      <c r="F129" s="31" t="s">
        <v>5</v>
      </c>
      <c r="G129" s="37">
        <f>IFERROR(INDEX('KPI 86B'!E$19:P$19,Actual_month),)</f>
        <v>1447.6666666666667</v>
      </c>
      <c r="H129" s="38">
        <f>IFERROR(INDEX('KPI 86B'!$E$20:$P$20,Actual_month),)</f>
        <v>199</v>
      </c>
      <c r="I129" s="23">
        <f>IFERROR(H129/G129,"")</f>
        <v>0.13746258346764909</v>
      </c>
      <c r="J129" s="20" t="s">
        <v>5</v>
      </c>
      <c r="K129" s="20" t="s">
        <v>5</v>
      </c>
      <c r="L129" s="20" t="s">
        <v>5</v>
      </c>
      <c r="M129" s="37">
        <f>IFERROR(INDEX('KPI 86B'!$E$26:$P$26,Actual_month),)</f>
        <v>7675.3333333333339</v>
      </c>
      <c r="N129" s="38">
        <f>IFERROR(INDEX('KPI 86B'!$E$27:$P$27,Actual_month),)</f>
        <v>958</v>
      </c>
      <c r="O129" s="23">
        <f>IFERROR(N129/M129,"")</f>
        <v>0.12481542604012855</v>
      </c>
      <c r="P129" s="25" t="s">
        <v>18</v>
      </c>
      <c r="Q129" s="5">
        <f>G129*$R$3</f>
        <v>1302.9000000000001</v>
      </c>
      <c r="R129" s="5">
        <f>M129*$R$3</f>
        <v>6907.8000000000011</v>
      </c>
      <c r="S129" s="26" t="s">
        <v>21</v>
      </c>
      <c r="T129" s="14" t="s">
        <v>24</v>
      </c>
    </row>
    <row r="130" spans="1:20" s="7" customFormat="1" ht="20.5" thickBot="1" x14ac:dyDescent="0.4">
      <c r="A130" s="43"/>
      <c r="B130" s="44" t="s">
        <v>509</v>
      </c>
      <c r="C130" s="370" t="s">
        <v>83</v>
      </c>
      <c r="D130" s="371" t="s">
        <v>5</v>
      </c>
      <c r="E130" s="371" t="s">
        <v>5</v>
      </c>
      <c r="F130" s="371" t="s">
        <v>5</v>
      </c>
      <c r="G130" s="372">
        <f>IFERROR(INDEX('KPI 89'!E$19:P$19,Actual_month),)</f>
        <v>31471.261362380574</v>
      </c>
      <c r="H130" s="373">
        <f>IFERROR(INDEX('KPI 89'!$E$20:$P$20,Actual_month),)</f>
        <v>33644</v>
      </c>
      <c r="I130" s="374">
        <f t="shared" ref="I130" si="76">IFERROR(H130/G130,"")</f>
        <v>1.0690388164808871</v>
      </c>
      <c r="J130" s="375" t="s">
        <v>5</v>
      </c>
      <c r="K130" s="375" t="s">
        <v>5</v>
      </c>
      <c r="L130" s="375" t="s">
        <v>5</v>
      </c>
      <c r="M130" s="372">
        <f>IFERROR(INDEX('KPI 89'!$E$26:$P$26,Actual_month),)</f>
        <v>241151.52050054018</v>
      </c>
      <c r="N130" s="373">
        <f>IFERROR(INDEX('KPI 89'!$E$27:$P$27,Actual_month),)</f>
        <v>233080</v>
      </c>
      <c r="O130" s="374">
        <f t="shared" ref="O130" si="77">IFERROR(N130/M130,"")</f>
        <v>0.96652925727448569</v>
      </c>
      <c r="P130" s="376" t="s">
        <v>18</v>
      </c>
      <c r="Q130" s="377">
        <f t="shared" ref="Q130" si="78">G130*$R$3</f>
        <v>28324.135226142516</v>
      </c>
      <c r="R130" s="377">
        <f t="shared" ref="R130" si="79">M130*$R$3</f>
        <v>217036.36845048616</v>
      </c>
      <c r="S130" s="378" t="s">
        <v>21</v>
      </c>
      <c r="T130" s="379" t="s">
        <v>24</v>
      </c>
    </row>
    <row r="131" spans="1:20" ht="15" thickBot="1" x14ac:dyDescent="0.4">
      <c r="A131" s="383" t="s">
        <v>47</v>
      </c>
      <c r="B131" s="384"/>
      <c r="C131" s="32"/>
      <c r="D131" s="32"/>
      <c r="E131" s="32"/>
      <c r="F131" s="32"/>
      <c r="G131" s="33"/>
      <c r="H131" s="33"/>
      <c r="I131" s="33"/>
      <c r="J131" s="33"/>
      <c r="K131" s="33"/>
      <c r="L131" s="33"/>
      <c r="M131" s="33"/>
      <c r="N131" s="33"/>
      <c r="O131" s="34"/>
      <c r="Q131" s="14" t="s">
        <v>26</v>
      </c>
      <c r="R131" s="3" t="s">
        <v>25</v>
      </c>
    </row>
    <row r="132" spans="1:20" ht="20" outlineLevel="1" x14ac:dyDescent="0.35">
      <c r="A132" s="39">
        <v>1</v>
      </c>
      <c r="B132" s="24" t="s">
        <v>82</v>
      </c>
      <c r="C132" s="22" t="s">
        <v>2</v>
      </c>
      <c r="D132" s="31" t="s">
        <v>5</v>
      </c>
      <c r="E132" s="31" t="s">
        <v>5</v>
      </c>
      <c r="F132" s="31" t="s">
        <v>5</v>
      </c>
      <c r="G132" s="37">
        <f>IFERROR(INDEX('KPI 90'!E$19:P$19,Actual_month),)</f>
        <v>1710227.5106934104</v>
      </c>
      <c r="H132" s="38">
        <f>IFERROR(INDEX('KPI 90'!$E$20:$P$20,Actual_month),)</f>
        <v>2094940</v>
      </c>
      <c r="I132" s="23">
        <f t="shared" ref="I132:I144" si="80">IFERROR(H132/G132,"")</f>
        <v>1.2249481352048934</v>
      </c>
      <c r="J132" s="20" t="s">
        <v>5</v>
      </c>
      <c r="K132" s="20" t="s">
        <v>5</v>
      </c>
      <c r="L132" s="20" t="s">
        <v>5</v>
      </c>
      <c r="M132" s="37">
        <f>IFERROR(INDEX('KPI 90'!$E$26:$P$26,Actual_month),)</f>
        <v>13892226.346725477</v>
      </c>
      <c r="N132" s="38">
        <f>IFERROR(INDEX('KPI 90'!$E$27:$P$27,Actual_month),)</f>
        <v>16710300</v>
      </c>
      <c r="O132" s="23">
        <f t="shared" ref="O132:O144" si="81">IFERROR(N132/M132,"")</f>
        <v>1.2028525581818474</v>
      </c>
      <c r="P132" s="15" t="s">
        <v>18</v>
      </c>
      <c r="Q132" s="5">
        <f t="shared" ref="Q132:Q144" si="82">G132*$R$3</f>
        <v>1539204.7596240693</v>
      </c>
      <c r="R132" s="5">
        <f t="shared" ref="R132:R144" si="83">M132*$R$3</f>
        <v>12503003.71205293</v>
      </c>
      <c r="S132" s="26" t="s">
        <v>21</v>
      </c>
      <c r="T132" s="14" t="s">
        <v>24</v>
      </c>
    </row>
    <row r="133" spans="1:20" ht="20" outlineLevel="1" x14ac:dyDescent="0.35">
      <c r="A133" s="35">
        <v>2</v>
      </c>
      <c r="B133" s="24" t="s">
        <v>84</v>
      </c>
      <c r="C133" s="22" t="s">
        <v>2</v>
      </c>
      <c r="D133" s="31" t="s">
        <v>5</v>
      </c>
      <c r="E133" s="31" t="s">
        <v>5</v>
      </c>
      <c r="F133" s="31" t="s">
        <v>5</v>
      </c>
      <c r="G133" s="37">
        <f>IFERROR(INDEX('KPI 91'!E$19:P$19,Actual_month),)</f>
        <v>1786707.1541104387</v>
      </c>
      <c r="H133" s="38">
        <f>IFERROR(INDEX('KPI 91'!$E$20:$P$20,Actual_month),)</f>
        <v>2304200</v>
      </c>
      <c r="I133" s="23">
        <f t="shared" si="80"/>
        <v>1.2896349548380297</v>
      </c>
      <c r="J133" s="20" t="s">
        <v>5</v>
      </c>
      <c r="K133" s="20" t="s">
        <v>5</v>
      </c>
      <c r="L133" s="20" t="s">
        <v>5</v>
      </c>
      <c r="M133" s="37">
        <f>IFERROR(INDEX('KPI 91'!$E$26:$P$26,Actual_month),)</f>
        <v>13844515.540707203</v>
      </c>
      <c r="N133" s="38">
        <f>IFERROR(INDEX('KPI 91'!$E$27:$P$27,Actual_month),)</f>
        <v>16864000</v>
      </c>
      <c r="O133" s="23">
        <f t="shared" si="81"/>
        <v>1.2180996836194498</v>
      </c>
      <c r="P133" s="15" t="s">
        <v>18</v>
      </c>
      <c r="Q133" s="5">
        <f t="shared" si="82"/>
        <v>1608036.4386993949</v>
      </c>
      <c r="R133" s="5">
        <f t="shared" si="83"/>
        <v>12460063.986636482</v>
      </c>
      <c r="S133" s="26" t="s">
        <v>21</v>
      </c>
      <c r="T133" s="14" t="s">
        <v>24</v>
      </c>
    </row>
    <row r="134" spans="1:20" ht="20" outlineLevel="1" x14ac:dyDescent="0.35">
      <c r="A134" s="39">
        <v>3</v>
      </c>
      <c r="B134" s="36" t="s">
        <v>85</v>
      </c>
      <c r="C134" s="22" t="s">
        <v>2</v>
      </c>
      <c r="D134" s="31" t="s">
        <v>5</v>
      </c>
      <c r="E134" s="31" t="s">
        <v>5</v>
      </c>
      <c r="F134" s="31" t="s">
        <v>5</v>
      </c>
      <c r="G134" s="37">
        <f>IFERROR(INDEX('KPI 92'!E$19:P$19,Actual_month),)</f>
        <v>1445676.5546680286</v>
      </c>
      <c r="H134" s="38">
        <f>IFERROR(INDEX('KPI 92'!$E$20:$P$20,Actual_month),)</f>
        <v>1507410</v>
      </c>
      <c r="I134" s="23">
        <f t="shared" si="80"/>
        <v>1.0427021141988067</v>
      </c>
      <c r="J134" s="20" t="s">
        <v>5</v>
      </c>
      <c r="K134" s="20" t="s">
        <v>5</v>
      </c>
      <c r="L134" s="20" t="s">
        <v>5</v>
      </c>
      <c r="M134" s="37">
        <f>IFERROR(INDEX('KPI 92'!$E$26:$P$26,Actual_month),)</f>
        <v>11516257.751294963</v>
      </c>
      <c r="N134" s="38">
        <f>IFERROR(INDEX('KPI 92'!$E$27:$P$27,Actual_month),)</f>
        <v>12125250</v>
      </c>
      <c r="O134" s="23">
        <f t="shared" si="81"/>
        <v>1.0528810887926294</v>
      </c>
      <c r="P134" s="25" t="s">
        <v>18</v>
      </c>
      <c r="Q134" s="5">
        <f t="shared" si="82"/>
        <v>1301108.8992012257</v>
      </c>
      <c r="R134" s="5">
        <f t="shared" si="83"/>
        <v>10364631.976165468</v>
      </c>
      <c r="S134" s="26" t="s">
        <v>21</v>
      </c>
      <c r="T134" s="14" t="s">
        <v>24</v>
      </c>
    </row>
    <row r="135" spans="1:20" ht="20" outlineLevel="1" x14ac:dyDescent="0.35">
      <c r="A135" s="35">
        <v>4</v>
      </c>
      <c r="B135" s="36" t="s">
        <v>86</v>
      </c>
      <c r="C135" s="22" t="s">
        <v>2</v>
      </c>
      <c r="D135" s="31" t="s">
        <v>5</v>
      </c>
      <c r="E135" s="31" t="s">
        <v>5</v>
      </c>
      <c r="F135" s="31" t="s">
        <v>5</v>
      </c>
      <c r="G135" s="37">
        <f>IFERROR(INDEX('KPI 93'!E$19:P$19,Actual_month),)</f>
        <v>1111878.4013268447</v>
      </c>
      <c r="H135" s="38">
        <f>IFERROR(INDEX('KPI 93'!$E$20:$P$20,Actual_month),)</f>
        <v>1234420</v>
      </c>
      <c r="I135" s="23">
        <f t="shared" si="80"/>
        <v>1.1102113311373996</v>
      </c>
      <c r="J135" s="20" t="s">
        <v>5</v>
      </c>
      <c r="K135" s="20" t="s">
        <v>5</v>
      </c>
      <c r="L135" s="20" t="s">
        <v>5</v>
      </c>
      <c r="M135" s="37">
        <f>IFERROR(INDEX('KPI 93'!$E$26:$P$26,Actual_month),)</f>
        <v>9006259.1079853848</v>
      </c>
      <c r="N135" s="38">
        <f>IFERROR(INDEX('KPI 93'!$E$27:$P$27,Actual_month),)</f>
        <v>10086280</v>
      </c>
      <c r="O135" s="23">
        <f t="shared" si="81"/>
        <v>1.1199189229473774</v>
      </c>
      <c r="P135" s="25" t="s">
        <v>18</v>
      </c>
      <c r="Q135" s="5">
        <f t="shared" si="82"/>
        <v>1000690.5611941603</v>
      </c>
      <c r="R135" s="5">
        <f t="shared" si="83"/>
        <v>8105633.1971868463</v>
      </c>
      <c r="S135" s="26" t="s">
        <v>21</v>
      </c>
      <c r="T135" s="14" t="s">
        <v>24</v>
      </c>
    </row>
    <row r="136" spans="1:20" ht="20" outlineLevel="1" x14ac:dyDescent="0.35">
      <c r="A136" s="39">
        <v>5</v>
      </c>
      <c r="B136" s="36" t="s">
        <v>87</v>
      </c>
      <c r="C136" s="22" t="s">
        <v>2</v>
      </c>
      <c r="D136" s="31" t="s">
        <v>5</v>
      </c>
      <c r="E136" s="31" t="s">
        <v>5</v>
      </c>
      <c r="F136" s="31" t="s">
        <v>5</v>
      </c>
      <c r="G136" s="37">
        <f>IFERROR(INDEX('KPI 94'!E$19:P$19,Actual_month),)</f>
        <v>185911.02536237886</v>
      </c>
      <c r="H136" s="38">
        <f>IFERROR(INDEX('KPI 94'!$E$20:$P$20,Actual_month),)</f>
        <v>198680</v>
      </c>
      <c r="I136" s="23">
        <f t="shared" si="80"/>
        <v>1.0686832564810602</v>
      </c>
      <c r="J136" s="20" t="s">
        <v>5</v>
      </c>
      <c r="K136" s="20" t="s">
        <v>5</v>
      </c>
      <c r="L136" s="20" t="s">
        <v>5</v>
      </c>
      <c r="M136" s="37">
        <f>IFERROR(INDEX('KPI 94'!$E$26:$P$26,Actual_month),)</f>
        <v>1482913.4488399487</v>
      </c>
      <c r="N136" s="38">
        <f>IFERROR(INDEX('KPI 94'!$E$27:$P$27,Actual_month),)</f>
        <v>1485550</v>
      </c>
      <c r="O136" s="23">
        <f t="shared" si="81"/>
        <v>1.001777953502353</v>
      </c>
      <c r="P136" s="25" t="s">
        <v>18</v>
      </c>
      <c r="Q136" s="5">
        <f t="shared" si="82"/>
        <v>167319.92282614097</v>
      </c>
      <c r="R136" s="5">
        <f t="shared" si="83"/>
        <v>1334622.1039559538</v>
      </c>
      <c r="S136" s="26" t="s">
        <v>21</v>
      </c>
      <c r="T136" s="14" t="s">
        <v>24</v>
      </c>
    </row>
    <row r="137" spans="1:20" ht="20" outlineLevel="1" x14ac:dyDescent="0.35">
      <c r="A137" s="35">
        <v>6</v>
      </c>
      <c r="B137" s="36" t="s">
        <v>91</v>
      </c>
      <c r="C137" s="22" t="s">
        <v>2</v>
      </c>
      <c r="D137" s="31" t="s">
        <v>5</v>
      </c>
      <c r="E137" s="31" t="s">
        <v>5</v>
      </c>
      <c r="F137" s="31" t="s">
        <v>5</v>
      </c>
      <c r="G137" s="37">
        <f>IFERROR(INDEX('KPI 99'!E$19:P$19,Actual_month),)</f>
        <v>2167653.1093387692</v>
      </c>
      <c r="H137" s="38">
        <f>IFERROR(INDEX('KPI 99'!$E$20:$P$20,Actual_month),)</f>
        <v>2690770</v>
      </c>
      <c r="I137" s="23">
        <f>IFERROR(H137/G137,"")</f>
        <v>1.2413286924958231</v>
      </c>
      <c r="J137" s="20" t="s">
        <v>5</v>
      </c>
      <c r="K137" s="20" t="s">
        <v>5</v>
      </c>
      <c r="L137" s="20" t="s">
        <v>5</v>
      </c>
      <c r="M137" s="37">
        <f>IFERROR(INDEX('KPI 99'!$E$26:$P$26,Actual_month),)</f>
        <v>17430485.834437434</v>
      </c>
      <c r="N137" s="38">
        <f>IFERROR(INDEX('KPI 99'!$E$27:$P$27,Actual_month),)</f>
        <v>19955050</v>
      </c>
      <c r="O137" s="23">
        <f>IFERROR(N137/M137,"")</f>
        <v>1.1448361330568757</v>
      </c>
      <c r="P137" s="25" t="s">
        <v>18</v>
      </c>
      <c r="Q137" s="5">
        <f>G137*$R$3</f>
        <v>1950887.7984048924</v>
      </c>
      <c r="R137" s="5">
        <f>M137*$R$3</f>
        <v>15687437.250993691</v>
      </c>
      <c r="S137" s="26" t="s">
        <v>21</v>
      </c>
      <c r="T137" s="14" t="s">
        <v>24</v>
      </c>
    </row>
    <row r="138" spans="1:20" ht="20" outlineLevel="1" x14ac:dyDescent="0.35">
      <c r="A138" s="35">
        <v>7</v>
      </c>
      <c r="B138" s="36" t="s">
        <v>450</v>
      </c>
      <c r="C138" s="22" t="s">
        <v>2</v>
      </c>
      <c r="D138" s="31" t="s">
        <v>5</v>
      </c>
      <c r="E138" s="31" t="s">
        <v>5</v>
      </c>
      <c r="F138" s="31" t="s">
        <v>5</v>
      </c>
      <c r="G138" s="37">
        <f>IFERROR(INDEX('KPI 99A'!E$19:P$19,Actual_month),)</f>
        <v>631515.64009056799</v>
      </c>
      <c r="H138" s="38">
        <f>IFERROR(INDEX('KPI 99A'!$E$20:$P$20,Actual_month),)</f>
        <v>690130</v>
      </c>
      <c r="I138" s="23">
        <f>IFERROR(H138/G138,"")</f>
        <v>1.0928153733469308</v>
      </c>
      <c r="J138" s="20" t="s">
        <v>5</v>
      </c>
      <c r="K138" s="20" t="s">
        <v>5</v>
      </c>
      <c r="L138" s="20" t="s">
        <v>5</v>
      </c>
      <c r="M138" s="37">
        <f>IFERROR(INDEX('KPI 99A'!$E$26:$P$26,Actual_month),)</f>
        <v>4970937.1021776684</v>
      </c>
      <c r="N138" s="38">
        <f>IFERROR(INDEX('KPI 99A'!$E$27:$P$27,Actual_month),)</f>
        <v>5755650</v>
      </c>
      <c r="O138" s="23">
        <f>IFERROR(N138/M138,"")</f>
        <v>1.1578601542712268</v>
      </c>
      <c r="P138" s="25" t="s">
        <v>18</v>
      </c>
      <c r="Q138" s="5">
        <f>G138*$R$3</f>
        <v>568364.07608151122</v>
      </c>
      <c r="R138" s="5">
        <f>M138*$R$3</f>
        <v>4473843.3919599019</v>
      </c>
      <c r="S138" s="26" t="s">
        <v>21</v>
      </c>
      <c r="T138" s="14" t="s">
        <v>24</v>
      </c>
    </row>
    <row r="139" spans="1:20" s="7" customFormat="1" ht="20" x14ac:dyDescent="0.35">
      <c r="A139" s="43"/>
      <c r="B139" s="44" t="s">
        <v>209</v>
      </c>
      <c r="C139" s="370" t="s">
        <v>2</v>
      </c>
      <c r="D139" s="371" t="s">
        <v>5</v>
      </c>
      <c r="E139" s="371" t="s">
        <v>5</v>
      </c>
      <c r="F139" s="371" t="s">
        <v>5</v>
      </c>
      <c r="G139" s="372">
        <f>IFERROR(INDEX('KPI 95'!E$19:P$19,Actual_month),)</f>
        <v>9039569.3955904376</v>
      </c>
      <c r="H139" s="373">
        <f>IFERROR(INDEX('KPI 95'!$E$20:$P$20,Actual_month),)</f>
        <v>10720550</v>
      </c>
      <c r="I139" s="374">
        <f t="shared" si="80"/>
        <v>1.1859580396860006</v>
      </c>
      <c r="J139" s="375" t="s">
        <v>5</v>
      </c>
      <c r="K139" s="375" t="s">
        <v>5</v>
      </c>
      <c r="L139" s="375" t="s">
        <v>5</v>
      </c>
      <c r="M139" s="372">
        <f>IFERROR(INDEX('KPI 95'!$E$26:$P$26,Actual_month),)</f>
        <v>72143595.132168084</v>
      </c>
      <c r="N139" s="373">
        <f>IFERROR(INDEX('KPI 95'!$E$27:$P$27,Actual_month),)</f>
        <v>82982080</v>
      </c>
      <c r="O139" s="374">
        <f t="shared" si="81"/>
        <v>1.1502348870745305</v>
      </c>
      <c r="P139" s="376" t="s">
        <v>18</v>
      </c>
      <c r="Q139" s="377">
        <f t="shared" si="82"/>
        <v>8135612.4560313942</v>
      </c>
      <c r="R139" s="377">
        <f t="shared" si="83"/>
        <v>64929235.618951276</v>
      </c>
      <c r="S139" s="378" t="s">
        <v>21</v>
      </c>
      <c r="T139" s="379" t="s">
        <v>24</v>
      </c>
    </row>
    <row r="140" spans="1:20" ht="20" outlineLevel="1" x14ac:dyDescent="0.35">
      <c r="A140" s="39">
        <v>1</v>
      </c>
      <c r="B140" s="36" t="s">
        <v>88</v>
      </c>
      <c r="C140" s="22" t="s">
        <v>2</v>
      </c>
      <c r="D140" s="31" t="s">
        <v>5</v>
      </c>
      <c r="E140" s="31" t="s">
        <v>5</v>
      </c>
      <c r="F140" s="31" t="s">
        <v>5</v>
      </c>
      <c r="G140" s="37">
        <f>IFERROR(INDEX('KPI 96'!E$19:P$19,Actual_month),)</f>
        <v>3057902.5893164724</v>
      </c>
      <c r="H140" s="38">
        <f>IFERROR(INDEX('KPI 96'!$E$20:$P$20,Actual_month),)</f>
        <v>3339680</v>
      </c>
      <c r="I140" s="23">
        <f t="shared" si="80"/>
        <v>1.0921472814954882</v>
      </c>
      <c r="J140" s="20" t="s">
        <v>5</v>
      </c>
      <c r="K140" s="20" t="s">
        <v>5</v>
      </c>
      <c r="L140" s="20" t="s">
        <v>5</v>
      </c>
      <c r="M140" s="37">
        <f>IFERROR(INDEX('KPI 96'!$E$26:$P$26,Actual_month),)</f>
        <v>22781462.103232253</v>
      </c>
      <c r="N140" s="38">
        <f>IFERROR(INDEX('KPI 96'!$E$27:$P$27,Actual_month),)</f>
        <v>24950670</v>
      </c>
      <c r="O140" s="23">
        <f t="shared" si="81"/>
        <v>1.0952181158056566</v>
      </c>
      <c r="P140" s="25" t="s">
        <v>18</v>
      </c>
      <c r="Q140" s="5">
        <f t="shared" si="82"/>
        <v>2752112.3303848254</v>
      </c>
      <c r="R140" s="5">
        <f t="shared" si="83"/>
        <v>20503315.892909028</v>
      </c>
      <c r="S140" s="26" t="s">
        <v>21</v>
      </c>
      <c r="T140" s="14" t="s">
        <v>24</v>
      </c>
    </row>
    <row r="141" spans="1:20" ht="20" outlineLevel="1" x14ac:dyDescent="0.35">
      <c r="A141" s="35">
        <v>2</v>
      </c>
      <c r="B141" s="36" t="s">
        <v>89</v>
      </c>
      <c r="C141" s="22" t="s">
        <v>2</v>
      </c>
      <c r="D141" s="31" t="s">
        <v>5</v>
      </c>
      <c r="E141" s="31" t="s">
        <v>5</v>
      </c>
      <c r="F141" s="31" t="s">
        <v>5</v>
      </c>
      <c r="G141" s="37">
        <f>IFERROR(INDEX('KPI 97'!E$19:P$19,Actual_month),)</f>
        <v>828414.45852852741</v>
      </c>
      <c r="H141" s="38">
        <f>IFERROR(INDEX('KPI 97'!$E$20:$P$20,Actual_month),)</f>
        <v>891950</v>
      </c>
      <c r="I141" s="23">
        <f t="shared" si="80"/>
        <v>1.0766953555884669</v>
      </c>
      <c r="J141" s="20" t="s">
        <v>5</v>
      </c>
      <c r="K141" s="20" t="s">
        <v>5</v>
      </c>
      <c r="L141" s="20" t="s">
        <v>5</v>
      </c>
      <c r="M141" s="37">
        <f>IFERROR(INDEX('KPI 97'!$E$26:$P$26,Actual_month),)</f>
        <v>6133668.7234305432</v>
      </c>
      <c r="N141" s="38">
        <f>IFERROR(INDEX('KPI 97'!$E$27:$P$27,Actual_month),)</f>
        <v>6260710</v>
      </c>
      <c r="O141" s="23">
        <f t="shared" si="81"/>
        <v>1.0207121190103015</v>
      </c>
      <c r="P141" s="25" t="s">
        <v>18</v>
      </c>
      <c r="Q141" s="5">
        <f t="shared" si="82"/>
        <v>745573.01267567463</v>
      </c>
      <c r="R141" s="5">
        <f t="shared" si="83"/>
        <v>5520301.8510874892</v>
      </c>
      <c r="S141" s="26" t="s">
        <v>21</v>
      </c>
      <c r="T141" s="14" t="s">
        <v>24</v>
      </c>
    </row>
    <row r="142" spans="1:20" ht="20" outlineLevel="1" x14ac:dyDescent="0.35">
      <c r="A142" s="39">
        <v>3</v>
      </c>
      <c r="B142" s="36" t="s">
        <v>92</v>
      </c>
      <c r="C142" s="22" t="s">
        <v>2</v>
      </c>
      <c r="D142" s="31" t="s">
        <v>5</v>
      </c>
      <c r="E142" s="31" t="s">
        <v>5</v>
      </c>
      <c r="F142" s="31" t="s">
        <v>5</v>
      </c>
      <c r="G142" s="37">
        <f>IFERROR(INDEX('KPI 100'!E$19:P$19,Actual_month),)</f>
        <v>2080347.025746421</v>
      </c>
      <c r="H142" s="38">
        <f>IFERROR(INDEX('KPI 100'!$E$20:$P$20,Actual_month),)</f>
        <v>2038300</v>
      </c>
      <c r="I142" s="23">
        <f t="shared" si="80"/>
        <v>0.97978845585565966</v>
      </c>
      <c r="J142" s="20" t="s">
        <v>5</v>
      </c>
      <c r="K142" s="20" t="s">
        <v>5</v>
      </c>
      <c r="L142" s="20" t="s">
        <v>5</v>
      </c>
      <c r="M142" s="37">
        <f>IFERROR(INDEX('KPI 100'!$E$26:$P$26,Actual_month),)</f>
        <v>12969796.549128205</v>
      </c>
      <c r="N142" s="38">
        <f>IFERROR(INDEX('KPI 100'!$E$27:$P$27,Actual_month),)</f>
        <v>14017430</v>
      </c>
      <c r="O142" s="23">
        <f t="shared" si="81"/>
        <v>1.0807748561747652</v>
      </c>
      <c r="P142" s="25" t="s">
        <v>18</v>
      </c>
      <c r="Q142" s="5">
        <f t="shared" si="82"/>
        <v>1872312.3231717788</v>
      </c>
      <c r="R142" s="5">
        <f t="shared" si="83"/>
        <v>11672816.894215384</v>
      </c>
      <c r="S142" s="26" t="s">
        <v>21</v>
      </c>
      <c r="T142" s="14" t="s">
        <v>24</v>
      </c>
    </row>
    <row r="143" spans="1:20" ht="20" outlineLevel="1" x14ac:dyDescent="0.35">
      <c r="A143" s="39">
        <v>4</v>
      </c>
      <c r="B143" s="36" t="s">
        <v>457</v>
      </c>
      <c r="C143" s="22" t="s">
        <v>2</v>
      </c>
      <c r="D143" s="31" t="s">
        <v>5</v>
      </c>
      <c r="E143" s="31" t="s">
        <v>5</v>
      </c>
      <c r="F143" s="31" t="s">
        <v>5</v>
      </c>
      <c r="G143" s="37">
        <f>IFERROR(INDEX('KPI 100B'!E$19:P$19,Actual_month),)</f>
        <v>503957.49487391952</v>
      </c>
      <c r="H143" s="38">
        <f>IFERROR(INDEX('KPI 100B'!$E$20:$P$20,Actual_month),)</f>
        <v>716900</v>
      </c>
      <c r="I143" s="23">
        <f t="shared" ref="I143" si="84">IFERROR(H143/G143,"")</f>
        <v>1.4225406056900782</v>
      </c>
      <c r="J143" s="20" t="s">
        <v>5</v>
      </c>
      <c r="K143" s="20" t="s">
        <v>5</v>
      </c>
      <c r="L143" s="20" t="s">
        <v>5</v>
      </c>
      <c r="M143" s="37">
        <f>IFERROR(INDEX('KPI 100B'!$E$26:$P$26,Actual_month),)</f>
        <v>3900411.7727272604</v>
      </c>
      <c r="N143" s="38">
        <f>IFERROR(INDEX('KPI 100B'!$E$27:$P$27,Actual_month),)</f>
        <v>4627430</v>
      </c>
      <c r="O143" s="23">
        <f t="shared" ref="O143" si="85">IFERROR(N143/M143,"")</f>
        <v>1.1863952499467489</v>
      </c>
      <c r="P143" s="25" t="s">
        <v>18</v>
      </c>
      <c r="Q143" s="5">
        <f t="shared" ref="Q143" si="86">G143*$R$3</f>
        <v>453561.74538652756</v>
      </c>
      <c r="R143" s="5">
        <f t="shared" ref="R143" si="87">M143*$R$3</f>
        <v>3510370.5954545345</v>
      </c>
      <c r="S143" s="26" t="s">
        <v>21</v>
      </c>
      <c r="T143" s="14" t="s">
        <v>24</v>
      </c>
    </row>
    <row r="144" spans="1:20" s="7" customFormat="1" ht="20.5" thickBot="1" x14ac:dyDescent="0.4">
      <c r="A144" s="43"/>
      <c r="B144" s="44" t="s">
        <v>210</v>
      </c>
      <c r="C144" s="370" t="s">
        <v>2</v>
      </c>
      <c r="D144" s="371" t="s">
        <v>5</v>
      </c>
      <c r="E144" s="371" t="s">
        <v>5</v>
      </c>
      <c r="F144" s="371" t="s">
        <v>5</v>
      </c>
      <c r="G144" s="372">
        <f>IFERROR(INDEX('KPI 101'!E$19:P$19,Actual_month),)</f>
        <v>6470621.56846534</v>
      </c>
      <c r="H144" s="373">
        <f>IFERROR(INDEX('KPI 101'!$E$20:$P$20,Actual_month),)</f>
        <v>6986830</v>
      </c>
      <c r="I144" s="374">
        <f t="shared" si="80"/>
        <v>1.0797772557199774</v>
      </c>
      <c r="J144" s="375" t="s">
        <v>5</v>
      </c>
      <c r="K144" s="375" t="s">
        <v>5</v>
      </c>
      <c r="L144" s="375" t="s">
        <v>5</v>
      </c>
      <c r="M144" s="372">
        <f>IFERROR(INDEX('KPI 101'!$E$26:$P$26,Actual_month),)</f>
        <v>45785339.148518257</v>
      </c>
      <c r="N144" s="373">
        <f>IFERROR(INDEX('KPI 101'!$E$27:$P$27,Actual_month),)</f>
        <v>49856240</v>
      </c>
      <c r="O144" s="374">
        <f t="shared" si="81"/>
        <v>1.0889127595686596</v>
      </c>
      <c r="P144" s="376" t="s">
        <v>18</v>
      </c>
      <c r="Q144" s="377">
        <f t="shared" si="82"/>
        <v>5823559.4116188064</v>
      </c>
      <c r="R144" s="377">
        <f t="shared" si="83"/>
        <v>41206805.233666435</v>
      </c>
      <c r="S144" s="378" t="s">
        <v>21</v>
      </c>
      <c r="T144" s="379" t="s">
        <v>24</v>
      </c>
    </row>
    <row r="145" spans="1:20" ht="15" thickBot="1" x14ac:dyDescent="0.4">
      <c r="A145" s="385" t="s">
        <v>197</v>
      </c>
      <c r="B145" s="386"/>
      <c r="C145" s="32"/>
      <c r="D145" s="32"/>
      <c r="E145" s="32"/>
      <c r="F145" s="32"/>
      <c r="G145" s="33"/>
      <c r="H145" s="33"/>
      <c r="I145" s="33"/>
      <c r="J145" s="33"/>
      <c r="K145" s="33"/>
      <c r="L145" s="33"/>
      <c r="M145" s="33"/>
      <c r="N145" s="33"/>
      <c r="O145" s="34"/>
      <c r="Q145" s="14" t="s">
        <v>26</v>
      </c>
      <c r="R145" s="3" t="s">
        <v>25</v>
      </c>
    </row>
    <row r="146" spans="1:20" ht="20" x14ac:dyDescent="0.35">
      <c r="A146" s="39">
        <v>1</v>
      </c>
      <c r="B146" s="36" t="s">
        <v>90</v>
      </c>
      <c r="C146" s="22" t="s">
        <v>2</v>
      </c>
      <c r="D146" s="31" t="s">
        <v>5</v>
      </c>
      <c r="E146" s="31" t="s">
        <v>5</v>
      </c>
      <c r="F146" s="31" t="s">
        <v>5</v>
      </c>
      <c r="G146" s="37">
        <f>IFERROR(INDEX('KPI 98'!E$19:P$19,Actual_month),)</f>
        <v>2976524.3885078211</v>
      </c>
      <c r="H146" s="38">
        <f>IFERROR(INDEX('KPI 98'!$E$20:$P$20,Actual_month),)</f>
        <v>4103260</v>
      </c>
      <c r="I146" s="23">
        <f>IFERROR(H146/G146,"")</f>
        <v>1.3785406952627153</v>
      </c>
      <c r="J146" s="20" t="s">
        <v>5</v>
      </c>
      <c r="K146" s="20" t="s">
        <v>5</v>
      </c>
      <c r="L146" s="20" t="s">
        <v>5</v>
      </c>
      <c r="M146" s="37">
        <f>IFERROR(INDEX('KPI 98'!$E$26:$P$26,Actual_month),)</f>
        <v>23548847.454145331</v>
      </c>
      <c r="N146" s="38">
        <f>IFERROR(INDEX('KPI 98'!$E$27:$P$27,Actual_month),)</f>
        <v>28521870</v>
      </c>
      <c r="O146" s="23">
        <f>IFERROR(N146/M146,"")</f>
        <v>1.2111790207796034</v>
      </c>
      <c r="P146" s="25" t="s">
        <v>18</v>
      </c>
      <c r="Q146" s="5">
        <f>G146*$R$3</f>
        <v>2678871.9496570393</v>
      </c>
      <c r="R146" s="5">
        <f>M146*$R$3</f>
        <v>21193962.708730798</v>
      </c>
      <c r="S146" s="26" t="s">
        <v>21</v>
      </c>
      <c r="T146" s="14" t="s">
        <v>24</v>
      </c>
    </row>
    <row r="147" spans="1:20" ht="20" x14ac:dyDescent="0.35">
      <c r="A147" s="39">
        <v>2</v>
      </c>
      <c r="B147" s="36" t="s">
        <v>510</v>
      </c>
      <c r="C147" s="22" t="s">
        <v>2</v>
      </c>
      <c r="D147" s="31" t="s">
        <v>5</v>
      </c>
      <c r="E147" s="31" t="s">
        <v>5</v>
      </c>
      <c r="F147" s="31" t="s">
        <v>5</v>
      </c>
      <c r="G147" s="37">
        <f>IFERROR(INDEX('KPI 98B'!E$19:P$19,Actual_month),)</f>
        <v>134312.42521417406</v>
      </c>
      <c r="H147" s="38">
        <f>IFERROR(INDEX('KPI 98B'!$E$20:$P$20,Actual_month),)</f>
        <v>20510</v>
      </c>
      <c r="I147" s="23">
        <f>IFERROR(H147/G147,"")</f>
        <v>0.15270366808800329</v>
      </c>
      <c r="J147" s="20" t="s">
        <v>5</v>
      </c>
      <c r="K147" s="20" t="s">
        <v>5</v>
      </c>
      <c r="L147" s="20" t="s">
        <v>5</v>
      </c>
      <c r="M147" s="37">
        <f>IFERROR(INDEX('KPI 98B'!$E$26:$P$26,Actual_month),)</f>
        <v>717780.48739052098</v>
      </c>
      <c r="N147" s="38">
        <f>IFERROR(INDEX('KPI 98B'!$E$27:$P$27,Actual_month),)</f>
        <v>97860</v>
      </c>
      <c r="O147" s="23">
        <f>IFERROR(N147/M147,"")</f>
        <v>0.13633694662802606</v>
      </c>
      <c r="P147" s="25" t="s">
        <v>18</v>
      </c>
      <c r="Q147" s="5">
        <f>G147*$R$3</f>
        <v>120881.18269275666</v>
      </c>
      <c r="R147" s="5">
        <f>M147*$R$3</f>
        <v>646002.43865146895</v>
      </c>
      <c r="S147" s="26" t="s">
        <v>21</v>
      </c>
      <c r="T147" s="14" t="s">
        <v>24</v>
      </c>
    </row>
    <row r="148" spans="1:20" s="7" customFormat="1" ht="20.5" thickBot="1" x14ac:dyDescent="0.4">
      <c r="A148" s="43"/>
      <c r="B148" s="44" t="s">
        <v>511</v>
      </c>
      <c r="C148" s="370" t="s">
        <v>2</v>
      </c>
      <c r="D148" s="371" t="s">
        <v>5</v>
      </c>
      <c r="E148" s="371" t="s">
        <v>5</v>
      </c>
      <c r="F148" s="371" t="s">
        <v>5</v>
      </c>
      <c r="G148" s="372">
        <f>IFERROR(INDEX('KPI 101B'!E$19:P$19,Actual_month),)</f>
        <v>3110836.8137219953</v>
      </c>
      <c r="H148" s="373">
        <f>IFERROR(INDEX('KPI 101B'!$E$20:$P$20,Actual_month),)</f>
        <v>4123770</v>
      </c>
      <c r="I148" s="374">
        <f t="shared" ref="I148" si="88">IFERROR(H148/G148,"")</f>
        <v>1.32561437546641</v>
      </c>
      <c r="J148" s="375" t="s">
        <v>5</v>
      </c>
      <c r="K148" s="375" t="s">
        <v>5</v>
      </c>
      <c r="L148" s="375" t="s">
        <v>5</v>
      </c>
      <c r="M148" s="372">
        <f>IFERROR(INDEX('KPI 101B'!$E$26:$P$26,Actual_month),)</f>
        <v>24266627.941535853</v>
      </c>
      <c r="N148" s="373">
        <f>IFERROR(INDEX('KPI 101B'!$E$27:$P$27,Actual_month),)</f>
        <v>28619730</v>
      </c>
      <c r="O148" s="374">
        <f t="shared" ref="O148" si="89">IFERROR(N148/M148,"")</f>
        <v>1.1793863601054015</v>
      </c>
      <c r="P148" s="376" t="s">
        <v>18</v>
      </c>
      <c r="Q148" s="377">
        <f t="shared" ref="Q148" si="90">G148*$R$3</f>
        <v>2799753.1323497957</v>
      </c>
      <c r="R148" s="377">
        <f t="shared" ref="R148" si="91">M148*$R$3</f>
        <v>21839965.147382267</v>
      </c>
      <c r="S148" s="378" t="s">
        <v>21</v>
      </c>
      <c r="T148" s="379" t="s">
        <v>24</v>
      </c>
    </row>
    <row r="149" spans="1:20" ht="15" thickBot="1" x14ac:dyDescent="0.4">
      <c r="A149" s="383" t="s">
        <v>48</v>
      </c>
      <c r="B149" s="384"/>
      <c r="C149" s="32"/>
      <c r="D149" s="32"/>
      <c r="E149" s="32"/>
      <c r="F149" s="32"/>
      <c r="G149" s="33"/>
      <c r="H149" s="33"/>
      <c r="I149" s="33"/>
      <c r="J149" s="33"/>
      <c r="K149" s="33"/>
      <c r="L149" s="33"/>
      <c r="M149" s="33"/>
      <c r="N149" s="33"/>
      <c r="O149" s="34"/>
      <c r="Q149" s="14" t="s">
        <v>26</v>
      </c>
      <c r="R149" s="3" t="s">
        <v>25</v>
      </c>
    </row>
    <row r="150" spans="1:20" ht="20" outlineLevel="1" x14ac:dyDescent="0.35">
      <c r="A150" s="39">
        <v>1</v>
      </c>
      <c r="B150" s="24" t="s">
        <v>93</v>
      </c>
      <c r="C150" s="22" t="s">
        <v>122</v>
      </c>
      <c r="D150" s="31" t="s">
        <v>5</v>
      </c>
      <c r="E150" s="31" t="s">
        <v>5</v>
      </c>
      <c r="F150" s="31" t="s">
        <v>5</v>
      </c>
      <c r="G150" s="37">
        <f>IFERROR(INDEX('KPI 102'!E$19:P$19,Actual_month),)</f>
        <v>132.21627718912831</v>
      </c>
      <c r="H150" s="38">
        <f>IFERROR(INDEX('KPI 102'!$E$20:$P$20,Actual_month),)</f>
        <v>132.49889317563722</v>
      </c>
      <c r="I150" s="23">
        <f t="shared" ref="I150:I162" si="92">IFERROR(H150/G150,"")</f>
        <v>1.0021375279392011</v>
      </c>
      <c r="J150" s="20" t="s">
        <v>5</v>
      </c>
      <c r="K150" s="20" t="s">
        <v>5</v>
      </c>
      <c r="L150" s="20" t="s">
        <v>5</v>
      </c>
      <c r="M150" s="37">
        <f>IFERROR(INDEX('KPI 102'!$E$26:$P$26,Actual_month),)</f>
        <v>132.21627718912831</v>
      </c>
      <c r="N150" s="38">
        <f>IFERROR(INDEX('KPI 102'!$E$27:$P$27,Actual_month),)</f>
        <v>132.47044875835726</v>
      </c>
      <c r="O150" s="23">
        <f t="shared" ref="O150:O162" si="93">IFERROR(N150/M150,"")</f>
        <v>1.0019223924212097</v>
      </c>
      <c r="P150" s="15" t="s">
        <v>18</v>
      </c>
      <c r="Q150" s="5">
        <f t="shared" ref="Q150:Q162" si="94">G150*$R$3</f>
        <v>118.99464947021548</v>
      </c>
      <c r="R150" s="5">
        <f t="shared" ref="R150:R162" si="95">M150*$R$3</f>
        <v>118.99464947021548</v>
      </c>
      <c r="S150" s="26" t="s">
        <v>21</v>
      </c>
      <c r="T150" s="14" t="s">
        <v>24</v>
      </c>
    </row>
    <row r="151" spans="1:20" ht="20" outlineLevel="1" x14ac:dyDescent="0.35">
      <c r="A151" s="35">
        <v>2</v>
      </c>
      <c r="B151" s="24" t="s">
        <v>94</v>
      </c>
      <c r="C151" s="22" t="s">
        <v>122</v>
      </c>
      <c r="D151" s="31" t="s">
        <v>5</v>
      </c>
      <c r="E151" s="31" t="s">
        <v>5</v>
      </c>
      <c r="F151" s="31" t="s">
        <v>5</v>
      </c>
      <c r="G151" s="37">
        <f>IFERROR(INDEX('KPI 103'!E$19:P$19,Actual_month),)</f>
        <v>134.9971969586137</v>
      </c>
      <c r="H151" s="38">
        <f>IFERROR(INDEX('KPI 103'!$E$20:$P$20,Actual_month),)</f>
        <v>132.62346034304133</v>
      </c>
      <c r="I151" s="23">
        <f t="shared" si="92"/>
        <v>0.98241640071756386</v>
      </c>
      <c r="J151" s="20" t="s">
        <v>5</v>
      </c>
      <c r="K151" s="20" t="s">
        <v>5</v>
      </c>
      <c r="L151" s="20" t="s">
        <v>5</v>
      </c>
      <c r="M151" s="37">
        <f>IFERROR(INDEX('KPI 103'!$E$26:$P$26,Actual_month),)</f>
        <v>134.9971969586137</v>
      </c>
      <c r="N151" s="38">
        <f>IFERROR(INDEX('KPI 103'!$E$27:$P$27,Actual_month),)</f>
        <v>131.89016577045197</v>
      </c>
      <c r="O151" s="23">
        <f t="shared" si="93"/>
        <v>0.97698447628424279</v>
      </c>
      <c r="P151" s="15" t="s">
        <v>18</v>
      </c>
      <c r="Q151" s="5">
        <f t="shared" si="94"/>
        <v>121.49747726275233</v>
      </c>
      <c r="R151" s="5">
        <f t="shared" si="95"/>
        <v>121.49747726275233</v>
      </c>
      <c r="S151" s="26" t="s">
        <v>21</v>
      </c>
      <c r="T151" s="14" t="s">
        <v>24</v>
      </c>
    </row>
    <row r="152" spans="1:20" ht="20" outlineLevel="1" x14ac:dyDescent="0.35">
      <c r="A152" s="39">
        <v>3</v>
      </c>
      <c r="B152" s="36" t="s">
        <v>95</v>
      </c>
      <c r="C152" s="22" t="s">
        <v>122</v>
      </c>
      <c r="D152" s="31" t="s">
        <v>5</v>
      </c>
      <c r="E152" s="31" t="s">
        <v>5</v>
      </c>
      <c r="F152" s="31" t="s">
        <v>5</v>
      </c>
      <c r="G152" s="37">
        <f>IFERROR(INDEX('KPI 104'!E$19:P$19,Actual_month),)</f>
        <v>124.89599264752223</v>
      </c>
      <c r="H152" s="38">
        <f>IFERROR(INDEX('KPI 104'!$E$20:$P$20,Actual_month),)</f>
        <v>124.98217394909211</v>
      </c>
      <c r="I152" s="23">
        <f t="shared" si="92"/>
        <v>1.0006900245535748</v>
      </c>
      <c r="J152" s="20" t="s">
        <v>5</v>
      </c>
      <c r="K152" s="20" t="s">
        <v>5</v>
      </c>
      <c r="L152" s="20" t="s">
        <v>5</v>
      </c>
      <c r="M152" s="37">
        <f>IFERROR(INDEX('KPI 104'!$E$26:$P$26,Actual_month),)</f>
        <v>124.89599264752223</v>
      </c>
      <c r="N152" s="38">
        <f>IFERROR(INDEX('KPI 104'!$E$27:$P$27,Actual_month),)</f>
        <v>124.84512663037863</v>
      </c>
      <c r="O152" s="23">
        <f t="shared" si="93"/>
        <v>0.99959273299274576</v>
      </c>
      <c r="P152" s="25" t="s">
        <v>18</v>
      </c>
      <c r="Q152" s="5">
        <f t="shared" si="94"/>
        <v>112.40639338277002</v>
      </c>
      <c r="R152" s="5">
        <f t="shared" si="95"/>
        <v>112.40639338277002</v>
      </c>
      <c r="S152" s="26" t="s">
        <v>21</v>
      </c>
      <c r="T152" s="14" t="s">
        <v>24</v>
      </c>
    </row>
    <row r="153" spans="1:20" ht="20" outlineLevel="1" x14ac:dyDescent="0.35">
      <c r="A153" s="35">
        <v>4</v>
      </c>
      <c r="B153" s="36" t="s">
        <v>96</v>
      </c>
      <c r="C153" s="22" t="s">
        <v>122</v>
      </c>
      <c r="D153" s="31" t="s">
        <v>5</v>
      </c>
      <c r="E153" s="31" t="s">
        <v>5</v>
      </c>
      <c r="F153" s="31" t="s">
        <v>5</v>
      </c>
      <c r="G153" s="37">
        <f>IFERROR(INDEX('KPI 105'!E$19:P$19,Actual_month),)</f>
        <v>122.2703158852111</v>
      </c>
      <c r="H153" s="38">
        <f>IFERROR(INDEX('KPI 105'!$E$20:$P$20,Actual_month),)</f>
        <v>121.31891891891892</v>
      </c>
      <c r="I153" s="23">
        <f t="shared" si="92"/>
        <v>0.99221890481426933</v>
      </c>
      <c r="J153" s="20" t="s">
        <v>5</v>
      </c>
      <c r="K153" s="20" t="s">
        <v>5</v>
      </c>
      <c r="L153" s="20" t="s">
        <v>5</v>
      </c>
      <c r="M153" s="37">
        <f>IFERROR(INDEX('KPI 105'!$E$26:$P$26,Actual_month),)</f>
        <v>122.27031588521109</v>
      </c>
      <c r="N153" s="38">
        <f>IFERROR(INDEX('KPI 105'!$E$27:$P$27,Actual_month),)</f>
        <v>122.48854975148161</v>
      </c>
      <c r="O153" s="23">
        <f t="shared" si="93"/>
        <v>1.0017848474888655</v>
      </c>
      <c r="P153" s="25" t="s">
        <v>18</v>
      </c>
      <c r="Q153" s="5">
        <f t="shared" si="94"/>
        <v>110.04328429668999</v>
      </c>
      <c r="R153" s="5">
        <f t="shared" si="95"/>
        <v>110.04328429668999</v>
      </c>
      <c r="S153" s="26" t="s">
        <v>21</v>
      </c>
      <c r="T153" s="14" t="s">
        <v>24</v>
      </c>
    </row>
    <row r="154" spans="1:20" ht="20" outlineLevel="1" x14ac:dyDescent="0.35">
      <c r="A154" s="39">
        <v>5</v>
      </c>
      <c r="B154" s="36" t="s">
        <v>97</v>
      </c>
      <c r="C154" s="22" t="s">
        <v>122</v>
      </c>
      <c r="D154" s="31" t="s">
        <v>5</v>
      </c>
      <c r="E154" s="31" t="s">
        <v>5</v>
      </c>
      <c r="F154" s="31" t="s">
        <v>5</v>
      </c>
      <c r="G154" s="37">
        <f>IFERROR(INDEX('KPI 106'!E$19:P$19,Actual_month),)</f>
        <v>123.39817473589818</v>
      </c>
      <c r="H154" s="38">
        <f>IFERROR(INDEX('KPI 106'!$E$20:$P$20,Actual_month),)</f>
        <v>126.14603174603175</v>
      </c>
      <c r="I154" s="23">
        <f t="shared" si="92"/>
        <v>1.0222682143882165</v>
      </c>
      <c r="J154" s="20" t="s">
        <v>5</v>
      </c>
      <c r="K154" s="20" t="s">
        <v>5</v>
      </c>
      <c r="L154" s="20" t="s">
        <v>5</v>
      </c>
      <c r="M154" s="37">
        <f>IFERROR(INDEX('KPI 106'!$E$26:$P$26,Actual_month),)</f>
        <v>123.39817473589821</v>
      </c>
      <c r="N154" s="38">
        <f>IFERROR(INDEX('KPI 106'!$E$27:$P$27,Actual_month),)</f>
        <v>123.40680511305921</v>
      </c>
      <c r="O154" s="23">
        <f t="shared" si="93"/>
        <v>1.000069939261091</v>
      </c>
      <c r="P154" s="25" t="s">
        <v>18</v>
      </c>
      <c r="Q154" s="5">
        <f t="shared" si="94"/>
        <v>111.05835726230836</v>
      </c>
      <c r="R154" s="5">
        <f t="shared" si="95"/>
        <v>111.05835726230839</v>
      </c>
      <c r="S154" s="26" t="s">
        <v>21</v>
      </c>
      <c r="T154" s="14" t="s">
        <v>24</v>
      </c>
    </row>
    <row r="155" spans="1:20" ht="20" outlineLevel="1" x14ac:dyDescent="0.35">
      <c r="A155" s="35">
        <v>6</v>
      </c>
      <c r="B155" s="36" t="s">
        <v>101</v>
      </c>
      <c r="C155" s="22" t="s">
        <v>122</v>
      </c>
      <c r="D155" s="31" t="s">
        <v>5</v>
      </c>
      <c r="E155" s="31" t="s">
        <v>5</v>
      </c>
      <c r="F155" s="31" t="s">
        <v>5</v>
      </c>
      <c r="G155" s="37">
        <f>IFERROR(INDEX('KPI 111'!E$19:P$19,Actual_month),)</f>
        <v>126.77057512861391</v>
      </c>
      <c r="H155" s="38">
        <f>IFERROR(INDEX('KPI 111'!$E$20:$P$20,Actual_month),)</f>
        <v>127.02497285559174</v>
      </c>
      <c r="I155" s="23">
        <f>IFERROR(H155/G155,"")</f>
        <v>1.0020067569049027</v>
      </c>
      <c r="J155" s="20" t="s">
        <v>5</v>
      </c>
      <c r="K155" s="20" t="s">
        <v>5</v>
      </c>
      <c r="L155" s="20" t="s">
        <v>5</v>
      </c>
      <c r="M155" s="37">
        <f>IFERROR(INDEX('KPI 111'!$E$26:$P$26,Actual_month),)</f>
        <v>126.77057512861391</v>
      </c>
      <c r="N155" s="38">
        <f>IFERROR(INDEX('KPI 111'!$E$27:$P$27,Actual_month),)</f>
        <v>126.45351668285437</v>
      </c>
      <c r="O155" s="23">
        <f>IFERROR(N155/M155,"")</f>
        <v>0.99749895868628924</v>
      </c>
      <c r="P155" s="25" t="s">
        <v>18</v>
      </c>
      <c r="Q155" s="5">
        <f>G155*$R$3</f>
        <v>114.09351761575252</v>
      </c>
      <c r="R155" s="5">
        <f>M155*$R$3</f>
        <v>114.09351761575252</v>
      </c>
      <c r="S155" s="26" t="s">
        <v>21</v>
      </c>
      <c r="T155" s="14" t="s">
        <v>24</v>
      </c>
    </row>
    <row r="156" spans="1:20" ht="20" outlineLevel="1" x14ac:dyDescent="0.35">
      <c r="A156" s="35">
        <v>7</v>
      </c>
      <c r="B156" s="36" t="s">
        <v>451</v>
      </c>
      <c r="C156" s="22" t="s">
        <v>122</v>
      </c>
      <c r="D156" s="31" t="s">
        <v>5</v>
      </c>
      <c r="E156" s="31" t="s">
        <v>5</v>
      </c>
      <c r="F156" s="31" t="s">
        <v>5</v>
      </c>
      <c r="G156" s="37">
        <f>IFERROR(INDEX('KPI 111A'!E$19:P$19,Actual_month),)</f>
        <v>128.16774251726946</v>
      </c>
      <c r="H156" s="38">
        <f>IFERROR(INDEX('KPI 111A'!$E$20:$P$20,Actual_month),)</f>
        <v>127.33025830258302</v>
      </c>
      <c r="I156" s="23">
        <f>IFERROR(H156/G156,"")</f>
        <v>0.99346571767405834</v>
      </c>
      <c r="J156" s="20" t="s">
        <v>5</v>
      </c>
      <c r="K156" s="20" t="s">
        <v>5</v>
      </c>
      <c r="L156" s="20" t="s">
        <v>5</v>
      </c>
      <c r="M156" s="37">
        <f>IFERROR(INDEX('KPI 111A'!$E$26:$P$26,Actual_month),)</f>
        <v>128.16774251726949</v>
      </c>
      <c r="N156" s="38">
        <f>IFERROR(INDEX('KPI 111A'!$E$27:$P$27,Actual_month),)</f>
        <v>128.18147048925309</v>
      </c>
      <c r="O156" s="23">
        <f>IFERROR(N156/M156,"")</f>
        <v>1.0001071094154736</v>
      </c>
      <c r="P156" s="25" t="s">
        <v>18</v>
      </c>
      <c r="Q156" s="5">
        <f>G156*$R$3</f>
        <v>115.35096826554252</v>
      </c>
      <c r="R156" s="5">
        <f>M156*$R$3</f>
        <v>115.35096826554255</v>
      </c>
      <c r="S156" s="26" t="s">
        <v>21</v>
      </c>
      <c r="T156" s="14" t="s">
        <v>24</v>
      </c>
    </row>
    <row r="157" spans="1:20" ht="20" x14ac:dyDescent="0.35">
      <c r="A157" s="35"/>
      <c r="B157" s="44" t="s">
        <v>211</v>
      </c>
      <c r="C157" s="22" t="s">
        <v>122</v>
      </c>
      <c r="D157" s="31" t="s">
        <v>5</v>
      </c>
      <c r="E157" s="31" t="s">
        <v>5</v>
      </c>
      <c r="F157" s="31" t="s">
        <v>5</v>
      </c>
      <c r="G157" s="37">
        <f>IFERROR(INDEX('KPI 107'!E$19:P$19,Actual_month),)</f>
        <v>127.53089643746527</v>
      </c>
      <c r="H157" s="38">
        <f>IFERROR(INDEX('KPI 107'!$E$20:$P$20,Actual_month),)</f>
        <v>128.23777796385124</v>
      </c>
      <c r="I157" s="23">
        <f t="shared" si="92"/>
        <v>1.005542825669171</v>
      </c>
      <c r="J157" s="20" t="s">
        <v>5</v>
      </c>
      <c r="K157" s="20" t="s">
        <v>5</v>
      </c>
      <c r="L157" s="20" t="s">
        <v>5</v>
      </c>
      <c r="M157" s="37">
        <f>IFERROR(INDEX('KPI 107'!$E$26:$P$26,Actual_month),)</f>
        <v>127.53089643746526</v>
      </c>
      <c r="N157" s="38">
        <f>IFERROR(INDEX('KPI 107'!$E$27:$P$27,Actual_month),)</f>
        <v>128.04620431216588</v>
      </c>
      <c r="O157" s="23">
        <f t="shared" si="93"/>
        <v>1.0040406512389983</v>
      </c>
      <c r="P157" s="25" t="s">
        <v>18</v>
      </c>
      <c r="Q157" s="5">
        <f t="shared" si="94"/>
        <v>114.77780679371875</v>
      </c>
      <c r="R157" s="5">
        <f t="shared" si="95"/>
        <v>114.77780679371874</v>
      </c>
      <c r="S157" s="26" t="s">
        <v>21</v>
      </c>
      <c r="T157" s="14" t="s">
        <v>24</v>
      </c>
    </row>
    <row r="158" spans="1:20" ht="20" outlineLevel="1" x14ac:dyDescent="0.35">
      <c r="A158" s="39">
        <v>1</v>
      </c>
      <c r="B158" s="36" t="s">
        <v>98</v>
      </c>
      <c r="C158" s="22" t="s">
        <v>122</v>
      </c>
      <c r="D158" s="31" t="s">
        <v>5</v>
      </c>
      <c r="E158" s="31" t="s">
        <v>5</v>
      </c>
      <c r="F158" s="31" t="s">
        <v>5</v>
      </c>
      <c r="G158" s="37">
        <f>IFERROR(INDEX('KPI 108'!E$19:P$19,Actual_month),)</f>
        <v>123.76528801618204</v>
      </c>
      <c r="H158" s="38">
        <f>IFERROR(INDEX('KPI 108'!$E$20:$P$20,Actual_month),)</f>
        <v>124.61492537313433</v>
      </c>
      <c r="I158" s="23">
        <f t="shared" si="92"/>
        <v>1.006864908332304</v>
      </c>
      <c r="J158" s="20" t="s">
        <v>5</v>
      </c>
      <c r="K158" s="20" t="s">
        <v>5</v>
      </c>
      <c r="L158" s="20" t="s">
        <v>5</v>
      </c>
      <c r="M158" s="37">
        <f>IFERROR(INDEX('KPI 108'!$E$26:$P$26,Actual_month),)</f>
        <v>123.76528801618203</v>
      </c>
      <c r="N158" s="38">
        <f>IFERROR(INDEX('KPI 108'!$E$27:$P$27,Actual_month),)</f>
        <v>124.13215156303082</v>
      </c>
      <c r="O158" s="23">
        <f t="shared" si="93"/>
        <v>1.0029641877195876</v>
      </c>
      <c r="P158" s="25" t="s">
        <v>18</v>
      </c>
      <c r="Q158" s="5">
        <f t="shared" si="94"/>
        <v>111.38875921456383</v>
      </c>
      <c r="R158" s="5">
        <f t="shared" si="95"/>
        <v>111.38875921456382</v>
      </c>
      <c r="S158" s="26" t="s">
        <v>21</v>
      </c>
      <c r="T158" s="14" t="s">
        <v>24</v>
      </c>
    </row>
    <row r="159" spans="1:20" ht="20" outlineLevel="1" x14ac:dyDescent="0.35">
      <c r="A159" s="35">
        <v>2</v>
      </c>
      <c r="B159" s="36" t="s">
        <v>99</v>
      </c>
      <c r="C159" s="22" t="s">
        <v>122</v>
      </c>
      <c r="D159" s="31" t="s">
        <v>5</v>
      </c>
      <c r="E159" s="31" t="s">
        <v>5</v>
      </c>
      <c r="F159" s="31" t="s">
        <v>5</v>
      </c>
      <c r="G159" s="37">
        <f>IFERROR(INDEX('KPI 109'!E$19:P$19,Actual_month),)</f>
        <v>123.10036562946703</v>
      </c>
      <c r="H159" s="38">
        <f>IFERROR(INDEX('KPI 109'!$E$20:$P$20,Actual_month),)</f>
        <v>124.20972009469433</v>
      </c>
      <c r="I159" s="23">
        <f t="shared" si="92"/>
        <v>1.0090117885479435</v>
      </c>
      <c r="J159" s="20" t="s">
        <v>5</v>
      </c>
      <c r="K159" s="20" t="s">
        <v>5</v>
      </c>
      <c r="L159" s="20" t="s">
        <v>5</v>
      </c>
      <c r="M159" s="37">
        <f>IFERROR(INDEX('KPI 109'!$E$26:$P$26,Actual_month),)</f>
        <v>123.10036562946701</v>
      </c>
      <c r="N159" s="38">
        <f>IFERROR(INDEX('KPI 109'!$E$27:$P$27,Actual_month),)</f>
        <v>123.07317596690233</v>
      </c>
      <c r="O159" s="23">
        <f t="shared" si="93"/>
        <v>0.99977912606168429</v>
      </c>
      <c r="P159" s="25" t="s">
        <v>18</v>
      </c>
      <c r="Q159" s="5">
        <f t="shared" si="94"/>
        <v>110.79032906652033</v>
      </c>
      <c r="R159" s="5">
        <f t="shared" si="95"/>
        <v>110.79032906652031</v>
      </c>
      <c r="S159" s="26" t="s">
        <v>21</v>
      </c>
      <c r="T159" s="14" t="s">
        <v>24</v>
      </c>
    </row>
    <row r="160" spans="1:20" ht="20" outlineLevel="1" x14ac:dyDescent="0.35">
      <c r="A160" s="39">
        <v>3</v>
      </c>
      <c r="B160" s="36" t="s">
        <v>102</v>
      </c>
      <c r="C160" s="22" t="s">
        <v>122</v>
      </c>
      <c r="D160" s="31" t="s">
        <v>5</v>
      </c>
      <c r="E160" s="31" t="s">
        <v>5</v>
      </c>
      <c r="F160" s="31" t="s">
        <v>5</v>
      </c>
      <c r="G160" s="37">
        <f>IFERROR(INDEX('KPI 112'!E$19:P$19,Actual_month),)</f>
        <v>130.31358061090211</v>
      </c>
      <c r="H160" s="38">
        <f>IFERROR(INDEX('KPI 112'!$E$20:$P$20,Actual_month),)</f>
        <v>133.29191734240126</v>
      </c>
      <c r="I160" s="23">
        <f t="shared" si="92"/>
        <v>1.0228551522990688</v>
      </c>
      <c r="J160" s="20" t="s">
        <v>5</v>
      </c>
      <c r="K160" s="20" t="s">
        <v>5</v>
      </c>
      <c r="L160" s="20" t="s">
        <v>5</v>
      </c>
      <c r="M160" s="37">
        <f>IFERROR(INDEX('KPI 112'!$E$26:$P$26,Actual_month),)</f>
        <v>130.31358061090211</v>
      </c>
      <c r="N160" s="38">
        <f>IFERROR(INDEX('KPI 112'!$E$27:$P$27,Actual_month),)</f>
        <v>131.6580200266896</v>
      </c>
      <c r="O160" s="23">
        <f t="shared" si="93"/>
        <v>1.0103169555274656</v>
      </c>
      <c r="P160" s="25" t="s">
        <v>18</v>
      </c>
      <c r="Q160" s="5">
        <f t="shared" si="94"/>
        <v>117.28222254981191</v>
      </c>
      <c r="R160" s="5">
        <f t="shared" si="95"/>
        <v>117.28222254981191</v>
      </c>
      <c r="S160" s="26" t="s">
        <v>21</v>
      </c>
      <c r="T160" s="14" t="s">
        <v>24</v>
      </c>
    </row>
    <row r="161" spans="1:20" ht="20" outlineLevel="1" x14ac:dyDescent="0.35">
      <c r="A161" s="39">
        <v>4</v>
      </c>
      <c r="B161" s="36" t="s">
        <v>458</v>
      </c>
      <c r="C161" s="22" t="s">
        <v>122</v>
      </c>
      <c r="D161" s="31" t="s">
        <v>5</v>
      </c>
      <c r="E161" s="31" t="s">
        <v>5</v>
      </c>
      <c r="F161" s="31" t="s">
        <v>5</v>
      </c>
      <c r="G161" s="37">
        <f>IFERROR(INDEX('KPI 112B'!E$19:P$19,Actual_month),)</f>
        <v>123.52031526555615</v>
      </c>
      <c r="H161" s="38">
        <f>IFERROR(INDEX('KPI 112B'!$E$20:$P$20,Actual_month),)</f>
        <v>124.69994781701165</v>
      </c>
      <c r="I161" s="23">
        <f t="shared" ref="I161" si="96">IFERROR(H161/G161,"")</f>
        <v>1.0095501096230155</v>
      </c>
      <c r="J161" s="20" t="s">
        <v>5</v>
      </c>
      <c r="K161" s="20" t="s">
        <v>5</v>
      </c>
      <c r="L161" s="20" t="s">
        <v>5</v>
      </c>
      <c r="M161" s="37">
        <f>IFERROR(INDEX('KPI 112B'!$E$26:$P$26,Actual_month),)</f>
        <v>123.52031526555616</v>
      </c>
      <c r="N161" s="38">
        <f>IFERROR(INDEX('KPI 112B'!$E$27:$P$27,Actual_month),)</f>
        <v>123.42704970084556</v>
      </c>
      <c r="O161" s="23">
        <f t="shared" ref="O161" si="97">IFERROR(N161/M161,"")</f>
        <v>0.99924493744603793</v>
      </c>
      <c r="P161" s="25" t="s">
        <v>18</v>
      </c>
      <c r="Q161" s="5">
        <f t="shared" ref="Q161" si="98">G161*$R$3</f>
        <v>111.16828373900054</v>
      </c>
      <c r="R161" s="5">
        <f t="shared" ref="R161" si="99">M161*$R$3</f>
        <v>111.16828373900054</v>
      </c>
      <c r="S161" s="26" t="s">
        <v>21</v>
      </c>
      <c r="T161" s="14" t="s">
        <v>24</v>
      </c>
    </row>
    <row r="162" spans="1:20" ht="20.5" thickBot="1" x14ac:dyDescent="0.4">
      <c r="A162" s="35"/>
      <c r="B162" s="44" t="s">
        <v>212</v>
      </c>
      <c r="C162" s="22" t="s">
        <v>122</v>
      </c>
      <c r="D162" s="31" t="s">
        <v>5</v>
      </c>
      <c r="E162" s="31" t="s">
        <v>5</v>
      </c>
      <c r="F162" s="31" t="s">
        <v>5</v>
      </c>
      <c r="G162" s="37">
        <f>IFERROR(INDEX('KPI 113'!E$19:P$19,Actual_month),)</f>
        <v>125.17488738052683</v>
      </c>
      <c r="H162" s="38">
        <f>IFERROR(INDEX('KPI 113'!$E$20:$P$20,Actual_month),)</f>
        <v>126.98247973537858</v>
      </c>
      <c r="I162" s="23">
        <f t="shared" si="92"/>
        <v>1.0144405350999577</v>
      </c>
      <c r="J162" s="20" t="s">
        <v>5</v>
      </c>
      <c r="K162" s="20" t="s">
        <v>5</v>
      </c>
      <c r="L162" s="20" t="s">
        <v>5</v>
      </c>
      <c r="M162" s="37">
        <f>IFERROR(INDEX('KPI 113'!$E$26:$P$26,Actual_month),)</f>
        <v>125.17488738052681</v>
      </c>
      <c r="N162" s="38">
        <f>IFERROR(INDEX('KPI 113'!$E$27:$P$27,Actual_month),)</f>
        <v>125.95184303766248</v>
      </c>
      <c r="O162" s="23">
        <f t="shared" si="93"/>
        <v>1.0062069611037376</v>
      </c>
      <c r="P162" s="25" t="s">
        <v>18</v>
      </c>
      <c r="Q162" s="5">
        <f t="shared" si="94"/>
        <v>112.65739864247415</v>
      </c>
      <c r="R162" s="5">
        <f t="shared" si="95"/>
        <v>112.65739864247413</v>
      </c>
      <c r="S162" s="26" t="s">
        <v>21</v>
      </c>
      <c r="T162" s="14" t="s">
        <v>24</v>
      </c>
    </row>
    <row r="163" spans="1:20" ht="15" thickBot="1" x14ac:dyDescent="0.4">
      <c r="A163" s="385" t="s">
        <v>197</v>
      </c>
      <c r="B163" s="386"/>
      <c r="C163" s="32"/>
      <c r="D163" s="32"/>
      <c r="E163" s="32"/>
      <c r="F163" s="32"/>
      <c r="G163" s="33"/>
      <c r="H163" s="33"/>
      <c r="I163" s="33"/>
      <c r="J163" s="33"/>
      <c r="K163" s="33"/>
      <c r="L163" s="33"/>
      <c r="M163" s="33"/>
      <c r="N163" s="33"/>
      <c r="O163" s="34"/>
      <c r="Q163" s="14" t="s">
        <v>26</v>
      </c>
      <c r="R163" s="3" t="s">
        <v>25</v>
      </c>
    </row>
    <row r="164" spans="1:20" ht="20" x14ac:dyDescent="0.35">
      <c r="A164" s="39">
        <v>1</v>
      </c>
      <c r="B164" s="36" t="s">
        <v>100</v>
      </c>
      <c r="C164" s="22" t="s">
        <v>122</v>
      </c>
      <c r="D164" s="31" t="s">
        <v>5</v>
      </c>
      <c r="E164" s="31" t="s">
        <v>5</v>
      </c>
      <c r="F164" s="31" t="s">
        <v>5</v>
      </c>
      <c r="G164" s="37">
        <f>IFERROR(INDEX('KPI 110'!E$19:P$19,Actual_month),)</f>
        <v>124.080668885779</v>
      </c>
      <c r="H164" s="38">
        <f>IFERROR(INDEX('KPI 110'!$E$20:$P$20,Actual_month),)</f>
        <v>122.68679922260428</v>
      </c>
      <c r="I164" s="23">
        <f>IFERROR(H164/G164,"")</f>
        <v>0.98876642368475753</v>
      </c>
      <c r="J164" s="20" t="s">
        <v>5</v>
      </c>
      <c r="K164" s="20" t="s">
        <v>5</v>
      </c>
      <c r="L164" s="20" t="s">
        <v>5</v>
      </c>
      <c r="M164" s="37">
        <f>IFERROR(INDEX('KPI 110'!$E$26:$P$26,Actual_month),)</f>
        <v>124.080668885779</v>
      </c>
      <c r="N164" s="38">
        <f>IFERROR(INDEX('KPI 110'!$E$27:$P$27,Actual_month),)</f>
        <v>122.85642291075945</v>
      </c>
      <c r="O164" s="23">
        <f>IFERROR(N164/M164,"")</f>
        <v>0.99013346731595619</v>
      </c>
      <c r="P164" s="25" t="s">
        <v>18</v>
      </c>
      <c r="Q164" s="5">
        <f>G164*$R$3</f>
        <v>111.67260199720111</v>
      </c>
      <c r="R164" s="5">
        <f>M164*$R$3</f>
        <v>111.67260199720111</v>
      </c>
      <c r="S164" s="26" t="s">
        <v>21</v>
      </c>
      <c r="T164" s="14" t="s">
        <v>24</v>
      </c>
    </row>
    <row r="165" spans="1:20" ht="20" x14ac:dyDescent="0.35">
      <c r="A165" s="39">
        <v>2</v>
      </c>
      <c r="B165" s="36" t="s">
        <v>513</v>
      </c>
      <c r="C165" s="22" t="s">
        <v>122</v>
      </c>
      <c r="D165" s="31" t="s">
        <v>5</v>
      </c>
      <c r="E165" s="31" t="s">
        <v>5</v>
      </c>
      <c r="F165" s="31" t="s">
        <v>5</v>
      </c>
      <c r="G165" s="37">
        <f>IFERROR(INDEX('KPI 110B'!E$19:P$19,Actual_month),)</f>
        <v>100</v>
      </c>
      <c r="H165" s="38">
        <f>IFERROR(INDEX('KPI 110B'!$E$20:$P$20,Actual_month),)</f>
        <v>103.06532663316582</v>
      </c>
      <c r="I165" s="23">
        <f>IFERROR(H165/G165,"")</f>
        <v>1.0306532663316583</v>
      </c>
      <c r="J165" s="20" t="s">
        <v>5</v>
      </c>
      <c r="K165" s="20" t="s">
        <v>5</v>
      </c>
      <c r="L165" s="20" t="s">
        <v>5</v>
      </c>
      <c r="M165" s="37">
        <f>IFERROR(INDEX('KPI 110B'!$E$26:$P$26,Actual_month),)</f>
        <v>100</v>
      </c>
      <c r="N165" s="38">
        <f>IFERROR(INDEX('KPI 110B'!$E$27:$P$27,Actual_month),)</f>
        <v>0</v>
      </c>
      <c r="O165" s="23">
        <f>IFERROR(N165/M165,"")</f>
        <v>0</v>
      </c>
      <c r="P165" s="25" t="s">
        <v>18</v>
      </c>
      <c r="Q165" s="5">
        <f>G165*$R$3</f>
        <v>90</v>
      </c>
      <c r="R165" s="5">
        <f>M165*$R$3</f>
        <v>90</v>
      </c>
      <c r="S165" s="26" t="s">
        <v>21</v>
      </c>
      <c r="T165" s="14" t="s">
        <v>24</v>
      </c>
    </row>
    <row r="166" spans="1:20" ht="20.5" thickBot="1" x14ac:dyDescent="0.4">
      <c r="A166" s="35"/>
      <c r="B166" s="44" t="s">
        <v>512</v>
      </c>
      <c r="C166" s="22" t="s">
        <v>122</v>
      </c>
      <c r="D166" s="31" t="s">
        <v>5</v>
      </c>
      <c r="E166" s="31" t="s">
        <v>5</v>
      </c>
      <c r="F166" s="31" t="s">
        <v>5</v>
      </c>
      <c r="G166" s="37">
        <f>IFERROR(INDEX('KPI 113B'!E$19:P$19,Actual_month),)</f>
        <v>112.0403344428895</v>
      </c>
      <c r="H166" s="38">
        <f>IFERROR(INDEX('KPI 113B'!$E$20:$P$20,Actual_month),)</f>
        <v>122.57074069670669</v>
      </c>
      <c r="I166" s="23">
        <f t="shared" ref="I166" si="100">IFERROR(H166/G166,"")</f>
        <v>1.0939876367397392</v>
      </c>
      <c r="J166" s="20" t="s">
        <v>5</v>
      </c>
      <c r="K166" s="20" t="s">
        <v>5</v>
      </c>
      <c r="L166" s="20" t="s">
        <v>5</v>
      </c>
      <c r="M166" s="37">
        <f>IFERROR(INDEX('KPI 113B'!$E$26:$P$26,Actual_month),)</f>
        <v>112.0403344428895</v>
      </c>
      <c r="N166" s="38">
        <f>IFERROR(INDEX('KPI 113B'!$E$27:$P$27,Actual_month),)</f>
        <v>122.7740292006288</v>
      </c>
      <c r="O166" s="23">
        <f t="shared" ref="O166" si="101">IFERROR(N166/M166,"")</f>
        <v>1.0958020592415367</v>
      </c>
      <c r="P166" s="25" t="s">
        <v>18</v>
      </c>
      <c r="Q166" s="5">
        <f t="shared" ref="Q166" si="102">G166*$R$3</f>
        <v>100.83630099860055</v>
      </c>
      <c r="R166" s="5">
        <f t="shared" ref="R166" si="103">M166*$R$3</f>
        <v>100.83630099860055</v>
      </c>
      <c r="S166" s="26" t="s">
        <v>21</v>
      </c>
      <c r="T166" s="14" t="s">
        <v>24</v>
      </c>
    </row>
    <row r="167" spans="1:20" ht="15" thickBot="1" x14ac:dyDescent="0.4">
      <c r="A167" s="383" t="s">
        <v>49</v>
      </c>
      <c r="B167" s="384"/>
      <c r="C167" s="32"/>
      <c r="D167" s="32"/>
      <c r="E167" s="32"/>
      <c r="F167" s="32"/>
      <c r="G167" s="33"/>
      <c r="H167" s="33"/>
      <c r="I167" s="33"/>
      <c r="J167" s="33"/>
      <c r="K167" s="33"/>
      <c r="L167" s="33"/>
      <c r="M167" s="33"/>
      <c r="N167" s="33"/>
      <c r="O167" s="34"/>
      <c r="Q167" s="14" t="s">
        <v>26</v>
      </c>
      <c r="R167" s="3" t="s">
        <v>25</v>
      </c>
    </row>
    <row r="168" spans="1:20" ht="20" outlineLevel="1" x14ac:dyDescent="0.35">
      <c r="A168" s="39">
        <v>1</v>
      </c>
      <c r="B168" s="24" t="s">
        <v>103</v>
      </c>
      <c r="C168" s="22" t="s">
        <v>2</v>
      </c>
      <c r="D168" s="31" t="s">
        <v>5</v>
      </c>
      <c r="E168" s="31" t="s">
        <v>5</v>
      </c>
      <c r="F168" s="31" t="s">
        <v>5</v>
      </c>
      <c r="G168" s="37">
        <f>IFERROR(INDEX('KPI 114'!E$19:P$19,Actual_month),)</f>
        <v>1713010.4356879916</v>
      </c>
      <c r="H168" s="38">
        <f>IFERROR(INDEX('KPI 114'!$E$20:$P$20,Actual_month),)</f>
        <v>2163125.2000000002</v>
      </c>
      <c r="I168" s="23">
        <f t="shared" ref="I168:I179" si="104">IFERROR(H168/G168,"")</f>
        <v>1.262762418100057</v>
      </c>
      <c r="J168" s="20" t="s">
        <v>5</v>
      </c>
      <c r="K168" s="20" t="s">
        <v>5</v>
      </c>
      <c r="L168" s="20" t="s">
        <v>5</v>
      </c>
      <c r="M168" s="37">
        <f>IFERROR(INDEX('KPI 114'!$E$26:$P$26,Actual_month),)</f>
        <v>13618569.714824852</v>
      </c>
      <c r="N168" s="38">
        <f>IFERROR(INDEX('KPI 114'!$E$27:$P$27,Actual_month),)</f>
        <v>16705851.899999999</v>
      </c>
      <c r="O168" s="23">
        <f t="shared" ref="O168:O179" si="105">IFERROR(N168/M168,"")</f>
        <v>1.2266965070358604</v>
      </c>
      <c r="P168" s="15" t="s">
        <v>18</v>
      </c>
      <c r="Q168" s="5">
        <f t="shared" ref="Q168:Q179" si="106">G168*$R$3</f>
        <v>1541709.3921191925</v>
      </c>
      <c r="R168" s="5">
        <f t="shared" ref="R168:R179" si="107">M168*$R$3</f>
        <v>12256712.743342366</v>
      </c>
      <c r="S168" s="26" t="s">
        <v>21</v>
      </c>
      <c r="T168" s="14" t="s">
        <v>24</v>
      </c>
    </row>
    <row r="169" spans="1:20" ht="20" outlineLevel="1" x14ac:dyDescent="0.35">
      <c r="A169" s="35">
        <v>2</v>
      </c>
      <c r="B169" s="24" t="s">
        <v>104</v>
      </c>
      <c r="C169" s="22" t="s">
        <v>2</v>
      </c>
      <c r="D169" s="31" t="s">
        <v>5</v>
      </c>
      <c r="E169" s="31" t="s">
        <v>5</v>
      </c>
      <c r="F169" s="31" t="s">
        <v>5</v>
      </c>
      <c r="G169" s="37">
        <f>IFERROR(INDEX('KPI 115'!E$19:P$19,Actual_month),)</f>
        <v>1870444.7973980627</v>
      </c>
      <c r="H169" s="38">
        <f>IFERROR(INDEX('KPI 115'!$E$20:$P$20,Actual_month),)</f>
        <v>2014342.6</v>
      </c>
      <c r="I169" s="23">
        <f t="shared" si="104"/>
        <v>1.0769323974715055</v>
      </c>
      <c r="J169" s="20" t="s">
        <v>5</v>
      </c>
      <c r="K169" s="20" t="s">
        <v>5</v>
      </c>
      <c r="L169" s="20" t="s">
        <v>5</v>
      </c>
      <c r="M169" s="37">
        <f>IFERROR(INDEX('KPI 115'!$E$26:$P$26,Actual_month),)</f>
        <v>14666956.390909765</v>
      </c>
      <c r="N169" s="38">
        <f>IFERROR(INDEX('KPI 115'!$E$27:$P$27,Actual_month),)</f>
        <v>16625068.299999999</v>
      </c>
      <c r="O169" s="23">
        <f t="shared" si="105"/>
        <v>1.1335049929175371</v>
      </c>
      <c r="P169" s="15" t="s">
        <v>18</v>
      </c>
      <c r="Q169" s="5">
        <f t="shared" si="106"/>
        <v>1683400.3176582565</v>
      </c>
      <c r="R169" s="5">
        <f t="shared" si="107"/>
        <v>13200260.751818789</v>
      </c>
      <c r="S169" s="26" t="s">
        <v>21</v>
      </c>
      <c r="T169" s="14" t="s">
        <v>24</v>
      </c>
    </row>
    <row r="170" spans="1:20" ht="20" outlineLevel="1" x14ac:dyDescent="0.35">
      <c r="A170" s="39">
        <v>3</v>
      </c>
      <c r="B170" s="36" t="s">
        <v>105</v>
      </c>
      <c r="C170" s="22" t="s">
        <v>2</v>
      </c>
      <c r="D170" s="31" t="s">
        <v>5</v>
      </c>
      <c r="E170" s="31" t="s">
        <v>5</v>
      </c>
      <c r="F170" s="31" t="s">
        <v>5</v>
      </c>
      <c r="G170" s="37">
        <f>IFERROR(INDEX('KPI 116'!E$19:P$19,Actual_month),)</f>
        <v>533116.57595408289</v>
      </c>
      <c r="H170" s="38">
        <f>IFERROR(INDEX('KPI 116'!$E$20:$P$20,Actual_month),)</f>
        <v>496112.5</v>
      </c>
      <c r="I170" s="23">
        <f t="shared" si="104"/>
        <v>0.93058914762149503</v>
      </c>
      <c r="J170" s="20" t="s">
        <v>5</v>
      </c>
      <c r="K170" s="20" t="s">
        <v>5</v>
      </c>
      <c r="L170" s="20" t="s">
        <v>5</v>
      </c>
      <c r="M170" s="37">
        <f>IFERROR(INDEX('KPI 116'!$E$26:$P$26,Actual_month),)</f>
        <v>4080359.7495281841</v>
      </c>
      <c r="N170" s="38">
        <f>IFERROR(INDEX('KPI 116'!$E$27:$P$27,Actual_month),)</f>
        <v>3918760</v>
      </c>
      <c r="O170" s="23">
        <f t="shared" si="105"/>
        <v>0.96039571031773119</v>
      </c>
      <c r="P170" s="25" t="s">
        <v>18</v>
      </c>
      <c r="Q170" s="5">
        <f t="shared" si="106"/>
        <v>479804.91835867462</v>
      </c>
      <c r="R170" s="5">
        <f t="shared" si="107"/>
        <v>3672323.7745753657</v>
      </c>
      <c r="S170" s="26" t="s">
        <v>21</v>
      </c>
      <c r="T170" s="14" t="s">
        <v>24</v>
      </c>
    </row>
    <row r="171" spans="1:20" ht="20" outlineLevel="1" x14ac:dyDescent="0.35">
      <c r="A171" s="35">
        <v>4</v>
      </c>
      <c r="B171" s="36" t="s">
        <v>106</v>
      </c>
      <c r="C171" s="22" t="s">
        <v>2</v>
      </c>
      <c r="D171" s="31" t="s">
        <v>5</v>
      </c>
      <c r="E171" s="31" t="s">
        <v>5</v>
      </c>
      <c r="F171" s="31" t="s">
        <v>5</v>
      </c>
      <c r="G171" s="37">
        <f>IFERROR(INDEX('KPI 117'!E$19:P$19,Actual_month),)</f>
        <v>533936.64539762505</v>
      </c>
      <c r="H171" s="38">
        <f>IFERROR(INDEX('KPI 117'!$E$20:$P$20,Actual_month),)</f>
        <v>555623.19999999995</v>
      </c>
      <c r="I171" s="23">
        <f t="shared" si="104"/>
        <v>1.0406163442597667</v>
      </c>
      <c r="J171" s="20" t="s">
        <v>5</v>
      </c>
      <c r="K171" s="20" t="s">
        <v>5</v>
      </c>
      <c r="L171" s="20" t="s">
        <v>5</v>
      </c>
      <c r="M171" s="37">
        <f>IFERROR(INDEX('KPI 117'!$E$26:$P$26,Actual_month),)</f>
        <v>4238762.1536018476</v>
      </c>
      <c r="N171" s="38">
        <f>IFERROR(INDEX('KPI 117'!$E$27:$P$27,Actual_month),)</f>
        <v>4523598.1000000006</v>
      </c>
      <c r="O171" s="23">
        <f t="shared" si="105"/>
        <v>1.0671979073315345</v>
      </c>
      <c r="P171" s="25" t="s">
        <v>18</v>
      </c>
      <c r="Q171" s="5">
        <f t="shared" si="106"/>
        <v>480542.98085786257</v>
      </c>
      <c r="R171" s="5">
        <f t="shared" si="107"/>
        <v>3814885.9382416629</v>
      </c>
      <c r="S171" s="26" t="s">
        <v>21</v>
      </c>
      <c r="T171" s="14" t="s">
        <v>24</v>
      </c>
    </row>
    <row r="172" spans="1:20" ht="20" outlineLevel="1" x14ac:dyDescent="0.35">
      <c r="A172" s="39">
        <v>5</v>
      </c>
      <c r="B172" s="36" t="s">
        <v>107</v>
      </c>
      <c r="C172" s="22" t="s">
        <v>2</v>
      </c>
      <c r="D172" s="31" t="s">
        <v>5</v>
      </c>
      <c r="E172" s="31" t="s">
        <v>5</v>
      </c>
      <c r="F172" s="31" t="s">
        <v>5</v>
      </c>
      <c r="G172" s="37">
        <f>IFERROR(INDEX('KPI 118'!E$19:P$19,Actual_month),)</f>
        <v>0</v>
      </c>
      <c r="H172" s="38">
        <f>IFERROR(INDEX('KPI 118'!$E$20:$P$20,Actual_month),)</f>
        <v>0</v>
      </c>
      <c r="I172" s="23" t="str">
        <f t="shared" si="104"/>
        <v/>
      </c>
      <c r="J172" s="20" t="s">
        <v>5</v>
      </c>
      <c r="K172" s="20" t="s">
        <v>5</v>
      </c>
      <c r="L172" s="20" t="s">
        <v>5</v>
      </c>
      <c r="M172" s="37">
        <f>IFERROR(INDEX('KPI 118'!$E$26:$P$26,Actual_month),)</f>
        <v>0</v>
      </c>
      <c r="N172" s="38">
        <f>IFERROR(INDEX('KPI 118'!$E$27:$P$27,Actual_month),)</f>
        <v>0</v>
      </c>
      <c r="O172" s="23" t="str">
        <f t="shared" si="105"/>
        <v/>
      </c>
      <c r="P172" s="25" t="s">
        <v>18</v>
      </c>
      <c r="Q172" s="5">
        <f t="shared" si="106"/>
        <v>0</v>
      </c>
      <c r="R172" s="5">
        <f t="shared" si="107"/>
        <v>0</v>
      </c>
      <c r="S172" s="26" t="s">
        <v>21</v>
      </c>
      <c r="T172" s="14" t="s">
        <v>24</v>
      </c>
    </row>
    <row r="173" spans="1:20" ht="20" outlineLevel="1" x14ac:dyDescent="0.35">
      <c r="A173" s="35">
        <v>6</v>
      </c>
      <c r="B173" s="36" t="s">
        <v>111</v>
      </c>
      <c r="C173" s="22" t="s">
        <v>2</v>
      </c>
      <c r="D173" s="31" t="s">
        <v>5</v>
      </c>
      <c r="E173" s="31" t="s">
        <v>5</v>
      </c>
      <c r="F173" s="31" t="s">
        <v>5</v>
      </c>
      <c r="G173" s="37">
        <f>IFERROR(INDEX('KPI 123'!E$19:P$19,Actual_month),)</f>
        <v>486870.02231472556</v>
      </c>
      <c r="H173" s="38">
        <f>IFERROR(INDEX('KPI 123'!$E$20:$P$20,Actual_month),)</f>
        <v>463900</v>
      </c>
      <c r="I173" s="23">
        <f>IFERROR(H173/G173,"")</f>
        <v>0.95282103793222017</v>
      </c>
      <c r="J173" s="20" t="s">
        <v>5</v>
      </c>
      <c r="K173" s="20" t="s">
        <v>5</v>
      </c>
      <c r="L173" s="20" t="s">
        <v>5</v>
      </c>
      <c r="M173" s="37">
        <f>IFERROR(INDEX('KPI 123'!$E$26:$P$26,Actual_month),)</f>
        <v>3837454.8215720109</v>
      </c>
      <c r="N173" s="38">
        <f>IFERROR(INDEX('KPI 123'!$E$27:$P$27,Actual_month),)</f>
        <v>3580787.5</v>
      </c>
      <c r="O173" s="23">
        <f>IFERROR(N173/M173,"")</f>
        <v>0.93311521998143887</v>
      </c>
      <c r="P173" s="25" t="s">
        <v>18</v>
      </c>
      <c r="Q173" s="5">
        <f>G173*$R$3</f>
        <v>438183.02008325304</v>
      </c>
      <c r="R173" s="5">
        <f>M173*$R$3</f>
        <v>3453709.3394148098</v>
      </c>
      <c r="S173" s="26" t="s">
        <v>21</v>
      </c>
      <c r="T173" s="14" t="s">
        <v>24</v>
      </c>
    </row>
    <row r="174" spans="1:20" ht="20" outlineLevel="1" x14ac:dyDescent="0.35">
      <c r="A174" s="35">
        <v>7</v>
      </c>
      <c r="B174" s="36" t="s">
        <v>452</v>
      </c>
      <c r="C174" s="22" t="s">
        <v>2</v>
      </c>
      <c r="D174" s="31" t="s">
        <v>5</v>
      </c>
      <c r="E174" s="31" t="s">
        <v>5</v>
      </c>
      <c r="F174" s="31" t="s">
        <v>5</v>
      </c>
      <c r="G174" s="37">
        <f>IFERROR(INDEX('KPI 123A'!E$19:P$19,Actual_month),)</f>
        <v>325.12363508490176</v>
      </c>
      <c r="H174" s="38">
        <f>IFERROR(INDEX('KPI 123A'!$E$20:$P$20,Actual_month),)</f>
        <v>700</v>
      </c>
      <c r="I174" s="23">
        <f>IFERROR(H174/G174,"")</f>
        <v>2.1530271086480814</v>
      </c>
      <c r="J174" s="20" t="s">
        <v>5</v>
      </c>
      <c r="K174" s="20" t="s">
        <v>5</v>
      </c>
      <c r="L174" s="20" t="s">
        <v>5</v>
      </c>
      <c r="M174" s="37">
        <f>IFERROR(INDEX('KPI 123A'!$E$26:$P$26,Actual_month),)</f>
        <v>2603.5397014764776</v>
      </c>
      <c r="N174" s="38">
        <f>IFERROR(INDEX('KPI 123A'!$E$27:$P$27,Actual_month),)</f>
        <v>5600</v>
      </c>
      <c r="O174" s="23">
        <f>IFERROR(N174/M174,"")</f>
        <v>2.1509178434360798</v>
      </c>
      <c r="P174" s="25" t="s">
        <v>18</v>
      </c>
      <c r="Q174" s="5">
        <f>G174*$R$3</f>
        <v>292.61127157641158</v>
      </c>
      <c r="R174" s="5">
        <f>M174*$R$3</f>
        <v>2343.1857313288301</v>
      </c>
      <c r="S174" s="26" t="s">
        <v>21</v>
      </c>
      <c r="T174" s="14" t="s">
        <v>24</v>
      </c>
    </row>
    <row r="175" spans="1:20" ht="20" x14ac:dyDescent="0.35">
      <c r="A175" s="35"/>
      <c r="B175" s="44" t="s">
        <v>213</v>
      </c>
      <c r="C175" s="22" t="s">
        <v>2</v>
      </c>
      <c r="D175" s="31" t="s">
        <v>5</v>
      </c>
      <c r="E175" s="31" t="s">
        <v>5</v>
      </c>
      <c r="F175" s="31" t="s">
        <v>5</v>
      </c>
      <c r="G175" s="37">
        <f>IFERROR(INDEX('KPI 119'!E$19:P$19,Actual_month),)</f>
        <v>5137703.6003875732</v>
      </c>
      <c r="H175" s="38">
        <f>IFERROR(INDEX('KPI 119'!$E$20:$P$20,Actual_month),)</f>
        <v>5693803.5000000009</v>
      </c>
      <c r="I175" s="23">
        <f t="shared" si="104"/>
        <v>1.1082389999241056</v>
      </c>
      <c r="J175" s="20" t="s">
        <v>5</v>
      </c>
      <c r="K175" s="20" t="s">
        <v>5</v>
      </c>
      <c r="L175" s="20" t="s">
        <v>5</v>
      </c>
      <c r="M175" s="37">
        <f>IFERROR(INDEX('KPI 119'!$E$26:$P$26,Actual_month),)</f>
        <v>40444706.370138139</v>
      </c>
      <c r="N175" s="38">
        <f>IFERROR(INDEX('KPI 119'!$E$27:$P$27,Actual_month),)</f>
        <v>45359665.800000004</v>
      </c>
      <c r="O175" s="23">
        <f t="shared" si="105"/>
        <v>1.1215229351619367</v>
      </c>
      <c r="P175" s="25" t="s">
        <v>18</v>
      </c>
      <c r="Q175" s="5">
        <f t="shared" si="106"/>
        <v>4623933.2403488159</v>
      </c>
      <c r="R175" s="5">
        <f t="shared" si="107"/>
        <v>36400235.733124323</v>
      </c>
      <c r="S175" s="26" t="s">
        <v>21</v>
      </c>
      <c r="T175" s="14" t="s">
        <v>24</v>
      </c>
    </row>
    <row r="176" spans="1:20" ht="20" outlineLevel="1" x14ac:dyDescent="0.35">
      <c r="A176" s="39">
        <v>1</v>
      </c>
      <c r="B176" s="36" t="s">
        <v>108</v>
      </c>
      <c r="C176" s="22" t="s">
        <v>2</v>
      </c>
      <c r="D176" s="31" t="s">
        <v>5</v>
      </c>
      <c r="E176" s="31" t="s">
        <v>5</v>
      </c>
      <c r="F176" s="31" t="s">
        <v>5</v>
      </c>
      <c r="G176" s="37">
        <f>IFERROR(INDEX('KPI 120'!E$19:P$19,Actual_month),)</f>
        <v>0</v>
      </c>
      <c r="H176" s="38">
        <f>IFERROR(INDEX('KPI 120'!$E$20:$P$20,Actual_month),)</f>
        <v>0</v>
      </c>
      <c r="I176" s="23" t="str">
        <f t="shared" si="104"/>
        <v/>
      </c>
      <c r="J176" s="20" t="s">
        <v>5</v>
      </c>
      <c r="K176" s="20" t="s">
        <v>5</v>
      </c>
      <c r="L176" s="20" t="s">
        <v>5</v>
      </c>
      <c r="M176" s="37">
        <f>IFERROR(INDEX('KPI 120'!$E$26:$P$26,Actual_month),)</f>
        <v>0</v>
      </c>
      <c r="N176" s="38">
        <f>IFERROR(INDEX('KPI 120'!$E$27:$P$27,Actual_month),)</f>
        <v>0</v>
      </c>
      <c r="O176" s="23" t="str">
        <f t="shared" si="105"/>
        <v/>
      </c>
      <c r="P176" s="25" t="s">
        <v>18</v>
      </c>
      <c r="Q176" s="5">
        <f t="shared" si="106"/>
        <v>0</v>
      </c>
      <c r="R176" s="5">
        <f t="shared" si="107"/>
        <v>0</v>
      </c>
      <c r="S176" s="26" t="s">
        <v>21</v>
      </c>
      <c r="T176" s="14" t="s">
        <v>24</v>
      </c>
    </row>
    <row r="177" spans="1:20" ht="20" outlineLevel="1" x14ac:dyDescent="0.35">
      <c r="A177" s="35">
        <v>2</v>
      </c>
      <c r="B177" s="36" t="s">
        <v>109</v>
      </c>
      <c r="C177" s="22" t="s">
        <v>2</v>
      </c>
      <c r="D177" s="31" t="s">
        <v>5</v>
      </c>
      <c r="E177" s="31" t="s">
        <v>5</v>
      </c>
      <c r="F177" s="31" t="s">
        <v>5</v>
      </c>
      <c r="G177" s="37">
        <f>IFERROR(INDEX('KPI 121'!E$19:P$19,Actual_month),)</f>
        <v>0</v>
      </c>
      <c r="H177" s="38">
        <f>IFERROR(INDEX('KPI 121'!$E$20:$P$20,Actual_month),)</f>
        <v>0</v>
      </c>
      <c r="I177" s="23" t="str">
        <f t="shared" si="104"/>
        <v/>
      </c>
      <c r="J177" s="20" t="s">
        <v>5</v>
      </c>
      <c r="K177" s="20" t="s">
        <v>5</v>
      </c>
      <c r="L177" s="20" t="s">
        <v>5</v>
      </c>
      <c r="M177" s="37">
        <f>IFERROR(INDEX('KPI 121'!$E$26:$P$26,Actual_month),)</f>
        <v>0</v>
      </c>
      <c r="N177" s="38">
        <f>IFERROR(INDEX('KPI 121'!$E$27:$P$27,Actual_month),)</f>
        <v>0</v>
      </c>
      <c r="O177" s="23" t="str">
        <f t="shared" si="105"/>
        <v/>
      </c>
      <c r="P177" s="25" t="s">
        <v>18</v>
      </c>
      <c r="Q177" s="5">
        <f t="shared" si="106"/>
        <v>0</v>
      </c>
      <c r="R177" s="5">
        <f t="shared" si="107"/>
        <v>0</v>
      </c>
      <c r="S177" s="26" t="s">
        <v>21</v>
      </c>
      <c r="T177" s="14" t="s">
        <v>24</v>
      </c>
    </row>
    <row r="178" spans="1:20" ht="20" outlineLevel="1" x14ac:dyDescent="0.35">
      <c r="A178" s="39">
        <v>3</v>
      </c>
      <c r="B178" s="36" t="s">
        <v>112</v>
      </c>
      <c r="C178" s="22" t="s">
        <v>2</v>
      </c>
      <c r="D178" s="31" t="s">
        <v>5</v>
      </c>
      <c r="E178" s="31" t="s">
        <v>5</v>
      </c>
      <c r="F178" s="31" t="s">
        <v>5</v>
      </c>
      <c r="G178" s="37">
        <f>IFERROR(INDEX('KPI 124'!E$19:P$19,Actual_month),)</f>
        <v>0</v>
      </c>
      <c r="H178" s="38">
        <f>IFERROR(INDEX('KPI 124'!$E$20:$P$20,Actual_month),)</f>
        <v>0</v>
      </c>
      <c r="I178" s="23" t="str">
        <f t="shared" si="104"/>
        <v/>
      </c>
      <c r="J178" s="20" t="s">
        <v>5</v>
      </c>
      <c r="K178" s="20" t="s">
        <v>5</v>
      </c>
      <c r="L178" s="20" t="s">
        <v>5</v>
      </c>
      <c r="M178" s="37">
        <f>IFERROR(INDEX('KPI 124'!$E$26:$P$26,Actual_month),)</f>
        <v>0</v>
      </c>
      <c r="N178" s="38">
        <f>IFERROR(INDEX('KPI 124'!$E$27:$P$27,Actual_month),)</f>
        <v>0</v>
      </c>
      <c r="O178" s="23" t="str">
        <f t="shared" si="105"/>
        <v/>
      </c>
      <c r="P178" s="25" t="s">
        <v>18</v>
      </c>
      <c r="Q178" s="5">
        <f t="shared" si="106"/>
        <v>0</v>
      </c>
      <c r="R178" s="5">
        <f t="shared" si="107"/>
        <v>0</v>
      </c>
      <c r="S178" s="26" t="s">
        <v>21</v>
      </c>
      <c r="T178" s="14" t="s">
        <v>24</v>
      </c>
    </row>
    <row r="179" spans="1:20" ht="20.5" thickBot="1" x14ac:dyDescent="0.4">
      <c r="A179" s="35"/>
      <c r="B179" s="44" t="s">
        <v>214</v>
      </c>
      <c r="C179" s="22" t="s">
        <v>2</v>
      </c>
      <c r="D179" s="31" t="s">
        <v>5</v>
      </c>
      <c r="E179" s="31" t="s">
        <v>5</v>
      </c>
      <c r="F179" s="31" t="s">
        <v>5</v>
      </c>
      <c r="G179" s="37">
        <f>IFERROR(INDEX('KPI 125'!E$19:P$19,Actual_month),)</f>
        <v>0</v>
      </c>
      <c r="H179" s="38">
        <f>IFERROR(INDEX('KPI 125'!$E$20:$P$20,Actual_month),)</f>
        <v>0</v>
      </c>
      <c r="I179" s="23" t="str">
        <f t="shared" si="104"/>
        <v/>
      </c>
      <c r="J179" s="20" t="s">
        <v>5</v>
      </c>
      <c r="K179" s="20" t="s">
        <v>5</v>
      </c>
      <c r="L179" s="20" t="s">
        <v>5</v>
      </c>
      <c r="M179" s="37">
        <f>IFERROR(INDEX('KPI 125'!$E$26:$P$26,Actual_month),)</f>
        <v>0</v>
      </c>
      <c r="N179" s="38">
        <f>IFERROR(INDEX('KPI 125'!$E$27:$P$27,Actual_month),)</f>
        <v>0</v>
      </c>
      <c r="O179" s="23" t="str">
        <f t="shared" si="105"/>
        <v/>
      </c>
      <c r="P179" s="25" t="s">
        <v>18</v>
      </c>
      <c r="Q179" s="5">
        <f t="shared" si="106"/>
        <v>0</v>
      </c>
      <c r="R179" s="5">
        <f t="shared" si="107"/>
        <v>0</v>
      </c>
      <c r="S179" s="26" t="s">
        <v>21</v>
      </c>
      <c r="T179" s="14" t="s">
        <v>24</v>
      </c>
    </row>
    <row r="180" spans="1:20" ht="15" thickBot="1" x14ac:dyDescent="0.4">
      <c r="A180" s="385" t="s">
        <v>197</v>
      </c>
      <c r="B180" s="386"/>
      <c r="C180" s="32"/>
      <c r="D180" s="32"/>
      <c r="E180" s="32"/>
      <c r="F180" s="32"/>
      <c r="G180" s="33"/>
      <c r="H180" s="33"/>
      <c r="I180" s="33"/>
      <c r="J180" s="33"/>
      <c r="K180" s="33"/>
      <c r="L180" s="33"/>
      <c r="M180" s="33"/>
      <c r="N180" s="33"/>
      <c r="O180" s="34"/>
      <c r="Q180" s="14" t="s">
        <v>26</v>
      </c>
      <c r="R180" s="3" t="s">
        <v>25</v>
      </c>
    </row>
    <row r="181" spans="1:20" s="7" customFormat="1" ht="20.5" thickBot="1" x14ac:dyDescent="0.4">
      <c r="A181" s="45">
        <v>1</v>
      </c>
      <c r="B181" s="44" t="s">
        <v>110</v>
      </c>
      <c r="C181" s="370" t="s">
        <v>2</v>
      </c>
      <c r="D181" s="371" t="s">
        <v>5</v>
      </c>
      <c r="E181" s="371" t="s">
        <v>5</v>
      </c>
      <c r="F181" s="371" t="s">
        <v>5</v>
      </c>
      <c r="G181" s="372">
        <f>IFERROR(INDEX('KPI 122'!E$19:P$19,Actual_month),)</f>
        <v>102927.8173332109</v>
      </c>
      <c r="H181" s="373">
        <f>IFERROR(INDEX('KPI 122'!$E$20:$P$20,Actual_month),)</f>
        <v>132787.5</v>
      </c>
      <c r="I181" s="374">
        <f>IFERROR(H181/G181,"")</f>
        <v>1.2901031367460516</v>
      </c>
      <c r="J181" s="375" t="s">
        <v>5</v>
      </c>
      <c r="K181" s="375" t="s">
        <v>5</v>
      </c>
      <c r="L181" s="375" t="s">
        <v>5</v>
      </c>
      <c r="M181" s="372">
        <f>IFERROR(INDEX('KPI 122'!$E$26:$P$26,Actual_month),)</f>
        <v>798955.66851744661</v>
      </c>
      <c r="N181" s="373">
        <f>IFERROR(INDEX('KPI 122'!$E$27:$P$27,Actual_month),)</f>
        <v>975250</v>
      </c>
      <c r="O181" s="374">
        <f>IFERROR(N181/M181,"")</f>
        <v>1.2206559618128596</v>
      </c>
      <c r="P181" s="376" t="s">
        <v>18</v>
      </c>
      <c r="Q181" s="377">
        <f>G181*$R$3</f>
        <v>92635.035599889816</v>
      </c>
      <c r="R181" s="377">
        <f>M181*$R$3</f>
        <v>719060.10166570195</v>
      </c>
      <c r="S181" s="378" t="s">
        <v>21</v>
      </c>
      <c r="T181" s="379" t="s">
        <v>24</v>
      </c>
    </row>
    <row r="182" spans="1:20" ht="15" thickBot="1" x14ac:dyDescent="0.4">
      <c r="A182" s="383" t="s">
        <v>173</v>
      </c>
      <c r="B182" s="384"/>
      <c r="C182" s="32"/>
      <c r="D182" s="32"/>
      <c r="E182" s="32"/>
      <c r="F182" s="32"/>
      <c r="G182" s="33"/>
      <c r="H182" s="33"/>
      <c r="I182" s="33"/>
      <c r="J182" s="33"/>
      <c r="K182" s="33"/>
      <c r="L182" s="33"/>
      <c r="M182" s="33"/>
      <c r="N182" s="33"/>
      <c r="O182" s="34"/>
      <c r="Q182" s="14" t="s">
        <v>26</v>
      </c>
      <c r="R182" s="3" t="s">
        <v>25</v>
      </c>
    </row>
    <row r="183" spans="1:20" ht="20" x14ac:dyDescent="0.35">
      <c r="A183" s="43">
        <v>1</v>
      </c>
      <c r="B183" s="44" t="s">
        <v>174</v>
      </c>
      <c r="C183" s="22" t="s">
        <v>83</v>
      </c>
      <c r="D183" s="31" t="s">
        <v>5</v>
      </c>
      <c r="E183" s="31" t="s">
        <v>5</v>
      </c>
      <c r="F183" s="31" t="s">
        <v>5</v>
      </c>
      <c r="G183" s="37">
        <f>IFERROR(INDEX('KPI 126'!E$19:P$19,Actual_month),)</f>
        <v>183888.91262962579</v>
      </c>
      <c r="H183" s="38">
        <f>IFERROR(INDEX('KPI 126'!$E$20:$P$20,Actual_month),)</f>
        <v>172265</v>
      </c>
      <c r="I183" s="23">
        <f t="shared" ref="I183:I188" si="108">IFERROR(H183/G183,"")</f>
        <v>0.93678839869460895</v>
      </c>
      <c r="J183" s="20" t="s">
        <v>5</v>
      </c>
      <c r="K183" s="20" t="s">
        <v>5</v>
      </c>
      <c r="L183" s="20" t="s">
        <v>5</v>
      </c>
      <c r="M183" s="37">
        <f>IFERROR(INDEX('KPI 126'!$E$26:$P$26,Actual_month),)</f>
        <v>1382493.6966631464</v>
      </c>
      <c r="N183" s="38">
        <f>IFERROR(INDEX('KPI 126'!$E$27:$P$27,Actual_month),)</f>
        <v>1275846</v>
      </c>
      <c r="O183" s="23">
        <f t="shared" ref="O183:O188" si="109">IFERROR(N183/M183,"")</f>
        <v>0.92285845720631032</v>
      </c>
      <c r="P183" s="25" t="s">
        <v>18</v>
      </c>
      <c r="Q183" s="5">
        <f t="shared" ref="Q183:Q188" si="110">G183*$R$3</f>
        <v>165500.02136666322</v>
      </c>
      <c r="R183" s="5">
        <f t="shared" ref="R183:R188" si="111">M183*$R$3</f>
        <v>1244244.3269968317</v>
      </c>
      <c r="S183" s="26" t="s">
        <v>21</v>
      </c>
      <c r="T183" s="14" t="s">
        <v>24</v>
      </c>
    </row>
    <row r="184" spans="1:20" ht="20" x14ac:dyDescent="0.35">
      <c r="A184" s="45">
        <v>2</v>
      </c>
      <c r="B184" s="44" t="s">
        <v>181</v>
      </c>
      <c r="C184" s="22" t="s">
        <v>2</v>
      </c>
      <c r="D184" s="31" t="s">
        <v>5</v>
      </c>
      <c r="E184" s="31" t="s">
        <v>5</v>
      </c>
      <c r="F184" s="31" t="s">
        <v>5</v>
      </c>
      <c r="G184" s="37">
        <f>IFERROR(INDEX('KPI 127'!E$19:P$19,Actual_month),)</f>
        <v>18621027.777777772</v>
      </c>
      <c r="H184" s="38">
        <f>IFERROR(INDEX('KPI 127'!$E$20:$P$20,Actual_month),)</f>
        <v>21831150</v>
      </c>
      <c r="I184" s="23">
        <f t="shared" si="108"/>
        <v>1.1723923222999091</v>
      </c>
      <c r="J184" s="20" t="s">
        <v>5</v>
      </c>
      <c r="K184" s="20" t="s">
        <v>5</v>
      </c>
      <c r="L184" s="20" t="s">
        <v>5</v>
      </c>
      <c r="M184" s="37">
        <f>IFERROR(INDEX('KPI 127'!$E$26:$P$26,Actual_month),)</f>
        <v>142195562.22222221</v>
      </c>
      <c r="N184" s="38">
        <f>IFERROR(INDEX('KPI 127'!$E$27:$P$27,Actual_month),)</f>
        <v>161458050</v>
      </c>
      <c r="O184" s="23">
        <f t="shared" si="109"/>
        <v>1.1354647604801795</v>
      </c>
      <c r="P184" s="25" t="s">
        <v>18</v>
      </c>
      <c r="Q184" s="5">
        <f t="shared" si="110"/>
        <v>16758924.999999996</v>
      </c>
      <c r="R184" s="5">
        <f t="shared" si="111"/>
        <v>127976005.99999999</v>
      </c>
      <c r="S184" s="26" t="s">
        <v>21</v>
      </c>
      <c r="T184" s="14" t="s">
        <v>24</v>
      </c>
    </row>
    <row r="185" spans="1:20" ht="20" x14ac:dyDescent="0.35">
      <c r="A185" s="43">
        <v>3</v>
      </c>
      <c r="B185" s="44" t="s">
        <v>175</v>
      </c>
      <c r="C185" s="22" t="s">
        <v>2</v>
      </c>
      <c r="D185" s="31" t="s">
        <v>5</v>
      </c>
      <c r="E185" s="31" t="s">
        <v>5</v>
      </c>
      <c r="F185" s="31" t="s">
        <v>5</v>
      </c>
      <c r="G185" s="37">
        <f>IFERROR(INDEX('KPI 128'!E$19:P$19,Actual_month),)</f>
        <v>5240631.4177207844</v>
      </c>
      <c r="H185" s="38">
        <f>IFERROR(INDEX('KPI 128'!$E$20:$P$20,Actual_month),)</f>
        <v>5826591.0000000009</v>
      </c>
      <c r="I185" s="23">
        <f t="shared" si="108"/>
        <v>1.1118108746014537</v>
      </c>
      <c r="J185" s="20" t="s">
        <v>5</v>
      </c>
      <c r="K185" s="20" t="s">
        <v>5</v>
      </c>
      <c r="L185" s="20" t="s">
        <v>5</v>
      </c>
      <c r="M185" s="37">
        <f>IFERROR(INDEX('KPI 128'!$E$26:$P$26,Actual_month),)</f>
        <v>41243662.038655587</v>
      </c>
      <c r="N185" s="38">
        <f>IFERROR(INDEX('KPI 128'!$E$27:$P$27,Actual_month),)</f>
        <v>46334915.800000004</v>
      </c>
      <c r="O185" s="23">
        <f t="shared" si="109"/>
        <v>1.1234433003687365</v>
      </c>
      <c r="P185" s="25" t="s">
        <v>18</v>
      </c>
      <c r="Q185" s="5">
        <f t="shared" si="110"/>
        <v>4716568.2759487061</v>
      </c>
      <c r="R185" s="5">
        <f t="shared" si="111"/>
        <v>37119295.834790029</v>
      </c>
      <c r="S185" s="26" t="s">
        <v>21</v>
      </c>
      <c r="T185" s="14" t="s">
        <v>24</v>
      </c>
    </row>
    <row r="186" spans="1:20" ht="20" x14ac:dyDescent="0.35">
      <c r="A186" s="43">
        <v>3</v>
      </c>
      <c r="B186" s="44" t="s">
        <v>226</v>
      </c>
      <c r="C186" s="22" t="s">
        <v>2</v>
      </c>
      <c r="D186" s="31" t="s">
        <v>5</v>
      </c>
      <c r="E186" s="31" t="s">
        <v>5</v>
      </c>
      <c r="F186" s="31" t="s">
        <v>5</v>
      </c>
      <c r="G186" s="37">
        <f>IFERROR(INDEX('KPI 3A'!E$19:P$19,Actual_month),)</f>
        <v>23861659.195498556</v>
      </c>
      <c r="H186" s="38">
        <f>IFERROR(INDEX('KPI 3A'!$E$20:$P$20,Actual_month),)</f>
        <v>27657741</v>
      </c>
      <c r="I186" s="23">
        <f t="shared" ref="I186" si="112">IFERROR(H186/G186,"")</f>
        <v>1.1590870849927135</v>
      </c>
      <c r="J186" s="20" t="s">
        <v>5</v>
      </c>
      <c r="K186" s="20" t="s">
        <v>5</v>
      </c>
      <c r="L186" s="20" t="s">
        <v>5</v>
      </c>
      <c r="M186" s="37">
        <f>IFERROR(INDEX('KPI 3A'!$E$26:$P$26,Actual_month),)</f>
        <v>183439224.26087779</v>
      </c>
      <c r="N186" s="38">
        <f>IFERROR(INDEX('KPI 3A'!$E$27:$P$27,Actual_month),)</f>
        <v>207792965.80000001</v>
      </c>
      <c r="O186" s="23">
        <f t="shared" ref="O186" si="113">IFERROR(N186/M186,"")</f>
        <v>1.1327619086771081</v>
      </c>
      <c r="P186" s="25" t="s">
        <v>18</v>
      </c>
      <c r="Q186" s="5">
        <f t="shared" ref="Q186" si="114">G186*$R$3</f>
        <v>21475493.2759487</v>
      </c>
      <c r="R186" s="5">
        <f t="shared" ref="R186" si="115">M186*$R$3</f>
        <v>165095301.83479002</v>
      </c>
      <c r="S186" s="26" t="s">
        <v>21</v>
      </c>
      <c r="T186" s="14" t="s">
        <v>24</v>
      </c>
    </row>
    <row r="187" spans="1:20" ht="20" x14ac:dyDescent="0.35">
      <c r="A187" s="45">
        <v>4</v>
      </c>
      <c r="B187" s="44" t="s">
        <v>176</v>
      </c>
      <c r="C187" s="22" t="s">
        <v>122</v>
      </c>
      <c r="D187" s="31" t="s">
        <v>5</v>
      </c>
      <c r="E187" s="31" t="s">
        <v>5</v>
      </c>
      <c r="F187" s="31" t="s">
        <v>5</v>
      </c>
      <c r="G187" s="37">
        <f>IFERROR(INDEX('KPI 129'!E$19:P$19,Actual_month),)</f>
        <v>110</v>
      </c>
      <c r="H187" s="38">
        <f>IFERROR(INDEX('KPI 129'!$E$20:$P$20,Actual_month),)</f>
        <v>126.73003802281369</v>
      </c>
      <c r="I187" s="23">
        <f t="shared" si="108"/>
        <v>1.1520912547528517</v>
      </c>
      <c r="J187" s="20" t="s">
        <v>5</v>
      </c>
      <c r="K187" s="20" t="s">
        <v>5</v>
      </c>
      <c r="L187" s="20" t="s">
        <v>5</v>
      </c>
      <c r="M187" s="37">
        <f>IFERROR(INDEX('KPI 129'!$E$26:$P$26,Actual_month),)</f>
        <v>110</v>
      </c>
      <c r="N187" s="38">
        <f>IFERROR(INDEX('KPI 129'!$E$27:$P$27,Actual_month),)</f>
        <v>126.45285227533415</v>
      </c>
      <c r="O187" s="23">
        <f t="shared" si="109"/>
        <v>1.1495713843212196</v>
      </c>
      <c r="P187" s="25" t="s">
        <v>18</v>
      </c>
      <c r="Q187" s="5">
        <f t="shared" si="110"/>
        <v>99</v>
      </c>
      <c r="R187" s="5">
        <f t="shared" si="111"/>
        <v>99</v>
      </c>
      <c r="S187" s="26" t="s">
        <v>21</v>
      </c>
      <c r="T187" s="14" t="s">
        <v>24</v>
      </c>
    </row>
    <row r="188" spans="1:20" ht="20.5" thickBot="1" x14ac:dyDescent="0.4">
      <c r="A188" s="43">
        <v>5</v>
      </c>
      <c r="B188" s="44" t="s">
        <v>177</v>
      </c>
      <c r="C188" s="22" t="s">
        <v>178</v>
      </c>
      <c r="D188" s="31" t="s">
        <v>5</v>
      </c>
      <c r="E188" s="31" t="s">
        <v>5</v>
      </c>
      <c r="F188" s="31" t="s">
        <v>5</v>
      </c>
      <c r="G188" s="37">
        <f>IFERROR(INDEX('KPI 130'!E$19:P$19,Actual_month),)</f>
        <v>2693.0274500106807</v>
      </c>
      <c r="H188" s="38">
        <f>IFERROR(INDEX('KPI 130'!$E$20:$P$20,Actual_month),)</f>
        <v>3147.8071312803895</v>
      </c>
      <c r="I188" s="23">
        <f t="shared" si="108"/>
        <v>1.1688730210558771</v>
      </c>
      <c r="J188" s="20" t="s">
        <v>5</v>
      </c>
      <c r="K188" s="20" t="s">
        <v>5</v>
      </c>
      <c r="L188" s="20" t="s">
        <v>5</v>
      </c>
      <c r="M188" s="37">
        <f>IFERROR(INDEX('KPI 130'!$E$26:$P$26,Actual_month),)</f>
        <v>2717.9701170570297</v>
      </c>
      <c r="N188" s="38">
        <f>IFERROR(INDEX('KPI 130'!$E$27:$P$27,Actual_month),)</f>
        <v>3146.5575180641226</v>
      </c>
      <c r="O188" s="23">
        <f t="shared" si="109"/>
        <v>1.1576865758447556</v>
      </c>
      <c r="P188" s="25" t="s">
        <v>18</v>
      </c>
      <c r="Q188" s="5">
        <f t="shared" si="110"/>
        <v>2423.7247050096125</v>
      </c>
      <c r="R188" s="5">
        <f t="shared" si="111"/>
        <v>2446.1731053513267</v>
      </c>
      <c r="S188" s="26" t="s">
        <v>21</v>
      </c>
      <c r="T188" s="14" t="s">
        <v>24</v>
      </c>
    </row>
    <row r="189" spans="1:20" ht="15" thickBot="1" x14ac:dyDescent="0.4">
      <c r="A189" s="383" t="s">
        <v>189</v>
      </c>
      <c r="B189" s="384"/>
      <c r="C189" s="32"/>
      <c r="D189" s="32"/>
      <c r="E189" s="32"/>
      <c r="F189" s="32"/>
      <c r="G189" s="33"/>
      <c r="H189" s="33"/>
      <c r="I189" s="33"/>
      <c r="J189" s="33"/>
      <c r="K189" s="33"/>
      <c r="L189" s="33"/>
      <c r="M189" s="33"/>
      <c r="N189" s="33"/>
      <c r="O189" s="34"/>
      <c r="Q189" s="14" t="s">
        <v>26</v>
      </c>
      <c r="R189" s="3" t="s">
        <v>25</v>
      </c>
    </row>
    <row r="190" spans="1:20" ht="20" x14ac:dyDescent="0.35">
      <c r="A190" s="43">
        <v>1</v>
      </c>
      <c r="B190" s="44" t="s">
        <v>420</v>
      </c>
      <c r="C190" s="22" t="s">
        <v>71</v>
      </c>
      <c r="D190" s="31" t="s">
        <v>5</v>
      </c>
      <c r="E190" s="31" t="s">
        <v>5</v>
      </c>
      <c r="F190" s="31" t="s">
        <v>5</v>
      </c>
      <c r="G190" s="37">
        <f>IFERROR(INDEX('KPI 126(B)'!E$19:P$19,Actual_month),)</f>
        <v>11689</v>
      </c>
      <c r="H190" s="38">
        <f>IFERROR(INDEX('KPI 126(B)'!$E$20:$P$20,Actual_month),)</f>
        <v>10971</v>
      </c>
      <c r="I190" s="23">
        <f t="shared" ref="I190" si="116">IFERROR(H190/G190,"")</f>
        <v>0.93857472837710665</v>
      </c>
      <c r="J190" s="20" t="s">
        <v>5</v>
      </c>
      <c r="K190" s="20" t="s">
        <v>5</v>
      </c>
      <c r="L190" s="20" t="s">
        <v>5</v>
      </c>
      <c r="M190" s="37">
        <f>IFERROR(INDEX('KPI 126(B)'!$E$26:$P$26,Actual_month),)</f>
        <v>11689</v>
      </c>
      <c r="N190" s="38">
        <f>IFERROR(INDEX('KPI 126(B)'!$E$27:$P$27,Actual_month),)</f>
        <v>10971</v>
      </c>
      <c r="O190" s="23">
        <f t="shared" ref="O190" si="117">IFERROR(N190/M190,"")</f>
        <v>0.93857472837710665</v>
      </c>
      <c r="P190" s="25" t="s">
        <v>18</v>
      </c>
      <c r="Q190" s="5">
        <f t="shared" ref="Q190" si="118">G190*$R$3</f>
        <v>10520.1</v>
      </c>
      <c r="R190" s="5">
        <f t="shared" ref="R190" si="119">M190*$R$3</f>
        <v>10520.1</v>
      </c>
      <c r="S190" s="26" t="s">
        <v>21</v>
      </c>
      <c r="T190" s="14" t="s">
        <v>24</v>
      </c>
    </row>
    <row r="191" spans="1:20" ht="20.5" thickBot="1" x14ac:dyDescent="0.4">
      <c r="A191" s="43">
        <v>2</v>
      </c>
      <c r="B191" s="44" t="s">
        <v>423</v>
      </c>
      <c r="C191" s="22" t="s">
        <v>193</v>
      </c>
      <c r="D191" s="31" t="s">
        <v>5</v>
      </c>
      <c r="E191" s="31" t="s">
        <v>5</v>
      </c>
      <c r="F191" s="31" t="s">
        <v>5</v>
      </c>
      <c r="G191" s="55">
        <f>IFERROR(INDEX('KPI 126(C)'!E$19:P$19,Actual_month),)</f>
        <v>1</v>
      </c>
      <c r="H191" s="56">
        <f>IFERROR(INDEX('KPI 126(C)'!$E$20:$P$20,Actual_month),)</f>
        <v>0.98882379450202795</v>
      </c>
      <c r="I191" s="23">
        <f t="shared" ref="I191" si="120">IFERROR(H191/G191,"")</f>
        <v>0.98882379450202795</v>
      </c>
      <c r="J191" s="20" t="s">
        <v>5</v>
      </c>
      <c r="K191" s="20" t="s">
        <v>5</v>
      </c>
      <c r="L191" s="20" t="s">
        <v>5</v>
      </c>
      <c r="M191" s="55">
        <f>IFERROR(INDEX('KPI 126(C)'!$E$26:$P$26,Actual_month),)</f>
        <v>1</v>
      </c>
      <c r="N191" s="56">
        <f>IFERROR(INDEX('KPI 126(C)'!$E$27:$P$27,Actual_month),)</f>
        <v>0.99106516833606972</v>
      </c>
      <c r="O191" s="23">
        <f t="shared" ref="O191" si="121">IFERROR(N191/M191,"")</f>
        <v>0.99106516833606972</v>
      </c>
      <c r="P191" s="25" t="s">
        <v>18</v>
      </c>
      <c r="Q191" s="5">
        <f t="shared" ref="Q191" si="122">G191*$R$3</f>
        <v>0.9</v>
      </c>
      <c r="R191" s="5">
        <f t="shared" ref="R191" si="123">M191*$R$3</f>
        <v>0.9</v>
      </c>
      <c r="S191" s="26" t="s">
        <v>21</v>
      </c>
      <c r="T191" s="14" t="s">
        <v>24</v>
      </c>
    </row>
    <row r="192" spans="1:20" ht="15" thickBot="1" x14ac:dyDescent="0.4">
      <c r="A192" s="383" t="s">
        <v>421</v>
      </c>
      <c r="B192" s="384"/>
      <c r="C192" s="32"/>
      <c r="D192" s="32"/>
      <c r="E192" s="32"/>
      <c r="F192" s="32"/>
      <c r="G192" s="33"/>
      <c r="H192" s="33"/>
      <c r="I192" s="33"/>
      <c r="J192" s="33"/>
      <c r="K192" s="33"/>
      <c r="L192" s="33"/>
      <c r="M192" s="33"/>
      <c r="N192" s="33"/>
      <c r="O192" s="34"/>
      <c r="Q192" s="14" t="s">
        <v>26</v>
      </c>
      <c r="R192" s="3" t="s">
        <v>25</v>
      </c>
    </row>
    <row r="193" spans="1:20" ht="20" x14ac:dyDescent="0.35">
      <c r="A193" s="43">
        <v>1</v>
      </c>
      <c r="B193" s="44" t="s">
        <v>439</v>
      </c>
      <c r="C193" s="22" t="s">
        <v>71</v>
      </c>
      <c r="D193" s="31" t="s">
        <v>5</v>
      </c>
      <c r="E193" s="31" t="s">
        <v>5</v>
      </c>
      <c r="F193" s="31" t="s">
        <v>5</v>
      </c>
      <c r="G193" s="37">
        <f>IFERROR(INDEX('KPI 126(F)'!E$19:P$19,Actual_month),)</f>
        <v>13635</v>
      </c>
      <c r="H193" s="37">
        <f>IFERROR(INDEX('KPI 126(F)'!E$20:P$20,Actual_month),)</f>
        <v>11234</v>
      </c>
      <c r="I193" s="23">
        <f t="shared" ref="I193" si="124">IFERROR(H193/G193,"")</f>
        <v>0.82390905757242394</v>
      </c>
      <c r="J193" s="20" t="s">
        <v>5</v>
      </c>
      <c r="K193" s="20" t="s">
        <v>5</v>
      </c>
      <c r="L193" s="20" t="s">
        <v>5</v>
      </c>
      <c r="M193" s="37">
        <f>IFERROR(INDEX('KPI 126(F)'!$E$26:$P$26,Actual_month),)</f>
        <v>13635</v>
      </c>
      <c r="N193" s="38">
        <f>IFERROR(INDEX('KPI 126(F)'!$E$27:$P$27,Actual_month),)</f>
        <v>11234</v>
      </c>
      <c r="O193" s="23">
        <f t="shared" ref="O193" si="125">IFERROR(N193/M193,"")</f>
        <v>0.82390905757242394</v>
      </c>
      <c r="P193" s="25" t="s">
        <v>18</v>
      </c>
      <c r="Q193" s="5">
        <f t="shared" ref="Q193" si="126">G193*$R$3</f>
        <v>12271.5</v>
      </c>
      <c r="R193" s="5">
        <f t="shared" ref="R193" si="127">M193*$R$3</f>
        <v>12271.5</v>
      </c>
      <c r="S193" s="26" t="s">
        <v>21</v>
      </c>
      <c r="T193" s="14" t="s">
        <v>24</v>
      </c>
    </row>
    <row r="194" spans="1:20" ht="20" x14ac:dyDescent="0.35">
      <c r="A194" s="43">
        <v>1</v>
      </c>
      <c r="B194" s="44" t="s">
        <v>470</v>
      </c>
      <c r="C194" s="22" t="s">
        <v>71</v>
      </c>
      <c r="D194" s="31" t="s">
        <v>5</v>
      </c>
      <c r="E194" s="31" t="s">
        <v>5</v>
      </c>
      <c r="F194" s="31" t="s">
        <v>5</v>
      </c>
      <c r="G194" s="37">
        <f>IFERROR(INDEX('KPI 126(D)'!E$19:P$19,Actual_month),)</f>
        <v>13635</v>
      </c>
      <c r="H194" s="38">
        <f>IFERROR(INDEX('KPI 126(D)'!$E$20:$P$20,Actual_month),)</f>
        <v>11110</v>
      </c>
      <c r="I194" s="23">
        <f t="shared" ref="I194:I195" si="128">IFERROR(H194/G194,"")</f>
        <v>0.81481481481481477</v>
      </c>
      <c r="J194" s="20" t="s">
        <v>5</v>
      </c>
      <c r="K194" s="20" t="s">
        <v>5</v>
      </c>
      <c r="L194" s="20" t="s">
        <v>5</v>
      </c>
      <c r="M194" s="37">
        <f>IFERROR(INDEX('KPI 126(D)'!$E$26:$P$26,Actual_month),)</f>
        <v>13635</v>
      </c>
      <c r="N194" s="38">
        <f>IFERROR(INDEX('KPI 126(D)'!$E$27:$P$27,Actual_month),)</f>
        <v>11110</v>
      </c>
      <c r="O194" s="23">
        <f t="shared" ref="O194:O195" si="129">IFERROR(N194/M194,"")</f>
        <v>0.81481481481481477</v>
      </c>
      <c r="P194" s="25" t="s">
        <v>18</v>
      </c>
      <c r="Q194" s="5">
        <f t="shared" ref="Q194:Q195" si="130">G194*$R$3</f>
        <v>12271.5</v>
      </c>
      <c r="R194" s="5">
        <f t="shared" ref="R194:R195" si="131">M194*$R$3</f>
        <v>12271.5</v>
      </c>
      <c r="S194" s="26" t="s">
        <v>21</v>
      </c>
      <c r="T194" s="14" t="s">
        <v>24</v>
      </c>
    </row>
    <row r="195" spans="1:20" ht="20.5" thickBot="1" x14ac:dyDescent="0.4">
      <c r="A195" s="43">
        <v>2</v>
      </c>
      <c r="B195" s="44" t="s">
        <v>422</v>
      </c>
      <c r="C195" s="22" t="s">
        <v>193</v>
      </c>
      <c r="D195" s="31" t="s">
        <v>5</v>
      </c>
      <c r="E195" s="31" t="s">
        <v>5</v>
      </c>
      <c r="F195" s="31" t="s">
        <v>5</v>
      </c>
      <c r="G195" s="55">
        <f>IFERROR(INDEX('KPI 126(E)'!E$19:P$19,Actual_month),)</f>
        <v>1</v>
      </c>
      <c r="H195" s="56">
        <f>IFERROR(INDEX('KPI 126(E)'!$E$20:$P$20,Actual_month),)</f>
        <v>0.98896207940181591</v>
      </c>
      <c r="I195" s="23">
        <f t="shared" si="128"/>
        <v>0.98896207940181591</v>
      </c>
      <c r="J195" s="20" t="s">
        <v>5</v>
      </c>
      <c r="K195" s="20" t="s">
        <v>5</v>
      </c>
      <c r="L195" s="20" t="s">
        <v>5</v>
      </c>
      <c r="M195" s="55">
        <f>IFERROR(INDEX('KPI 126(E)'!$E$26:$P$26,Actual_month),)</f>
        <v>1</v>
      </c>
      <c r="N195" s="56">
        <f>IFERROR(INDEX('KPI 126(E)'!$E$27:$P$27,Actual_month),)</f>
        <v>0.99116906055402076</v>
      </c>
      <c r="O195" s="23">
        <f t="shared" si="129"/>
        <v>0.99116906055402076</v>
      </c>
      <c r="P195" s="25" t="s">
        <v>18</v>
      </c>
      <c r="Q195" s="5">
        <f t="shared" si="130"/>
        <v>0.9</v>
      </c>
      <c r="R195" s="5">
        <f t="shared" si="131"/>
        <v>0.9</v>
      </c>
      <c r="S195" s="26" t="s">
        <v>21</v>
      </c>
      <c r="T195" s="14" t="s">
        <v>24</v>
      </c>
    </row>
    <row r="196" spans="1:20" ht="15" thickBot="1" x14ac:dyDescent="0.4">
      <c r="A196" s="383" t="s">
        <v>425</v>
      </c>
      <c r="B196" s="384"/>
      <c r="C196" s="32"/>
      <c r="D196" s="32"/>
      <c r="E196" s="32"/>
      <c r="F196" s="32"/>
      <c r="G196" s="33"/>
      <c r="H196" s="33"/>
      <c r="I196" s="33"/>
      <c r="J196" s="33"/>
      <c r="K196" s="33"/>
      <c r="L196" s="33"/>
      <c r="M196" s="33"/>
      <c r="N196" s="33"/>
      <c r="O196" s="34"/>
      <c r="Q196" s="14" t="s">
        <v>26</v>
      </c>
      <c r="R196" s="3" t="s">
        <v>25</v>
      </c>
    </row>
    <row r="197" spans="1:20" ht="20" x14ac:dyDescent="0.35">
      <c r="A197" s="43">
        <v>1</v>
      </c>
      <c r="B197" s="44" t="s">
        <v>426</v>
      </c>
      <c r="C197" s="22" t="s">
        <v>430</v>
      </c>
      <c r="D197" s="31" t="s">
        <v>5</v>
      </c>
      <c r="E197" s="31" t="s">
        <v>5</v>
      </c>
      <c r="F197" s="31" t="s">
        <v>5</v>
      </c>
      <c r="G197" s="37" t="str">
        <f>IFERROR(INDEX('KPI 127(B)'!E$19:P$19,Actual_month),)</f>
        <v>1st-5th</v>
      </c>
      <c r="H197" s="38" t="str">
        <f>IFERROR(INDEX('KPI 127(B)'!$E$20:$P$20,Actual_month),)</f>
        <v>2nd - 6th</v>
      </c>
      <c r="I197" s="23" t="str">
        <f t="shared" ref="I197:I200" si="132">IFERROR(H197/G197,"")</f>
        <v/>
      </c>
      <c r="J197" s="20" t="s">
        <v>5</v>
      </c>
      <c r="K197" s="20" t="s">
        <v>5</v>
      </c>
      <c r="L197" s="20" t="s">
        <v>5</v>
      </c>
      <c r="M197" s="37" t="str">
        <f>IFERROR(INDEX('KPI 127(B)'!$E$26:$P$26,Actual_month),)</f>
        <v>1st-5th</v>
      </c>
      <c r="N197" s="38">
        <f>IFERROR(INDEX('KPI 126(D)'!$E$27:$P$27,Actual_month),)</f>
        <v>11110</v>
      </c>
      <c r="O197" s="23" t="str">
        <f t="shared" ref="O197:O200" si="133">IFERROR(N197/M197,"")</f>
        <v/>
      </c>
      <c r="P197" s="25" t="s">
        <v>18</v>
      </c>
      <c r="Q197" s="5" t="e">
        <f t="shared" ref="Q197:Q200" si="134">G197*$R$3</f>
        <v>#VALUE!</v>
      </c>
      <c r="R197" s="5" t="e">
        <f t="shared" ref="R197:R200" si="135">M197*$R$3</f>
        <v>#VALUE!</v>
      </c>
      <c r="S197" s="26" t="s">
        <v>21</v>
      </c>
      <c r="T197" s="14" t="s">
        <v>24</v>
      </c>
    </row>
    <row r="198" spans="1:20" ht="20" x14ac:dyDescent="0.35">
      <c r="A198" s="43">
        <v>2</v>
      </c>
      <c r="B198" s="44" t="s">
        <v>427</v>
      </c>
      <c r="C198" s="22" t="s">
        <v>430</v>
      </c>
      <c r="D198" s="31" t="s">
        <v>5</v>
      </c>
      <c r="E198" s="31" t="s">
        <v>5</v>
      </c>
      <c r="F198" s="31" t="s">
        <v>5</v>
      </c>
      <c r="G198" s="37" t="str">
        <f>IFERROR(INDEX('KPI 127(C)'!E$19:P$19,Actual_month),)</f>
        <v xml:space="preserve">7th-13th </v>
      </c>
      <c r="H198" s="38" t="str">
        <f>IFERROR(INDEX('KPI 127(C)'!$E$20:$P$20,Actual_month),)</f>
        <v>6th - 25th</v>
      </c>
      <c r="I198" s="23" t="str">
        <f t="shared" si="132"/>
        <v/>
      </c>
      <c r="J198" s="20" t="s">
        <v>5</v>
      </c>
      <c r="K198" s="20" t="s">
        <v>5</v>
      </c>
      <c r="L198" s="20" t="s">
        <v>5</v>
      </c>
      <c r="M198" s="37" t="str">
        <f>IFERROR(INDEX('KPI 127(C)'!$E$26:$P$26,Actual_month),)</f>
        <v xml:space="preserve">7th-13th </v>
      </c>
      <c r="N198" s="38">
        <f>IFERROR(INDEX('KPI 126(D)'!$E$27:$P$27,Actual_month),)</f>
        <v>11110</v>
      </c>
      <c r="O198" s="23" t="str">
        <f t="shared" si="133"/>
        <v/>
      </c>
      <c r="P198" s="25" t="s">
        <v>18</v>
      </c>
      <c r="Q198" s="5" t="e">
        <f t="shared" si="134"/>
        <v>#VALUE!</v>
      </c>
      <c r="R198" s="5" t="e">
        <f t="shared" si="135"/>
        <v>#VALUE!</v>
      </c>
      <c r="S198" s="26" t="s">
        <v>21</v>
      </c>
      <c r="T198" s="14" t="s">
        <v>24</v>
      </c>
    </row>
    <row r="199" spans="1:20" ht="20" x14ac:dyDescent="0.35">
      <c r="A199" s="43">
        <v>3</v>
      </c>
      <c r="B199" s="44" t="s">
        <v>428</v>
      </c>
      <c r="C199" s="22" t="s">
        <v>430</v>
      </c>
      <c r="D199" s="31" t="s">
        <v>5</v>
      </c>
      <c r="E199" s="31" t="s">
        <v>5</v>
      </c>
      <c r="F199" s="31" t="s">
        <v>5</v>
      </c>
      <c r="G199" s="37" t="str">
        <f>IFERROR(INDEX('KPI 127(D)'!E$19:P$19,Actual_month),)</f>
        <v>15th-17th</v>
      </c>
      <c r="H199" s="38" t="str">
        <f>IFERROR(INDEX('KPI 127(D)'!$E$20:$P$20,Actual_month),)</f>
        <v>17th - 18th</v>
      </c>
      <c r="I199" s="23" t="str">
        <f t="shared" si="132"/>
        <v/>
      </c>
      <c r="J199" s="20" t="s">
        <v>5</v>
      </c>
      <c r="K199" s="20" t="s">
        <v>5</v>
      </c>
      <c r="L199" s="20" t="s">
        <v>5</v>
      </c>
      <c r="M199" s="37" t="str">
        <f>IFERROR(INDEX('KPI 127(D)'!$E$26:$P$26,Actual_month),)</f>
        <v>15th-17th</v>
      </c>
      <c r="N199" s="38">
        <f>IFERROR(INDEX('KPI 126(D)'!$E$27:$P$27,Actual_month),)</f>
        <v>11110</v>
      </c>
      <c r="O199" s="23" t="str">
        <f t="shared" si="133"/>
        <v/>
      </c>
      <c r="P199" s="25" t="s">
        <v>18</v>
      </c>
      <c r="Q199" s="5" t="e">
        <f t="shared" si="134"/>
        <v>#VALUE!</v>
      </c>
      <c r="R199" s="5" t="e">
        <f t="shared" si="135"/>
        <v>#VALUE!</v>
      </c>
      <c r="S199" s="26" t="s">
        <v>21</v>
      </c>
      <c r="T199" s="14" t="s">
        <v>24</v>
      </c>
    </row>
    <row r="200" spans="1:20" ht="20" x14ac:dyDescent="0.35">
      <c r="A200" s="43">
        <v>4</v>
      </c>
      <c r="B200" s="44" t="s">
        <v>429</v>
      </c>
      <c r="C200" s="22" t="s">
        <v>430</v>
      </c>
      <c r="D200" s="31" t="s">
        <v>5</v>
      </c>
      <c r="E200" s="31" t="s">
        <v>5</v>
      </c>
      <c r="F200" s="31" t="s">
        <v>5</v>
      </c>
      <c r="G200" s="37" t="str">
        <f>IFERROR(INDEX('KPI 127(E)'!E$19:P$19,Actual_month),)</f>
        <v>18th-28th</v>
      </c>
      <c r="H200" s="38" t="str">
        <f>IFERROR(INDEX('KPI 127(E)'!$E$20:$P$20,Actual_month),)</f>
        <v>18th - 27th</v>
      </c>
      <c r="I200" s="23" t="str">
        <f t="shared" si="132"/>
        <v/>
      </c>
      <c r="J200" s="20" t="s">
        <v>5</v>
      </c>
      <c r="K200" s="20" t="s">
        <v>5</v>
      </c>
      <c r="L200" s="20" t="s">
        <v>5</v>
      </c>
      <c r="M200" s="37" t="str">
        <f>IFERROR(INDEX('KPI 127(E)'!$E$26:$P$26,Actual_month),)</f>
        <v>18th-28th</v>
      </c>
      <c r="N200" s="38">
        <f>IFERROR(INDEX('KPI 126(D)'!$E$27:$P$27,Actual_month),)</f>
        <v>11110</v>
      </c>
      <c r="O200" s="23" t="str">
        <f t="shared" si="133"/>
        <v/>
      </c>
      <c r="P200" s="25" t="s">
        <v>18</v>
      </c>
      <c r="Q200" s="5" t="e">
        <f t="shared" si="134"/>
        <v>#VALUE!</v>
      </c>
      <c r="R200" s="5" t="e">
        <f t="shared" si="135"/>
        <v>#VALUE!</v>
      </c>
      <c r="S200" s="26" t="s">
        <v>21</v>
      </c>
      <c r="T200" s="14" t="s">
        <v>24</v>
      </c>
    </row>
    <row r="201" spans="1:20" ht="15" hidden="1" thickBot="1" x14ac:dyDescent="0.4">
      <c r="A201" s="383" t="s">
        <v>50</v>
      </c>
      <c r="B201" s="384"/>
      <c r="C201" s="32"/>
      <c r="D201" s="32"/>
      <c r="E201" s="32"/>
      <c r="F201" s="32"/>
      <c r="G201" s="33"/>
      <c r="H201" s="33"/>
      <c r="I201" s="33"/>
      <c r="J201" s="33"/>
      <c r="K201" s="33"/>
      <c r="L201" s="33"/>
      <c r="M201" s="33"/>
      <c r="N201" s="33"/>
      <c r="O201" s="34"/>
      <c r="Q201" s="14" t="s">
        <v>26</v>
      </c>
      <c r="R201" s="3" t="s">
        <v>25</v>
      </c>
    </row>
    <row r="202" spans="1:20" ht="20" hidden="1" outlineLevel="1" x14ac:dyDescent="0.35">
      <c r="A202" s="39">
        <v>1</v>
      </c>
      <c r="B202" s="24" t="s">
        <v>113</v>
      </c>
      <c r="C202" s="22" t="s">
        <v>2</v>
      </c>
      <c r="D202" s="31" t="s">
        <v>5</v>
      </c>
      <c r="E202" s="31" t="s">
        <v>5</v>
      </c>
      <c r="F202" s="31" t="s">
        <v>5</v>
      </c>
      <c r="G202" s="37">
        <f>IFERROR(INDEX('KPI 131'!E$19:P$19,Actual_month),)</f>
        <v>0</v>
      </c>
      <c r="H202" s="38">
        <f>IFERROR(INDEX('KPI 131'!$E$20:$P$20,Actual_month),)</f>
        <v>0</v>
      </c>
      <c r="I202" s="23" t="str">
        <f t="shared" ref="I202:I214" si="136">IFERROR(H202/G202,"")</f>
        <v/>
      </c>
      <c r="J202" s="20" t="s">
        <v>5</v>
      </c>
      <c r="K202" s="20" t="s">
        <v>5</v>
      </c>
      <c r="L202" s="20" t="s">
        <v>5</v>
      </c>
      <c r="M202" s="37">
        <f>IFERROR(INDEX('KPI 131'!$E$26:$P$26,Actual_month),)</f>
        <v>0</v>
      </c>
      <c r="N202" s="38">
        <f>IFERROR(INDEX('KPI 131'!$E$27:$P$27,Actual_month),)</f>
        <v>0</v>
      </c>
      <c r="O202" s="23" t="str">
        <f t="shared" ref="O202:O214" si="137">IFERROR(N202/M202,"")</f>
        <v/>
      </c>
      <c r="P202" s="15" t="s">
        <v>18</v>
      </c>
      <c r="Q202" s="5">
        <f t="shared" ref="Q202:Q214" si="138">G202*$R$3</f>
        <v>0</v>
      </c>
      <c r="R202" s="5">
        <f t="shared" ref="R202:R214" si="139">M202*$R$3</f>
        <v>0</v>
      </c>
      <c r="S202" s="26" t="s">
        <v>21</v>
      </c>
      <c r="T202" s="14" t="s">
        <v>24</v>
      </c>
    </row>
    <row r="203" spans="1:20" ht="20" hidden="1" outlineLevel="1" x14ac:dyDescent="0.35">
      <c r="A203" s="35">
        <v>2</v>
      </c>
      <c r="B203" s="24" t="s">
        <v>114</v>
      </c>
      <c r="C203" s="22" t="s">
        <v>2</v>
      </c>
      <c r="D203" s="31" t="s">
        <v>5</v>
      </c>
      <c r="E203" s="31" t="s">
        <v>5</v>
      </c>
      <c r="F203" s="31" t="s">
        <v>5</v>
      </c>
      <c r="G203" s="37">
        <f>IFERROR(INDEX('KPI 132'!E$19:P$19,Actual_month),)</f>
        <v>0</v>
      </c>
      <c r="H203" s="38">
        <f>IFERROR(INDEX('KPI 132'!$E$20:$P$20,Actual_month),)</f>
        <v>0</v>
      </c>
      <c r="I203" s="23" t="str">
        <f t="shared" si="136"/>
        <v/>
      </c>
      <c r="J203" s="20" t="s">
        <v>5</v>
      </c>
      <c r="K203" s="20" t="s">
        <v>5</v>
      </c>
      <c r="L203" s="20" t="s">
        <v>5</v>
      </c>
      <c r="M203" s="37">
        <f>IFERROR(INDEX('KPI 132'!$E$26:$P$26,Actual_month),)</f>
        <v>0</v>
      </c>
      <c r="N203" s="38">
        <f>IFERROR(INDEX('KPI 132'!$E$27:$P$27,Actual_month),)</f>
        <v>0</v>
      </c>
      <c r="O203" s="23" t="str">
        <f t="shared" si="137"/>
        <v/>
      </c>
      <c r="P203" s="15" t="s">
        <v>18</v>
      </c>
      <c r="Q203" s="5">
        <f t="shared" si="138"/>
        <v>0</v>
      </c>
      <c r="R203" s="5">
        <f t="shared" si="139"/>
        <v>0</v>
      </c>
      <c r="S203" s="26" t="s">
        <v>21</v>
      </c>
      <c r="T203" s="14" t="s">
        <v>24</v>
      </c>
    </row>
    <row r="204" spans="1:20" ht="20" hidden="1" outlineLevel="1" x14ac:dyDescent="0.35">
      <c r="A204" s="39">
        <v>3</v>
      </c>
      <c r="B204" s="36" t="s">
        <v>115</v>
      </c>
      <c r="C204" s="22" t="s">
        <v>2</v>
      </c>
      <c r="D204" s="31" t="s">
        <v>5</v>
      </c>
      <c r="E204" s="31" t="s">
        <v>5</v>
      </c>
      <c r="F204" s="31" t="s">
        <v>5</v>
      </c>
      <c r="G204" s="37">
        <f>IFERROR(INDEX('KPI 133'!E$19:P$19,Actual_month),)</f>
        <v>0</v>
      </c>
      <c r="H204" s="38">
        <f>IFERROR(INDEX('KPI 133'!$E$20:$P$20,Actual_month),)</f>
        <v>0</v>
      </c>
      <c r="I204" s="23" t="str">
        <f t="shared" si="136"/>
        <v/>
      </c>
      <c r="J204" s="20" t="s">
        <v>5</v>
      </c>
      <c r="K204" s="20" t="s">
        <v>5</v>
      </c>
      <c r="L204" s="20" t="s">
        <v>5</v>
      </c>
      <c r="M204" s="37">
        <f>IFERROR(INDEX('KPI 133'!$E$26:$P$26,Actual_month),)</f>
        <v>0</v>
      </c>
      <c r="N204" s="38">
        <f>IFERROR(INDEX('KPI 133'!$E$27:$P$27,Actual_month),)</f>
        <v>0</v>
      </c>
      <c r="O204" s="23" t="str">
        <f t="shared" si="137"/>
        <v/>
      </c>
      <c r="P204" s="25" t="s">
        <v>18</v>
      </c>
      <c r="Q204" s="5">
        <f t="shared" si="138"/>
        <v>0</v>
      </c>
      <c r="R204" s="5">
        <f t="shared" si="139"/>
        <v>0</v>
      </c>
      <c r="S204" s="26" t="s">
        <v>21</v>
      </c>
      <c r="T204" s="14" t="s">
        <v>24</v>
      </c>
    </row>
    <row r="205" spans="1:20" ht="20" hidden="1" outlineLevel="1" x14ac:dyDescent="0.35">
      <c r="A205" s="35">
        <v>4</v>
      </c>
      <c r="B205" s="36" t="s">
        <v>116</v>
      </c>
      <c r="C205" s="22" t="s">
        <v>2</v>
      </c>
      <c r="D205" s="31" t="s">
        <v>5</v>
      </c>
      <c r="E205" s="31" t="s">
        <v>5</v>
      </c>
      <c r="F205" s="31" t="s">
        <v>5</v>
      </c>
      <c r="G205" s="37">
        <f>IFERROR(INDEX('KPI 134'!E$19:P$19,Actual_month),)</f>
        <v>0</v>
      </c>
      <c r="H205" s="38">
        <f>IFERROR(INDEX('KPI 134'!$E$20:$P$20,Actual_month),)</f>
        <v>0</v>
      </c>
      <c r="I205" s="23" t="str">
        <f t="shared" si="136"/>
        <v/>
      </c>
      <c r="J205" s="20" t="s">
        <v>5</v>
      </c>
      <c r="K205" s="20" t="s">
        <v>5</v>
      </c>
      <c r="L205" s="20" t="s">
        <v>5</v>
      </c>
      <c r="M205" s="37">
        <f>IFERROR(INDEX('KPI 134'!$E$26:$P$26,Actual_month),)</f>
        <v>0</v>
      </c>
      <c r="N205" s="38">
        <f>IFERROR(INDEX('KPI 134'!$E$27:$P$27,Actual_month),)</f>
        <v>0</v>
      </c>
      <c r="O205" s="23" t="str">
        <f t="shared" si="137"/>
        <v/>
      </c>
      <c r="P205" s="25" t="s">
        <v>18</v>
      </c>
      <c r="Q205" s="5">
        <f t="shared" si="138"/>
        <v>0</v>
      </c>
      <c r="R205" s="5">
        <f t="shared" si="139"/>
        <v>0</v>
      </c>
      <c r="S205" s="26" t="s">
        <v>21</v>
      </c>
      <c r="T205" s="14" t="s">
        <v>24</v>
      </c>
    </row>
    <row r="206" spans="1:20" ht="20" hidden="1" outlineLevel="1" x14ac:dyDescent="0.35">
      <c r="A206" s="39">
        <v>5</v>
      </c>
      <c r="B206" s="36" t="s">
        <v>117</v>
      </c>
      <c r="C206" s="22" t="s">
        <v>2</v>
      </c>
      <c r="D206" s="31" t="s">
        <v>5</v>
      </c>
      <c r="E206" s="31" t="s">
        <v>5</v>
      </c>
      <c r="F206" s="31" t="s">
        <v>5</v>
      </c>
      <c r="G206" s="37">
        <f>IFERROR(INDEX('KPI 135'!E$19:P$19,Actual_month),)</f>
        <v>0</v>
      </c>
      <c r="H206" s="38">
        <f>IFERROR(INDEX('KPI 135'!$E$20:$P$20,Actual_month),)</f>
        <v>0</v>
      </c>
      <c r="I206" s="23" t="str">
        <f t="shared" si="136"/>
        <v/>
      </c>
      <c r="J206" s="20" t="s">
        <v>5</v>
      </c>
      <c r="K206" s="20" t="s">
        <v>5</v>
      </c>
      <c r="L206" s="20" t="s">
        <v>5</v>
      </c>
      <c r="M206" s="37">
        <f>IFERROR(INDEX('KPI 135'!$E$26:$P$26,Actual_month),)</f>
        <v>0</v>
      </c>
      <c r="N206" s="38">
        <f>IFERROR(INDEX('KPI 135'!$E$27:$P$27,Actual_month),)</f>
        <v>0</v>
      </c>
      <c r="O206" s="23" t="str">
        <f t="shared" si="137"/>
        <v/>
      </c>
      <c r="P206" s="25" t="s">
        <v>18</v>
      </c>
      <c r="Q206" s="5">
        <f t="shared" si="138"/>
        <v>0</v>
      </c>
      <c r="R206" s="5">
        <f t="shared" si="139"/>
        <v>0</v>
      </c>
      <c r="S206" s="26" t="s">
        <v>21</v>
      </c>
      <c r="T206" s="14" t="s">
        <v>24</v>
      </c>
    </row>
    <row r="207" spans="1:20" ht="20" hidden="1" outlineLevel="1" x14ac:dyDescent="0.35">
      <c r="A207" s="35">
        <v>6</v>
      </c>
      <c r="B207" s="36" t="s">
        <v>121</v>
      </c>
      <c r="C207" s="22" t="s">
        <v>2</v>
      </c>
      <c r="D207" s="31" t="s">
        <v>5</v>
      </c>
      <c r="E207" s="31" t="s">
        <v>5</v>
      </c>
      <c r="F207" s="31" t="s">
        <v>5</v>
      </c>
      <c r="G207" s="37">
        <f>IFERROR(INDEX('KPI 140'!E$19:P$19,Actual_month),)</f>
        <v>0</v>
      </c>
      <c r="H207" s="38">
        <f>IFERROR(INDEX('KPI 140'!$E$20:$P$20,Actual_month),)</f>
        <v>0</v>
      </c>
      <c r="I207" s="23" t="str">
        <f>IFERROR(H207/G207,"")</f>
        <v/>
      </c>
      <c r="J207" s="20" t="s">
        <v>5</v>
      </c>
      <c r="K207" s="20" t="s">
        <v>5</v>
      </c>
      <c r="L207" s="20" t="s">
        <v>5</v>
      </c>
      <c r="M207" s="37">
        <f>IFERROR(INDEX('KPI 140'!$E$26:$P$26,Actual_month),)</f>
        <v>0</v>
      </c>
      <c r="N207" s="38">
        <f>IFERROR(INDEX('KPI 140'!$E$27:$P$27,Actual_month),)</f>
        <v>0</v>
      </c>
      <c r="O207" s="23" t="str">
        <f>IFERROR(N207/M207,"")</f>
        <v/>
      </c>
      <c r="P207" s="25" t="s">
        <v>18</v>
      </c>
      <c r="Q207" s="5">
        <f>G207*$R$3</f>
        <v>0</v>
      </c>
      <c r="R207" s="5">
        <f>M207*$R$3</f>
        <v>0</v>
      </c>
      <c r="S207" s="26" t="s">
        <v>21</v>
      </c>
      <c r="T207" s="14" t="s">
        <v>24</v>
      </c>
    </row>
    <row r="208" spans="1:20" ht="20" hidden="1" x14ac:dyDescent="0.35">
      <c r="A208" s="35"/>
      <c r="B208" s="44" t="s">
        <v>215</v>
      </c>
      <c r="C208" s="22" t="s">
        <v>2</v>
      </c>
      <c r="D208" s="31" t="s">
        <v>5</v>
      </c>
      <c r="E208" s="31" t="s">
        <v>5</v>
      </c>
      <c r="F208" s="31" t="s">
        <v>5</v>
      </c>
      <c r="G208" s="37">
        <f>IFERROR(INDEX('KPI 136'!E$19:P$19,Actual_month),)</f>
        <v>0</v>
      </c>
      <c r="H208" s="38">
        <f>IFERROR(INDEX('KPI 136'!$E$20:$P$20,Actual_month),)</f>
        <v>0</v>
      </c>
      <c r="I208" s="23" t="str">
        <f t="shared" si="136"/>
        <v/>
      </c>
      <c r="J208" s="20" t="s">
        <v>5</v>
      </c>
      <c r="K208" s="20" t="s">
        <v>5</v>
      </c>
      <c r="L208" s="20" t="s">
        <v>5</v>
      </c>
      <c r="M208" s="37">
        <f>IFERROR(INDEX('KPI 136'!$E$26:$P$26,Actual_month),)</f>
        <v>0</v>
      </c>
      <c r="N208" s="38">
        <f>IFERROR(INDEX('KPI 136'!$E$27:$P$27,Actual_month),)</f>
        <v>0</v>
      </c>
      <c r="O208" s="23" t="str">
        <f t="shared" si="137"/>
        <v/>
      </c>
      <c r="P208" s="25" t="s">
        <v>18</v>
      </c>
      <c r="Q208" s="5">
        <f t="shared" si="138"/>
        <v>0</v>
      </c>
      <c r="R208" s="5">
        <f t="shared" si="139"/>
        <v>0</v>
      </c>
      <c r="S208" s="26" t="s">
        <v>21</v>
      </c>
      <c r="T208" s="14" t="s">
        <v>24</v>
      </c>
    </row>
    <row r="209" spans="1:20" ht="20" hidden="1" outlineLevel="1" x14ac:dyDescent="0.35">
      <c r="A209" s="39">
        <v>1</v>
      </c>
      <c r="B209" s="36" t="s">
        <v>118</v>
      </c>
      <c r="C209" s="22" t="s">
        <v>2</v>
      </c>
      <c r="D209" s="31" t="s">
        <v>5</v>
      </c>
      <c r="E209" s="31" t="s">
        <v>5</v>
      </c>
      <c r="F209" s="31" t="s">
        <v>5</v>
      </c>
      <c r="G209" s="37">
        <f>IFERROR(INDEX('KPI 137'!E$19:P$19,Actual_month),)</f>
        <v>0</v>
      </c>
      <c r="H209" s="38">
        <f>IFERROR(INDEX('KPI 137'!$E$20:$P$20,Actual_month),)</f>
        <v>0</v>
      </c>
      <c r="I209" s="23" t="str">
        <f t="shared" si="136"/>
        <v/>
      </c>
      <c r="J209" s="20" t="s">
        <v>5</v>
      </c>
      <c r="K209" s="20" t="s">
        <v>5</v>
      </c>
      <c r="L209" s="20" t="s">
        <v>5</v>
      </c>
      <c r="M209" s="37">
        <f>IFERROR(INDEX('KPI 137'!$E$26:$P$26,Actual_month),)</f>
        <v>0</v>
      </c>
      <c r="N209" s="38">
        <f>IFERROR(INDEX('KPI 137'!$E$27:$P$27,Actual_month),)</f>
        <v>0</v>
      </c>
      <c r="O209" s="23" t="str">
        <f t="shared" si="137"/>
        <v/>
      </c>
      <c r="P209" s="25" t="s">
        <v>18</v>
      </c>
      <c r="Q209" s="5">
        <f t="shared" si="138"/>
        <v>0</v>
      </c>
      <c r="R209" s="5">
        <f t="shared" si="139"/>
        <v>0</v>
      </c>
      <c r="S209" s="26" t="s">
        <v>21</v>
      </c>
      <c r="T209" s="14" t="s">
        <v>24</v>
      </c>
    </row>
    <row r="210" spans="1:20" ht="20" hidden="1" outlineLevel="1" x14ac:dyDescent="0.35">
      <c r="A210" s="35">
        <v>2</v>
      </c>
      <c r="B210" s="36" t="s">
        <v>119</v>
      </c>
      <c r="C210" s="22" t="s">
        <v>2</v>
      </c>
      <c r="D210" s="31" t="s">
        <v>5</v>
      </c>
      <c r="E210" s="31" t="s">
        <v>5</v>
      </c>
      <c r="F210" s="31" t="s">
        <v>5</v>
      </c>
      <c r="G210" s="37">
        <f>IFERROR(INDEX('KPI 138'!E$19:P$19,Actual_month),)</f>
        <v>0</v>
      </c>
      <c r="H210" s="38">
        <f>IFERROR(INDEX('KPI 138'!$E$20:$P$20,Actual_month),)</f>
        <v>0</v>
      </c>
      <c r="I210" s="23" t="str">
        <f t="shared" si="136"/>
        <v/>
      </c>
      <c r="J210" s="20" t="s">
        <v>5</v>
      </c>
      <c r="K210" s="20" t="s">
        <v>5</v>
      </c>
      <c r="L210" s="20" t="s">
        <v>5</v>
      </c>
      <c r="M210" s="37">
        <f>IFERROR(INDEX('KPI 138'!$E$26:$P$26,Actual_month),)</f>
        <v>0</v>
      </c>
      <c r="N210" s="38">
        <f>IFERROR(INDEX('KPI 138'!$E$27:$P$27,Actual_month),)</f>
        <v>0</v>
      </c>
      <c r="O210" s="23" t="str">
        <f t="shared" si="137"/>
        <v/>
      </c>
      <c r="P210" s="25" t="s">
        <v>18</v>
      </c>
      <c r="Q210" s="5">
        <f t="shared" si="138"/>
        <v>0</v>
      </c>
      <c r="R210" s="5">
        <f t="shared" si="139"/>
        <v>0</v>
      </c>
      <c r="S210" s="26" t="s">
        <v>21</v>
      </c>
      <c r="T210" s="14" t="s">
        <v>24</v>
      </c>
    </row>
    <row r="211" spans="1:20" ht="20.5" hidden="1" thickBot="1" x14ac:dyDescent="0.4">
      <c r="A211" s="35"/>
      <c r="B211" s="44" t="s">
        <v>216</v>
      </c>
      <c r="C211" s="22" t="s">
        <v>2</v>
      </c>
      <c r="D211" s="31" t="s">
        <v>5</v>
      </c>
      <c r="E211" s="31" t="s">
        <v>5</v>
      </c>
      <c r="F211" s="31" t="s">
        <v>5</v>
      </c>
      <c r="G211" s="37">
        <f>IFERROR(INDEX('KPI 142'!E$19:P$19,Actual_month),)</f>
        <v>0</v>
      </c>
      <c r="H211" s="38">
        <f>IFERROR(INDEX('KPI 142'!$E$20:$P$20,Actual_month),)</f>
        <v>0</v>
      </c>
      <c r="I211" s="23" t="str">
        <f>IFERROR(H211/G211,"")</f>
        <v/>
      </c>
      <c r="J211" s="20" t="s">
        <v>5</v>
      </c>
      <c r="K211" s="20" t="s">
        <v>5</v>
      </c>
      <c r="L211" s="20" t="s">
        <v>5</v>
      </c>
      <c r="M211" s="37">
        <f>IFERROR(INDEX('KPI 142'!$E$26:$P$26,Actual_month),)</f>
        <v>0</v>
      </c>
      <c r="N211" s="38">
        <f>IFERROR(INDEX('KPI 142'!$E$27:$P$27,Actual_month),)</f>
        <v>0</v>
      </c>
      <c r="O211" s="23" t="str">
        <f>IFERROR(N211/M211,"")</f>
        <v/>
      </c>
      <c r="P211" s="25" t="s">
        <v>18</v>
      </c>
      <c r="Q211" s="5">
        <f>G211*$R$3</f>
        <v>0</v>
      </c>
      <c r="R211" s="5">
        <f>M211*$R$3</f>
        <v>0</v>
      </c>
      <c r="S211" s="26" t="s">
        <v>21</v>
      </c>
      <c r="T211" s="14" t="s">
        <v>24</v>
      </c>
    </row>
    <row r="212" spans="1:20" ht="15" hidden="1" thickBot="1" x14ac:dyDescent="0.4">
      <c r="A212" s="385" t="s">
        <v>197</v>
      </c>
      <c r="B212" s="386"/>
      <c r="C212" s="32"/>
      <c r="D212" s="32"/>
      <c r="E212" s="32"/>
      <c r="F212" s="32"/>
      <c r="G212" s="33"/>
      <c r="H212" s="33"/>
      <c r="I212" s="33"/>
      <c r="J212" s="33"/>
      <c r="K212" s="33"/>
      <c r="L212" s="33"/>
      <c r="M212" s="33"/>
      <c r="N212" s="33"/>
      <c r="O212" s="34"/>
      <c r="Q212" s="14" t="s">
        <v>26</v>
      </c>
      <c r="R212" s="3" t="s">
        <v>25</v>
      </c>
    </row>
    <row r="213" spans="1:20" ht="20" hidden="1" x14ac:dyDescent="0.35">
      <c r="A213" s="39">
        <v>1</v>
      </c>
      <c r="B213" s="36" t="s">
        <v>120</v>
      </c>
      <c r="C213" s="22" t="s">
        <v>2</v>
      </c>
      <c r="D213" s="31" t="s">
        <v>5</v>
      </c>
      <c r="E213" s="31" t="s">
        <v>5</v>
      </c>
      <c r="F213" s="31" t="s">
        <v>5</v>
      </c>
      <c r="G213" s="37">
        <f>IFERROR(INDEX('KPI 139'!E$19:P$19,Actual_month),)</f>
        <v>0</v>
      </c>
      <c r="H213" s="38">
        <f>IFERROR(INDEX('KPI 139'!$E$20:$P$20,Actual_month),)</f>
        <v>0</v>
      </c>
      <c r="I213" s="23" t="str">
        <f>IFERROR(H213/G213,"")</f>
        <v/>
      </c>
      <c r="J213" s="20" t="s">
        <v>5</v>
      </c>
      <c r="K213" s="20" t="s">
        <v>5</v>
      </c>
      <c r="L213" s="20" t="s">
        <v>5</v>
      </c>
      <c r="M213" s="37">
        <f>IFERROR(INDEX('KPI 139'!$E$26:$P$26,Actual_month),)</f>
        <v>0</v>
      </c>
      <c r="N213" s="38">
        <f>IFERROR(INDEX('KPI 139'!$E$27:$P$27,Actual_month),)</f>
        <v>0</v>
      </c>
      <c r="O213" s="23" t="str">
        <f>IFERROR(N213/M213,"")</f>
        <v/>
      </c>
      <c r="P213" s="25" t="s">
        <v>18</v>
      </c>
      <c r="Q213" s="5">
        <f>G213*$R$3</f>
        <v>0</v>
      </c>
      <c r="R213" s="5">
        <f>M213*$R$3</f>
        <v>0</v>
      </c>
      <c r="S213" s="26" t="s">
        <v>21</v>
      </c>
      <c r="T213" s="14" t="s">
        <v>24</v>
      </c>
    </row>
    <row r="214" spans="1:20" ht="20.5" hidden="1" thickBot="1" x14ac:dyDescent="0.4">
      <c r="A214" s="39">
        <v>2</v>
      </c>
      <c r="B214" s="36" t="s">
        <v>183</v>
      </c>
      <c r="C214" s="22" t="s">
        <v>2</v>
      </c>
      <c r="D214" s="31" t="s">
        <v>5</v>
      </c>
      <c r="E214" s="31" t="s">
        <v>5</v>
      </c>
      <c r="F214" s="31" t="s">
        <v>5</v>
      </c>
      <c r="G214" s="37">
        <f>IFERROR(INDEX('KPI 141'!E$19:P$19,Actual_month),)</f>
        <v>0</v>
      </c>
      <c r="H214" s="38">
        <f>IFERROR(INDEX('KPI 141'!$E$20:$P$20,Actual_month),)</f>
        <v>0</v>
      </c>
      <c r="I214" s="23" t="str">
        <f t="shared" si="136"/>
        <v/>
      </c>
      <c r="J214" s="20" t="s">
        <v>5</v>
      </c>
      <c r="K214" s="20" t="s">
        <v>5</v>
      </c>
      <c r="L214" s="20" t="s">
        <v>5</v>
      </c>
      <c r="M214" s="37">
        <f>IFERROR(INDEX('KPI 141'!$E$26:$P$26,Actual_month),)</f>
        <v>0</v>
      </c>
      <c r="N214" s="38">
        <f>IFERROR(INDEX('KPI 141'!$E$27:$P$27,Actual_month),)</f>
        <v>0</v>
      </c>
      <c r="O214" s="23" t="str">
        <f t="shared" si="137"/>
        <v/>
      </c>
      <c r="P214" s="25" t="s">
        <v>18</v>
      </c>
      <c r="Q214" s="5">
        <f t="shared" si="138"/>
        <v>0</v>
      </c>
      <c r="R214" s="5">
        <f t="shared" si="139"/>
        <v>0</v>
      </c>
      <c r="S214" s="26" t="s">
        <v>21</v>
      </c>
      <c r="T214" s="14" t="s">
        <v>24</v>
      </c>
    </row>
    <row r="215" spans="1:20" ht="15" hidden="1" thickBot="1" x14ac:dyDescent="0.4">
      <c r="A215" s="383" t="s">
        <v>179</v>
      </c>
      <c r="B215" s="384"/>
      <c r="C215" s="32"/>
      <c r="D215" s="32"/>
      <c r="E215" s="32"/>
      <c r="F215" s="32"/>
      <c r="G215" s="33"/>
      <c r="H215" s="33"/>
      <c r="I215" s="33"/>
      <c r="J215" s="33"/>
      <c r="K215" s="33"/>
      <c r="L215" s="33"/>
      <c r="M215" s="33"/>
      <c r="N215" s="33"/>
      <c r="O215" s="34"/>
      <c r="Q215" s="14" t="s">
        <v>26</v>
      </c>
      <c r="R215" s="3" t="s">
        <v>25</v>
      </c>
    </row>
    <row r="216" spans="1:20" ht="20" hidden="1" x14ac:dyDescent="0.35">
      <c r="A216" s="45">
        <v>1</v>
      </c>
      <c r="B216" s="44" t="s">
        <v>180</v>
      </c>
      <c r="C216" s="22" t="s">
        <v>2</v>
      </c>
      <c r="D216" s="31" t="s">
        <v>5</v>
      </c>
      <c r="E216" s="31" t="s">
        <v>5</v>
      </c>
      <c r="F216" s="31" t="s">
        <v>5</v>
      </c>
      <c r="G216" s="37">
        <f>IFERROR(INDEX('KPI 143'!E$19:P$19,Actual_month),)</f>
        <v>0</v>
      </c>
      <c r="H216" s="38">
        <f>IFERROR(INDEX('KPI 143'!$E$20:$P$20,Actual_month),)</f>
        <v>0</v>
      </c>
      <c r="I216" s="23" t="str">
        <f t="shared" ref="I216" si="140">IFERROR(H216/G216,"")</f>
        <v/>
      </c>
      <c r="J216" s="20" t="s">
        <v>5</v>
      </c>
      <c r="K216" s="20" t="s">
        <v>5</v>
      </c>
      <c r="L216" s="20" t="s">
        <v>5</v>
      </c>
      <c r="M216" s="37">
        <f>IFERROR(INDEX('KPI 143'!$E$26:$P$26,Actual_month),)</f>
        <v>0</v>
      </c>
      <c r="N216" s="38">
        <f>IFERROR(INDEX('KPI 143'!$E$27:$P$27,Actual_month),)</f>
        <v>0</v>
      </c>
      <c r="O216" s="23" t="str">
        <f t="shared" ref="O216" si="141">IFERROR(N216/M216,"")</f>
        <v/>
      </c>
      <c r="P216" s="25" t="s">
        <v>18</v>
      </c>
      <c r="Q216" s="5">
        <f t="shared" ref="Q216" si="142">G216*$R$3</f>
        <v>0</v>
      </c>
      <c r="R216" s="5">
        <f t="shared" ref="R216" si="143">M216*$R$3</f>
        <v>0</v>
      </c>
      <c r="S216" s="26" t="s">
        <v>21</v>
      </c>
      <c r="T216" s="14" t="s">
        <v>24</v>
      </c>
    </row>
    <row r="217" spans="1:20" ht="15" hidden="1" thickBot="1" x14ac:dyDescent="0.4">
      <c r="A217" s="383" t="s">
        <v>188</v>
      </c>
      <c r="B217" s="384"/>
      <c r="C217" s="32"/>
      <c r="D217" s="32"/>
      <c r="E217" s="32"/>
      <c r="F217" s="32"/>
      <c r="G217" s="33"/>
      <c r="H217" s="33"/>
      <c r="I217" s="33"/>
      <c r="J217" s="33"/>
      <c r="K217" s="33"/>
      <c r="L217" s="33"/>
      <c r="M217" s="33"/>
      <c r="N217" s="33"/>
      <c r="O217" s="34"/>
      <c r="Q217" s="14" t="s">
        <v>26</v>
      </c>
      <c r="R217" s="3" t="s">
        <v>25</v>
      </c>
    </row>
    <row r="218" spans="1:20" ht="20" hidden="1" x14ac:dyDescent="0.35">
      <c r="A218" s="45">
        <v>1</v>
      </c>
      <c r="B218" s="44" t="s">
        <v>185</v>
      </c>
      <c r="C218" s="22" t="s">
        <v>71</v>
      </c>
      <c r="D218" s="31" t="s">
        <v>5</v>
      </c>
      <c r="E218" s="31" t="s">
        <v>5</v>
      </c>
      <c r="F218" s="31" t="s">
        <v>5</v>
      </c>
      <c r="G218" s="37">
        <f>IFERROR(INDEX('KPI 144'!E$19:P$19,Actual_month),)</f>
        <v>0</v>
      </c>
      <c r="H218" s="38">
        <f>IFERROR(INDEX('KPI 144'!$E$20:$P$20,Actual_month),)</f>
        <v>0</v>
      </c>
      <c r="I218" s="23" t="str">
        <f t="shared" ref="I218:I220" si="144">IFERROR(H218/G218,"")</f>
        <v/>
      </c>
      <c r="J218" s="20" t="s">
        <v>5</v>
      </c>
      <c r="K218" s="20" t="s">
        <v>5</v>
      </c>
      <c r="L218" s="20" t="s">
        <v>5</v>
      </c>
      <c r="M218" s="37">
        <f>IFERROR(INDEX('KPI 144'!$E$26:$P$26,Actual_month),)</f>
        <v>858</v>
      </c>
      <c r="N218" s="38">
        <f>IFERROR(INDEX('KPI 144'!$E$27:$P$27,Actual_month),)</f>
        <v>858</v>
      </c>
      <c r="O218" s="23">
        <f t="shared" ref="O218:O220" si="145">IFERROR(N218/M218,"")</f>
        <v>1</v>
      </c>
      <c r="P218" s="25" t="s">
        <v>18</v>
      </c>
      <c r="Q218" s="5">
        <f t="shared" ref="Q218:Q220" si="146">G218*$R$3</f>
        <v>0</v>
      </c>
      <c r="R218" s="5">
        <f t="shared" ref="R218:R220" si="147">M218*$R$3</f>
        <v>772.2</v>
      </c>
      <c r="S218" s="26" t="s">
        <v>21</v>
      </c>
      <c r="T218" s="14" t="s">
        <v>24</v>
      </c>
    </row>
    <row r="219" spans="1:20" ht="20" hidden="1" x14ac:dyDescent="0.35">
      <c r="A219" s="45">
        <v>2</v>
      </c>
      <c r="B219" s="44" t="s">
        <v>186</v>
      </c>
      <c r="C219" s="22" t="s">
        <v>71</v>
      </c>
      <c r="D219" s="31" t="s">
        <v>5</v>
      </c>
      <c r="E219" s="31" t="s">
        <v>5</v>
      </c>
      <c r="F219" s="31" t="s">
        <v>5</v>
      </c>
      <c r="G219" s="37">
        <f>IFERROR(INDEX('KPI 145'!E$19:P$19,Actual_month),)</f>
        <v>0</v>
      </c>
      <c r="H219" s="38">
        <f>IFERROR(INDEX('KPI 145'!$E$20:$P$20,Actual_month),)</f>
        <v>0</v>
      </c>
      <c r="I219" s="23" t="str">
        <f t="shared" si="144"/>
        <v/>
      </c>
      <c r="J219" s="20" t="s">
        <v>5</v>
      </c>
      <c r="K219" s="20" t="s">
        <v>5</v>
      </c>
      <c r="L219" s="20" t="s">
        <v>5</v>
      </c>
      <c r="M219" s="37">
        <f>IFERROR(INDEX('KPI 145'!$E$26:$P$26,Actual_month),)</f>
        <v>772.2</v>
      </c>
      <c r="N219" s="38">
        <f>IFERROR(INDEX('KPI 145'!$E$27:$P$27,Actual_month),)</f>
        <v>801</v>
      </c>
      <c r="O219" s="23">
        <f t="shared" si="145"/>
        <v>1.0372960372960371</v>
      </c>
      <c r="P219" s="25" t="s">
        <v>18</v>
      </c>
      <c r="Q219" s="5">
        <f t="shared" si="146"/>
        <v>0</v>
      </c>
      <c r="R219" s="5">
        <f t="shared" si="147"/>
        <v>694.98</v>
      </c>
      <c r="S219" s="26" t="s">
        <v>21</v>
      </c>
      <c r="T219" s="14" t="s">
        <v>24</v>
      </c>
    </row>
    <row r="220" spans="1:20" ht="20.5" hidden="1" thickBot="1" x14ac:dyDescent="0.4">
      <c r="A220" s="45">
        <v>3</v>
      </c>
      <c r="B220" s="44" t="s">
        <v>187</v>
      </c>
      <c r="C220" s="22" t="s">
        <v>193</v>
      </c>
      <c r="D220" s="31" t="s">
        <v>5</v>
      </c>
      <c r="E220" s="31" t="s">
        <v>5</v>
      </c>
      <c r="F220" s="31" t="s">
        <v>5</v>
      </c>
      <c r="G220" s="55">
        <f>IFERROR(INDEX('KPI 146'!E$19:P$19,Actual_month),)</f>
        <v>0.9</v>
      </c>
      <c r="H220" s="56">
        <f>IFERROR(INDEX('KPI 146'!$E$20:$P$20,Actual_month),)</f>
        <v>0</v>
      </c>
      <c r="I220" s="23">
        <f t="shared" si="144"/>
        <v>0</v>
      </c>
      <c r="J220" s="20" t="s">
        <v>5</v>
      </c>
      <c r="K220" s="20" t="s">
        <v>5</v>
      </c>
      <c r="L220" s="20" t="s">
        <v>5</v>
      </c>
      <c r="M220" s="55">
        <f>IFERROR(INDEX('KPI 146'!$E$26:$P$26,Actual_month),)</f>
        <v>0.90000000000000013</v>
      </c>
      <c r="N220" s="56">
        <f>IFERROR(INDEX('KPI 146'!$E$27:$P$27,Actual_month),)</f>
        <v>0</v>
      </c>
      <c r="O220" s="23">
        <f t="shared" si="145"/>
        <v>0</v>
      </c>
      <c r="P220" s="25" t="s">
        <v>18</v>
      </c>
      <c r="Q220" s="5">
        <f t="shared" si="146"/>
        <v>0.81</v>
      </c>
      <c r="R220" s="5">
        <f t="shared" si="147"/>
        <v>0.81000000000000016</v>
      </c>
      <c r="S220" s="26" t="s">
        <v>21</v>
      </c>
      <c r="T220" s="14" t="s">
        <v>24</v>
      </c>
    </row>
    <row r="221" spans="1:20" ht="15" hidden="1" thickBot="1" x14ac:dyDescent="0.4">
      <c r="A221" s="383" t="s">
        <v>189</v>
      </c>
      <c r="B221" s="384"/>
      <c r="C221" s="32"/>
      <c r="D221" s="32"/>
      <c r="E221" s="32"/>
      <c r="F221" s="32"/>
      <c r="G221" s="33"/>
      <c r="H221" s="33"/>
      <c r="I221" s="33"/>
      <c r="J221" s="33"/>
      <c r="K221" s="33"/>
      <c r="L221" s="33"/>
      <c r="M221" s="33"/>
      <c r="N221" s="33"/>
      <c r="O221" s="34"/>
      <c r="Q221" s="14" t="s">
        <v>26</v>
      </c>
      <c r="R221" s="3" t="s">
        <v>25</v>
      </c>
    </row>
    <row r="222" spans="1:20" ht="20" hidden="1" x14ac:dyDescent="0.35">
      <c r="A222" s="45">
        <v>1</v>
      </c>
      <c r="B222" s="44" t="s">
        <v>190</v>
      </c>
      <c r="C222" s="22" t="s">
        <v>71</v>
      </c>
      <c r="D222" s="31" t="s">
        <v>5</v>
      </c>
      <c r="E222" s="31" t="s">
        <v>5</v>
      </c>
      <c r="F222" s="31" t="s">
        <v>5</v>
      </c>
      <c r="G222" s="37">
        <f>IFERROR(INDEX('KPI 147'!E$19:P$19,Actual_month),)</f>
        <v>1500</v>
      </c>
      <c r="H222" s="38">
        <f>IFERROR(INDEX('KPI 147'!$E$20:$P$20,Actual_month),)</f>
        <v>0</v>
      </c>
      <c r="I222" s="23">
        <f t="shared" ref="I222" si="148">IFERROR(H222/G222,"")</f>
        <v>0</v>
      </c>
      <c r="J222" s="20" t="s">
        <v>5</v>
      </c>
      <c r="K222" s="20" t="s">
        <v>5</v>
      </c>
      <c r="L222" s="20" t="s">
        <v>5</v>
      </c>
      <c r="M222" s="37">
        <f>IFERROR(INDEX('KPI 147'!$E$26:$P$26,Actual_month),)</f>
        <v>1500</v>
      </c>
      <c r="N222" s="38">
        <f>IFERROR(INDEX('KPI 147'!$E$27:$P$27,Actual_month),)</f>
        <v>640.25</v>
      </c>
      <c r="O222" s="23">
        <f t="shared" ref="O222" si="149">IFERROR(N222/M222,"")</f>
        <v>0.42683333333333334</v>
      </c>
      <c r="P222" s="25" t="s">
        <v>18</v>
      </c>
      <c r="Q222" s="5">
        <f t="shared" ref="Q222" si="150">G222*$R$3</f>
        <v>1350</v>
      </c>
      <c r="R222" s="5">
        <f t="shared" ref="R222" si="151">M222*$R$3</f>
        <v>1350</v>
      </c>
      <c r="S222" s="26" t="s">
        <v>21</v>
      </c>
      <c r="T222" s="14" t="s">
        <v>24</v>
      </c>
    </row>
    <row r="223" spans="1:20" ht="20" hidden="1" x14ac:dyDescent="0.35">
      <c r="A223" s="45">
        <v>2</v>
      </c>
      <c r="B223" s="44" t="s">
        <v>191</v>
      </c>
      <c r="C223" s="22" t="s">
        <v>71</v>
      </c>
      <c r="D223" s="31" t="s">
        <v>5</v>
      </c>
      <c r="E223" s="31" t="s">
        <v>5</v>
      </c>
      <c r="F223" s="31" t="s">
        <v>5</v>
      </c>
      <c r="G223" s="37">
        <f>IFERROR(INDEX('KPI 148'!E$19:P$19,Actual_month),)</f>
        <v>7</v>
      </c>
      <c r="H223" s="38">
        <f>IFERROR(INDEX('KPI 148'!$E$20:$P$20,Actual_month),)</f>
        <v>0</v>
      </c>
      <c r="I223" s="23">
        <f t="shared" ref="I223" si="152">IFERROR(H223/G223,"")</f>
        <v>0</v>
      </c>
      <c r="J223" s="31" t="s">
        <v>5</v>
      </c>
      <c r="K223" s="31" t="s">
        <v>5</v>
      </c>
      <c r="L223" s="31" t="s">
        <v>5</v>
      </c>
      <c r="M223" s="37">
        <f>IFERROR(INDEX('KPI 148'!$E$26:$P$26,Actual_month),)</f>
        <v>7</v>
      </c>
      <c r="N223" s="38">
        <f>IFERROR(INDEX('KPI 148'!$E$27:$P$27,Actual_month),)</f>
        <v>2.25</v>
      </c>
      <c r="O223" s="23">
        <f t="shared" ref="O223" si="153">IFERROR(N223/M223,"")</f>
        <v>0.32142857142857145</v>
      </c>
      <c r="P223" s="25" t="s">
        <v>18</v>
      </c>
      <c r="Q223" s="5">
        <f t="shared" ref="Q223:Q224" si="154">G223/$R$3</f>
        <v>7.7777777777777777</v>
      </c>
      <c r="R223" s="5">
        <f t="shared" ref="R223:R224" si="155">M223/$R$3</f>
        <v>7.7777777777777777</v>
      </c>
      <c r="S223" s="26" t="s">
        <v>194</v>
      </c>
      <c r="T223" s="14" t="s">
        <v>24</v>
      </c>
    </row>
    <row r="224" spans="1:20" ht="20" hidden="1" x14ac:dyDescent="0.35">
      <c r="A224" s="45">
        <v>3</v>
      </c>
      <c r="B224" s="44" t="s">
        <v>192</v>
      </c>
      <c r="C224" s="22" t="s">
        <v>71</v>
      </c>
      <c r="D224" s="31" t="s">
        <v>5</v>
      </c>
      <c r="E224" s="31" t="s">
        <v>5</v>
      </c>
      <c r="F224" s="31" t="s">
        <v>5</v>
      </c>
      <c r="G224" s="37">
        <f>IFERROR(INDEX('KPI 149'!E$19:P$19,Actual_month),)</f>
        <v>15</v>
      </c>
      <c r="H224" s="38">
        <f>IFERROR(INDEX('KPI 149'!$E$20:$P$20,Actual_month),)</f>
        <v>0</v>
      </c>
      <c r="I224" s="23">
        <f t="shared" ref="I224" si="156">IFERROR(H224/G224,"")</f>
        <v>0</v>
      </c>
      <c r="J224" s="31" t="s">
        <v>5</v>
      </c>
      <c r="K224" s="31" t="s">
        <v>5</v>
      </c>
      <c r="L224" s="31" t="s">
        <v>5</v>
      </c>
      <c r="M224" s="37">
        <f>IFERROR(INDEX('KPI 149'!$E$26:$P$26,Actual_month),)</f>
        <v>15</v>
      </c>
      <c r="N224" s="38">
        <f>IFERROR(INDEX('KPI 149'!$E$27:$P$27,Actual_month),)</f>
        <v>4.625</v>
      </c>
      <c r="O224" s="23">
        <f t="shared" ref="O224" si="157">IFERROR(N224/M224,"")</f>
        <v>0.30833333333333335</v>
      </c>
      <c r="P224" s="25" t="s">
        <v>18</v>
      </c>
      <c r="Q224" s="5">
        <f t="shared" si="154"/>
        <v>16.666666666666668</v>
      </c>
      <c r="R224" s="5">
        <f t="shared" si="155"/>
        <v>16.666666666666668</v>
      </c>
      <c r="S224" s="26" t="s">
        <v>194</v>
      </c>
      <c r="T224" s="14" t="s">
        <v>24</v>
      </c>
    </row>
    <row r="226" spans="2:2" x14ac:dyDescent="0.35">
      <c r="B226" s="3" t="s">
        <v>227</v>
      </c>
    </row>
    <row r="233" spans="2:2" x14ac:dyDescent="0.35">
      <c r="B233" s="3" t="s">
        <v>229</v>
      </c>
    </row>
    <row r="234" spans="2:2" x14ac:dyDescent="0.35">
      <c r="B234" s="7" t="s">
        <v>520</v>
      </c>
    </row>
    <row r="235" spans="2:2" x14ac:dyDescent="0.35">
      <c r="B235" s="3" t="s">
        <v>228</v>
      </c>
    </row>
  </sheetData>
  <mergeCells count="33">
    <mergeCell ref="A36:B36"/>
    <mergeCell ref="A52:B52"/>
    <mergeCell ref="A127:B127"/>
    <mergeCell ref="A145:B145"/>
    <mergeCell ref="A163:B163"/>
    <mergeCell ref="J3:O3"/>
    <mergeCell ref="D3:I3"/>
    <mergeCell ref="A5:B5"/>
    <mergeCell ref="A113:B113"/>
    <mergeCell ref="A131:B131"/>
    <mergeCell ref="A23:B23"/>
    <mergeCell ref="A72:B72"/>
    <mergeCell ref="A90:B90"/>
    <mergeCell ref="A38:B38"/>
    <mergeCell ref="A56:B56"/>
    <mergeCell ref="A105:B105"/>
    <mergeCell ref="A19:B19"/>
    <mergeCell ref="A103:B103"/>
    <mergeCell ref="A65:B65"/>
    <mergeCell ref="A70:B70"/>
    <mergeCell ref="A86:B86"/>
    <mergeCell ref="A217:B217"/>
    <mergeCell ref="A221:B221"/>
    <mergeCell ref="A215:B215"/>
    <mergeCell ref="A149:B149"/>
    <mergeCell ref="A167:B167"/>
    <mergeCell ref="A201:B201"/>
    <mergeCell ref="A180:B180"/>
    <mergeCell ref="A212:B212"/>
    <mergeCell ref="A182:B182"/>
    <mergeCell ref="A189:B189"/>
    <mergeCell ref="A192:B192"/>
    <mergeCell ref="A196:B196"/>
  </mergeCells>
  <conditionalFormatting sqref="D6 J216 D216 J11 D11 J15:J16 D15:D16 D20 J20 J29 D29 J33:J35 D33:D35 D37 J37 J44 D44 J48:J49 D48:D49 D53 J53 J62 D62 J67:J69 D67:D69 D71 J71 J78 D78 J96 D96 J100:J102 D100:D102 D104 J104 J119 D119 J123:J124 D123:D124 D128 J128 J207 D207 J173 J177:J179 D173 D177:D179 J155 D155 J159:J160 D159:D160 J137 D137 J141:J142 D141:D142 D146 J146 D164 J164 D181 J181 J213:J214 J210:J211 D213:D214 D210:D211 D82:D83 D87 J82:J83 J87 J197:J200 D18 J18 D51 J51 J85 D85 D126 J126 D144 J144 D162 J162 D197:D200">
    <cfRule type="expression" dxfId="1153" priority="1132">
      <formula>H6&gt;=G6</formula>
    </cfRule>
  </conditionalFormatting>
  <conditionalFormatting sqref="F6 F216 F11 F15:F16 F20 F29 F33:F35 F37 F44 F48:F49 F53 F62 F67:F69 F71 F78 F96 F100:F102 F104 F119 F123:F124 F128 F207 F173 F177:F179 F155 F159:F160 F137 F141:F142 F146 F164 F181 F213:F214 F210:F211 F82:F83 F87 F197:F200 F18 F51 F85 F126 F144 F162">
    <cfRule type="expression" dxfId="1152" priority="1131">
      <formula>H6&lt;Q6</formula>
    </cfRule>
  </conditionalFormatting>
  <conditionalFormatting sqref="E6 E216 E11 E15:E16 E20 E29 E33:E35 E37 E44 E48:E49 E53 E62 E67:E69 E71 E78 E96 E100:E102 E104 E119 E123:E124 E128 E207 E173 E177:E179 E155 E159:E160 E137 E141:E142 E146 E164 E181 E213:E214 E210:E211 E82:E83 E87 E18 E51 E85 E126 E144 E162 E197:E200">
    <cfRule type="expression" dxfId="1151" priority="1130">
      <formula>AND(H6&gt;=Q6,H6&lt;G6)</formula>
    </cfRule>
  </conditionalFormatting>
  <conditionalFormatting sqref="J7">
    <cfRule type="expression" dxfId="1150" priority="1129">
      <formula>N7&gt;=M7</formula>
    </cfRule>
  </conditionalFormatting>
  <conditionalFormatting sqref="D7">
    <cfRule type="expression" dxfId="1149" priority="1126">
      <formula>H7&gt;=G7</formula>
    </cfRule>
  </conditionalFormatting>
  <conditionalFormatting sqref="J6">
    <cfRule type="expression" dxfId="1148" priority="1135">
      <formula>N6&gt;=M6</formula>
    </cfRule>
  </conditionalFormatting>
  <conditionalFormatting sqref="L6 L216 L11 L15:L16 L20 L29 L33:L35 L37 L44 L48:L49 L53 L62 L67:L69 L71 L78 L96 L100:L102 L104 L119 L123:L124 L128 L207 L173 L177:L179 L155 L159:L160 L137 L141:L142 L146 L164 L181 L213:L214 L210:L211 L82:L83 L87 L197:L200 L18 L51 L85 L126 L144 L162">
    <cfRule type="expression" dxfId="1147" priority="1134">
      <formula>N6&lt;R6</formula>
    </cfRule>
  </conditionalFormatting>
  <conditionalFormatting sqref="K6 K216 K11 K15:K16 K20 K29 K33:K35 K37 K44 K48:K49 K53 K62 K67:K69 K71 K78 K96 K100:K102 K104 K119 K123:K124 K128 K207 K173 K177:K179 K155 K159:K160 K137 K141:K142 K146 K164 K181 K213:K214 K210:K211 K82:K83 K87 K197:K200 K18 K51 K85 K126 K144 K162">
    <cfRule type="expression" dxfId="1146" priority="1133">
      <formula>AND(N6&gt;=R6,N6&lt;M6)</formula>
    </cfRule>
  </conditionalFormatting>
  <conditionalFormatting sqref="L7">
    <cfRule type="expression" dxfId="1145" priority="1128">
      <formula>N7&lt;R7</formula>
    </cfRule>
  </conditionalFormatting>
  <conditionalFormatting sqref="K7">
    <cfRule type="expression" dxfId="1144" priority="1127">
      <formula>AND(N7&gt;=R7,N7&lt;M7)</formula>
    </cfRule>
  </conditionalFormatting>
  <conditionalFormatting sqref="F7">
    <cfRule type="expression" dxfId="1143" priority="1125">
      <formula>H7&lt;Q7</formula>
    </cfRule>
  </conditionalFormatting>
  <conditionalFormatting sqref="E7">
    <cfRule type="expression" dxfId="1142" priority="1124">
      <formula>AND(H7&gt;=Q7,H7&lt;G7)</formula>
    </cfRule>
  </conditionalFormatting>
  <conditionalFormatting sqref="J9">
    <cfRule type="expression" dxfId="1141" priority="1117">
      <formula>N9&gt;=M9</formula>
    </cfRule>
  </conditionalFormatting>
  <conditionalFormatting sqref="J8">
    <cfRule type="expression" dxfId="1140" priority="1111">
      <formula>N8&gt;=M8</formula>
    </cfRule>
  </conditionalFormatting>
  <conditionalFormatting sqref="L9">
    <cfRule type="expression" dxfId="1139" priority="1116">
      <formula>N9&lt;R9</formula>
    </cfRule>
  </conditionalFormatting>
  <conditionalFormatting sqref="K9">
    <cfRule type="expression" dxfId="1138" priority="1115">
      <formula>AND(N9&gt;=R9,N9&lt;M9)</formula>
    </cfRule>
  </conditionalFormatting>
  <conditionalFormatting sqref="D9">
    <cfRule type="expression" dxfId="1137" priority="1114">
      <formula>H9&gt;=G9</formula>
    </cfRule>
  </conditionalFormatting>
  <conditionalFormatting sqref="F9">
    <cfRule type="expression" dxfId="1136" priority="1113">
      <formula>H9&lt;Q9</formula>
    </cfRule>
  </conditionalFormatting>
  <conditionalFormatting sqref="E9">
    <cfRule type="expression" dxfId="1135" priority="1112">
      <formula>AND(H9&gt;=Q9,H9&lt;G9)</formula>
    </cfRule>
  </conditionalFormatting>
  <conditionalFormatting sqref="L8">
    <cfRule type="expression" dxfId="1134" priority="1110">
      <formula>N8&lt;R8</formula>
    </cfRule>
  </conditionalFormatting>
  <conditionalFormatting sqref="K8">
    <cfRule type="expression" dxfId="1133" priority="1109">
      <formula>AND(N8&gt;=R8,N8&lt;M8)</formula>
    </cfRule>
  </conditionalFormatting>
  <conditionalFormatting sqref="D8">
    <cfRule type="expression" dxfId="1132" priority="1108">
      <formula>H8&gt;=G8</formula>
    </cfRule>
  </conditionalFormatting>
  <conditionalFormatting sqref="F8">
    <cfRule type="expression" dxfId="1131" priority="1107">
      <formula>H8&lt;Q8</formula>
    </cfRule>
  </conditionalFormatting>
  <conditionalFormatting sqref="E8">
    <cfRule type="expression" dxfId="1130" priority="1106">
      <formula>AND(H8&gt;=Q8,H8&lt;G8)</formula>
    </cfRule>
  </conditionalFormatting>
  <conditionalFormatting sqref="J10 J13:J14">
    <cfRule type="expression" dxfId="1129" priority="655">
      <formula>N10&gt;=M10</formula>
    </cfRule>
  </conditionalFormatting>
  <conditionalFormatting sqref="L10 L13:L14">
    <cfRule type="expression" dxfId="1128" priority="654">
      <formula>N10&lt;R10</formula>
    </cfRule>
  </conditionalFormatting>
  <conditionalFormatting sqref="K10 K13:K14">
    <cfRule type="expression" dxfId="1127" priority="653">
      <formula>AND(N10&gt;=R10,N10&lt;M10)</formula>
    </cfRule>
  </conditionalFormatting>
  <conditionalFormatting sqref="D10 D13:D14">
    <cfRule type="expression" dxfId="1126" priority="652">
      <formula>H10&gt;=G10</formula>
    </cfRule>
  </conditionalFormatting>
  <conditionalFormatting sqref="F10 F13:F14">
    <cfRule type="expression" dxfId="1125" priority="651">
      <formula>H10&lt;Q10</formula>
    </cfRule>
  </conditionalFormatting>
  <conditionalFormatting sqref="E10 E13:E14">
    <cfRule type="expression" dxfId="1124" priority="650">
      <formula>AND(H10&gt;=Q10,H10&lt;G10)</formula>
    </cfRule>
  </conditionalFormatting>
  <conditionalFormatting sqref="D24">
    <cfRule type="expression" dxfId="1123" priority="640">
      <formula>H24&gt;=G24</formula>
    </cfRule>
  </conditionalFormatting>
  <conditionalFormatting sqref="F24">
    <cfRule type="expression" dxfId="1122" priority="639">
      <formula>H24&lt;Q24</formula>
    </cfRule>
  </conditionalFormatting>
  <conditionalFormatting sqref="E24">
    <cfRule type="expression" dxfId="1121" priority="638">
      <formula>AND(H24&gt;=Q24,H24&lt;G24)</formula>
    </cfRule>
  </conditionalFormatting>
  <conditionalFormatting sqref="J25">
    <cfRule type="expression" dxfId="1120" priority="637">
      <formula>N25&gt;=M25</formula>
    </cfRule>
  </conditionalFormatting>
  <conditionalFormatting sqref="D25">
    <cfRule type="expression" dxfId="1119" priority="634">
      <formula>H25&gt;=G25</formula>
    </cfRule>
  </conditionalFormatting>
  <conditionalFormatting sqref="J24">
    <cfRule type="expression" dxfId="1118" priority="643">
      <formula>N24&gt;=M24</formula>
    </cfRule>
  </conditionalFormatting>
  <conditionalFormatting sqref="L24">
    <cfRule type="expression" dxfId="1117" priority="642">
      <formula>N24&lt;R24</formula>
    </cfRule>
  </conditionalFormatting>
  <conditionalFormatting sqref="K24">
    <cfRule type="expression" dxfId="1116" priority="641">
      <formula>AND(N24&gt;=R24,N24&lt;M24)</formula>
    </cfRule>
  </conditionalFormatting>
  <conditionalFormatting sqref="L25">
    <cfRule type="expression" dxfId="1115" priority="636">
      <formula>N25&lt;R25</formula>
    </cfRule>
  </conditionalFormatting>
  <conditionalFormatting sqref="K25">
    <cfRule type="expression" dxfId="1114" priority="635">
      <formula>AND(N25&gt;=R25,N25&lt;M25)</formula>
    </cfRule>
  </conditionalFormatting>
  <conditionalFormatting sqref="F25">
    <cfRule type="expression" dxfId="1113" priority="633">
      <formula>H25&lt;Q25</formula>
    </cfRule>
  </conditionalFormatting>
  <conditionalFormatting sqref="E25">
    <cfRule type="expression" dxfId="1112" priority="632">
      <formula>AND(H25&gt;=Q25,H25&lt;G25)</formula>
    </cfRule>
  </conditionalFormatting>
  <conditionalFormatting sqref="J27">
    <cfRule type="expression" dxfId="1111" priority="631">
      <formula>N27&gt;=M27</formula>
    </cfRule>
  </conditionalFormatting>
  <conditionalFormatting sqref="J26">
    <cfRule type="expression" dxfId="1110" priority="625">
      <formula>N26&gt;=M26</formula>
    </cfRule>
  </conditionalFormatting>
  <conditionalFormatting sqref="L27">
    <cfRule type="expression" dxfId="1109" priority="630">
      <formula>N27&lt;R27</formula>
    </cfRule>
  </conditionalFormatting>
  <conditionalFormatting sqref="K27">
    <cfRule type="expression" dxfId="1108" priority="629">
      <formula>AND(N27&gt;=R27,N27&lt;M27)</formula>
    </cfRule>
  </conditionalFormatting>
  <conditionalFormatting sqref="D27">
    <cfRule type="expression" dxfId="1107" priority="628">
      <formula>H27&gt;=G27</formula>
    </cfRule>
  </conditionalFormatting>
  <conditionalFormatting sqref="F27">
    <cfRule type="expression" dxfId="1106" priority="627">
      <formula>H27&lt;Q27</formula>
    </cfRule>
  </conditionalFormatting>
  <conditionalFormatting sqref="E27">
    <cfRule type="expression" dxfId="1105" priority="626">
      <formula>AND(H27&gt;=Q27,H27&lt;G27)</formula>
    </cfRule>
  </conditionalFormatting>
  <conditionalFormatting sqref="L26">
    <cfRule type="expression" dxfId="1104" priority="624">
      <formula>N26&lt;R26</formula>
    </cfRule>
  </conditionalFormatting>
  <conditionalFormatting sqref="K26">
    <cfRule type="expression" dxfId="1103" priority="623">
      <formula>AND(N26&gt;=R26,N26&lt;M26)</formula>
    </cfRule>
  </conditionalFormatting>
  <conditionalFormatting sqref="D26">
    <cfRule type="expression" dxfId="1102" priority="622">
      <formula>H26&gt;=G26</formula>
    </cfRule>
  </conditionalFormatting>
  <conditionalFormatting sqref="F26">
    <cfRule type="expression" dxfId="1101" priority="621">
      <formula>H26&lt;Q26</formula>
    </cfRule>
  </conditionalFormatting>
  <conditionalFormatting sqref="E26">
    <cfRule type="expression" dxfId="1100" priority="620">
      <formula>AND(H26&gt;=Q26,H26&lt;G26)</formula>
    </cfRule>
  </conditionalFormatting>
  <conditionalFormatting sqref="J28 J31:J32">
    <cfRule type="expression" dxfId="1099" priority="619">
      <formula>N28&gt;=M28</formula>
    </cfRule>
  </conditionalFormatting>
  <conditionalFormatting sqref="L28 L31:L32">
    <cfRule type="expression" dxfId="1098" priority="618">
      <formula>N28&lt;R28</formula>
    </cfRule>
  </conditionalFormatting>
  <conditionalFormatting sqref="K28 K31:K32">
    <cfRule type="expression" dxfId="1097" priority="617">
      <formula>AND(N28&gt;=R28,N28&lt;M28)</formula>
    </cfRule>
  </conditionalFormatting>
  <conditionalFormatting sqref="D28 D31:D32">
    <cfRule type="expression" dxfId="1096" priority="616">
      <formula>H28&gt;=G28</formula>
    </cfRule>
  </conditionalFormatting>
  <conditionalFormatting sqref="F28 F31:F32">
    <cfRule type="expression" dxfId="1095" priority="615">
      <formula>H28&lt;Q28</formula>
    </cfRule>
  </conditionalFormatting>
  <conditionalFormatting sqref="E28 E31:E32">
    <cfRule type="expression" dxfId="1094" priority="614">
      <formula>AND(H28&gt;=Q28,H28&lt;G28)</formula>
    </cfRule>
  </conditionalFormatting>
  <conditionalFormatting sqref="D114">
    <cfRule type="expression" dxfId="1093" priority="604">
      <formula>H114&gt;=G114</formula>
    </cfRule>
  </conditionalFormatting>
  <conditionalFormatting sqref="F114">
    <cfRule type="expression" dxfId="1092" priority="603">
      <formula>H114&lt;Q114</formula>
    </cfRule>
  </conditionalFormatting>
  <conditionalFormatting sqref="E114">
    <cfRule type="expression" dxfId="1091" priority="602">
      <formula>AND(H114&gt;=Q114,H114&lt;G114)</formula>
    </cfRule>
  </conditionalFormatting>
  <conditionalFormatting sqref="J115">
    <cfRule type="expression" dxfId="1090" priority="601">
      <formula>N115&gt;=M115</formula>
    </cfRule>
  </conditionalFormatting>
  <conditionalFormatting sqref="D115">
    <cfRule type="expression" dxfId="1089" priority="598">
      <formula>H115&gt;=G115</formula>
    </cfRule>
  </conditionalFormatting>
  <conditionalFormatting sqref="J114">
    <cfRule type="expression" dxfId="1088" priority="607">
      <formula>N114&gt;=M114</formula>
    </cfRule>
  </conditionalFormatting>
  <conditionalFormatting sqref="L114">
    <cfRule type="expression" dxfId="1087" priority="606">
      <formula>N114&lt;R114</formula>
    </cfRule>
  </conditionalFormatting>
  <conditionalFormatting sqref="K114">
    <cfRule type="expression" dxfId="1086" priority="605">
      <formula>AND(N114&gt;=R114,N114&lt;M114)</formula>
    </cfRule>
  </conditionalFormatting>
  <conditionalFormatting sqref="L115">
    <cfRule type="expression" dxfId="1085" priority="600">
      <formula>N115&lt;R115</formula>
    </cfRule>
  </conditionalFormatting>
  <conditionalFormatting sqref="K115">
    <cfRule type="expression" dxfId="1084" priority="599">
      <formula>AND(N115&gt;=R115,N115&lt;M115)</formula>
    </cfRule>
  </conditionalFormatting>
  <conditionalFormatting sqref="F115">
    <cfRule type="expression" dxfId="1083" priority="597">
      <formula>H115&lt;Q115</formula>
    </cfRule>
  </conditionalFormatting>
  <conditionalFormatting sqref="E115">
    <cfRule type="expression" dxfId="1082" priority="596">
      <formula>AND(H115&gt;=Q115,H115&lt;G115)</formula>
    </cfRule>
  </conditionalFormatting>
  <conditionalFormatting sqref="J117">
    <cfRule type="expression" dxfId="1081" priority="595">
      <formula>N117&gt;=M117</formula>
    </cfRule>
  </conditionalFormatting>
  <conditionalFormatting sqref="J116">
    <cfRule type="expression" dxfId="1080" priority="589">
      <formula>N116&gt;=M116</formula>
    </cfRule>
  </conditionalFormatting>
  <conditionalFormatting sqref="L117">
    <cfRule type="expression" dxfId="1079" priority="594">
      <formula>N117&lt;R117</formula>
    </cfRule>
  </conditionalFormatting>
  <conditionalFormatting sqref="K117">
    <cfRule type="expression" dxfId="1078" priority="593">
      <formula>AND(N117&gt;=R117,N117&lt;M117)</formula>
    </cfRule>
  </conditionalFormatting>
  <conditionalFormatting sqref="D117">
    <cfRule type="expression" dxfId="1077" priority="592">
      <formula>H117&gt;=G117</formula>
    </cfRule>
  </conditionalFormatting>
  <conditionalFormatting sqref="F117">
    <cfRule type="expression" dxfId="1076" priority="591">
      <formula>H117&lt;Q117</formula>
    </cfRule>
  </conditionalFormatting>
  <conditionalFormatting sqref="E117">
    <cfRule type="expression" dxfId="1075" priority="590">
      <formula>AND(H117&gt;=Q117,H117&lt;G117)</formula>
    </cfRule>
  </conditionalFormatting>
  <conditionalFormatting sqref="L116">
    <cfRule type="expression" dxfId="1074" priority="588">
      <formula>N116&lt;R116</formula>
    </cfRule>
  </conditionalFormatting>
  <conditionalFormatting sqref="K116">
    <cfRule type="expression" dxfId="1073" priority="587">
      <formula>AND(N116&gt;=R116,N116&lt;M116)</formula>
    </cfRule>
  </conditionalFormatting>
  <conditionalFormatting sqref="D116">
    <cfRule type="expression" dxfId="1072" priority="586">
      <formula>H116&gt;=G116</formula>
    </cfRule>
  </conditionalFormatting>
  <conditionalFormatting sqref="F116">
    <cfRule type="expression" dxfId="1071" priority="585">
      <formula>H116&lt;Q116</formula>
    </cfRule>
  </conditionalFormatting>
  <conditionalFormatting sqref="E116">
    <cfRule type="expression" dxfId="1070" priority="584">
      <formula>AND(H116&gt;=Q116,H116&lt;G116)</formula>
    </cfRule>
  </conditionalFormatting>
  <conditionalFormatting sqref="J118 J121:J122">
    <cfRule type="expression" dxfId="1069" priority="583">
      <formula>N118&gt;=M118</formula>
    </cfRule>
  </conditionalFormatting>
  <conditionalFormatting sqref="L118 L121:L122">
    <cfRule type="expression" dxfId="1068" priority="582">
      <formula>N118&lt;R118</formula>
    </cfRule>
  </conditionalFormatting>
  <conditionalFormatting sqref="K118 K121:K122">
    <cfRule type="expression" dxfId="1067" priority="581">
      <formula>AND(N118&gt;=R118,N118&lt;M118)</formula>
    </cfRule>
  </conditionalFormatting>
  <conditionalFormatting sqref="D118 D121:D122">
    <cfRule type="expression" dxfId="1066" priority="580">
      <formula>H118&gt;=G118</formula>
    </cfRule>
  </conditionalFormatting>
  <conditionalFormatting sqref="F118 F121:F122">
    <cfRule type="expression" dxfId="1065" priority="579">
      <formula>H118&lt;Q118</formula>
    </cfRule>
  </conditionalFormatting>
  <conditionalFormatting sqref="E118 E121:E122">
    <cfRule type="expression" dxfId="1064" priority="578">
      <formula>AND(H118&gt;=Q118,H118&lt;G118)</formula>
    </cfRule>
  </conditionalFormatting>
  <conditionalFormatting sqref="D132">
    <cfRule type="expression" dxfId="1063" priority="568">
      <formula>H132&gt;=G132</formula>
    </cfRule>
  </conditionalFormatting>
  <conditionalFormatting sqref="F132">
    <cfRule type="expression" dxfId="1062" priority="567">
      <formula>H132&lt;Q132</formula>
    </cfRule>
  </conditionalFormatting>
  <conditionalFormatting sqref="E132">
    <cfRule type="expression" dxfId="1061" priority="566">
      <formula>AND(H132&gt;=Q132,H132&lt;G132)</formula>
    </cfRule>
  </conditionalFormatting>
  <conditionalFormatting sqref="J133">
    <cfRule type="expression" dxfId="1060" priority="565">
      <formula>N133&gt;=M133</formula>
    </cfRule>
  </conditionalFormatting>
  <conditionalFormatting sqref="D133">
    <cfRule type="expression" dxfId="1059" priority="562">
      <formula>H133&gt;=G133</formula>
    </cfRule>
  </conditionalFormatting>
  <conditionalFormatting sqref="J132">
    <cfRule type="expression" dxfId="1058" priority="571">
      <formula>N132&gt;=M132</formula>
    </cfRule>
  </conditionalFormatting>
  <conditionalFormatting sqref="L132">
    <cfRule type="expression" dxfId="1057" priority="570">
      <formula>N132&lt;R132</formula>
    </cfRule>
  </conditionalFormatting>
  <conditionalFormatting sqref="K132">
    <cfRule type="expression" dxfId="1056" priority="569">
      <formula>AND(N132&gt;=R132,N132&lt;M132)</formula>
    </cfRule>
  </conditionalFormatting>
  <conditionalFormatting sqref="L133">
    <cfRule type="expression" dxfId="1055" priority="564">
      <formula>N133&lt;R133</formula>
    </cfRule>
  </conditionalFormatting>
  <conditionalFormatting sqref="K133">
    <cfRule type="expression" dxfId="1054" priority="563">
      <formula>AND(N133&gt;=R133,N133&lt;M133)</formula>
    </cfRule>
  </conditionalFormatting>
  <conditionalFormatting sqref="F133">
    <cfRule type="expression" dxfId="1053" priority="561">
      <formula>H133&lt;Q133</formula>
    </cfRule>
  </conditionalFormatting>
  <conditionalFormatting sqref="E133">
    <cfRule type="expression" dxfId="1052" priority="560">
      <formula>AND(H133&gt;=Q133,H133&lt;G133)</formula>
    </cfRule>
  </conditionalFormatting>
  <conditionalFormatting sqref="J135">
    <cfRule type="expression" dxfId="1051" priority="559">
      <formula>N135&gt;=M135</formula>
    </cfRule>
  </conditionalFormatting>
  <conditionalFormatting sqref="J134">
    <cfRule type="expression" dxfId="1050" priority="553">
      <formula>N134&gt;=M134</formula>
    </cfRule>
  </conditionalFormatting>
  <conditionalFormatting sqref="L135">
    <cfRule type="expression" dxfId="1049" priority="558">
      <formula>N135&lt;R135</formula>
    </cfRule>
  </conditionalFormatting>
  <conditionalFormatting sqref="K135">
    <cfRule type="expression" dxfId="1048" priority="557">
      <formula>AND(N135&gt;=R135,N135&lt;M135)</formula>
    </cfRule>
  </conditionalFormatting>
  <conditionalFormatting sqref="D135">
    <cfRule type="expression" dxfId="1047" priority="556">
      <formula>H135&gt;=G135</formula>
    </cfRule>
  </conditionalFormatting>
  <conditionalFormatting sqref="F135">
    <cfRule type="expression" dxfId="1046" priority="555">
      <formula>H135&lt;Q135</formula>
    </cfRule>
  </conditionalFormatting>
  <conditionalFormatting sqref="E135">
    <cfRule type="expression" dxfId="1045" priority="554">
      <formula>AND(H135&gt;=Q135,H135&lt;G135)</formula>
    </cfRule>
  </conditionalFormatting>
  <conditionalFormatting sqref="L134">
    <cfRule type="expression" dxfId="1044" priority="552">
      <formula>N134&lt;R134</formula>
    </cfRule>
  </conditionalFormatting>
  <conditionalFormatting sqref="K134">
    <cfRule type="expression" dxfId="1043" priority="551">
      <formula>AND(N134&gt;=R134,N134&lt;M134)</formula>
    </cfRule>
  </conditionalFormatting>
  <conditionalFormatting sqref="D134">
    <cfRule type="expression" dxfId="1042" priority="550">
      <formula>H134&gt;=G134</formula>
    </cfRule>
  </conditionalFormatting>
  <conditionalFormatting sqref="F134">
    <cfRule type="expression" dxfId="1041" priority="549">
      <formula>H134&lt;Q134</formula>
    </cfRule>
  </conditionalFormatting>
  <conditionalFormatting sqref="E134">
    <cfRule type="expression" dxfId="1040" priority="548">
      <formula>AND(H134&gt;=Q134,H134&lt;G134)</formula>
    </cfRule>
  </conditionalFormatting>
  <conditionalFormatting sqref="J136 J139:J140">
    <cfRule type="expression" dxfId="1039" priority="547">
      <formula>N136&gt;=M136</formula>
    </cfRule>
  </conditionalFormatting>
  <conditionalFormatting sqref="L136 L139:L140">
    <cfRule type="expression" dxfId="1038" priority="546">
      <formula>N136&lt;R136</formula>
    </cfRule>
  </conditionalFormatting>
  <conditionalFormatting sqref="K136 K139:K140">
    <cfRule type="expression" dxfId="1037" priority="545">
      <formula>AND(N136&gt;=R136,N136&lt;M136)</formula>
    </cfRule>
  </conditionalFormatting>
  <conditionalFormatting sqref="D136 D139:D140">
    <cfRule type="expression" dxfId="1036" priority="544">
      <formula>H136&gt;=G136</formula>
    </cfRule>
  </conditionalFormatting>
  <conditionalFormatting sqref="F136 F139:F140">
    <cfRule type="expression" dxfId="1035" priority="543">
      <formula>H136&lt;Q136</formula>
    </cfRule>
  </conditionalFormatting>
  <conditionalFormatting sqref="E136 E139:E140">
    <cfRule type="expression" dxfId="1034" priority="542">
      <formula>AND(H136&gt;=Q136,H136&lt;G136)</formula>
    </cfRule>
  </conditionalFormatting>
  <conditionalFormatting sqref="D150">
    <cfRule type="expression" dxfId="1033" priority="532">
      <formula>H150&gt;=G150</formula>
    </cfRule>
  </conditionalFormatting>
  <conditionalFormatting sqref="F150">
    <cfRule type="expression" dxfId="1032" priority="531">
      <formula>H150&lt;Q150</formula>
    </cfRule>
  </conditionalFormatting>
  <conditionalFormatting sqref="E150">
    <cfRule type="expression" dxfId="1031" priority="530">
      <formula>AND(H150&gt;=Q150,H150&lt;G150)</formula>
    </cfRule>
  </conditionalFormatting>
  <conditionalFormatting sqref="J151">
    <cfRule type="expression" dxfId="1030" priority="529">
      <formula>N151&gt;=M151</formula>
    </cfRule>
  </conditionalFormatting>
  <conditionalFormatting sqref="D151">
    <cfRule type="expression" dxfId="1029" priority="526">
      <formula>H151&gt;=G151</formula>
    </cfRule>
  </conditionalFormatting>
  <conditionalFormatting sqref="J150">
    <cfRule type="expression" dxfId="1028" priority="535">
      <formula>N150&gt;=M150</formula>
    </cfRule>
  </conditionalFormatting>
  <conditionalFormatting sqref="L150">
    <cfRule type="expression" dxfId="1027" priority="534">
      <formula>N150&lt;R150</formula>
    </cfRule>
  </conditionalFormatting>
  <conditionalFormatting sqref="K150">
    <cfRule type="expression" dxfId="1026" priority="533">
      <formula>AND(N150&gt;=R150,N150&lt;M150)</formula>
    </cfRule>
  </conditionalFormatting>
  <conditionalFormatting sqref="L151">
    <cfRule type="expression" dxfId="1025" priority="528">
      <formula>N151&lt;R151</formula>
    </cfRule>
  </conditionalFormatting>
  <conditionalFormatting sqref="K151">
    <cfRule type="expression" dxfId="1024" priority="527">
      <formula>AND(N151&gt;=R151,N151&lt;M151)</formula>
    </cfRule>
  </conditionalFormatting>
  <conditionalFormatting sqref="F151">
    <cfRule type="expression" dxfId="1023" priority="525">
      <formula>H151&lt;Q151</formula>
    </cfRule>
  </conditionalFormatting>
  <conditionalFormatting sqref="E151">
    <cfRule type="expression" dxfId="1022" priority="524">
      <formula>AND(H151&gt;=Q151,H151&lt;G151)</formula>
    </cfRule>
  </conditionalFormatting>
  <conditionalFormatting sqref="J153">
    <cfRule type="expression" dxfId="1021" priority="523">
      <formula>N153&gt;=M153</formula>
    </cfRule>
  </conditionalFormatting>
  <conditionalFormatting sqref="J152">
    <cfRule type="expression" dxfId="1020" priority="517">
      <formula>N152&gt;=M152</formula>
    </cfRule>
  </conditionalFormatting>
  <conditionalFormatting sqref="L153">
    <cfRule type="expression" dxfId="1019" priority="522">
      <formula>N153&lt;R153</formula>
    </cfRule>
  </conditionalFormatting>
  <conditionalFormatting sqref="K153">
    <cfRule type="expression" dxfId="1018" priority="521">
      <formula>AND(N153&gt;=R153,N153&lt;M153)</formula>
    </cfRule>
  </conditionalFormatting>
  <conditionalFormatting sqref="D153">
    <cfRule type="expression" dxfId="1017" priority="520">
      <formula>H153&gt;=G153</formula>
    </cfRule>
  </conditionalFormatting>
  <conditionalFormatting sqref="F153">
    <cfRule type="expression" dxfId="1016" priority="519">
      <formula>H153&lt;Q153</formula>
    </cfRule>
  </conditionalFormatting>
  <conditionalFormatting sqref="E153">
    <cfRule type="expression" dxfId="1015" priority="518">
      <formula>AND(H153&gt;=Q153,H153&lt;G153)</formula>
    </cfRule>
  </conditionalFormatting>
  <conditionalFormatting sqref="L152">
    <cfRule type="expression" dxfId="1014" priority="516">
      <formula>N152&lt;R152</formula>
    </cfRule>
  </conditionalFormatting>
  <conditionalFormatting sqref="K152">
    <cfRule type="expression" dxfId="1013" priority="515">
      <formula>AND(N152&gt;=R152,N152&lt;M152)</formula>
    </cfRule>
  </conditionalFormatting>
  <conditionalFormatting sqref="D152">
    <cfRule type="expression" dxfId="1012" priority="514">
      <formula>H152&gt;=G152</formula>
    </cfRule>
  </conditionalFormatting>
  <conditionalFormatting sqref="F152">
    <cfRule type="expression" dxfId="1011" priority="513">
      <formula>H152&lt;Q152</formula>
    </cfRule>
  </conditionalFormatting>
  <conditionalFormatting sqref="E152">
    <cfRule type="expression" dxfId="1010" priority="512">
      <formula>AND(H152&gt;=Q152,H152&lt;G152)</formula>
    </cfRule>
  </conditionalFormatting>
  <conditionalFormatting sqref="J154 J157:J158">
    <cfRule type="expression" dxfId="1009" priority="511">
      <formula>N154&gt;=M154</formula>
    </cfRule>
  </conditionalFormatting>
  <conditionalFormatting sqref="L154 L157:L158">
    <cfRule type="expression" dxfId="1008" priority="510">
      <formula>N154&lt;R154</formula>
    </cfRule>
  </conditionalFormatting>
  <conditionalFormatting sqref="K154 K157:K158">
    <cfRule type="expression" dxfId="1007" priority="509">
      <formula>AND(N154&gt;=R154,N154&lt;M154)</formula>
    </cfRule>
  </conditionalFormatting>
  <conditionalFormatting sqref="D154 D157:D158">
    <cfRule type="expression" dxfId="1006" priority="508">
      <formula>H154&gt;=G154</formula>
    </cfRule>
  </conditionalFormatting>
  <conditionalFormatting sqref="F154 F157:F158">
    <cfRule type="expression" dxfId="1005" priority="507">
      <formula>H154&lt;Q154</formula>
    </cfRule>
  </conditionalFormatting>
  <conditionalFormatting sqref="E154 E157:E158">
    <cfRule type="expression" dxfId="1004" priority="506">
      <formula>AND(H154&gt;=Q154,H154&lt;G154)</formula>
    </cfRule>
  </conditionalFormatting>
  <conditionalFormatting sqref="D168">
    <cfRule type="expression" dxfId="1003" priority="496">
      <formula>H168&gt;=G168</formula>
    </cfRule>
  </conditionalFormatting>
  <conditionalFormatting sqref="F168">
    <cfRule type="expression" dxfId="1002" priority="495">
      <formula>H168&lt;Q168</formula>
    </cfRule>
  </conditionalFormatting>
  <conditionalFormatting sqref="E168">
    <cfRule type="expression" dxfId="1001" priority="494">
      <formula>AND(H168&gt;=Q168,H168&lt;G168)</formula>
    </cfRule>
  </conditionalFormatting>
  <conditionalFormatting sqref="J169">
    <cfRule type="expression" dxfId="1000" priority="493">
      <formula>N169&gt;=M169</formula>
    </cfRule>
  </conditionalFormatting>
  <conditionalFormatting sqref="D169">
    <cfRule type="expression" dxfId="999" priority="490">
      <formula>H169&gt;=G169</formula>
    </cfRule>
  </conditionalFormatting>
  <conditionalFormatting sqref="J168">
    <cfRule type="expression" dxfId="998" priority="499">
      <formula>N168&gt;=M168</formula>
    </cfRule>
  </conditionalFormatting>
  <conditionalFormatting sqref="L168">
    <cfRule type="expression" dxfId="997" priority="498">
      <formula>N168&lt;R168</formula>
    </cfRule>
  </conditionalFormatting>
  <conditionalFormatting sqref="K168">
    <cfRule type="expression" dxfId="996" priority="497">
      <formula>AND(N168&gt;=R168,N168&lt;M168)</formula>
    </cfRule>
  </conditionalFormatting>
  <conditionalFormatting sqref="L169">
    <cfRule type="expression" dxfId="995" priority="492">
      <formula>N169&lt;R169</formula>
    </cfRule>
  </conditionalFormatting>
  <conditionalFormatting sqref="K169">
    <cfRule type="expression" dxfId="994" priority="491">
      <formula>AND(N169&gt;=R169,N169&lt;M169)</formula>
    </cfRule>
  </conditionalFormatting>
  <conditionalFormatting sqref="F169">
    <cfRule type="expression" dxfId="993" priority="489">
      <formula>H169&lt;Q169</formula>
    </cfRule>
  </conditionalFormatting>
  <conditionalFormatting sqref="E169">
    <cfRule type="expression" dxfId="992" priority="488">
      <formula>AND(H169&gt;=Q169,H169&lt;G169)</formula>
    </cfRule>
  </conditionalFormatting>
  <conditionalFormatting sqref="J171">
    <cfRule type="expression" dxfId="991" priority="487">
      <formula>N171&gt;=M171</formula>
    </cfRule>
  </conditionalFormatting>
  <conditionalFormatting sqref="J170">
    <cfRule type="expression" dxfId="990" priority="481">
      <formula>N170&gt;=M170</formula>
    </cfRule>
  </conditionalFormatting>
  <conditionalFormatting sqref="L171">
    <cfRule type="expression" dxfId="989" priority="486">
      <formula>N171&lt;R171</formula>
    </cfRule>
  </conditionalFormatting>
  <conditionalFormatting sqref="K171">
    <cfRule type="expression" dxfId="988" priority="485">
      <formula>AND(N171&gt;=R171,N171&lt;M171)</formula>
    </cfRule>
  </conditionalFormatting>
  <conditionalFormatting sqref="D171">
    <cfRule type="expression" dxfId="987" priority="484">
      <formula>H171&gt;=G171</formula>
    </cfRule>
  </conditionalFormatting>
  <conditionalFormatting sqref="F171">
    <cfRule type="expression" dxfId="986" priority="483">
      <formula>H171&lt;Q171</formula>
    </cfRule>
  </conditionalFormatting>
  <conditionalFormatting sqref="E171">
    <cfRule type="expression" dxfId="985" priority="482">
      <formula>AND(H171&gt;=Q171,H171&lt;G171)</formula>
    </cfRule>
  </conditionalFormatting>
  <conditionalFormatting sqref="L170">
    <cfRule type="expression" dxfId="984" priority="480">
      <formula>N170&lt;R170</formula>
    </cfRule>
  </conditionalFormatting>
  <conditionalFormatting sqref="K170">
    <cfRule type="expression" dxfId="983" priority="479">
      <formula>AND(N170&gt;=R170,N170&lt;M170)</formula>
    </cfRule>
  </conditionalFormatting>
  <conditionalFormatting sqref="D170">
    <cfRule type="expression" dxfId="982" priority="478">
      <formula>H170&gt;=G170</formula>
    </cfRule>
  </conditionalFormatting>
  <conditionalFormatting sqref="F170">
    <cfRule type="expression" dxfId="981" priority="477">
      <formula>H170&lt;Q170</formula>
    </cfRule>
  </conditionalFormatting>
  <conditionalFormatting sqref="E170">
    <cfRule type="expression" dxfId="980" priority="476">
      <formula>AND(H170&gt;=Q170,H170&lt;G170)</formula>
    </cfRule>
  </conditionalFormatting>
  <conditionalFormatting sqref="J172 J175:J176">
    <cfRule type="expression" dxfId="979" priority="475">
      <formula>N172&gt;=M172</formula>
    </cfRule>
  </conditionalFormatting>
  <conditionalFormatting sqref="L172 L175:L176">
    <cfRule type="expression" dxfId="978" priority="474">
      <formula>N172&lt;R172</formula>
    </cfRule>
  </conditionalFormatting>
  <conditionalFormatting sqref="K172 K175:K176">
    <cfRule type="expression" dxfId="977" priority="473">
      <formula>AND(N172&gt;=R172,N172&lt;M172)</formula>
    </cfRule>
  </conditionalFormatting>
  <conditionalFormatting sqref="D172 D175:D176">
    <cfRule type="expression" dxfId="976" priority="472">
      <formula>H172&gt;=G172</formula>
    </cfRule>
  </conditionalFormatting>
  <conditionalFormatting sqref="F172 F175:F176">
    <cfRule type="expression" dxfId="975" priority="471">
      <formula>H172&lt;Q172</formula>
    </cfRule>
  </conditionalFormatting>
  <conditionalFormatting sqref="E172 E175:E176">
    <cfRule type="expression" dxfId="974" priority="470">
      <formula>AND(H172&gt;=Q172,H172&lt;G172)</formula>
    </cfRule>
  </conditionalFormatting>
  <conditionalFormatting sqref="E108 E112">
    <cfRule type="expression" dxfId="973" priority="272">
      <formula>AND(H108&gt;=Q108,H108&lt;G108)</formula>
    </cfRule>
  </conditionalFormatting>
  <conditionalFormatting sqref="E109">
    <cfRule type="expression" dxfId="972" priority="266">
      <formula>AND(H109&gt;=Q109,H109&lt;G109)</formula>
    </cfRule>
  </conditionalFormatting>
  <conditionalFormatting sqref="D202">
    <cfRule type="expression" dxfId="971" priority="460">
      <formula>H202&gt;=G202</formula>
    </cfRule>
  </conditionalFormatting>
  <conditionalFormatting sqref="F202">
    <cfRule type="expression" dxfId="970" priority="459">
      <formula>H202&lt;Q202</formula>
    </cfRule>
  </conditionalFormatting>
  <conditionalFormatting sqref="E202">
    <cfRule type="expression" dxfId="969" priority="458">
      <formula>AND(H202&gt;=Q202,H202&lt;G202)</formula>
    </cfRule>
  </conditionalFormatting>
  <conditionalFormatting sqref="J203">
    <cfRule type="expression" dxfId="968" priority="457">
      <formula>N203&gt;=M203</formula>
    </cfRule>
  </conditionalFormatting>
  <conditionalFormatting sqref="D203">
    <cfRule type="expression" dxfId="967" priority="454">
      <formula>H203&gt;=G203</formula>
    </cfRule>
  </conditionalFormatting>
  <conditionalFormatting sqref="J202">
    <cfRule type="expression" dxfId="966" priority="463">
      <formula>N202&gt;=M202</formula>
    </cfRule>
  </conditionalFormatting>
  <conditionalFormatting sqref="L202">
    <cfRule type="expression" dxfId="965" priority="462">
      <formula>N202&lt;R202</formula>
    </cfRule>
  </conditionalFormatting>
  <conditionalFormatting sqref="K202">
    <cfRule type="expression" dxfId="964" priority="461">
      <formula>AND(N202&gt;=R202,N202&lt;M202)</formula>
    </cfRule>
  </conditionalFormatting>
  <conditionalFormatting sqref="L203">
    <cfRule type="expression" dxfId="963" priority="456">
      <formula>N203&lt;R203</formula>
    </cfRule>
  </conditionalFormatting>
  <conditionalFormatting sqref="K203">
    <cfRule type="expression" dxfId="962" priority="455">
      <formula>AND(N203&gt;=R203,N203&lt;M203)</formula>
    </cfRule>
  </conditionalFormatting>
  <conditionalFormatting sqref="F203">
    <cfRule type="expression" dxfId="961" priority="453">
      <formula>H203&lt;Q203</formula>
    </cfRule>
  </conditionalFormatting>
  <conditionalFormatting sqref="E203">
    <cfRule type="expression" dxfId="960" priority="452">
      <formula>AND(H203&gt;=Q203,H203&lt;G203)</formula>
    </cfRule>
  </conditionalFormatting>
  <conditionalFormatting sqref="J205">
    <cfRule type="expression" dxfId="959" priority="451">
      <formula>N205&gt;=M205</formula>
    </cfRule>
  </conditionalFormatting>
  <conditionalFormatting sqref="J204">
    <cfRule type="expression" dxfId="958" priority="445">
      <formula>N204&gt;=M204</formula>
    </cfRule>
  </conditionalFormatting>
  <conditionalFormatting sqref="L205">
    <cfRule type="expression" dxfId="957" priority="450">
      <formula>N205&lt;R205</formula>
    </cfRule>
  </conditionalFormatting>
  <conditionalFormatting sqref="K205">
    <cfRule type="expression" dxfId="956" priority="449">
      <formula>AND(N205&gt;=R205,N205&lt;M205)</formula>
    </cfRule>
  </conditionalFormatting>
  <conditionalFormatting sqref="D205">
    <cfRule type="expression" dxfId="955" priority="448">
      <formula>H205&gt;=G205</formula>
    </cfRule>
  </conditionalFormatting>
  <conditionalFormatting sqref="F205">
    <cfRule type="expression" dxfId="954" priority="447">
      <formula>H205&lt;Q205</formula>
    </cfRule>
  </conditionalFormatting>
  <conditionalFormatting sqref="E205">
    <cfRule type="expression" dxfId="953" priority="446">
      <formula>AND(H205&gt;=Q205,H205&lt;G205)</formula>
    </cfRule>
  </conditionalFormatting>
  <conditionalFormatting sqref="L204">
    <cfRule type="expression" dxfId="952" priority="444">
      <formula>N204&lt;R204</formula>
    </cfRule>
  </conditionalFormatting>
  <conditionalFormatting sqref="K204">
    <cfRule type="expression" dxfId="951" priority="443">
      <formula>AND(N204&gt;=R204,N204&lt;M204)</formula>
    </cfRule>
  </conditionalFormatting>
  <conditionalFormatting sqref="D204">
    <cfRule type="expression" dxfId="950" priority="442">
      <formula>H204&gt;=G204</formula>
    </cfRule>
  </conditionalFormatting>
  <conditionalFormatting sqref="F204">
    <cfRule type="expression" dxfId="949" priority="441">
      <formula>H204&lt;Q204</formula>
    </cfRule>
  </conditionalFormatting>
  <conditionalFormatting sqref="E204">
    <cfRule type="expression" dxfId="948" priority="440">
      <formula>AND(H204&gt;=Q204,H204&lt;G204)</formula>
    </cfRule>
  </conditionalFormatting>
  <conditionalFormatting sqref="J206 J208:J209">
    <cfRule type="expression" dxfId="947" priority="439">
      <formula>N206&gt;=M206</formula>
    </cfRule>
  </conditionalFormatting>
  <conditionalFormatting sqref="L206 L208:L209">
    <cfRule type="expression" dxfId="946" priority="438">
      <formula>N206&lt;R206</formula>
    </cfRule>
  </conditionalFormatting>
  <conditionalFormatting sqref="K206 K208:K209">
    <cfRule type="expression" dxfId="945" priority="437">
      <formula>AND(N206&gt;=R206,N206&lt;M206)</formula>
    </cfRule>
  </conditionalFormatting>
  <conditionalFormatting sqref="D206 D208:D209">
    <cfRule type="expression" dxfId="944" priority="436">
      <formula>H206&gt;=G206</formula>
    </cfRule>
  </conditionalFormatting>
  <conditionalFormatting sqref="F206 F208:F209">
    <cfRule type="expression" dxfId="943" priority="435">
      <formula>H206&lt;Q206</formula>
    </cfRule>
  </conditionalFormatting>
  <conditionalFormatting sqref="E206 E208:E209">
    <cfRule type="expression" dxfId="942" priority="434">
      <formula>AND(H206&gt;=Q206,H206&lt;G206)</formula>
    </cfRule>
  </conditionalFormatting>
  <conditionalFormatting sqref="D73">
    <cfRule type="expression" dxfId="941" priority="424">
      <formula>H73&gt;=G73</formula>
    </cfRule>
  </conditionalFormatting>
  <conditionalFormatting sqref="F73">
    <cfRule type="expression" dxfId="940" priority="423">
      <formula>H73&lt;Q73</formula>
    </cfRule>
  </conditionalFormatting>
  <conditionalFormatting sqref="E73">
    <cfRule type="expression" dxfId="939" priority="422">
      <formula>AND(H73&gt;=Q73,H73&lt;G73)</formula>
    </cfRule>
  </conditionalFormatting>
  <conditionalFormatting sqref="J74">
    <cfRule type="expression" dxfId="938" priority="421">
      <formula>N74&gt;=M74</formula>
    </cfRule>
  </conditionalFormatting>
  <conditionalFormatting sqref="D74">
    <cfRule type="expression" dxfId="937" priority="418">
      <formula>H74&gt;=G74</formula>
    </cfRule>
  </conditionalFormatting>
  <conditionalFormatting sqref="J73">
    <cfRule type="expression" dxfId="936" priority="427">
      <formula>N73&gt;=M73</formula>
    </cfRule>
  </conditionalFormatting>
  <conditionalFormatting sqref="L73">
    <cfRule type="expression" dxfId="935" priority="426">
      <formula>N73&lt;R73</formula>
    </cfRule>
  </conditionalFormatting>
  <conditionalFormatting sqref="K73">
    <cfRule type="expression" dxfId="934" priority="425">
      <formula>AND(N73&gt;=R73,N73&lt;M73)</formula>
    </cfRule>
  </conditionalFormatting>
  <conditionalFormatting sqref="L74">
    <cfRule type="expression" dxfId="933" priority="420">
      <formula>N74&lt;R74</formula>
    </cfRule>
  </conditionalFormatting>
  <conditionalFormatting sqref="K74">
    <cfRule type="expression" dxfId="932" priority="419">
      <formula>AND(N74&gt;=R74,N74&lt;M74)</formula>
    </cfRule>
  </conditionalFormatting>
  <conditionalFormatting sqref="F74">
    <cfRule type="expression" dxfId="931" priority="417">
      <formula>H74&lt;Q74</formula>
    </cfRule>
  </conditionalFormatting>
  <conditionalFormatting sqref="E74">
    <cfRule type="expression" dxfId="930" priority="416">
      <formula>AND(H74&gt;=Q74,H74&lt;G74)</formula>
    </cfRule>
  </conditionalFormatting>
  <conditionalFormatting sqref="J76">
    <cfRule type="expression" dxfId="929" priority="415">
      <formula>N76&gt;=M76</formula>
    </cfRule>
  </conditionalFormatting>
  <conditionalFormatting sqref="J75">
    <cfRule type="expression" dxfId="928" priority="409">
      <formula>N75&gt;=M75</formula>
    </cfRule>
  </conditionalFormatting>
  <conditionalFormatting sqref="L76">
    <cfRule type="expression" dxfId="927" priority="414">
      <formula>N76&lt;R76</formula>
    </cfRule>
  </conditionalFormatting>
  <conditionalFormatting sqref="K76">
    <cfRule type="expression" dxfId="926" priority="413">
      <formula>AND(N76&gt;=R76,N76&lt;M76)</formula>
    </cfRule>
  </conditionalFormatting>
  <conditionalFormatting sqref="D76">
    <cfRule type="expression" dxfId="925" priority="412">
      <formula>H76&gt;=G76</formula>
    </cfRule>
  </conditionalFormatting>
  <conditionalFormatting sqref="F76">
    <cfRule type="expression" dxfId="924" priority="411">
      <formula>H76&lt;Q76</formula>
    </cfRule>
  </conditionalFormatting>
  <conditionalFormatting sqref="E76">
    <cfRule type="expression" dxfId="923" priority="410">
      <formula>AND(H76&gt;=Q76,H76&lt;G76)</formula>
    </cfRule>
  </conditionalFormatting>
  <conditionalFormatting sqref="L75">
    <cfRule type="expression" dxfId="922" priority="408">
      <formula>N75&lt;R75</formula>
    </cfRule>
  </conditionalFormatting>
  <conditionalFormatting sqref="K75">
    <cfRule type="expression" dxfId="921" priority="407">
      <formula>AND(N75&gt;=R75,N75&lt;M75)</formula>
    </cfRule>
  </conditionalFormatting>
  <conditionalFormatting sqref="D75">
    <cfRule type="expression" dxfId="920" priority="406">
      <formula>H75&gt;=G75</formula>
    </cfRule>
  </conditionalFormatting>
  <conditionalFormatting sqref="F75">
    <cfRule type="expression" dxfId="919" priority="405">
      <formula>H75&lt;Q75</formula>
    </cfRule>
  </conditionalFormatting>
  <conditionalFormatting sqref="E75">
    <cfRule type="expression" dxfId="918" priority="404">
      <formula>AND(H75&gt;=Q75,H75&lt;G75)</formula>
    </cfRule>
  </conditionalFormatting>
  <conditionalFormatting sqref="J77 J80:J81">
    <cfRule type="expression" dxfId="917" priority="403">
      <formula>N77&gt;=M77</formula>
    </cfRule>
  </conditionalFormatting>
  <conditionalFormatting sqref="L77 L80:L81">
    <cfRule type="expression" dxfId="916" priority="402">
      <formula>N77&lt;R77</formula>
    </cfRule>
  </conditionalFormatting>
  <conditionalFormatting sqref="K77 K80:K81">
    <cfRule type="expression" dxfId="915" priority="401">
      <formula>AND(N77&gt;=R77,N77&lt;M77)</formula>
    </cfRule>
  </conditionalFormatting>
  <conditionalFormatting sqref="D77 D80:D81">
    <cfRule type="expression" dxfId="914" priority="400">
      <formula>H77&gt;=G77</formula>
    </cfRule>
  </conditionalFormatting>
  <conditionalFormatting sqref="F77 F80:F81">
    <cfRule type="expression" dxfId="913" priority="399">
      <formula>H77&lt;Q77</formula>
    </cfRule>
  </conditionalFormatting>
  <conditionalFormatting sqref="E77 E80:E81">
    <cfRule type="expression" dxfId="912" priority="398">
      <formula>AND(H77&gt;=Q77,H77&lt;G77)</formula>
    </cfRule>
  </conditionalFormatting>
  <conditionalFormatting sqref="D91">
    <cfRule type="expression" dxfId="911" priority="388">
      <formula>H91&gt;=G91</formula>
    </cfRule>
  </conditionalFormatting>
  <conditionalFormatting sqref="F91">
    <cfRule type="expression" dxfId="910" priority="387">
      <formula>H91&lt;Q91</formula>
    </cfRule>
  </conditionalFormatting>
  <conditionalFormatting sqref="E91">
    <cfRule type="expression" dxfId="909" priority="386">
      <formula>AND(H91&gt;=Q91,H91&lt;G91)</formula>
    </cfRule>
  </conditionalFormatting>
  <conditionalFormatting sqref="J92">
    <cfRule type="expression" dxfId="908" priority="385">
      <formula>N92&gt;=M92</formula>
    </cfRule>
  </conditionalFormatting>
  <conditionalFormatting sqref="D92">
    <cfRule type="expression" dxfId="907" priority="382">
      <formula>H92&gt;=G92</formula>
    </cfRule>
  </conditionalFormatting>
  <conditionalFormatting sqref="J91">
    <cfRule type="expression" dxfId="906" priority="391">
      <formula>N91&gt;=M91</formula>
    </cfRule>
  </conditionalFormatting>
  <conditionalFormatting sqref="L91">
    <cfRule type="expression" dxfId="905" priority="390">
      <formula>N91&lt;R91</formula>
    </cfRule>
  </conditionalFormatting>
  <conditionalFormatting sqref="K91">
    <cfRule type="expression" dxfId="904" priority="389">
      <formula>AND(N91&gt;=R91,N91&lt;M91)</formula>
    </cfRule>
  </conditionalFormatting>
  <conditionalFormatting sqref="L92">
    <cfRule type="expression" dxfId="903" priority="384">
      <formula>N92&lt;R92</formula>
    </cfRule>
  </conditionalFormatting>
  <conditionalFormatting sqref="K92">
    <cfRule type="expression" dxfId="902" priority="383">
      <formula>AND(N92&gt;=R92,N92&lt;M92)</formula>
    </cfRule>
  </conditionalFormatting>
  <conditionalFormatting sqref="F92">
    <cfRule type="expression" dxfId="901" priority="381">
      <formula>H92&lt;Q92</formula>
    </cfRule>
  </conditionalFormatting>
  <conditionalFormatting sqref="E92">
    <cfRule type="expression" dxfId="900" priority="380">
      <formula>AND(H92&gt;=Q92,H92&lt;G92)</formula>
    </cfRule>
  </conditionalFormatting>
  <conditionalFormatting sqref="J94">
    <cfRule type="expression" dxfId="899" priority="379">
      <formula>N94&gt;=M94</formula>
    </cfRule>
  </conditionalFormatting>
  <conditionalFormatting sqref="J93">
    <cfRule type="expression" dxfId="898" priority="373">
      <formula>N93&gt;=M93</formula>
    </cfRule>
  </conditionalFormatting>
  <conditionalFormatting sqref="L94">
    <cfRule type="expression" dxfId="897" priority="378">
      <formula>N94&lt;R94</formula>
    </cfRule>
  </conditionalFormatting>
  <conditionalFormatting sqref="K94">
    <cfRule type="expression" dxfId="896" priority="377">
      <formula>AND(N94&gt;=R94,N94&lt;M94)</formula>
    </cfRule>
  </conditionalFormatting>
  <conditionalFormatting sqref="D94">
    <cfRule type="expression" dxfId="895" priority="376">
      <formula>H94&gt;=G94</formula>
    </cfRule>
  </conditionalFormatting>
  <conditionalFormatting sqref="F94">
    <cfRule type="expression" dxfId="894" priority="375">
      <formula>H94&lt;Q94</formula>
    </cfRule>
  </conditionalFormatting>
  <conditionalFormatting sqref="E94">
    <cfRule type="expression" dxfId="893" priority="374">
      <formula>AND(H94&gt;=Q94,H94&lt;G94)</formula>
    </cfRule>
  </conditionalFormatting>
  <conditionalFormatting sqref="L93">
    <cfRule type="expression" dxfId="892" priority="372">
      <formula>N93&lt;R93</formula>
    </cfRule>
  </conditionalFormatting>
  <conditionalFormatting sqref="K93">
    <cfRule type="expression" dxfId="891" priority="371">
      <formula>AND(N93&gt;=R93,N93&lt;M93)</formula>
    </cfRule>
  </conditionalFormatting>
  <conditionalFormatting sqref="D93">
    <cfRule type="expression" dxfId="890" priority="370">
      <formula>H93&gt;=G93</formula>
    </cfRule>
  </conditionalFormatting>
  <conditionalFormatting sqref="F93">
    <cfRule type="expression" dxfId="889" priority="369">
      <formula>H93&lt;Q93</formula>
    </cfRule>
  </conditionalFormatting>
  <conditionalFormatting sqref="E93">
    <cfRule type="expression" dxfId="888" priority="368">
      <formula>AND(H93&gt;=Q93,H93&lt;G93)</formula>
    </cfRule>
  </conditionalFormatting>
  <conditionalFormatting sqref="J95 J98:J99">
    <cfRule type="expression" dxfId="887" priority="367">
      <formula>N95&gt;=M95</formula>
    </cfRule>
  </conditionalFormatting>
  <conditionalFormatting sqref="L95 L98:L99">
    <cfRule type="expression" dxfId="886" priority="366">
      <formula>N95&lt;R95</formula>
    </cfRule>
  </conditionalFormatting>
  <conditionalFormatting sqref="K95 K98:K99">
    <cfRule type="expression" dxfId="885" priority="365">
      <formula>AND(N95&gt;=R95,N95&lt;M95)</formula>
    </cfRule>
  </conditionalFormatting>
  <conditionalFormatting sqref="D95 D98:D99">
    <cfRule type="expression" dxfId="884" priority="364">
      <formula>H95&gt;=G95</formula>
    </cfRule>
  </conditionalFormatting>
  <conditionalFormatting sqref="F95 F98:F99">
    <cfRule type="expression" dxfId="883" priority="363">
      <formula>H95&lt;Q95</formula>
    </cfRule>
  </conditionalFormatting>
  <conditionalFormatting sqref="E95 E98:E99">
    <cfRule type="expression" dxfId="882" priority="362">
      <formula>AND(H95&gt;=Q95,H95&lt;G95)</formula>
    </cfRule>
  </conditionalFormatting>
  <conditionalFormatting sqref="D39">
    <cfRule type="expression" dxfId="881" priority="352">
      <formula>H39&gt;=G39</formula>
    </cfRule>
  </conditionalFormatting>
  <conditionalFormatting sqref="F39">
    <cfRule type="expression" dxfId="880" priority="351">
      <formula>H39&lt;Q39</formula>
    </cfRule>
  </conditionalFormatting>
  <conditionalFormatting sqref="E39">
    <cfRule type="expression" dxfId="879" priority="350">
      <formula>AND(H39&gt;=Q39,H39&lt;G39)</formula>
    </cfRule>
  </conditionalFormatting>
  <conditionalFormatting sqref="J40">
    <cfRule type="expression" dxfId="878" priority="349">
      <formula>N40&gt;=M40</formula>
    </cfRule>
  </conditionalFormatting>
  <conditionalFormatting sqref="D40">
    <cfRule type="expression" dxfId="877" priority="346">
      <formula>H40&gt;=G40</formula>
    </cfRule>
  </conditionalFormatting>
  <conditionalFormatting sqref="J39">
    <cfRule type="expression" dxfId="876" priority="355">
      <formula>N39&gt;=M39</formula>
    </cfRule>
  </conditionalFormatting>
  <conditionalFormatting sqref="L39">
    <cfRule type="expression" dxfId="875" priority="354">
      <formula>N39&lt;R39</formula>
    </cfRule>
  </conditionalFormatting>
  <conditionalFormatting sqref="K39">
    <cfRule type="expression" dxfId="874" priority="353">
      <formula>AND(N39&gt;=R39,N39&lt;M39)</formula>
    </cfRule>
  </conditionalFormatting>
  <conditionalFormatting sqref="L40">
    <cfRule type="expression" dxfId="873" priority="348">
      <formula>N40&lt;R40</formula>
    </cfRule>
  </conditionalFormatting>
  <conditionalFormatting sqref="K40">
    <cfRule type="expression" dxfId="872" priority="347">
      <formula>AND(N40&gt;=R40,N40&lt;M40)</formula>
    </cfRule>
  </conditionalFormatting>
  <conditionalFormatting sqref="F40">
    <cfRule type="expression" dxfId="871" priority="345">
      <formula>H40&lt;Q40</formula>
    </cfRule>
  </conditionalFormatting>
  <conditionalFormatting sqref="E40">
    <cfRule type="expression" dxfId="870" priority="344">
      <formula>AND(H40&gt;=Q40,H40&lt;G40)</formula>
    </cfRule>
  </conditionalFormatting>
  <conditionalFormatting sqref="J42">
    <cfRule type="expression" dxfId="869" priority="343">
      <formula>N42&gt;=M42</formula>
    </cfRule>
  </conditionalFormatting>
  <conditionalFormatting sqref="J41">
    <cfRule type="expression" dxfId="868" priority="337">
      <formula>N41&gt;=M41</formula>
    </cfRule>
  </conditionalFormatting>
  <conditionalFormatting sqref="L42">
    <cfRule type="expression" dxfId="867" priority="342">
      <formula>N42&lt;R42</formula>
    </cfRule>
  </conditionalFormatting>
  <conditionalFormatting sqref="K42">
    <cfRule type="expression" dxfId="866" priority="341">
      <formula>AND(N42&gt;=R42,N42&lt;M42)</formula>
    </cfRule>
  </conditionalFormatting>
  <conditionalFormatting sqref="D42">
    <cfRule type="expression" dxfId="865" priority="340">
      <formula>H42&gt;=G42</formula>
    </cfRule>
  </conditionalFormatting>
  <conditionalFormatting sqref="F42">
    <cfRule type="expression" dxfId="864" priority="339">
      <formula>H42&lt;Q42</formula>
    </cfRule>
  </conditionalFormatting>
  <conditionalFormatting sqref="E42">
    <cfRule type="expression" dxfId="863" priority="338">
      <formula>AND(H42&gt;=Q42,H42&lt;G42)</formula>
    </cfRule>
  </conditionalFormatting>
  <conditionalFormatting sqref="L41">
    <cfRule type="expression" dxfId="862" priority="336">
      <formula>N41&lt;R41</formula>
    </cfRule>
  </conditionalFormatting>
  <conditionalFormatting sqref="K41">
    <cfRule type="expression" dxfId="861" priority="335">
      <formula>AND(N41&gt;=R41,N41&lt;M41)</formula>
    </cfRule>
  </conditionalFormatting>
  <conditionalFormatting sqref="D41">
    <cfRule type="expression" dxfId="860" priority="334">
      <formula>H41&gt;=G41</formula>
    </cfRule>
  </conditionalFormatting>
  <conditionalFormatting sqref="F41">
    <cfRule type="expression" dxfId="859" priority="333">
      <formula>H41&lt;Q41</formula>
    </cfRule>
  </conditionalFormatting>
  <conditionalFormatting sqref="E41">
    <cfRule type="expression" dxfId="858" priority="332">
      <formula>AND(H41&gt;=Q41,H41&lt;G41)</formula>
    </cfRule>
  </conditionalFormatting>
  <conditionalFormatting sqref="J43 J46:J47">
    <cfRule type="expression" dxfId="857" priority="331">
      <formula>N43&gt;=M43</formula>
    </cfRule>
  </conditionalFormatting>
  <conditionalFormatting sqref="L43 L46:L47">
    <cfRule type="expression" dxfId="856" priority="330">
      <formula>N43&lt;R43</formula>
    </cfRule>
  </conditionalFormatting>
  <conditionalFormatting sqref="K43 K46:K47">
    <cfRule type="expression" dxfId="855" priority="329">
      <formula>AND(N43&gt;=R43,N43&lt;M43)</formula>
    </cfRule>
  </conditionalFormatting>
  <conditionalFormatting sqref="D43 D46:D47">
    <cfRule type="expression" dxfId="854" priority="328">
      <formula>H43&gt;=G43</formula>
    </cfRule>
  </conditionalFormatting>
  <conditionalFormatting sqref="F43 F46:F47">
    <cfRule type="expression" dxfId="853" priority="327">
      <formula>H43&lt;Q43</formula>
    </cfRule>
  </conditionalFormatting>
  <conditionalFormatting sqref="E43 E46:E47">
    <cfRule type="expression" dxfId="852" priority="326">
      <formula>AND(H43&gt;=Q43,H43&lt;G43)</formula>
    </cfRule>
  </conditionalFormatting>
  <conditionalFormatting sqref="D57">
    <cfRule type="expression" dxfId="851" priority="316">
      <formula>H57&gt;=G57</formula>
    </cfRule>
  </conditionalFormatting>
  <conditionalFormatting sqref="F57">
    <cfRule type="expression" dxfId="850" priority="315">
      <formula>H57&lt;Q57</formula>
    </cfRule>
  </conditionalFormatting>
  <conditionalFormatting sqref="E57">
    <cfRule type="expression" dxfId="849" priority="314">
      <formula>AND(H57&gt;=Q57,H57&lt;G57)</formula>
    </cfRule>
  </conditionalFormatting>
  <conditionalFormatting sqref="J58">
    <cfRule type="expression" dxfId="848" priority="313">
      <formula>N58&gt;=M58</formula>
    </cfRule>
  </conditionalFormatting>
  <conditionalFormatting sqref="D58">
    <cfRule type="expression" dxfId="847" priority="310">
      <formula>H58&gt;=G58</formula>
    </cfRule>
  </conditionalFormatting>
  <conditionalFormatting sqref="J57">
    <cfRule type="expression" dxfId="846" priority="319">
      <formula>N57&gt;=M57</formula>
    </cfRule>
  </conditionalFormatting>
  <conditionalFormatting sqref="L57">
    <cfRule type="expression" dxfId="845" priority="318">
      <formula>N57&lt;R57</formula>
    </cfRule>
  </conditionalFormatting>
  <conditionalFormatting sqref="K57">
    <cfRule type="expression" dxfId="844" priority="317">
      <formula>AND(N57&gt;=R57,N57&lt;M57)</formula>
    </cfRule>
  </conditionalFormatting>
  <conditionalFormatting sqref="L58">
    <cfRule type="expression" dxfId="843" priority="312">
      <formula>N58&lt;R58</formula>
    </cfRule>
  </conditionalFormatting>
  <conditionalFormatting sqref="K58">
    <cfRule type="expression" dxfId="842" priority="311">
      <formula>AND(N58&gt;=R58,N58&lt;M58)</formula>
    </cfRule>
  </conditionalFormatting>
  <conditionalFormatting sqref="F58">
    <cfRule type="expression" dxfId="841" priority="309">
      <formula>H58&lt;Q58</formula>
    </cfRule>
  </conditionalFormatting>
  <conditionalFormatting sqref="E58">
    <cfRule type="expression" dxfId="840" priority="308">
      <formula>AND(H58&gt;=Q58,H58&lt;G58)</formula>
    </cfRule>
  </conditionalFormatting>
  <conditionalFormatting sqref="J60">
    <cfRule type="expression" dxfId="839" priority="307">
      <formula>N60&gt;=M60</formula>
    </cfRule>
  </conditionalFormatting>
  <conditionalFormatting sqref="J59">
    <cfRule type="expression" dxfId="838" priority="301">
      <formula>N59&gt;=M59</formula>
    </cfRule>
  </conditionalFormatting>
  <conditionalFormatting sqref="L60">
    <cfRule type="expression" dxfId="837" priority="306">
      <formula>N60&lt;R60</formula>
    </cfRule>
  </conditionalFormatting>
  <conditionalFormatting sqref="K60">
    <cfRule type="expression" dxfId="836" priority="305">
      <formula>AND(N60&gt;=R60,N60&lt;M60)</formula>
    </cfRule>
  </conditionalFormatting>
  <conditionalFormatting sqref="D60">
    <cfRule type="expression" dxfId="835" priority="304">
      <formula>H60&gt;=G60</formula>
    </cfRule>
  </conditionalFormatting>
  <conditionalFormatting sqref="F60">
    <cfRule type="expression" dxfId="834" priority="303">
      <formula>H60&lt;Q60</formula>
    </cfRule>
  </conditionalFormatting>
  <conditionalFormatting sqref="E60">
    <cfRule type="expression" dxfId="833" priority="302">
      <formula>AND(H60&gt;=Q60,H60&lt;G60)</formula>
    </cfRule>
  </conditionalFormatting>
  <conditionalFormatting sqref="L59">
    <cfRule type="expression" dxfId="832" priority="300">
      <formula>N59&lt;R59</formula>
    </cfRule>
  </conditionalFormatting>
  <conditionalFormatting sqref="K59">
    <cfRule type="expression" dxfId="831" priority="299">
      <formula>AND(N59&gt;=R59,N59&lt;M59)</formula>
    </cfRule>
  </conditionalFormatting>
  <conditionalFormatting sqref="D59">
    <cfRule type="expression" dxfId="830" priority="298">
      <formula>H59&gt;=G59</formula>
    </cfRule>
  </conditionalFormatting>
  <conditionalFormatting sqref="F59">
    <cfRule type="expression" dxfId="829" priority="297">
      <formula>H59&lt;Q59</formula>
    </cfRule>
  </conditionalFormatting>
  <conditionalFormatting sqref="E59">
    <cfRule type="expression" dxfId="828" priority="296">
      <formula>AND(H59&gt;=Q59,H59&lt;G59)</formula>
    </cfRule>
  </conditionalFormatting>
  <conditionalFormatting sqref="J61 J64 J66">
    <cfRule type="expression" dxfId="827" priority="295">
      <formula>N61&gt;=M61</formula>
    </cfRule>
  </conditionalFormatting>
  <conditionalFormatting sqref="L61 L64 L66">
    <cfRule type="expression" dxfId="826" priority="294">
      <formula>N61&lt;R61</formula>
    </cfRule>
  </conditionalFormatting>
  <conditionalFormatting sqref="K61 K64 K66">
    <cfRule type="expression" dxfId="825" priority="293">
      <formula>AND(N61&gt;=R61,N61&lt;M61)</formula>
    </cfRule>
  </conditionalFormatting>
  <conditionalFormatting sqref="D61 D64 D66">
    <cfRule type="expression" dxfId="824" priority="292">
      <formula>H61&gt;=G61</formula>
    </cfRule>
  </conditionalFormatting>
  <conditionalFormatting sqref="F61 F64 F66">
    <cfRule type="expression" dxfId="823" priority="291">
      <formula>H61&lt;Q61</formula>
    </cfRule>
  </conditionalFormatting>
  <conditionalFormatting sqref="E61 E64 E66">
    <cfRule type="expression" dxfId="822" priority="290">
      <formula>AND(H61&gt;=Q61,H61&lt;G61)</formula>
    </cfRule>
  </conditionalFormatting>
  <conditionalFormatting sqref="J106:J107">
    <cfRule type="expression" dxfId="821" priority="283">
      <formula>N106&gt;=M106</formula>
    </cfRule>
  </conditionalFormatting>
  <conditionalFormatting sqref="L106:L107">
    <cfRule type="expression" dxfId="820" priority="282">
      <formula>N106&lt;R106</formula>
    </cfRule>
  </conditionalFormatting>
  <conditionalFormatting sqref="K106:K107">
    <cfRule type="expression" dxfId="819" priority="281">
      <formula>AND(N106&gt;=R106,N106&lt;M106)</formula>
    </cfRule>
  </conditionalFormatting>
  <conditionalFormatting sqref="D106:D107">
    <cfRule type="expression" dxfId="818" priority="280">
      <formula>H106&gt;=G106</formula>
    </cfRule>
  </conditionalFormatting>
  <conditionalFormatting sqref="F106:F107">
    <cfRule type="expression" dxfId="817" priority="279">
      <formula>H106&lt;Q106</formula>
    </cfRule>
  </conditionalFormatting>
  <conditionalFormatting sqref="E106:E107">
    <cfRule type="expression" dxfId="816" priority="278">
      <formula>AND(H106&gt;=Q106,H106&lt;G106)</formula>
    </cfRule>
  </conditionalFormatting>
  <conditionalFormatting sqref="J108 J112">
    <cfRule type="expression" dxfId="815" priority="277">
      <formula>N108&gt;=M108</formula>
    </cfRule>
  </conditionalFormatting>
  <conditionalFormatting sqref="L108 L112">
    <cfRule type="expression" dxfId="814" priority="276">
      <formula>N108&lt;R108</formula>
    </cfRule>
  </conditionalFormatting>
  <conditionalFormatting sqref="K108 K112">
    <cfRule type="expression" dxfId="813" priority="275">
      <formula>AND(N108&gt;=R108,N108&lt;M108)</formula>
    </cfRule>
  </conditionalFormatting>
  <conditionalFormatting sqref="D108 D112">
    <cfRule type="expression" dxfId="812" priority="274">
      <formula>H108&gt;=G108</formula>
    </cfRule>
  </conditionalFormatting>
  <conditionalFormatting sqref="F108 F112">
    <cfRule type="expression" dxfId="811" priority="273">
      <formula>H108&lt;Q108</formula>
    </cfRule>
  </conditionalFormatting>
  <conditionalFormatting sqref="J109">
    <cfRule type="expression" dxfId="810" priority="271">
      <formula>N109&gt;=M109</formula>
    </cfRule>
  </conditionalFormatting>
  <conditionalFormatting sqref="L109">
    <cfRule type="expression" dxfId="809" priority="270">
      <formula>N109&lt;R109</formula>
    </cfRule>
  </conditionalFormatting>
  <conditionalFormatting sqref="K109">
    <cfRule type="expression" dxfId="808" priority="269">
      <formula>AND(N109&gt;=R109,N109&lt;M109)</formula>
    </cfRule>
  </conditionalFormatting>
  <conditionalFormatting sqref="D109">
    <cfRule type="expression" dxfId="807" priority="268">
      <formula>H109&gt;=G109</formula>
    </cfRule>
  </conditionalFormatting>
  <conditionalFormatting sqref="F109">
    <cfRule type="expression" dxfId="806" priority="267">
      <formula>H109&lt;Q109</formula>
    </cfRule>
  </conditionalFormatting>
  <conditionalFormatting sqref="E185 E188">
    <cfRule type="expression" dxfId="805" priority="254">
      <formula>AND(H185&gt;=Q185,H185&lt;G185)</formula>
    </cfRule>
  </conditionalFormatting>
  <conditionalFormatting sqref="E187">
    <cfRule type="expression" dxfId="804" priority="248">
      <formula>AND(H187&gt;=Q187,H187&lt;G187)</formula>
    </cfRule>
  </conditionalFormatting>
  <conditionalFormatting sqref="J183:J184">
    <cfRule type="expression" dxfId="803" priority="265">
      <formula>N183&gt;=M183</formula>
    </cfRule>
  </conditionalFormatting>
  <conditionalFormatting sqref="L183:L184">
    <cfRule type="expression" dxfId="802" priority="264">
      <formula>N183&lt;R183</formula>
    </cfRule>
  </conditionalFormatting>
  <conditionalFormatting sqref="K183:K184">
    <cfRule type="expression" dxfId="801" priority="263">
      <formula>AND(N183&gt;=R183,N183&lt;M183)</formula>
    </cfRule>
  </conditionalFormatting>
  <conditionalFormatting sqref="D183:D184">
    <cfRule type="expression" dxfId="800" priority="262">
      <formula>H183&gt;=G183</formula>
    </cfRule>
  </conditionalFormatting>
  <conditionalFormatting sqref="F183:F184">
    <cfRule type="expression" dxfId="799" priority="261">
      <formula>H183&lt;Q183</formula>
    </cfRule>
  </conditionalFormatting>
  <conditionalFormatting sqref="E183:E184">
    <cfRule type="expression" dxfId="798" priority="260">
      <formula>AND(H183&gt;=Q183,H183&lt;G183)</formula>
    </cfRule>
  </conditionalFormatting>
  <conditionalFormatting sqref="J185 J188">
    <cfRule type="expression" dxfId="797" priority="259">
      <formula>N185&gt;=M185</formula>
    </cfRule>
  </conditionalFormatting>
  <conditionalFormatting sqref="L185 L188">
    <cfRule type="expression" dxfId="796" priority="258">
      <formula>N185&lt;R185</formula>
    </cfRule>
  </conditionalFormatting>
  <conditionalFormatting sqref="K185 K188">
    <cfRule type="expression" dxfId="795" priority="257">
      <formula>AND(N185&gt;=R185,N185&lt;M185)</formula>
    </cfRule>
  </conditionalFormatting>
  <conditionalFormatting sqref="D185 D188">
    <cfRule type="expression" dxfId="794" priority="256">
      <formula>H185&gt;=G185</formula>
    </cfRule>
  </conditionalFormatting>
  <conditionalFormatting sqref="F185 F188">
    <cfRule type="expression" dxfId="793" priority="255">
      <formula>H185&lt;Q185</formula>
    </cfRule>
  </conditionalFormatting>
  <conditionalFormatting sqref="J187">
    <cfRule type="expression" dxfId="792" priority="253">
      <formula>N187&gt;=M187</formula>
    </cfRule>
  </conditionalFormatting>
  <conditionalFormatting sqref="L187">
    <cfRule type="expression" dxfId="791" priority="252">
      <formula>N187&lt;R187</formula>
    </cfRule>
  </conditionalFormatting>
  <conditionalFormatting sqref="K187">
    <cfRule type="expression" dxfId="790" priority="251">
      <formula>AND(N187&gt;=R187,N187&lt;M187)</formula>
    </cfRule>
  </conditionalFormatting>
  <conditionalFormatting sqref="D187">
    <cfRule type="expression" dxfId="789" priority="250">
      <formula>H187&gt;=G187</formula>
    </cfRule>
  </conditionalFormatting>
  <conditionalFormatting sqref="F187">
    <cfRule type="expression" dxfId="788" priority="249">
      <formula>H187&lt;Q187</formula>
    </cfRule>
  </conditionalFormatting>
  <conditionalFormatting sqref="D223:D224">
    <cfRule type="expression" dxfId="787" priority="236">
      <formula>H223&lt;=G223</formula>
    </cfRule>
  </conditionalFormatting>
  <conditionalFormatting sqref="F223:F224">
    <cfRule type="expression" dxfId="786" priority="235">
      <formula>H223&gt;Q223</formula>
    </cfRule>
  </conditionalFormatting>
  <conditionalFormatting sqref="E223:E224">
    <cfRule type="expression" dxfId="785" priority="234">
      <formula>AND(H223&gt;G223,H223&lt;=Q223)</formula>
    </cfRule>
  </conditionalFormatting>
  <conditionalFormatting sqref="J223">
    <cfRule type="expression" dxfId="784" priority="230">
      <formula>N223&lt;=M223</formula>
    </cfRule>
  </conditionalFormatting>
  <conditionalFormatting sqref="L223">
    <cfRule type="expression" dxfId="783" priority="229">
      <formula>N223&gt;R223</formula>
    </cfRule>
  </conditionalFormatting>
  <conditionalFormatting sqref="K223">
    <cfRule type="expression" dxfId="782" priority="228">
      <formula>AND(N223&gt;M223,N223&lt;=R223)</formula>
    </cfRule>
  </conditionalFormatting>
  <conditionalFormatting sqref="J224">
    <cfRule type="expression" dxfId="781" priority="227">
      <formula>N224&lt;=M224</formula>
    </cfRule>
  </conditionalFormatting>
  <conditionalFormatting sqref="L224">
    <cfRule type="expression" dxfId="780" priority="226">
      <formula>N224&gt;R224</formula>
    </cfRule>
  </conditionalFormatting>
  <conditionalFormatting sqref="K224">
    <cfRule type="expression" dxfId="779" priority="225">
      <formula>AND(N224&gt;M224,N224&lt;=R224)</formula>
    </cfRule>
  </conditionalFormatting>
  <conditionalFormatting sqref="D218">
    <cfRule type="expression" dxfId="778" priority="224">
      <formula>H218&gt;=G218</formula>
    </cfRule>
  </conditionalFormatting>
  <conditionalFormatting sqref="F218">
    <cfRule type="expression" dxfId="777" priority="223">
      <formula>H218&lt;Q218</formula>
    </cfRule>
  </conditionalFormatting>
  <conditionalFormatting sqref="E218">
    <cfRule type="expression" dxfId="776" priority="222">
      <formula>AND(H218&gt;=Q218,H218&lt;G218)</formula>
    </cfRule>
  </conditionalFormatting>
  <conditionalFormatting sqref="D219">
    <cfRule type="expression" dxfId="775" priority="221">
      <formula>H219&gt;=G219</formula>
    </cfRule>
  </conditionalFormatting>
  <conditionalFormatting sqref="F219">
    <cfRule type="expression" dxfId="774" priority="220">
      <formula>H219&lt;Q219</formula>
    </cfRule>
  </conditionalFormatting>
  <conditionalFormatting sqref="E219">
    <cfRule type="expression" dxfId="773" priority="219">
      <formula>AND(H219&gt;=Q219,H219&lt;G219)</formula>
    </cfRule>
  </conditionalFormatting>
  <conditionalFormatting sqref="D220">
    <cfRule type="expression" dxfId="772" priority="218">
      <formula>H220&gt;=G220</formula>
    </cfRule>
  </conditionalFormatting>
  <conditionalFormatting sqref="F220">
    <cfRule type="expression" dxfId="771" priority="217">
      <formula>H220&lt;Q220</formula>
    </cfRule>
  </conditionalFormatting>
  <conditionalFormatting sqref="E220">
    <cfRule type="expression" dxfId="770" priority="216">
      <formula>AND(H220&gt;=Q220,H220&lt;G220)</formula>
    </cfRule>
  </conditionalFormatting>
  <conditionalFormatting sqref="J218">
    <cfRule type="expression" dxfId="769" priority="213">
      <formula>N218&gt;=M218</formula>
    </cfRule>
  </conditionalFormatting>
  <conditionalFormatting sqref="L218">
    <cfRule type="expression" dxfId="768" priority="215">
      <formula>N218&lt;R218</formula>
    </cfRule>
  </conditionalFormatting>
  <conditionalFormatting sqref="K218">
    <cfRule type="expression" dxfId="767" priority="214">
      <formula>AND(N218&gt;=R218,N218&lt;M218)</formula>
    </cfRule>
  </conditionalFormatting>
  <conditionalFormatting sqref="J219">
    <cfRule type="expression" dxfId="766" priority="210">
      <formula>N219&gt;=M219</formula>
    </cfRule>
  </conditionalFormatting>
  <conditionalFormatting sqref="L219">
    <cfRule type="expression" dxfId="765" priority="212">
      <formula>N219&lt;R219</formula>
    </cfRule>
  </conditionalFormatting>
  <conditionalFormatting sqref="K219">
    <cfRule type="expression" dxfId="764" priority="211">
      <formula>AND(N219&gt;=R219,N219&lt;M219)</formula>
    </cfRule>
  </conditionalFormatting>
  <conditionalFormatting sqref="J220">
    <cfRule type="expression" dxfId="763" priority="207">
      <formula>N220&gt;=M220</formula>
    </cfRule>
  </conditionalFormatting>
  <conditionalFormatting sqref="L220">
    <cfRule type="expression" dxfId="762" priority="209">
      <formula>N220&lt;R220</formula>
    </cfRule>
  </conditionalFormatting>
  <conditionalFormatting sqref="K220">
    <cfRule type="expression" dxfId="761" priority="208">
      <formula>AND(N220&gt;=R220,N220&lt;M220)</formula>
    </cfRule>
  </conditionalFormatting>
  <conditionalFormatting sqref="D222">
    <cfRule type="expression" dxfId="760" priority="206">
      <formula>H222&gt;=G222</formula>
    </cfRule>
  </conditionalFormatting>
  <conditionalFormatting sqref="F222">
    <cfRule type="expression" dxfId="759" priority="205">
      <formula>H222&lt;Q222</formula>
    </cfRule>
  </conditionalFormatting>
  <conditionalFormatting sqref="E222">
    <cfRule type="expression" dxfId="758" priority="204">
      <formula>AND(H222&gt;=Q222,H222&lt;G222)</formula>
    </cfRule>
  </conditionalFormatting>
  <conditionalFormatting sqref="J222">
    <cfRule type="expression" dxfId="757" priority="201">
      <formula>N222&gt;=M222</formula>
    </cfRule>
  </conditionalFormatting>
  <conditionalFormatting sqref="L222">
    <cfRule type="expression" dxfId="756" priority="203">
      <formula>N222&lt;R222</formula>
    </cfRule>
  </conditionalFormatting>
  <conditionalFormatting sqref="K222">
    <cfRule type="expression" dxfId="755" priority="202">
      <formula>AND(N222&gt;=R222,N222&lt;M222)</formula>
    </cfRule>
  </conditionalFormatting>
  <conditionalFormatting sqref="J110">
    <cfRule type="expression" dxfId="754" priority="200">
      <formula>N110&gt;=M110</formula>
    </cfRule>
  </conditionalFormatting>
  <conditionalFormatting sqref="L110">
    <cfRule type="expression" dxfId="753" priority="199">
      <formula>N110&lt;R110</formula>
    </cfRule>
  </conditionalFormatting>
  <conditionalFormatting sqref="K110">
    <cfRule type="expression" dxfId="752" priority="198">
      <formula>AND(N110&gt;=R110,N110&lt;M110)</formula>
    </cfRule>
  </conditionalFormatting>
  <conditionalFormatting sqref="D110">
    <cfRule type="expression" dxfId="751" priority="197">
      <formula>H110&gt;=G110</formula>
    </cfRule>
  </conditionalFormatting>
  <conditionalFormatting sqref="F110">
    <cfRule type="expression" dxfId="750" priority="196">
      <formula>H110&lt;Q110</formula>
    </cfRule>
  </conditionalFormatting>
  <conditionalFormatting sqref="E110">
    <cfRule type="expression" dxfId="749" priority="195">
      <formula>AND(H110&gt;=Q110,H110&lt;G110)</formula>
    </cfRule>
  </conditionalFormatting>
  <conditionalFormatting sqref="E111">
    <cfRule type="expression" dxfId="748" priority="189">
      <formula>AND(H111&gt;=Q111,H111&lt;G111)</formula>
    </cfRule>
  </conditionalFormatting>
  <conditionalFormatting sqref="J111">
    <cfRule type="expression" dxfId="747" priority="194">
      <formula>N111&gt;=M111</formula>
    </cfRule>
  </conditionalFormatting>
  <conditionalFormatting sqref="L111">
    <cfRule type="expression" dxfId="746" priority="193">
      <formula>N111&lt;R111</formula>
    </cfRule>
  </conditionalFormatting>
  <conditionalFormatting sqref="K111">
    <cfRule type="expression" dxfId="745" priority="192">
      <formula>AND(N111&gt;=R111,N111&lt;M111)</formula>
    </cfRule>
  </conditionalFormatting>
  <conditionalFormatting sqref="D111">
    <cfRule type="expression" dxfId="744" priority="191">
      <formula>H111&gt;=G111</formula>
    </cfRule>
  </conditionalFormatting>
  <conditionalFormatting sqref="F111">
    <cfRule type="expression" dxfId="743" priority="190">
      <formula>H111&lt;Q111</formula>
    </cfRule>
  </conditionalFormatting>
  <conditionalFormatting sqref="E186">
    <cfRule type="expression" dxfId="742" priority="183">
      <formula>AND(H186&gt;=Q186,H186&lt;G186)</formula>
    </cfRule>
  </conditionalFormatting>
  <conditionalFormatting sqref="J186">
    <cfRule type="expression" dxfId="741" priority="188">
      <formula>N186&gt;=M186</formula>
    </cfRule>
  </conditionalFormatting>
  <conditionalFormatting sqref="L186">
    <cfRule type="expression" dxfId="740" priority="187">
      <formula>N186&lt;R186</formula>
    </cfRule>
  </conditionalFormatting>
  <conditionalFormatting sqref="K186">
    <cfRule type="expression" dxfId="739" priority="186">
      <formula>AND(N186&gt;=R186,N186&lt;M186)</formula>
    </cfRule>
  </conditionalFormatting>
  <conditionalFormatting sqref="D186">
    <cfRule type="expression" dxfId="738" priority="185">
      <formula>H186&gt;=G186</formula>
    </cfRule>
  </conditionalFormatting>
  <conditionalFormatting sqref="F186">
    <cfRule type="expression" dxfId="737" priority="184">
      <formula>H186&lt;Q186</formula>
    </cfRule>
  </conditionalFormatting>
  <conditionalFormatting sqref="J194">
    <cfRule type="expression" dxfId="736" priority="164">
      <formula>N194&gt;=M194</formula>
    </cfRule>
  </conditionalFormatting>
  <conditionalFormatting sqref="L194">
    <cfRule type="expression" dxfId="735" priority="163">
      <formula>N194&lt;R194</formula>
    </cfRule>
  </conditionalFormatting>
  <conditionalFormatting sqref="K194">
    <cfRule type="expression" dxfId="734" priority="162">
      <formula>AND(N194&gt;=R194,N194&lt;M194)</formula>
    </cfRule>
  </conditionalFormatting>
  <conditionalFormatting sqref="D194">
    <cfRule type="expression" dxfId="733" priority="161">
      <formula>H194&gt;=G194</formula>
    </cfRule>
  </conditionalFormatting>
  <conditionalFormatting sqref="F194">
    <cfRule type="expression" dxfId="732" priority="160">
      <formula>H194&lt;Q194</formula>
    </cfRule>
  </conditionalFormatting>
  <conditionalFormatting sqref="E194">
    <cfRule type="expression" dxfId="731" priority="159">
      <formula>AND(H194&gt;=Q194,H194&lt;G194)</formula>
    </cfRule>
  </conditionalFormatting>
  <conditionalFormatting sqref="J190">
    <cfRule type="expression" dxfId="730" priority="176">
      <formula>N190&gt;=M190</formula>
    </cfRule>
  </conditionalFormatting>
  <conditionalFormatting sqref="L190">
    <cfRule type="expression" dxfId="729" priority="175">
      <formula>N190&lt;R190</formula>
    </cfRule>
  </conditionalFormatting>
  <conditionalFormatting sqref="K190">
    <cfRule type="expression" dxfId="728" priority="174">
      <formula>AND(N190&gt;=R190,N190&lt;M190)</formula>
    </cfRule>
  </conditionalFormatting>
  <conditionalFormatting sqref="D190">
    <cfRule type="expression" dxfId="727" priority="173">
      <formula>H190&gt;=G190</formula>
    </cfRule>
  </conditionalFormatting>
  <conditionalFormatting sqref="F190">
    <cfRule type="expression" dxfId="726" priority="172">
      <formula>H190&lt;Q190</formula>
    </cfRule>
  </conditionalFormatting>
  <conditionalFormatting sqref="E190">
    <cfRule type="expression" dxfId="725" priority="171">
      <formula>AND(H190&gt;=Q190,H190&lt;G190)</formula>
    </cfRule>
  </conditionalFormatting>
  <conditionalFormatting sqref="J191">
    <cfRule type="expression" dxfId="724" priority="170">
      <formula>N191&gt;=M191</formula>
    </cfRule>
  </conditionalFormatting>
  <conditionalFormatting sqref="L191">
    <cfRule type="expression" dxfId="723" priority="169">
      <formula>N191&lt;R191</formula>
    </cfRule>
  </conditionalFormatting>
  <conditionalFormatting sqref="K191">
    <cfRule type="expression" dxfId="722" priority="168">
      <formula>AND(N191&gt;=R191,N191&lt;M191)</formula>
    </cfRule>
  </conditionalFormatting>
  <conditionalFormatting sqref="D191">
    <cfRule type="expression" dxfId="721" priority="167">
      <formula>H191&gt;=G191</formula>
    </cfRule>
  </conditionalFormatting>
  <conditionalFormatting sqref="F191">
    <cfRule type="expression" dxfId="720" priority="166">
      <formula>H191&lt;Q191</formula>
    </cfRule>
  </conditionalFormatting>
  <conditionalFormatting sqref="E191">
    <cfRule type="expression" dxfId="719" priority="165">
      <formula>AND(H191&gt;=Q191,H191&lt;G191)</formula>
    </cfRule>
  </conditionalFormatting>
  <conditionalFormatting sqref="J195">
    <cfRule type="expression" dxfId="718" priority="158">
      <formula>N195&gt;=M195</formula>
    </cfRule>
  </conditionalFormatting>
  <conditionalFormatting sqref="L195">
    <cfRule type="expression" dxfId="717" priority="157">
      <formula>N195&lt;R195</formula>
    </cfRule>
  </conditionalFormatting>
  <conditionalFormatting sqref="K195">
    <cfRule type="expression" dxfId="716" priority="156">
      <formula>AND(N195&gt;=R195,N195&lt;M195)</formula>
    </cfRule>
  </conditionalFormatting>
  <conditionalFormatting sqref="D195">
    <cfRule type="expression" dxfId="715" priority="155">
      <formula>H195&gt;=G195</formula>
    </cfRule>
  </conditionalFormatting>
  <conditionalFormatting sqref="F195">
    <cfRule type="expression" dxfId="714" priority="154">
      <formula>H195&lt;Q195</formula>
    </cfRule>
  </conditionalFormatting>
  <conditionalFormatting sqref="E195">
    <cfRule type="expression" dxfId="713" priority="153">
      <formula>AND(H195&gt;=Q195,H195&lt;G195)</formula>
    </cfRule>
  </conditionalFormatting>
  <conditionalFormatting sqref="J193">
    <cfRule type="expression" dxfId="712" priority="146">
      <formula>N193&gt;=M193</formula>
    </cfRule>
  </conditionalFormatting>
  <conditionalFormatting sqref="L193">
    <cfRule type="expression" dxfId="711" priority="145">
      <formula>N193&lt;R193</formula>
    </cfRule>
  </conditionalFormatting>
  <conditionalFormatting sqref="K193">
    <cfRule type="expression" dxfId="710" priority="144">
      <formula>AND(N193&gt;=R193,N193&lt;M193)</formula>
    </cfRule>
  </conditionalFormatting>
  <conditionalFormatting sqref="D193">
    <cfRule type="expression" dxfId="709" priority="143">
      <formula>H193&gt;=G193</formula>
    </cfRule>
  </conditionalFormatting>
  <conditionalFormatting sqref="F193">
    <cfRule type="expression" dxfId="708" priority="142">
      <formula>H193&lt;Q193</formula>
    </cfRule>
  </conditionalFormatting>
  <conditionalFormatting sqref="E193">
    <cfRule type="expression" dxfId="707" priority="141">
      <formula>AND(H193&gt;=Q193,H193&lt;G193)</formula>
    </cfRule>
  </conditionalFormatting>
  <conditionalFormatting sqref="J12 D12">
    <cfRule type="expression" dxfId="706" priority="138">
      <formula>H12&gt;=G12</formula>
    </cfRule>
  </conditionalFormatting>
  <conditionalFormatting sqref="F12">
    <cfRule type="expression" dxfId="705" priority="137">
      <formula>H12&lt;Q12</formula>
    </cfRule>
  </conditionalFormatting>
  <conditionalFormatting sqref="E12">
    <cfRule type="expression" dxfId="704" priority="136">
      <formula>AND(H12&gt;=Q12,H12&lt;G12)</formula>
    </cfRule>
  </conditionalFormatting>
  <conditionalFormatting sqref="L12">
    <cfRule type="expression" dxfId="703" priority="140">
      <formula>N12&lt;R12</formula>
    </cfRule>
  </conditionalFormatting>
  <conditionalFormatting sqref="K12">
    <cfRule type="expression" dxfId="702" priority="139">
      <formula>AND(N12&gt;=R12,N12&lt;M12)</formula>
    </cfRule>
  </conditionalFormatting>
  <conditionalFormatting sqref="J30 D30">
    <cfRule type="expression" dxfId="701" priority="133">
      <formula>H30&gt;=G30</formula>
    </cfRule>
  </conditionalFormatting>
  <conditionalFormatting sqref="F30">
    <cfRule type="expression" dxfId="700" priority="132">
      <formula>H30&lt;Q30</formula>
    </cfRule>
  </conditionalFormatting>
  <conditionalFormatting sqref="E30">
    <cfRule type="expression" dxfId="699" priority="131">
      <formula>AND(H30&gt;=Q30,H30&lt;G30)</formula>
    </cfRule>
  </conditionalFormatting>
  <conditionalFormatting sqref="L30">
    <cfRule type="expression" dxfId="698" priority="135">
      <formula>N30&lt;R30</formula>
    </cfRule>
  </conditionalFormatting>
  <conditionalFormatting sqref="K30">
    <cfRule type="expression" dxfId="697" priority="134">
      <formula>AND(N30&gt;=R30,N30&lt;M30)</formula>
    </cfRule>
  </conditionalFormatting>
  <conditionalFormatting sqref="J45 D45">
    <cfRule type="expression" dxfId="696" priority="128">
      <formula>H45&gt;=G45</formula>
    </cfRule>
  </conditionalFormatting>
  <conditionalFormatting sqref="F45">
    <cfRule type="expression" dxfId="695" priority="127">
      <formula>H45&lt;Q45</formula>
    </cfRule>
  </conditionalFormatting>
  <conditionalFormatting sqref="E45">
    <cfRule type="expression" dxfId="694" priority="126">
      <formula>AND(H45&gt;=Q45,H45&lt;G45)</formula>
    </cfRule>
  </conditionalFormatting>
  <conditionalFormatting sqref="L45">
    <cfRule type="expression" dxfId="693" priority="130">
      <formula>N45&lt;R45</formula>
    </cfRule>
  </conditionalFormatting>
  <conditionalFormatting sqref="K45">
    <cfRule type="expression" dxfId="692" priority="129">
      <formula>AND(N45&gt;=R45,N45&lt;M45)</formula>
    </cfRule>
  </conditionalFormatting>
  <conditionalFormatting sqref="J63 D63">
    <cfRule type="expression" dxfId="691" priority="123">
      <formula>H63&gt;=G63</formula>
    </cfRule>
  </conditionalFormatting>
  <conditionalFormatting sqref="F63">
    <cfRule type="expression" dxfId="690" priority="122">
      <formula>H63&lt;Q63</formula>
    </cfRule>
  </conditionalFormatting>
  <conditionalFormatting sqref="E63">
    <cfRule type="expression" dxfId="689" priority="121">
      <formula>AND(H63&gt;=Q63,H63&lt;G63)</formula>
    </cfRule>
  </conditionalFormatting>
  <conditionalFormatting sqref="L63">
    <cfRule type="expression" dxfId="688" priority="125">
      <formula>N63&lt;R63</formula>
    </cfRule>
  </conditionalFormatting>
  <conditionalFormatting sqref="K63">
    <cfRule type="expression" dxfId="687" priority="124">
      <formula>AND(N63&gt;=R63,N63&lt;M63)</formula>
    </cfRule>
  </conditionalFormatting>
  <conditionalFormatting sqref="J79 D79">
    <cfRule type="expression" dxfId="686" priority="118">
      <formula>H79&gt;=G79</formula>
    </cfRule>
  </conditionalFormatting>
  <conditionalFormatting sqref="F79">
    <cfRule type="expression" dxfId="685" priority="117">
      <formula>H79&lt;Q79</formula>
    </cfRule>
  </conditionalFormatting>
  <conditionalFormatting sqref="E79">
    <cfRule type="expression" dxfId="684" priority="116">
      <formula>AND(H79&gt;=Q79,H79&lt;G79)</formula>
    </cfRule>
  </conditionalFormatting>
  <conditionalFormatting sqref="L79">
    <cfRule type="expression" dxfId="683" priority="120">
      <formula>N79&lt;R79</formula>
    </cfRule>
  </conditionalFormatting>
  <conditionalFormatting sqref="K79">
    <cfRule type="expression" dxfId="682" priority="119">
      <formula>AND(N79&gt;=R79,N79&lt;M79)</formula>
    </cfRule>
  </conditionalFormatting>
  <conditionalFormatting sqref="J97 D97">
    <cfRule type="expression" dxfId="681" priority="113">
      <formula>H97&gt;=G97</formula>
    </cfRule>
  </conditionalFormatting>
  <conditionalFormatting sqref="F97">
    <cfRule type="expression" dxfId="680" priority="112">
      <formula>H97&lt;Q97</formula>
    </cfRule>
  </conditionalFormatting>
  <conditionalFormatting sqref="E97">
    <cfRule type="expression" dxfId="679" priority="111">
      <formula>AND(H97&gt;=Q97,H97&lt;G97)</formula>
    </cfRule>
  </conditionalFormatting>
  <conditionalFormatting sqref="L97">
    <cfRule type="expression" dxfId="678" priority="115">
      <formula>N97&lt;R97</formula>
    </cfRule>
  </conditionalFormatting>
  <conditionalFormatting sqref="K97">
    <cfRule type="expression" dxfId="677" priority="114">
      <formula>AND(N97&gt;=R97,N97&lt;M97)</formula>
    </cfRule>
  </conditionalFormatting>
  <conditionalFormatting sqref="J120 D120">
    <cfRule type="expression" dxfId="676" priority="108">
      <formula>H120&gt;=G120</formula>
    </cfRule>
  </conditionalFormatting>
  <conditionalFormatting sqref="F120">
    <cfRule type="expression" dxfId="675" priority="107">
      <formula>H120&lt;Q120</formula>
    </cfRule>
  </conditionalFormatting>
  <conditionalFormatting sqref="E120">
    <cfRule type="expression" dxfId="674" priority="106">
      <formula>AND(H120&gt;=Q120,H120&lt;G120)</formula>
    </cfRule>
  </conditionalFormatting>
  <conditionalFormatting sqref="L120">
    <cfRule type="expression" dxfId="673" priority="110">
      <formula>N120&lt;R120</formula>
    </cfRule>
  </conditionalFormatting>
  <conditionalFormatting sqref="K120">
    <cfRule type="expression" dxfId="672" priority="109">
      <formula>AND(N120&gt;=R120,N120&lt;M120)</formula>
    </cfRule>
  </conditionalFormatting>
  <conditionalFormatting sqref="J138 D138">
    <cfRule type="expression" dxfId="671" priority="103">
      <formula>H138&gt;=G138</formula>
    </cfRule>
  </conditionalFormatting>
  <conditionalFormatting sqref="F138">
    <cfRule type="expression" dxfId="670" priority="102">
      <formula>H138&lt;Q138</formula>
    </cfRule>
  </conditionalFormatting>
  <conditionalFormatting sqref="E138">
    <cfRule type="expression" dxfId="669" priority="101">
      <formula>AND(H138&gt;=Q138,H138&lt;G138)</formula>
    </cfRule>
  </conditionalFormatting>
  <conditionalFormatting sqref="L138">
    <cfRule type="expression" dxfId="668" priority="105">
      <formula>N138&lt;R138</formula>
    </cfRule>
  </conditionalFormatting>
  <conditionalFormatting sqref="K138">
    <cfRule type="expression" dxfId="667" priority="104">
      <formula>AND(N138&gt;=R138,N138&lt;M138)</formula>
    </cfRule>
  </conditionalFormatting>
  <conditionalFormatting sqref="J156 D156">
    <cfRule type="expression" dxfId="666" priority="98">
      <formula>H156&gt;=G156</formula>
    </cfRule>
  </conditionalFormatting>
  <conditionalFormatting sqref="F156">
    <cfRule type="expression" dxfId="665" priority="97">
      <formula>H156&lt;Q156</formula>
    </cfRule>
  </conditionalFormatting>
  <conditionalFormatting sqref="E156">
    <cfRule type="expression" dxfId="664" priority="96">
      <formula>AND(H156&gt;=Q156,H156&lt;G156)</formula>
    </cfRule>
  </conditionalFormatting>
  <conditionalFormatting sqref="L156">
    <cfRule type="expression" dxfId="663" priority="100">
      <formula>N156&lt;R156</formula>
    </cfRule>
  </conditionalFormatting>
  <conditionalFormatting sqref="K156">
    <cfRule type="expression" dxfId="662" priority="99">
      <formula>AND(N156&gt;=R156,N156&lt;M156)</formula>
    </cfRule>
  </conditionalFormatting>
  <conditionalFormatting sqref="J174 D174">
    <cfRule type="expression" dxfId="661" priority="93">
      <formula>H174&gt;=G174</formula>
    </cfRule>
  </conditionalFormatting>
  <conditionalFormatting sqref="F174">
    <cfRule type="expression" dxfId="660" priority="92">
      <formula>H174&lt;Q174</formula>
    </cfRule>
  </conditionalFormatting>
  <conditionalFormatting sqref="E174">
    <cfRule type="expression" dxfId="659" priority="91">
      <formula>AND(H174&gt;=Q174,H174&lt;G174)</formula>
    </cfRule>
  </conditionalFormatting>
  <conditionalFormatting sqref="L174">
    <cfRule type="expression" dxfId="658" priority="95">
      <formula>N174&lt;R174</formula>
    </cfRule>
  </conditionalFormatting>
  <conditionalFormatting sqref="K174">
    <cfRule type="expression" dxfId="657" priority="94">
      <formula>AND(N174&gt;=R174,N174&lt;M174)</formula>
    </cfRule>
  </conditionalFormatting>
  <conditionalFormatting sqref="E17">
    <cfRule type="expression" dxfId="656" priority="86">
      <formula>AND(H17&gt;=Q17,H17&lt;G17)</formula>
    </cfRule>
  </conditionalFormatting>
  <conditionalFormatting sqref="J17 D17">
    <cfRule type="expression" dxfId="655" priority="88">
      <formula>H17&gt;=G17</formula>
    </cfRule>
  </conditionalFormatting>
  <conditionalFormatting sqref="F17">
    <cfRule type="expression" dxfId="654" priority="87">
      <formula>H17&lt;Q17</formula>
    </cfRule>
  </conditionalFormatting>
  <conditionalFormatting sqref="E50">
    <cfRule type="expression" dxfId="653" priority="81">
      <formula>AND(H50&gt;=Q50,H50&lt;G50)</formula>
    </cfRule>
  </conditionalFormatting>
  <conditionalFormatting sqref="L17">
    <cfRule type="expression" dxfId="652" priority="90">
      <formula>N17&lt;R17</formula>
    </cfRule>
  </conditionalFormatting>
  <conditionalFormatting sqref="K17">
    <cfRule type="expression" dxfId="651" priority="89">
      <formula>AND(N17&gt;=R17,N17&lt;M17)</formula>
    </cfRule>
  </conditionalFormatting>
  <conditionalFormatting sqref="J50 D50">
    <cfRule type="expression" dxfId="650" priority="83">
      <formula>H50&gt;=G50</formula>
    </cfRule>
  </conditionalFormatting>
  <conditionalFormatting sqref="F50">
    <cfRule type="expression" dxfId="649" priority="82">
      <formula>H50&lt;Q50</formula>
    </cfRule>
  </conditionalFormatting>
  <conditionalFormatting sqref="E84">
    <cfRule type="expression" dxfId="648" priority="76">
      <formula>AND(H84&gt;=Q84,H84&lt;G84)</formula>
    </cfRule>
  </conditionalFormatting>
  <conditionalFormatting sqref="L50">
    <cfRule type="expression" dxfId="647" priority="85">
      <formula>N50&lt;R50</formula>
    </cfRule>
  </conditionalFormatting>
  <conditionalFormatting sqref="K50">
    <cfRule type="expression" dxfId="646" priority="84">
      <formula>AND(N50&gt;=R50,N50&lt;M50)</formula>
    </cfRule>
  </conditionalFormatting>
  <conditionalFormatting sqref="D84 J84">
    <cfRule type="expression" dxfId="645" priority="78">
      <formula>H84&gt;=G84</formula>
    </cfRule>
  </conditionalFormatting>
  <conditionalFormatting sqref="F84">
    <cfRule type="expression" dxfId="644" priority="77">
      <formula>H84&lt;Q84</formula>
    </cfRule>
  </conditionalFormatting>
  <conditionalFormatting sqref="E125">
    <cfRule type="expression" dxfId="643" priority="71">
      <formula>AND(H125&gt;=Q125,H125&lt;G125)</formula>
    </cfRule>
  </conditionalFormatting>
  <conditionalFormatting sqref="L84">
    <cfRule type="expression" dxfId="642" priority="80">
      <formula>N84&lt;R84</formula>
    </cfRule>
  </conditionalFormatting>
  <conditionalFormatting sqref="K84">
    <cfRule type="expression" dxfId="641" priority="79">
      <formula>AND(N84&gt;=R84,N84&lt;M84)</formula>
    </cfRule>
  </conditionalFormatting>
  <conditionalFormatting sqref="J125 D125">
    <cfRule type="expression" dxfId="640" priority="73">
      <formula>H125&gt;=G125</formula>
    </cfRule>
  </conditionalFormatting>
  <conditionalFormatting sqref="F125">
    <cfRule type="expression" dxfId="639" priority="72">
      <formula>H125&lt;Q125</formula>
    </cfRule>
  </conditionalFormatting>
  <conditionalFormatting sqref="E143">
    <cfRule type="expression" dxfId="638" priority="66">
      <formula>AND(H143&gt;=Q143,H143&lt;G143)</formula>
    </cfRule>
  </conditionalFormatting>
  <conditionalFormatting sqref="L125">
    <cfRule type="expression" dxfId="637" priority="75">
      <formula>N125&lt;R125</formula>
    </cfRule>
  </conditionalFormatting>
  <conditionalFormatting sqref="K125">
    <cfRule type="expression" dxfId="636" priority="74">
      <formula>AND(N125&gt;=R125,N125&lt;M125)</formula>
    </cfRule>
  </conditionalFormatting>
  <conditionalFormatting sqref="J143 D143">
    <cfRule type="expression" dxfId="635" priority="68">
      <formula>H143&gt;=G143</formula>
    </cfRule>
  </conditionalFormatting>
  <conditionalFormatting sqref="F143">
    <cfRule type="expression" dxfId="634" priority="67">
      <formula>H143&lt;Q143</formula>
    </cfRule>
  </conditionalFormatting>
  <conditionalFormatting sqref="E161">
    <cfRule type="expression" dxfId="633" priority="61">
      <formula>AND(H161&gt;=Q161,H161&lt;G161)</formula>
    </cfRule>
  </conditionalFormatting>
  <conditionalFormatting sqref="L143">
    <cfRule type="expression" dxfId="632" priority="70">
      <formula>N143&lt;R143</formula>
    </cfRule>
  </conditionalFormatting>
  <conditionalFormatting sqref="K143">
    <cfRule type="expression" dxfId="631" priority="69">
      <formula>AND(N143&gt;=R143,N143&lt;M143)</formula>
    </cfRule>
  </conditionalFormatting>
  <conditionalFormatting sqref="J161 D161">
    <cfRule type="expression" dxfId="630" priority="63">
      <formula>H161&gt;=G161</formula>
    </cfRule>
  </conditionalFormatting>
  <conditionalFormatting sqref="F161">
    <cfRule type="expression" dxfId="629" priority="62">
      <formula>H161&lt;Q161</formula>
    </cfRule>
  </conditionalFormatting>
  <conditionalFormatting sqref="L161">
    <cfRule type="expression" dxfId="628" priority="65">
      <formula>N161&lt;R161</formula>
    </cfRule>
  </conditionalFormatting>
  <conditionalFormatting sqref="K161">
    <cfRule type="expression" dxfId="627" priority="64">
      <formula>AND(N161&gt;=R161,N161&lt;M161)</formula>
    </cfRule>
  </conditionalFormatting>
  <conditionalFormatting sqref="D21 J21">
    <cfRule type="expression" dxfId="626" priority="58">
      <formula>H21&gt;=G21</formula>
    </cfRule>
  </conditionalFormatting>
  <conditionalFormatting sqref="F21">
    <cfRule type="expression" dxfId="625" priority="57">
      <formula>H21&lt;Q21</formula>
    </cfRule>
  </conditionalFormatting>
  <conditionalFormatting sqref="E21">
    <cfRule type="expression" dxfId="624" priority="56">
      <formula>AND(H21&gt;=Q21,H21&lt;G21)</formula>
    </cfRule>
  </conditionalFormatting>
  <conditionalFormatting sqref="L21">
    <cfRule type="expression" dxfId="623" priority="60">
      <formula>N21&lt;R21</formula>
    </cfRule>
  </conditionalFormatting>
  <conditionalFormatting sqref="K21">
    <cfRule type="expression" dxfId="622" priority="59">
      <formula>AND(N21&gt;=R21,N21&lt;M21)</formula>
    </cfRule>
  </conditionalFormatting>
  <conditionalFormatting sqref="D22 J22">
    <cfRule type="expression" dxfId="621" priority="53">
      <formula>H22&gt;=G22</formula>
    </cfRule>
  </conditionalFormatting>
  <conditionalFormatting sqref="F22">
    <cfRule type="expression" dxfId="620" priority="52">
      <formula>H22&lt;Q22</formula>
    </cfRule>
  </conditionalFormatting>
  <conditionalFormatting sqref="E22">
    <cfRule type="expression" dxfId="619" priority="51">
      <formula>AND(H22&gt;=Q22,H22&lt;G22)</formula>
    </cfRule>
  </conditionalFormatting>
  <conditionalFormatting sqref="L22">
    <cfRule type="expression" dxfId="618" priority="55">
      <formula>N22&lt;R22</formula>
    </cfRule>
  </conditionalFormatting>
  <conditionalFormatting sqref="K22">
    <cfRule type="expression" dxfId="617" priority="54">
      <formula>AND(N22&gt;=R22,N22&lt;M22)</formula>
    </cfRule>
  </conditionalFormatting>
  <conditionalFormatting sqref="D54 J54">
    <cfRule type="expression" dxfId="616" priority="48">
      <formula>H54&gt;=G54</formula>
    </cfRule>
  </conditionalFormatting>
  <conditionalFormatting sqref="F54">
    <cfRule type="expression" dxfId="615" priority="47">
      <formula>H54&lt;Q54</formula>
    </cfRule>
  </conditionalFormatting>
  <conditionalFormatting sqref="E54">
    <cfRule type="expression" dxfId="614" priority="46">
      <formula>AND(H54&gt;=Q54,H54&lt;G54)</formula>
    </cfRule>
  </conditionalFormatting>
  <conditionalFormatting sqref="L54">
    <cfRule type="expression" dxfId="613" priority="50">
      <formula>N54&lt;R54</formula>
    </cfRule>
  </conditionalFormatting>
  <conditionalFormatting sqref="K54">
    <cfRule type="expression" dxfId="612" priority="49">
      <formula>AND(N54&gt;=R54,N54&lt;M54)</formula>
    </cfRule>
  </conditionalFormatting>
  <conditionalFormatting sqref="D55 J55">
    <cfRule type="expression" dxfId="611" priority="43">
      <formula>H55&gt;=G55</formula>
    </cfRule>
  </conditionalFormatting>
  <conditionalFormatting sqref="F55">
    <cfRule type="expression" dxfId="610" priority="42">
      <formula>H55&lt;Q55</formula>
    </cfRule>
  </conditionalFormatting>
  <conditionalFormatting sqref="E55">
    <cfRule type="expression" dxfId="609" priority="41">
      <formula>AND(H55&gt;=Q55,H55&lt;G55)</formula>
    </cfRule>
  </conditionalFormatting>
  <conditionalFormatting sqref="L55">
    <cfRule type="expression" dxfId="608" priority="45">
      <formula>N55&lt;R55</formula>
    </cfRule>
  </conditionalFormatting>
  <conditionalFormatting sqref="K55">
    <cfRule type="expression" dxfId="607" priority="44">
      <formula>AND(N55&gt;=R55,N55&lt;M55)</formula>
    </cfRule>
  </conditionalFormatting>
  <conditionalFormatting sqref="D88 J88">
    <cfRule type="expression" dxfId="606" priority="38">
      <formula>H88&gt;=G88</formula>
    </cfRule>
  </conditionalFormatting>
  <conditionalFormatting sqref="F88">
    <cfRule type="expression" dxfId="605" priority="37">
      <formula>H88&lt;Q88</formula>
    </cfRule>
  </conditionalFormatting>
  <conditionalFormatting sqref="E88">
    <cfRule type="expression" dxfId="604" priority="36">
      <formula>AND(H88&gt;=Q88,H88&lt;G88)</formula>
    </cfRule>
  </conditionalFormatting>
  <conditionalFormatting sqref="L88">
    <cfRule type="expression" dxfId="603" priority="40">
      <formula>N88&lt;R88</formula>
    </cfRule>
  </conditionalFormatting>
  <conditionalFormatting sqref="K88">
    <cfRule type="expression" dxfId="602" priority="39">
      <formula>AND(N88&gt;=R88,N88&lt;M88)</formula>
    </cfRule>
  </conditionalFormatting>
  <conditionalFormatting sqref="J89 D89">
    <cfRule type="expression" dxfId="601" priority="33">
      <formula>H89&gt;=G89</formula>
    </cfRule>
  </conditionalFormatting>
  <conditionalFormatting sqref="F89">
    <cfRule type="expression" dxfId="600" priority="32">
      <formula>H89&lt;Q89</formula>
    </cfRule>
  </conditionalFormatting>
  <conditionalFormatting sqref="E89">
    <cfRule type="expression" dxfId="599" priority="31">
      <formula>AND(H89&gt;=Q89,H89&lt;G89)</formula>
    </cfRule>
  </conditionalFormatting>
  <conditionalFormatting sqref="L89">
    <cfRule type="expression" dxfId="598" priority="35">
      <formula>N89&lt;R89</formula>
    </cfRule>
  </conditionalFormatting>
  <conditionalFormatting sqref="K89">
    <cfRule type="expression" dxfId="597" priority="34">
      <formula>AND(N89&gt;=R89,N89&lt;M89)</formula>
    </cfRule>
  </conditionalFormatting>
  <conditionalFormatting sqref="D129 J129">
    <cfRule type="expression" dxfId="596" priority="28">
      <formula>H129&gt;=G129</formula>
    </cfRule>
  </conditionalFormatting>
  <conditionalFormatting sqref="F129">
    <cfRule type="expression" dxfId="595" priority="27">
      <formula>H129&lt;Q129</formula>
    </cfRule>
  </conditionalFormatting>
  <conditionalFormatting sqref="E129">
    <cfRule type="expression" dxfId="594" priority="26">
      <formula>AND(H129&gt;=Q129,H129&lt;G129)</formula>
    </cfRule>
  </conditionalFormatting>
  <conditionalFormatting sqref="L129">
    <cfRule type="expression" dxfId="593" priority="30">
      <formula>N129&lt;R129</formula>
    </cfRule>
  </conditionalFormatting>
  <conditionalFormatting sqref="K129">
    <cfRule type="expression" dxfId="592" priority="29">
      <formula>AND(N129&gt;=R129,N129&lt;M129)</formula>
    </cfRule>
  </conditionalFormatting>
  <conditionalFormatting sqref="D130 J130">
    <cfRule type="expression" dxfId="591" priority="23">
      <formula>H130&gt;=G130</formula>
    </cfRule>
  </conditionalFormatting>
  <conditionalFormatting sqref="F130">
    <cfRule type="expression" dxfId="590" priority="22">
      <formula>H130&lt;Q130</formula>
    </cfRule>
  </conditionalFormatting>
  <conditionalFormatting sqref="E130">
    <cfRule type="expression" dxfId="589" priority="21">
      <formula>AND(H130&gt;=Q130,H130&lt;G130)</formula>
    </cfRule>
  </conditionalFormatting>
  <conditionalFormatting sqref="L130">
    <cfRule type="expression" dxfId="588" priority="25">
      <formula>N130&lt;R130</formula>
    </cfRule>
  </conditionalFormatting>
  <conditionalFormatting sqref="K130">
    <cfRule type="expression" dxfId="587" priority="24">
      <formula>AND(N130&gt;=R130,N130&lt;M130)</formula>
    </cfRule>
  </conditionalFormatting>
  <conditionalFormatting sqref="D147 J147">
    <cfRule type="expression" dxfId="586" priority="18">
      <formula>H147&gt;=G147</formula>
    </cfRule>
  </conditionalFormatting>
  <conditionalFormatting sqref="F147">
    <cfRule type="expression" dxfId="585" priority="17">
      <formula>H147&lt;Q147</formula>
    </cfRule>
  </conditionalFormatting>
  <conditionalFormatting sqref="E147">
    <cfRule type="expression" dxfId="584" priority="16">
      <formula>AND(H147&gt;=Q147,H147&lt;G147)</formula>
    </cfRule>
  </conditionalFormatting>
  <conditionalFormatting sqref="L147">
    <cfRule type="expression" dxfId="583" priority="20">
      <formula>N147&lt;R147</formula>
    </cfRule>
  </conditionalFormatting>
  <conditionalFormatting sqref="K147">
    <cfRule type="expression" dxfId="582" priority="19">
      <formula>AND(N147&gt;=R147,N147&lt;M147)</formula>
    </cfRule>
  </conditionalFormatting>
  <conditionalFormatting sqref="D148 J148">
    <cfRule type="expression" dxfId="581" priority="13">
      <formula>H148&gt;=G148</formula>
    </cfRule>
  </conditionalFormatting>
  <conditionalFormatting sqref="F148">
    <cfRule type="expression" dxfId="580" priority="12">
      <formula>H148&lt;Q148</formula>
    </cfRule>
  </conditionalFormatting>
  <conditionalFormatting sqref="E148">
    <cfRule type="expression" dxfId="579" priority="11">
      <formula>AND(H148&gt;=Q148,H148&lt;G148)</formula>
    </cfRule>
  </conditionalFormatting>
  <conditionalFormatting sqref="L148">
    <cfRule type="expression" dxfId="578" priority="15">
      <formula>N148&lt;R148</formula>
    </cfRule>
  </conditionalFormatting>
  <conditionalFormatting sqref="K148">
    <cfRule type="expression" dxfId="577" priority="14">
      <formula>AND(N148&gt;=R148,N148&lt;M148)</formula>
    </cfRule>
  </conditionalFormatting>
  <conditionalFormatting sqref="E166">
    <cfRule type="expression" dxfId="576" priority="1">
      <formula>AND(H166&gt;=Q166,H166&lt;G166)</formula>
    </cfRule>
  </conditionalFormatting>
  <conditionalFormatting sqref="D165 J165">
    <cfRule type="expression" dxfId="575" priority="8">
      <formula>H165&gt;=G165</formula>
    </cfRule>
  </conditionalFormatting>
  <conditionalFormatting sqref="F165">
    <cfRule type="expression" dxfId="574" priority="7">
      <formula>H165&lt;Q165</formula>
    </cfRule>
  </conditionalFormatting>
  <conditionalFormatting sqref="E165">
    <cfRule type="expression" dxfId="573" priority="6">
      <formula>AND(H165&gt;=Q165,H165&lt;G165)</formula>
    </cfRule>
  </conditionalFormatting>
  <conditionalFormatting sqref="L165">
    <cfRule type="expression" dxfId="572" priority="10">
      <formula>N165&lt;R165</formula>
    </cfRule>
  </conditionalFormatting>
  <conditionalFormatting sqref="K165">
    <cfRule type="expression" dxfId="571" priority="9">
      <formula>AND(N165&gt;=R165,N165&lt;M165)</formula>
    </cfRule>
  </conditionalFormatting>
  <conditionalFormatting sqref="D166 J166">
    <cfRule type="expression" dxfId="570" priority="3">
      <formula>H166&gt;=G166</formula>
    </cfRule>
  </conditionalFormatting>
  <conditionalFormatting sqref="F166">
    <cfRule type="expression" dxfId="569" priority="2">
      <formula>H166&lt;Q166</formula>
    </cfRule>
  </conditionalFormatting>
  <conditionalFormatting sqref="L166">
    <cfRule type="expression" dxfId="568" priority="5">
      <formula>N166&lt;R166</formula>
    </cfRule>
  </conditionalFormatting>
  <conditionalFormatting sqref="K166">
    <cfRule type="expression" dxfId="567" priority="4">
      <formula>AND(N166&gt;=R166,N166&lt;M166)</formula>
    </cfRule>
  </conditionalFormatting>
  <hyperlinks>
    <hyperlink ref="P7" location="'KPI 2'!A1" display="details"/>
    <hyperlink ref="P9" location="'KPI 4'!A1" display="details"/>
    <hyperlink ref="P8" location="'KPI 3'!A1" display="details"/>
    <hyperlink ref="P10" location="'KPI 5'!A1" display="details"/>
    <hyperlink ref="P13" location="'KPI 6'!A1" display="details"/>
    <hyperlink ref="P14" location="'KPI 7'!A1" display="details"/>
    <hyperlink ref="P15" location="'KPI 8'!A1" display="details"/>
    <hyperlink ref="P20" location="'KPI 9'!A1" display="details"/>
    <hyperlink ref="P11" location="'KPI 10'!A1" display="details"/>
    <hyperlink ref="P16" location="'KPI 11'!A1" display="details"/>
    <hyperlink ref="P18" location="'KPI 12'!A1" display="details"/>
    <hyperlink ref="P24" location="'KPI 13'!A1" display="details"/>
    <hyperlink ref="P25" location="'KPI 14'!A1" display="details"/>
    <hyperlink ref="P27" location="'KPI 16'!A1" display="details"/>
    <hyperlink ref="P26" location="'KPI 15'!A1" display="details"/>
    <hyperlink ref="P28" location="'KPI 17'!A1" display="details"/>
    <hyperlink ref="P31" location="'KPI 18'!A1" display="details"/>
    <hyperlink ref="P32" location="'KPI 19'!A1" display="details"/>
    <hyperlink ref="P33" location="'KPI 20'!A1" display="details"/>
    <hyperlink ref="P37" location="'KPI 21'!A1" display="details"/>
    <hyperlink ref="P29" location="'KPI 22'!A1" display="details"/>
    <hyperlink ref="P34" location="'KPI 23'!A1" display="details"/>
    <hyperlink ref="P35" location="'KPI 24'!A1" display="details"/>
    <hyperlink ref="P114" location="'KPI 78'!A1" display="details"/>
    <hyperlink ref="P115" location="'KPI 79'!A1" display="details"/>
    <hyperlink ref="P117" location="'KPI 81'!A1" display="details"/>
    <hyperlink ref="P116" location="'KPI 80'!A1" display="details"/>
    <hyperlink ref="P118" location="'KPI 82'!A1" display="details"/>
    <hyperlink ref="P121" location="'KPI 83'!A1" display="details"/>
    <hyperlink ref="P122" location="'KPI 84'!A1" display="details"/>
    <hyperlink ref="P123" location="'KPI 85'!A1" display="details"/>
    <hyperlink ref="P128" location="'KPI 86'!A1" display="details"/>
    <hyperlink ref="P119" location="'KPI 87'!A1" display="details"/>
    <hyperlink ref="P124" location="'KPI 88B'!A1" display="details"/>
    <hyperlink ref="P126" location="'KPI 88C'!A1" display="details"/>
    <hyperlink ref="P132" location="'KPI 90'!A1" display="details"/>
    <hyperlink ref="P133" location="'KPI 91'!A1" display="details"/>
    <hyperlink ref="P135" location="'KPI 93'!A1" display="details"/>
    <hyperlink ref="P134" location="'KPI 92'!A1" display="details"/>
    <hyperlink ref="P136" location="'KPI 94'!A1" display="details"/>
    <hyperlink ref="P139" location="'KPI 95'!A1" display="details"/>
    <hyperlink ref="P140" location="'KPI 96'!A1" display="details"/>
    <hyperlink ref="P141" location="'KPI 97'!A1" display="details"/>
    <hyperlink ref="P146" location="'KPI 98'!A1" display="details"/>
    <hyperlink ref="P137" location="'KPI 99'!A1" display="details"/>
    <hyperlink ref="P142" location="'KPI 100'!A1" display="details"/>
    <hyperlink ref="P144" location="'KPI 101'!A1" display="details"/>
    <hyperlink ref="P150" location="'KPI 102'!A1" display="details"/>
    <hyperlink ref="P151" location="'KPI 103'!A1" display="details"/>
    <hyperlink ref="P153" location="'KPI 105'!A1" display="details"/>
    <hyperlink ref="P152" location="'KPI 104'!A1" display="details"/>
    <hyperlink ref="P154" location="'KPI 106'!A1" display="details"/>
    <hyperlink ref="P157" location="'KPI 107'!A1" display="details"/>
    <hyperlink ref="P158" location="'KPI 108'!A1" display="details"/>
    <hyperlink ref="P159" location="'KPI 109'!A1" display="details"/>
    <hyperlink ref="P164" location="'KPI 110'!A1" display="details"/>
    <hyperlink ref="P155" location="'KPI 111'!A1" display="details"/>
    <hyperlink ref="P160" location="'KPI 112'!A1" display="details"/>
    <hyperlink ref="P162" location="'KPI 113'!A1" display="details"/>
    <hyperlink ref="P168" location="'KPI 114'!A1" display="details"/>
    <hyperlink ref="P169" location="'KPI 115'!A1" display="details"/>
    <hyperlink ref="P171" location="'KPI 117'!A1" display="details"/>
    <hyperlink ref="P170" location="'KPI 116'!A1" display="details"/>
    <hyperlink ref="P172" location="'KPI 118'!A1" display="details"/>
    <hyperlink ref="P175" location="'KPI 119'!A1" display="details"/>
    <hyperlink ref="P176" location="'KPI 120'!A1" display="details"/>
    <hyperlink ref="P177" location="'KPI 121'!A1" display="details"/>
    <hyperlink ref="P181" location="'KPI 122'!A1" display="details"/>
    <hyperlink ref="P173" location="'KPI 123'!A1" display="details"/>
    <hyperlink ref="P178" location="'KPI 124'!A1" display="details"/>
    <hyperlink ref="P179" location="'KPI 125'!A1" display="details"/>
    <hyperlink ref="P202" location="'KPI 131'!A1" display="details"/>
    <hyperlink ref="P203" location="'KPI 132'!A1" display="details"/>
    <hyperlink ref="P205" location="'KPI 134'!A1" display="details"/>
    <hyperlink ref="P204" location="'KPI 133'!A1" display="details"/>
    <hyperlink ref="P206" location="'KPI 135'!A1" display="details"/>
    <hyperlink ref="P208" location="'KPI 136'!A1" display="details"/>
    <hyperlink ref="P209" location="'KPI 137'!A1" display="details"/>
    <hyperlink ref="P210" location="'KPI 138'!A1" display="details"/>
    <hyperlink ref="P213" location="'KPI 139'!A1" display="details"/>
    <hyperlink ref="P207" location="'KPI 140'!A1" display="details"/>
    <hyperlink ref="P214" location="'KPI 141'!A1" display="details"/>
    <hyperlink ref="P211" location="'KPI 142'!A1" display="details"/>
    <hyperlink ref="P73" location="'KPI 49'!A1" display="details"/>
    <hyperlink ref="P74" location="'KPI 50'!A1" display="details"/>
    <hyperlink ref="P76" location="'KPI 52'!A1" display="details"/>
    <hyperlink ref="P75" location="'KPI 51'!A1" display="details"/>
    <hyperlink ref="P77" location="'KPI 53'!A1" display="details"/>
    <hyperlink ref="P80" location="'KPI 54'!A1" display="details"/>
    <hyperlink ref="P81" location="'KPI 55'!A1" display="details"/>
    <hyperlink ref="P82" location="'KPI 56'!A1" display="details"/>
    <hyperlink ref="P87" location="'KPI 57'!A1" display="details"/>
    <hyperlink ref="P78" location="'KPI 58'!A1" display="details"/>
    <hyperlink ref="P83" location="'KPI 59'!A1" display="details"/>
    <hyperlink ref="P85" location="'KPI 60'!A1" display="details"/>
    <hyperlink ref="P91" location="'KPI 61'!A1" display="details"/>
    <hyperlink ref="P92" location="'KPI 62'!A1" display="details"/>
    <hyperlink ref="P94" location="'KPI 64'!A1" display="details"/>
    <hyperlink ref="P93" location="'KPI 63'!A1" display="details"/>
    <hyperlink ref="P95" location="'KPI 65'!A1" display="details"/>
    <hyperlink ref="P98" location="'KPI 66'!A1" display="details"/>
    <hyperlink ref="P99" location="'KPI 67'!A1" display="details"/>
    <hyperlink ref="P100" location="'KPI 68'!A1" display="details"/>
    <hyperlink ref="P104" location="'KPI 69'!A1" display="details"/>
    <hyperlink ref="P96" location="'KPI 70'!A1" display="details"/>
    <hyperlink ref="P101" location="'KPI 71'!A1" display="details"/>
    <hyperlink ref="P102" location="'KPI 72'!A1" display="details"/>
    <hyperlink ref="P39" location="'KPI 25'!A1" display="details"/>
    <hyperlink ref="P40" location="'KPI 26'!A1" display="details"/>
    <hyperlink ref="P42" location="'KPI 28'!A1" display="details"/>
    <hyperlink ref="P41" location="'KPI 27'!A1" display="details"/>
    <hyperlink ref="P43" location="'KPI 29'!A1" display="details"/>
    <hyperlink ref="P46" location="'KPI 30'!A1" display="details"/>
    <hyperlink ref="P47" location="'KPI 31'!A1" display="details"/>
    <hyperlink ref="P48" location="'KPI 32'!A1" display="details"/>
    <hyperlink ref="P53" location="'KPI 33'!A1" display="details"/>
    <hyperlink ref="P44" location="'KPI 34'!A1" display="details"/>
    <hyperlink ref="P49" location="'KPI 35'!A1" display="details"/>
    <hyperlink ref="P51" location="'KPI 36'!A1" display="details"/>
    <hyperlink ref="P57" location="'KPI 37'!A1" display="details"/>
    <hyperlink ref="P58" location="'KPI 38'!A1" display="details"/>
    <hyperlink ref="P60" location="'KPI 40'!A1" display="details"/>
    <hyperlink ref="P59" location="'KPI 39'!A1" display="details"/>
    <hyperlink ref="P61" location="'KPI 41'!A1" display="details"/>
    <hyperlink ref="P64" location="'KPI 42'!A1" display="details"/>
    <hyperlink ref="P66" location="'KPI 43'!A1" display="details"/>
    <hyperlink ref="P67" location="'KPI 44'!A1" display="details"/>
    <hyperlink ref="P71" location="'KPI 45'!A1" display="details"/>
    <hyperlink ref="P62" location="'KPI 46'!A1" display="details"/>
    <hyperlink ref="P68" location="'KPI 47'!A1" display="details"/>
    <hyperlink ref="P69" location="'KPI 48'!A1" display="details"/>
    <hyperlink ref="P106" location="'KPI 73'!A1" display="details"/>
    <hyperlink ref="P107" location="'KPI 74'!A1" display="details"/>
    <hyperlink ref="P108" location="'KPI 75'!A1" display="details"/>
    <hyperlink ref="P112" location="'KPI 77'!A1" display="details"/>
    <hyperlink ref="P109" location="'KPI 76'!A1" display="details"/>
    <hyperlink ref="P183" location="'KPI 126'!A1" display="details"/>
    <hyperlink ref="P184" location="'KPI 127'!A1" display="details"/>
    <hyperlink ref="P185" location="'KPI 128'!A1" display="details"/>
    <hyperlink ref="P188" location="'KPI 130'!A1" display="details"/>
    <hyperlink ref="P187" location="'KPI 129'!A1" display="details"/>
    <hyperlink ref="P216" location="'KPI 143'!A1" display="details"/>
    <hyperlink ref="P218" location="'KPI 144'!A1" display="details"/>
    <hyperlink ref="P219" location="'KPI 145'!A1" display="details"/>
    <hyperlink ref="P220" location="'KPI 146'!A1" display="details"/>
    <hyperlink ref="P222" location="'KPI 147'!A1" display="details"/>
    <hyperlink ref="P223" location="'KPI 148'!A1" display="details"/>
    <hyperlink ref="P224" location="'KPI 149'!A1" display="details"/>
    <hyperlink ref="P6" location="'KPI 1'!A1" display="details"/>
    <hyperlink ref="P110" location="'KPI 73 (2)'!A1" display="details"/>
    <hyperlink ref="P111" location="'KPI 75 (2)'!A1" display="details"/>
    <hyperlink ref="P186" location="'KPI 3A'!A1" display="details"/>
    <hyperlink ref="A1" location="'KPI 3A'!A1" display="SALES &amp; CC DASHBOARD"/>
    <hyperlink ref="P190" location="'KPI 126(B)'!A1" display="details"/>
    <hyperlink ref="P191" location="'KPI 126(C)'!A1" display="details"/>
    <hyperlink ref="P194" location="'KPI 126(D)'!A1" display="details"/>
    <hyperlink ref="P195" location="'KPI 126(E)'!A1" display="details"/>
    <hyperlink ref="P197" location="'KPI 127(B)'!A1" display="details"/>
    <hyperlink ref="P198" location="'KPI 127(C)'!A1" display="details"/>
    <hyperlink ref="P199" location="'KPI 127(D)'!A1" display="details"/>
    <hyperlink ref="P200" location="'KPI 127(E)'!A1" display="details"/>
    <hyperlink ref="P193" location="'KPI 126(F)'!A1" display="details"/>
    <hyperlink ref="P12" location="'KPI 10A'!A1" display="details"/>
    <hyperlink ref="P30" location="'KPI 22A'!A1" display="details"/>
    <hyperlink ref="P45" location="'KPI 34A'!A1" display="details"/>
    <hyperlink ref="P63" location="'KPI 46A'!A1" display="details"/>
    <hyperlink ref="P79" location="'KPI 58A'!A1" display="details"/>
    <hyperlink ref="P97" location="'KPI 70A'!A1" display="details"/>
    <hyperlink ref="P120" location="'KPI 87A'!A1" display="details"/>
    <hyperlink ref="P138" location="'KPI 99A'!A1" display="details"/>
    <hyperlink ref="P156" location="'KPI 111A'!A1" display="details"/>
    <hyperlink ref="P174" location="'KPI 123A'!A1" display="details"/>
    <hyperlink ref="P17" location="'KPI 11B'!A1" display="details"/>
    <hyperlink ref="P50" location="'KPI 35B'!A1" display="details"/>
    <hyperlink ref="P84" location="'KPI 59B'!A1" display="details"/>
    <hyperlink ref="P125" location="'KPI 88'!A1" display="details"/>
    <hyperlink ref="P143" location="'KPI 100B'!A1" display="details"/>
    <hyperlink ref="P161" location="'KPI 112B'!A1" display="details"/>
    <hyperlink ref="P21" location="'KPI 9B'!A1" display="details"/>
    <hyperlink ref="P22" location="'KPI 12B'!A1" display="details"/>
    <hyperlink ref="P54" location="'KPI 33B'!A1" display="details"/>
    <hyperlink ref="P55" location="'KPI 36B'!A1" display="details"/>
    <hyperlink ref="P88" location="'KPI 57B'!A1" display="details"/>
    <hyperlink ref="P89" location="'KPI 60B'!A1" display="details"/>
    <hyperlink ref="P129" location="'KPI 86B'!A1" display="details"/>
    <hyperlink ref="P130" location="'KPI 89'!A1" display="details"/>
    <hyperlink ref="P147" location="'KPI 98B'!A1" display="details"/>
    <hyperlink ref="P148" location="'KPI 101B'!A1" display="details"/>
    <hyperlink ref="P165" location="'KPI 110B'!A1" display="details"/>
    <hyperlink ref="P166" location="'KPI 113B'!A1" display="details"/>
  </hyperlinks>
  <pageMargins left="0.51181102362204722" right="0.51181102362204722" top="0.74803149606299213" bottom="0.74803149606299213" header="0.31496062992125984" footer="0.31496062992125984"/>
  <pageSetup paperSize="9" scale="75" orientation="landscape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41985" r:id="rId4" name="Spinner 1">
              <controlPr defaultSize="0" autoPict="0">
                <anchor moveWithCells="1" sizeWithCells="1">
                  <from>
                    <xdr:col>1</xdr:col>
                    <xdr:colOff>533400</xdr:colOff>
                    <xdr:row>1</xdr:row>
                    <xdr:rowOff>12700</xdr:rowOff>
                  </from>
                  <to>
                    <xdr:col>1</xdr:col>
                    <xdr:colOff>857250</xdr:colOff>
                    <xdr:row>2</xdr:row>
                    <xdr:rowOff>133350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:Q212"/>
  <sheetViews>
    <sheetView zoomScale="90" zoomScaleNormal="90" workbookViewId="0">
      <pane xSplit="3" ySplit="4" topLeftCell="G163" activePane="bottomRight" state="frozen"/>
      <selection activeCell="A174" sqref="A174:XFD181"/>
      <selection pane="topRight" activeCell="A174" sqref="A174:XFD181"/>
      <selection pane="bottomLeft" activeCell="A174" sqref="A174:XFD181"/>
      <selection pane="bottomRight" activeCell="O178" sqref="O178"/>
    </sheetView>
  </sheetViews>
  <sheetFormatPr defaultColWidth="9.1796875" defaultRowHeight="14.5" x14ac:dyDescent="0.35"/>
  <cols>
    <col min="1" max="1" width="6.26953125" style="41" customWidth="1"/>
    <col min="2" max="2" width="40" style="41" customWidth="1"/>
    <col min="3" max="3" width="9.1796875" style="41"/>
    <col min="4" max="15" width="13.26953125" style="41" bestFit="1" customWidth="1"/>
    <col min="16" max="16384" width="9.1796875" style="41"/>
  </cols>
  <sheetData>
    <row r="1" spans="1:16" s="40" customFormat="1" x14ac:dyDescent="0.35">
      <c r="A1" s="40" t="str">
        <f>Dashboard!A1</f>
        <v>SALES &amp; CC DASHBOARD</v>
      </c>
    </row>
    <row r="2" spans="1:16" x14ac:dyDescent="0.35">
      <c r="E2" s="41">
        <v>12</v>
      </c>
      <c r="F2" s="41">
        <v>48</v>
      </c>
    </row>
    <row r="4" spans="1:16" x14ac:dyDescent="0.35">
      <c r="B4" s="41" t="s">
        <v>28</v>
      </c>
      <c r="C4" s="41" t="s">
        <v>29</v>
      </c>
      <c r="D4" s="47" t="s">
        <v>30</v>
      </c>
      <c r="E4" s="47" t="s">
        <v>31</v>
      </c>
      <c r="F4" s="47" t="s">
        <v>32</v>
      </c>
      <c r="G4" s="47" t="s">
        <v>33</v>
      </c>
      <c r="H4" s="47" t="s">
        <v>34</v>
      </c>
      <c r="I4" s="47" t="s">
        <v>35</v>
      </c>
      <c r="J4" s="47" t="s">
        <v>36</v>
      </c>
      <c r="K4" s="47" t="s">
        <v>37</v>
      </c>
      <c r="L4" s="47" t="s">
        <v>38</v>
      </c>
      <c r="M4" s="47" t="s">
        <v>39</v>
      </c>
      <c r="N4" s="47" t="s">
        <v>40</v>
      </c>
      <c r="O4" s="47" t="s">
        <v>41</v>
      </c>
    </row>
    <row r="5" spans="1:16" x14ac:dyDescent="0.35">
      <c r="A5" s="41" t="str">
        <f>Dashboard!A5</f>
        <v>NEW CONNECTIONS WATER</v>
      </c>
    </row>
    <row r="6" spans="1:16" x14ac:dyDescent="0.35">
      <c r="A6" s="41">
        <f>Dashboard!A6</f>
        <v>1</v>
      </c>
      <c r="B6" s="41" t="str">
        <f>Dashboard!B6</f>
        <v>CBD - NEW WATER</v>
      </c>
      <c r="C6" s="41" t="str">
        <f>Dashboard!C6</f>
        <v>No.</v>
      </c>
      <c r="D6" s="67">
        <v>1</v>
      </c>
      <c r="E6" s="67">
        <v>1</v>
      </c>
      <c r="F6" s="67">
        <v>1</v>
      </c>
      <c r="G6" s="67">
        <v>1</v>
      </c>
      <c r="H6" s="67">
        <v>1</v>
      </c>
      <c r="I6" s="67">
        <v>1</v>
      </c>
      <c r="J6" s="67">
        <v>1</v>
      </c>
      <c r="K6" s="67">
        <v>1</v>
      </c>
      <c r="L6" s="67">
        <v>1</v>
      </c>
      <c r="M6" s="67">
        <v>1</v>
      </c>
      <c r="N6" s="67">
        <v>1</v>
      </c>
      <c r="O6" s="67">
        <v>1</v>
      </c>
      <c r="P6" s="68"/>
    </row>
    <row r="7" spans="1:16" x14ac:dyDescent="0.35">
      <c r="A7" s="41">
        <f>Dashboard!A7</f>
        <v>2</v>
      </c>
      <c r="B7" s="41" t="str">
        <f>Dashboard!B7</f>
        <v>CCCR- NEW WATER</v>
      </c>
      <c r="C7" s="41" t="str">
        <f>Dashboard!C7</f>
        <v>No.</v>
      </c>
      <c r="D7" s="67">
        <v>9</v>
      </c>
      <c r="E7" s="67">
        <v>10</v>
      </c>
      <c r="F7" s="67">
        <v>10</v>
      </c>
      <c r="G7" s="67">
        <v>10</v>
      </c>
      <c r="H7" s="67">
        <v>10</v>
      </c>
      <c r="I7" s="67">
        <v>10</v>
      </c>
      <c r="J7" s="67">
        <v>10</v>
      </c>
      <c r="K7" s="67">
        <v>10</v>
      </c>
      <c r="L7" s="67">
        <v>10</v>
      </c>
      <c r="M7" s="67">
        <v>10</v>
      </c>
      <c r="N7" s="67">
        <v>10</v>
      </c>
      <c r="O7" s="67">
        <v>10</v>
      </c>
    </row>
    <row r="8" spans="1:16" x14ac:dyDescent="0.35">
      <c r="A8" s="41">
        <f>Dashboard!A8</f>
        <v>3</v>
      </c>
      <c r="B8" s="41" t="str">
        <f>Dashboard!B8</f>
        <v>KABATI- NEW WATER</v>
      </c>
      <c r="C8" s="41" t="str">
        <f>Dashboard!C8</f>
        <v>No.</v>
      </c>
      <c r="D8" s="67">
        <v>4</v>
      </c>
      <c r="E8" s="67">
        <v>4</v>
      </c>
      <c r="F8" s="67">
        <v>4</v>
      </c>
      <c r="G8" s="67">
        <v>4</v>
      </c>
      <c r="H8" s="67">
        <v>4</v>
      </c>
      <c r="I8" s="67">
        <v>4</v>
      </c>
      <c r="J8" s="67">
        <v>4</v>
      </c>
      <c r="K8" s="67">
        <v>4</v>
      </c>
      <c r="L8" s="67">
        <v>4</v>
      </c>
      <c r="M8" s="67">
        <v>4</v>
      </c>
      <c r="N8" s="67">
        <v>4</v>
      </c>
      <c r="O8" s="67">
        <v>4</v>
      </c>
    </row>
    <row r="9" spans="1:16" x14ac:dyDescent="0.35">
      <c r="A9" s="41">
        <f>Dashboard!A9</f>
        <v>4</v>
      </c>
      <c r="B9" s="41" t="str">
        <f>Dashboard!B9</f>
        <v>SITE- NEW WATER</v>
      </c>
      <c r="C9" s="41" t="str">
        <f>Dashboard!C9</f>
        <v>No.</v>
      </c>
      <c r="D9" s="67">
        <v>1</v>
      </c>
      <c r="E9" s="67">
        <v>1</v>
      </c>
      <c r="F9" s="67">
        <v>1</v>
      </c>
      <c r="G9" s="67">
        <v>1</v>
      </c>
      <c r="H9" s="67">
        <v>1</v>
      </c>
      <c r="I9" s="67">
        <v>1</v>
      </c>
      <c r="J9" s="67">
        <v>1</v>
      </c>
      <c r="K9" s="67">
        <v>1</v>
      </c>
      <c r="L9" s="67">
        <v>1</v>
      </c>
      <c r="M9" s="67">
        <v>1</v>
      </c>
      <c r="N9" s="67">
        <v>1</v>
      </c>
      <c r="O9" s="67">
        <v>1</v>
      </c>
    </row>
    <row r="10" spans="1:16" x14ac:dyDescent="0.35">
      <c r="A10" s="41">
        <f>Dashboard!A10</f>
        <v>5</v>
      </c>
      <c r="B10" s="41" t="str">
        <f>Dashboard!B10</f>
        <v>KIHOTO- NEW WATER</v>
      </c>
      <c r="C10" s="41" t="str">
        <f>Dashboard!C10</f>
        <v>No.</v>
      </c>
      <c r="D10" s="67">
        <v>1</v>
      </c>
      <c r="E10" s="67">
        <v>1</v>
      </c>
      <c r="F10" s="67">
        <v>1</v>
      </c>
      <c r="G10" s="67">
        <v>1</v>
      </c>
      <c r="H10" s="67">
        <v>1</v>
      </c>
      <c r="I10" s="67">
        <v>1</v>
      </c>
      <c r="J10" s="67">
        <v>1</v>
      </c>
      <c r="K10" s="67">
        <v>1</v>
      </c>
      <c r="L10" s="67">
        <v>1</v>
      </c>
      <c r="M10" s="67">
        <v>1</v>
      </c>
      <c r="N10" s="67">
        <v>1</v>
      </c>
      <c r="O10" s="67">
        <v>1</v>
      </c>
    </row>
    <row r="11" spans="1:16" x14ac:dyDescent="0.35">
      <c r="A11" s="41">
        <f>Dashboard!A11</f>
        <v>6</v>
      </c>
      <c r="B11" s="41" t="str">
        <f>Dashboard!B11</f>
        <v>LAKEVIEW- NEW WATER</v>
      </c>
      <c r="C11" s="41" t="str">
        <f>Dashboard!C11</f>
        <v>No.</v>
      </c>
      <c r="D11" s="67">
        <v>2</v>
      </c>
      <c r="E11" s="67">
        <v>2</v>
      </c>
      <c r="F11" s="67">
        <v>2</v>
      </c>
      <c r="G11" s="67">
        <v>2</v>
      </c>
      <c r="H11" s="67">
        <v>2</v>
      </c>
      <c r="I11" s="67">
        <v>2</v>
      </c>
      <c r="J11" s="67">
        <v>2</v>
      </c>
      <c r="K11" s="67">
        <v>2</v>
      </c>
      <c r="L11" s="67">
        <v>2</v>
      </c>
      <c r="M11" s="67">
        <v>2</v>
      </c>
      <c r="N11" s="67">
        <v>2</v>
      </c>
      <c r="O11" s="67">
        <v>2</v>
      </c>
      <c r="P11" s="67"/>
    </row>
    <row r="12" spans="1:16" x14ac:dyDescent="0.35">
      <c r="A12" s="41">
        <f>Dashboard!A12</f>
        <v>7</v>
      </c>
      <c r="B12" s="41" t="str">
        <f>Dashboard!B12</f>
        <v>HOPEWELL- NEW WATER</v>
      </c>
      <c r="C12" s="41" t="str">
        <f>Dashboard!C12</f>
        <v>No.</v>
      </c>
      <c r="D12" s="67">
        <v>2</v>
      </c>
      <c r="E12" s="67">
        <v>2</v>
      </c>
      <c r="F12" s="67">
        <v>2</v>
      </c>
      <c r="G12" s="67">
        <v>2</v>
      </c>
      <c r="H12" s="67">
        <v>2</v>
      </c>
      <c r="I12" s="67">
        <v>2</v>
      </c>
      <c r="J12" s="67">
        <v>2</v>
      </c>
      <c r="K12" s="67">
        <v>2</v>
      </c>
      <c r="L12" s="67">
        <v>2</v>
      </c>
      <c r="M12" s="67">
        <v>2</v>
      </c>
      <c r="N12" s="67">
        <v>2</v>
      </c>
      <c r="O12" s="67">
        <v>2</v>
      </c>
      <c r="P12" s="67"/>
    </row>
    <row r="13" spans="1:16" x14ac:dyDescent="0.35">
      <c r="A13" s="41">
        <f>Dashboard!A13</f>
        <v>0</v>
      </c>
      <c r="B13" s="41" t="str">
        <f>Dashboard!B13</f>
        <v>TOTAL NEW WATER CONNECTIONS CENTRAL REGION</v>
      </c>
      <c r="C13" s="41" t="str">
        <f>Dashboard!C13</f>
        <v>No.</v>
      </c>
      <c r="D13" s="46">
        <f>SUM(D6:D12)</f>
        <v>20</v>
      </c>
      <c r="E13" s="46">
        <f t="shared" ref="E13:O13" si="0">SUM(E6:E12)</f>
        <v>21</v>
      </c>
      <c r="F13" s="46">
        <f t="shared" si="0"/>
        <v>21</v>
      </c>
      <c r="G13" s="46">
        <f t="shared" si="0"/>
        <v>21</v>
      </c>
      <c r="H13" s="46">
        <f t="shared" si="0"/>
        <v>21</v>
      </c>
      <c r="I13" s="46">
        <f t="shared" si="0"/>
        <v>21</v>
      </c>
      <c r="J13" s="46">
        <f t="shared" si="0"/>
        <v>21</v>
      </c>
      <c r="K13" s="46">
        <f t="shared" si="0"/>
        <v>21</v>
      </c>
      <c r="L13" s="46">
        <f t="shared" si="0"/>
        <v>21</v>
      </c>
      <c r="M13" s="46">
        <f t="shared" si="0"/>
        <v>21</v>
      </c>
      <c r="N13" s="46">
        <f t="shared" si="0"/>
        <v>21</v>
      </c>
      <c r="O13" s="46">
        <f t="shared" si="0"/>
        <v>21</v>
      </c>
    </row>
    <row r="14" spans="1:16" x14ac:dyDescent="0.35">
      <c r="A14" s="41">
        <f>Dashboard!A14</f>
        <v>1</v>
      </c>
      <c r="B14" s="41" t="str">
        <f>Dashboard!B14</f>
        <v>HELLSGATE- NEW WATER</v>
      </c>
      <c r="C14" s="41" t="str">
        <f>Dashboard!C14</f>
        <v>No.</v>
      </c>
      <c r="D14" s="67">
        <v>8</v>
      </c>
      <c r="E14" s="67">
        <v>8</v>
      </c>
      <c r="F14" s="67">
        <v>20</v>
      </c>
      <c r="G14" s="67">
        <v>50</v>
      </c>
      <c r="H14" s="67">
        <v>50</v>
      </c>
      <c r="I14" s="67">
        <v>50</v>
      </c>
      <c r="J14" s="67">
        <v>45</v>
      </c>
      <c r="K14" s="67">
        <v>45</v>
      </c>
      <c r="L14" s="67">
        <v>35</v>
      </c>
      <c r="M14" s="67">
        <v>30</v>
      </c>
      <c r="N14" s="67">
        <v>30</v>
      </c>
      <c r="O14" s="67">
        <v>28</v>
      </c>
    </row>
    <row r="15" spans="1:16" x14ac:dyDescent="0.35">
      <c r="A15" s="41">
        <f>Dashboard!A15</f>
        <v>2</v>
      </c>
      <c r="B15" s="41" t="str">
        <f>Dashboard!B15</f>
        <v>KAMERE- NEW WATER</v>
      </c>
      <c r="C15" s="41" t="str">
        <f>Dashboard!C15</f>
        <v>No.</v>
      </c>
      <c r="D15" s="67">
        <v>1</v>
      </c>
      <c r="E15" s="67">
        <v>1</v>
      </c>
      <c r="F15" s="67">
        <v>1</v>
      </c>
      <c r="G15" s="67">
        <v>21</v>
      </c>
      <c r="H15" s="67">
        <v>11</v>
      </c>
      <c r="I15" s="67">
        <v>11</v>
      </c>
      <c r="J15" s="67">
        <v>11</v>
      </c>
      <c r="K15" s="67">
        <v>11</v>
      </c>
      <c r="L15" s="67">
        <v>11</v>
      </c>
      <c r="M15" s="67">
        <v>11</v>
      </c>
      <c r="N15" s="67">
        <v>11</v>
      </c>
      <c r="O15" s="67">
        <v>11</v>
      </c>
    </row>
    <row r="16" spans="1:16" x14ac:dyDescent="0.35">
      <c r="A16" s="41">
        <f>Dashboard!A16</f>
        <v>3</v>
      </c>
      <c r="B16" s="41" t="str">
        <f>Dashboard!B16</f>
        <v>MAI-MAHIU- NEW WATER</v>
      </c>
      <c r="C16" s="41" t="str">
        <f>Dashboard!C16</f>
        <v>No.</v>
      </c>
      <c r="D16" s="67">
        <v>51</v>
      </c>
      <c r="E16" s="67">
        <v>51</v>
      </c>
      <c r="F16" s="67">
        <v>46</v>
      </c>
      <c r="G16" s="67">
        <v>71</v>
      </c>
      <c r="H16" s="67">
        <v>71</v>
      </c>
      <c r="I16" s="67">
        <v>66</v>
      </c>
      <c r="J16" s="67">
        <v>61</v>
      </c>
      <c r="K16" s="67">
        <v>61</v>
      </c>
      <c r="L16" s="67">
        <v>56</v>
      </c>
      <c r="M16" s="67">
        <v>46</v>
      </c>
      <c r="N16" s="67">
        <v>46</v>
      </c>
      <c r="O16" s="67">
        <v>46</v>
      </c>
    </row>
    <row r="17" spans="1:15" x14ac:dyDescent="0.35">
      <c r="A17" s="41">
        <f>Dashboard!A17</f>
        <v>4</v>
      </c>
      <c r="B17" s="41" t="str">
        <f>Dashboard!B17</f>
        <v>LONGONOT- NEW WATER</v>
      </c>
      <c r="C17" s="41" t="str">
        <f>Dashboard!C17</f>
        <v>No.</v>
      </c>
      <c r="D17" s="67">
        <v>10</v>
      </c>
      <c r="E17" s="67">
        <v>10</v>
      </c>
      <c r="F17" s="67">
        <v>10</v>
      </c>
      <c r="G17" s="67">
        <v>10</v>
      </c>
      <c r="H17" s="67">
        <v>10</v>
      </c>
      <c r="I17" s="67">
        <v>10</v>
      </c>
      <c r="J17" s="67">
        <v>10</v>
      </c>
      <c r="K17" s="67">
        <v>10</v>
      </c>
      <c r="L17" s="67">
        <v>10</v>
      </c>
      <c r="M17" s="67">
        <v>10</v>
      </c>
      <c r="N17" s="67">
        <v>10</v>
      </c>
      <c r="O17" s="67">
        <v>10</v>
      </c>
    </row>
    <row r="18" spans="1:15" x14ac:dyDescent="0.35">
      <c r="A18" s="41">
        <f>Dashboard!A18</f>
        <v>0</v>
      </c>
      <c r="B18" s="41" t="str">
        <f>Dashboard!B18</f>
        <v>TOTAL NEW WATER CONNECTION SOUTHERN REGION</v>
      </c>
      <c r="C18" s="41" t="str">
        <f>Dashboard!C18</f>
        <v>No.</v>
      </c>
      <c r="D18" s="46">
        <f>SUM(D14:D17)</f>
        <v>70</v>
      </c>
      <c r="E18" s="46">
        <f t="shared" ref="E18:O18" si="1">SUM(E14:E17)</f>
        <v>70</v>
      </c>
      <c r="F18" s="46">
        <f t="shared" si="1"/>
        <v>77</v>
      </c>
      <c r="G18" s="46">
        <f t="shared" si="1"/>
        <v>152</v>
      </c>
      <c r="H18" s="46">
        <f t="shared" si="1"/>
        <v>142</v>
      </c>
      <c r="I18" s="46">
        <f t="shared" si="1"/>
        <v>137</v>
      </c>
      <c r="J18" s="46">
        <f t="shared" si="1"/>
        <v>127</v>
      </c>
      <c r="K18" s="46">
        <f t="shared" si="1"/>
        <v>127</v>
      </c>
      <c r="L18" s="46">
        <f t="shared" si="1"/>
        <v>112</v>
      </c>
      <c r="M18" s="46">
        <f t="shared" si="1"/>
        <v>97</v>
      </c>
      <c r="N18" s="46">
        <f t="shared" si="1"/>
        <v>97</v>
      </c>
      <c r="O18" s="46">
        <f t="shared" si="1"/>
        <v>95</v>
      </c>
    </row>
    <row r="19" spans="1:15" x14ac:dyDescent="0.35">
      <c r="A19" s="41">
        <f>Dashboard!A20</f>
        <v>1</v>
      </c>
      <c r="B19" s="41" t="str">
        <f>Dashboard!B20</f>
        <v>KAYOLE- NEW WATER</v>
      </c>
      <c r="C19" s="41" t="str">
        <f>Dashboard!C20</f>
        <v>No.</v>
      </c>
      <c r="D19" s="67">
        <v>38</v>
      </c>
      <c r="E19" s="67">
        <v>18</v>
      </c>
      <c r="F19" s="67">
        <v>18</v>
      </c>
      <c r="G19" s="67">
        <v>18</v>
      </c>
      <c r="H19" s="67">
        <v>18</v>
      </c>
      <c r="I19" s="67">
        <v>18</v>
      </c>
      <c r="J19" s="67">
        <v>33</v>
      </c>
      <c r="K19" s="67">
        <v>23</v>
      </c>
      <c r="L19" s="67">
        <v>23</v>
      </c>
      <c r="M19" s="67">
        <v>18</v>
      </c>
      <c r="N19" s="67">
        <v>18</v>
      </c>
      <c r="O19" s="67">
        <v>18</v>
      </c>
    </row>
    <row r="20" spans="1:15" x14ac:dyDescent="0.35">
      <c r="A20" s="41">
        <f>Dashboard!A21</f>
        <v>2</v>
      </c>
      <c r="B20" s="41" t="str">
        <f>Dashboard!B21</f>
        <v>IHINDU- NEW WATER</v>
      </c>
      <c r="C20" s="41" t="str">
        <f>Dashboard!C21</f>
        <v>No.</v>
      </c>
      <c r="D20" s="67">
        <v>38</v>
      </c>
      <c r="E20" s="67">
        <v>38</v>
      </c>
      <c r="F20" s="67">
        <v>33</v>
      </c>
      <c r="G20" s="67">
        <v>28</v>
      </c>
      <c r="H20" s="67">
        <v>28</v>
      </c>
      <c r="I20" s="67">
        <v>23</v>
      </c>
      <c r="J20" s="67">
        <v>23</v>
      </c>
      <c r="K20" s="67">
        <v>18</v>
      </c>
      <c r="L20" s="67">
        <v>18</v>
      </c>
      <c r="M20" s="67">
        <v>18</v>
      </c>
      <c r="N20" s="67">
        <v>18</v>
      </c>
      <c r="O20" s="67">
        <v>18</v>
      </c>
    </row>
    <row r="21" spans="1:15" x14ac:dyDescent="0.35">
      <c r="B21" s="41" t="str">
        <f>Dashboard!B22</f>
        <v>TOTAL NEW W CONNECTION EASTERN REGION</v>
      </c>
      <c r="C21" s="41" t="str">
        <f>Dashboard!C22</f>
        <v>No.</v>
      </c>
      <c r="D21" s="369">
        <f>D19+D20</f>
        <v>76</v>
      </c>
      <c r="E21" s="369">
        <f t="shared" ref="E21:O21" si="2">E19+E20</f>
        <v>56</v>
      </c>
      <c r="F21" s="369">
        <f t="shared" si="2"/>
        <v>51</v>
      </c>
      <c r="G21" s="369">
        <f t="shared" si="2"/>
        <v>46</v>
      </c>
      <c r="H21" s="369">
        <f t="shared" si="2"/>
        <v>46</v>
      </c>
      <c r="I21" s="369">
        <f t="shared" si="2"/>
        <v>41</v>
      </c>
      <c r="J21" s="369">
        <f t="shared" si="2"/>
        <v>56</v>
      </c>
      <c r="K21" s="369">
        <f t="shared" si="2"/>
        <v>41</v>
      </c>
      <c r="L21" s="369">
        <f t="shared" si="2"/>
        <v>41</v>
      </c>
      <c r="M21" s="369">
        <f t="shared" si="2"/>
        <v>36</v>
      </c>
      <c r="N21" s="369">
        <f t="shared" si="2"/>
        <v>36</v>
      </c>
      <c r="O21" s="369">
        <f t="shared" si="2"/>
        <v>36</v>
      </c>
    </row>
    <row r="22" spans="1:15" x14ac:dyDescent="0.35">
      <c r="A22" s="41" t="str">
        <f>Dashboard!A23</f>
        <v>NEW CONNECTIONS SEWER</v>
      </c>
      <c r="D22" s="366"/>
      <c r="E22" s="366"/>
      <c r="F22" s="366"/>
      <c r="G22" s="366"/>
      <c r="H22" s="366"/>
      <c r="I22" s="366"/>
      <c r="J22" s="366"/>
      <c r="K22" s="366"/>
      <c r="L22" s="366"/>
      <c r="M22" s="366"/>
      <c r="N22" s="366"/>
      <c r="O22" s="366"/>
    </row>
    <row r="23" spans="1:15" ht="16" x14ac:dyDescent="0.5">
      <c r="A23" s="41">
        <f>Dashboard!A24</f>
        <v>1</v>
      </c>
      <c r="B23" s="41" t="str">
        <f>Dashboard!B24</f>
        <v>CBD- NEW SEWER</v>
      </c>
      <c r="C23" s="41" t="str">
        <f>Dashboard!C24</f>
        <v>No.</v>
      </c>
      <c r="D23" s="88">
        <v>1</v>
      </c>
      <c r="E23" s="88">
        <v>1</v>
      </c>
      <c r="F23" s="88">
        <v>1</v>
      </c>
      <c r="G23" s="88">
        <v>1</v>
      </c>
      <c r="H23" s="88">
        <v>1</v>
      </c>
      <c r="I23" s="88">
        <v>1</v>
      </c>
      <c r="J23" s="88">
        <v>1</v>
      </c>
      <c r="K23" s="88">
        <v>1</v>
      </c>
      <c r="L23" s="88">
        <v>1</v>
      </c>
      <c r="M23" s="88">
        <v>1</v>
      </c>
      <c r="N23" s="88">
        <v>1</v>
      </c>
      <c r="O23" s="67">
        <v>1</v>
      </c>
    </row>
    <row r="24" spans="1:15" x14ac:dyDescent="0.35">
      <c r="A24" s="41">
        <f>Dashboard!A25</f>
        <v>2</v>
      </c>
      <c r="B24" s="41" t="str">
        <f>Dashboard!B25</f>
        <v>CCCR- NEW SEWER</v>
      </c>
      <c r="C24" s="41" t="str">
        <f>Dashboard!C25</f>
        <v>No.</v>
      </c>
      <c r="D24" s="67">
        <v>7</v>
      </c>
      <c r="E24" s="67">
        <v>7</v>
      </c>
      <c r="F24" s="67">
        <v>7</v>
      </c>
      <c r="G24" s="67">
        <v>7</v>
      </c>
      <c r="H24" s="67">
        <v>7</v>
      </c>
      <c r="I24" s="67">
        <v>7</v>
      </c>
      <c r="J24" s="67">
        <v>7</v>
      </c>
      <c r="K24" s="67">
        <v>7</v>
      </c>
      <c r="L24" s="67">
        <v>7</v>
      </c>
      <c r="M24" s="67">
        <v>7</v>
      </c>
      <c r="N24" s="67">
        <v>7</v>
      </c>
      <c r="O24" s="67">
        <v>7</v>
      </c>
    </row>
    <row r="25" spans="1:15" x14ac:dyDescent="0.35">
      <c r="A25" s="41">
        <f>Dashboard!A26</f>
        <v>3</v>
      </c>
      <c r="B25" s="41" t="str">
        <f>Dashboard!B26</f>
        <v>KABATI- NEW SEWER</v>
      </c>
      <c r="C25" s="41" t="str">
        <f>Dashboard!C26</f>
        <v>No.</v>
      </c>
      <c r="D25" s="67">
        <v>4</v>
      </c>
      <c r="E25" s="67">
        <v>3</v>
      </c>
      <c r="F25" s="67">
        <v>3</v>
      </c>
      <c r="G25" s="67">
        <v>3</v>
      </c>
      <c r="H25" s="67">
        <v>3</v>
      </c>
      <c r="I25" s="67">
        <v>3</v>
      </c>
      <c r="J25" s="67">
        <v>3</v>
      </c>
      <c r="K25" s="67">
        <v>3</v>
      </c>
      <c r="L25" s="67">
        <v>3</v>
      </c>
      <c r="M25" s="67">
        <v>3</v>
      </c>
      <c r="N25" s="67">
        <v>3</v>
      </c>
      <c r="O25" s="67">
        <v>3</v>
      </c>
    </row>
    <row r="26" spans="1:15" x14ac:dyDescent="0.35">
      <c r="A26" s="41">
        <f>Dashboard!A27</f>
        <v>4</v>
      </c>
      <c r="B26" s="41" t="str">
        <f>Dashboard!B27</f>
        <v>SITE- NEW SEWER</v>
      </c>
      <c r="C26" s="41" t="str">
        <f>Dashboard!C27</f>
        <v>No.</v>
      </c>
      <c r="D26" s="67">
        <v>1</v>
      </c>
      <c r="E26" s="67">
        <v>1</v>
      </c>
      <c r="F26" s="67">
        <v>1</v>
      </c>
      <c r="G26" s="67">
        <v>1</v>
      </c>
      <c r="H26" s="67">
        <v>1</v>
      </c>
      <c r="I26" s="67">
        <v>1</v>
      </c>
      <c r="J26" s="67">
        <v>1</v>
      </c>
      <c r="K26" s="67">
        <v>1</v>
      </c>
      <c r="L26" s="67">
        <v>1</v>
      </c>
      <c r="M26" s="67">
        <v>1</v>
      </c>
      <c r="N26" s="67">
        <v>1</v>
      </c>
      <c r="O26" s="67">
        <v>1</v>
      </c>
    </row>
    <row r="27" spans="1:15" x14ac:dyDescent="0.35">
      <c r="A27" s="41">
        <f>Dashboard!A28</f>
        <v>5</v>
      </c>
      <c r="B27" s="41" t="str">
        <f>Dashboard!B28</f>
        <v>KIHOTO- NEW SEWER</v>
      </c>
      <c r="C27" s="41" t="str">
        <f>Dashboard!C28</f>
        <v>No.</v>
      </c>
      <c r="D27" s="67"/>
      <c r="E27" s="67"/>
      <c r="F27" s="67"/>
      <c r="G27" s="67"/>
      <c r="H27" s="67"/>
      <c r="I27" s="67"/>
      <c r="J27" s="67"/>
      <c r="K27" s="67"/>
      <c r="L27" s="67"/>
      <c r="M27" s="67"/>
      <c r="N27" s="67"/>
      <c r="O27" s="67"/>
    </row>
    <row r="28" spans="1:15" x14ac:dyDescent="0.35">
      <c r="A28" s="41">
        <f>Dashboard!A29</f>
        <v>6</v>
      </c>
      <c r="B28" s="41" t="str">
        <f>Dashboard!B29</f>
        <v>LAKEVIEW- NEW SEWER</v>
      </c>
      <c r="C28" s="41" t="str">
        <f>Dashboard!C29</f>
        <v>No.</v>
      </c>
      <c r="D28" s="67">
        <v>1</v>
      </c>
      <c r="E28" s="67">
        <v>1</v>
      </c>
      <c r="F28" s="67">
        <v>1</v>
      </c>
      <c r="G28" s="67">
        <v>1</v>
      </c>
      <c r="H28" s="67">
        <v>1</v>
      </c>
      <c r="I28" s="67">
        <v>1</v>
      </c>
      <c r="J28" s="67">
        <v>1</v>
      </c>
      <c r="K28" s="67">
        <v>1</v>
      </c>
      <c r="L28" s="67">
        <v>1</v>
      </c>
      <c r="M28" s="67">
        <v>1</v>
      </c>
      <c r="N28" s="67">
        <v>1</v>
      </c>
      <c r="O28" s="67">
        <v>1</v>
      </c>
    </row>
    <row r="29" spans="1:15" x14ac:dyDescent="0.35">
      <c r="A29" s="41">
        <f>Dashboard!A30</f>
        <v>7</v>
      </c>
      <c r="B29" s="41" t="str">
        <f>Dashboard!B30</f>
        <v>HOPEWELL- NEW SEWER</v>
      </c>
      <c r="C29" s="41" t="str">
        <f>Dashboard!C30</f>
        <v>No.</v>
      </c>
      <c r="D29" s="67"/>
      <c r="E29" s="67"/>
      <c r="F29" s="67"/>
      <c r="G29" s="67"/>
      <c r="H29" s="67"/>
      <c r="I29" s="67"/>
      <c r="J29" s="67"/>
      <c r="K29" s="67"/>
      <c r="L29" s="67"/>
      <c r="M29" s="67"/>
      <c r="N29" s="67"/>
      <c r="O29" s="67"/>
    </row>
    <row r="30" spans="1:15" x14ac:dyDescent="0.35">
      <c r="A30" s="41">
        <f>Dashboard!A31</f>
        <v>0</v>
      </c>
      <c r="B30" s="41" t="str">
        <f>Dashboard!B31</f>
        <v>TOTAL NEW SEWER CONNECTIONS CENTRAL REGION</v>
      </c>
      <c r="C30" s="41" t="str">
        <f>Dashboard!C31</f>
        <v>No.</v>
      </c>
      <c r="D30" s="46">
        <f>SUM(D23:D29)</f>
        <v>14</v>
      </c>
      <c r="E30" s="46">
        <f t="shared" ref="E30:O30" si="3">SUM(E23:E29)</f>
        <v>13</v>
      </c>
      <c r="F30" s="46">
        <f t="shared" si="3"/>
        <v>13</v>
      </c>
      <c r="G30" s="46">
        <f t="shared" si="3"/>
        <v>13</v>
      </c>
      <c r="H30" s="46">
        <f t="shared" si="3"/>
        <v>13</v>
      </c>
      <c r="I30" s="46">
        <f t="shared" si="3"/>
        <v>13</v>
      </c>
      <c r="J30" s="46">
        <f t="shared" si="3"/>
        <v>13</v>
      </c>
      <c r="K30" s="46">
        <f t="shared" si="3"/>
        <v>13</v>
      </c>
      <c r="L30" s="46">
        <f t="shared" si="3"/>
        <v>13</v>
      </c>
      <c r="M30" s="46">
        <f t="shared" si="3"/>
        <v>13</v>
      </c>
      <c r="N30" s="46">
        <f t="shared" si="3"/>
        <v>13</v>
      </c>
      <c r="O30" s="46">
        <f t="shared" si="3"/>
        <v>13</v>
      </c>
    </row>
    <row r="31" spans="1:15" x14ac:dyDescent="0.35">
      <c r="A31" s="41">
        <f>Dashboard!A32</f>
        <v>1</v>
      </c>
      <c r="B31" s="41" t="str">
        <f>Dashboard!B32</f>
        <v>HELLSGATE- NEW SEWER</v>
      </c>
      <c r="C31" s="41" t="str">
        <f>Dashboard!C32</f>
        <v>No.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</row>
    <row r="32" spans="1:15" x14ac:dyDescent="0.35">
      <c r="A32" s="41">
        <f>Dashboard!A33</f>
        <v>2</v>
      </c>
      <c r="B32" s="41" t="str">
        <f>Dashboard!B33</f>
        <v>KAMERE- NEW SEWER</v>
      </c>
      <c r="C32" s="41" t="str">
        <f>Dashboard!C33</f>
        <v>No.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</row>
    <row r="33" spans="1:16" x14ac:dyDescent="0.35">
      <c r="A33" s="41">
        <f>Dashboard!A34</f>
        <v>3</v>
      </c>
      <c r="B33" s="41" t="str">
        <f>Dashboard!B34</f>
        <v>MAI-MAHIU- NEW SEWER</v>
      </c>
      <c r="C33" s="41" t="str">
        <f>Dashboard!C34</f>
        <v>No.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</row>
    <row r="34" spans="1:16" x14ac:dyDescent="0.35">
      <c r="A34" s="41">
        <f>Dashboard!A35</f>
        <v>0</v>
      </c>
      <c r="B34" s="41" t="str">
        <f>Dashboard!B35</f>
        <v>TOTAL NEW S CONNECTION SOUTHERN REGION</v>
      </c>
      <c r="C34" s="41" t="str">
        <f>Dashboard!C35</f>
        <v>No.</v>
      </c>
      <c r="D34" s="46">
        <f>SUM(D31:D33)</f>
        <v>0</v>
      </c>
      <c r="E34" s="46">
        <f t="shared" ref="E34:O34" si="4">SUM(E31:E33)</f>
        <v>0</v>
      </c>
      <c r="F34" s="46">
        <f t="shared" si="4"/>
        <v>0</v>
      </c>
      <c r="G34" s="46">
        <f t="shared" si="4"/>
        <v>0</v>
      </c>
      <c r="H34" s="46">
        <f t="shared" si="4"/>
        <v>0</v>
      </c>
      <c r="I34" s="46">
        <f t="shared" si="4"/>
        <v>0</v>
      </c>
      <c r="J34" s="46">
        <f t="shared" si="4"/>
        <v>0</v>
      </c>
      <c r="K34" s="46">
        <f t="shared" si="4"/>
        <v>0</v>
      </c>
      <c r="L34" s="46">
        <f t="shared" si="4"/>
        <v>0</v>
      </c>
      <c r="M34" s="46">
        <f t="shared" si="4"/>
        <v>0</v>
      </c>
      <c r="N34" s="46">
        <f t="shared" si="4"/>
        <v>0</v>
      </c>
      <c r="O34" s="46">
        <f t="shared" si="4"/>
        <v>0</v>
      </c>
    </row>
    <row r="35" spans="1:16" x14ac:dyDescent="0.35">
      <c r="A35" s="41">
        <f>Dashboard!A37</f>
        <v>1</v>
      </c>
      <c r="B35" s="41" t="str">
        <f>Dashboard!B37</f>
        <v>KAYOLE- NEW SEWER</v>
      </c>
      <c r="C35" s="41" t="str">
        <f>Dashboard!C37</f>
        <v>No.</v>
      </c>
      <c r="D35" s="67">
        <v>1</v>
      </c>
      <c r="E35" s="67">
        <v>1</v>
      </c>
      <c r="F35" s="67">
        <v>1</v>
      </c>
      <c r="G35" s="67">
        <v>1</v>
      </c>
      <c r="H35" s="67">
        <v>1</v>
      </c>
      <c r="I35" s="67">
        <v>1</v>
      </c>
      <c r="J35" s="67">
        <v>1</v>
      </c>
      <c r="K35" s="67">
        <v>1</v>
      </c>
      <c r="L35" s="67">
        <v>1</v>
      </c>
      <c r="M35" s="67">
        <v>1</v>
      </c>
      <c r="N35" s="67">
        <v>1</v>
      </c>
      <c r="O35" s="67">
        <v>1</v>
      </c>
    </row>
    <row r="36" spans="1:16" x14ac:dyDescent="0.35">
      <c r="A36" s="41" t="str">
        <f>Dashboard!A38</f>
        <v>TOTAL CONNECTIONS-WATER</v>
      </c>
    </row>
    <row r="37" spans="1:16" x14ac:dyDescent="0.35">
      <c r="A37" s="41">
        <f>Dashboard!A39</f>
        <v>1</v>
      </c>
      <c r="B37" s="41" t="str">
        <f>Dashboard!B39</f>
        <v>CBD-  WATER</v>
      </c>
      <c r="C37" s="41" t="str">
        <f>Dashboard!C39</f>
        <v>No.</v>
      </c>
      <c r="D37" s="90">
        <f>'Input Actual2024-25'!P37+'budget 2025-26'!D6</f>
        <v>791</v>
      </c>
      <c r="E37" s="90">
        <f>D37+E6</f>
        <v>792</v>
      </c>
      <c r="F37" s="90">
        <f>E37+F6</f>
        <v>793</v>
      </c>
      <c r="G37" s="90">
        <f t="shared" ref="G37:O37" si="5">F37+G6</f>
        <v>794</v>
      </c>
      <c r="H37" s="90">
        <f t="shared" si="5"/>
        <v>795</v>
      </c>
      <c r="I37" s="90">
        <f t="shared" si="5"/>
        <v>796</v>
      </c>
      <c r="J37" s="90">
        <f t="shared" si="5"/>
        <v>797</v>
      </c>
      <c r="K37" s="90">
        <f t="shared" si="5"/>
        <v>798</v>
      </c>
      <c r="L37" s="90">
        <f t="shared" si="5"/>
        <v>799</v>
      </c>
      <c r="M37" s="90">
        <f t="shared" si="5"/>
        <v>800</v>
      </c>
      <c r="N37" s="90">
        <f t="shared" si="5"/>
        <v>801</v>
      </c>
      <c r="O37" s="90">
        <f t="shared" si="5"/>
        <v>802</v>
      </c>
    </row>
    <row r="38" spans="1:16" x14ac:dyDescent="0.35">
      <c r="A38" s="41">
        <f>Dashboard!A40</f>
        <v>2</v>
      </c>
      <c r="B38" s="41" t="str">
        <f>Dashboard!B40</f>
        <v>CCCR-  WATER</v>
      </c>
      <c r="C38" s="41" t="str">
        <f>Dashboard!C40</f>
        <v>No.</v>
      </c>
      <c r="D38" s="90">
        <f>'Input Actual2024-25'!P38+'budget 2025-26'!D7</f>
        <v>889</v>
      </c>
      <c r="E38" s="90">
        <f t="shared" ref="E38:F43" si="6">D38+E7</f>
        <v>899</v>
      </c>
      <c r="F38" s="90">
        <f t="shared" si="6"/>
        <v>909</v>
      </c>
      <c r="G38" s="90">
        <f t="shared" ref="G38:O38" si="7">F38+G7</f>
        <v>919</v>
      </c>
      <c r="H38" s="90">
        <f t="shared" si="7"/>
        <v>929</v>
      </c>
      <c r="I38" s="90">
        <f t="shared" si="7"/>
        <v>939</v>
      </c>
      <c r="J38" s="90">
        <f t="shared" si="7"/>
        <v>949</v>
      </c>
      <c r="K38" s="90">
        <f t="shared" si="7"/>
        <v>959</v>
      </c>
      <c r="L38" s="90">
        <f t="shared" si="7"/>
        <v>969</v>
      </c>
      <c r="M38" s="90">
        <f t="shared" si="7"/>
        <v>979</v>
      </c>
      <c r="N38" s="90">
        <f t="shared" si="7"/>
        <v>989</v>
      </c>
      <c r="O38" s="90">
        <f t="shared" si="7"/>
        <v>999</v>
      </c>
    </row>
    <row r="39" spans="1:16" x14ac:dyDescent="0.35">
      <c r="A39" s="41">
        <f>Dashboard!A41</f>
        <v>3</v>
      </c>
      <c r="B39" s="41" t="str">
        <f>Dashboard!B41</f>
        <v>KABATI- WATER</v>
      </c>
      <c r="C39" s="41" t="str">
        <f>Dashboard!C41</f>
        <v>No.</v>
      </c>
      <c r="D39" s="90">
        <f>'Input Actual2024-25'!P39+'budget 2025-26'!D8</f>
        <v>957</v>
      </c>
      <c r="E39" s="90">
        <f t="shared" si="6"/>
        <v>961</v>
      </c>
      <c r="F39" s="90">
        <f t="shared" si="6"/>
        <v>965</v>
      </c>
      <c r="G39" s="90">
        <f t="shared" ref="G39:O39" si="8">F39+G8</f>
        <v>969</v>
      </c>
      <c r="H39" s="90">
        <f t="shared" si="8"/>
        <v>973</v>
      </c>
      <c r="I39" s="90">
        <f t="shared" si="8"/>
        <v>977</v>
      </c>
      <c r="J39" s="90">
        <f t="shared" si="8"/>
        <v>981</v>
      </c>
      <c r="K39" s="90">
        <f t="shared" si="8"/>
        <v>985</v>
      </c>
      <c r="L39" s="90">
        <f t="shared" si="8"/>
        <v>989</v>
      </c>
      <c r="M39" s="90">
        <f t="shared" si="8"/>
        <v>993</v>
      </c>
      <c r="N39" s="90">
        <f t="shared" si="8"/>
        <v>997</v>
      </c>
      <c r="O39" s="90">
        <f t="shared" si="8"/>
        <v>1001</v>
      </c>
    </row>
    <row r="40" spans="1:16" x14ac:dyDescent="0.35">
      <c r="A40" s="41">
        <f>Dashboard!A42</f>
        <v>4</v>
      </c>
      <c r="B40" s="41" t="str">
        <f>Dashboard!B42</f>
        <v>SITE- WATER</v>
      </c>
      <c r="C40" s="41" t="str">
        <f>Dashboard!C42</f>
        <v>No.</v>
      </c>
      <c r="D40" s="90">
        <f>'Input Actual2024-25'!P40+'budget 2025-26'!D9</f>
        <v>940</v>
      </c>
      <c r="E40" s="90">
        <f t="shared" si="6"/>
        <v>941</v>
      </c>
      <c r="F40" s="90">
        <f t="shared" si="6"/>
        <v>942</v>
      </c>
      <c r="G40" s="90">
        <f t="shared" ref="G40:O40" si="9">F40+G9</f>
        <v>943</v>
      </c>
      <c r="H40" s="90">
        <f t="shared" si="9"/>
        <v>944</v>
      </c>
      <c r="I40" s="90">
        <f t="shared" si="9"/>
        <v>945</v>
      </c>
      <c r="J40" s="90">
        <f t="shared" si="9"/>
        <v>946</v>
      </c>
      <c r="K40" s="90">
        <f t="shared" si="9"/>
        <v>947</v>
      </c>
      <c r="L40" s="90">
        <f t="shared" si="9"/>
        <v>948</v>
      </c>
      <c r="M40" s="90">
        <f t="shared" si="9"/>
        <v>949</v>
      </c>
      <c r="N40" s="90">
        <f t="shared" si="9"/>
        <v>950</v>
      </c>
      <c r="O40" s="90">
        <f t="shared" si="9"/>
        <v>951</v>
      </c>
    </row>
    <row r="41" spans="1:16" x14ac:dyDescent="0.35">
      <c r="A41" s="41">
        <f>Dashboard!A43</f>
        <v>5</v>
      </c>
      <c r="B41" s="41" t="str">
        <f>Dashboard!B43</f>
        <v>KIHOTO- WATER</v>
      </c>
      <c r="C41" s="41" t="str">
        <f>Dashboard!C43</f>
        <v>No.</v>
      </c>
      <c r="D41" s="90">
        <f>'Input Actual2024-25'!P41+'budget 2025-26'!D10</f>
        <v>220</v>
      </c>
      <c r="E41" s="90">
        <f t="shared" si="6"/>
        <v>221</v>
      </c>
      <c r="F41" s="90">
        <f t="shared" si="6"/>
        <v>222</v>
      </c>
      <c r="G41" s="90">
        <f t="shared" ref="G41:O41" si="10">F41+G10</f>
        <v>223</v>
      </c>
      <c r="H41" s="90">
        <f t="shared" si="10"/>
        <v>224</v>
      </c>
      <c r="I41" s="90">
        <f t="shared" si="10"/>
        <v>225</v>
      </c>
      <c r="J41" s="90">
        <f t="shared" si="10"/>
        <v>226</v>
      </c>
      <c r="K41" s="90">
        <f t="shared" si="10"/>
        <v>227</v>
      </c>
      <c r="L41" s="90">
        <f t="shared" si="10"/>
        <v>228</v>
      </c>
      <c r="M41" s="90">
        <f t="shared" si="10"/>
        <v>229</v>
      </c>
      <c r="N41" s="90">
        <f t="shared" si="10"/>
        <v>230</v>
      </c>
      <c r="O41" s="90">
        <f t="shared" si="10"/>
        <v>231</v>
      </c>
    </row>
    <row r="42" spans="1:16" x14ac:dyDescent="0.35">
      <c r="A42" s="41">
        <f>Dashboard!A44</f>
        <v>6</v>
      </c>
      <c r="B42" s="41" t="str">
        <f>Dashboard!B44</f>
        <v>LAKEVIEW- WATER</v>
      </c>
      <c r="C42" s="41" t="str">
        <f>Dashboard!C44</f>
        <v>No.</v>
      </c>
      <c r="D42" s="90">
        <f>'Input Actual2024-25'!P42+'budget 2025-26'!D11</f>
        <v>1154</v>
      </c>
      <c r="E42" s="90">
        <f t="shared" si="6"/>
        <v>1156</v>
      </c>
      <c r="F42" s="90">
        <f t="shared" si="6"/>
        <v>1158</v>
      </c>
      <c r="G42" s="90">
        <f t="shared" ref="G42:O42" si="11">F42+G11</f>
        <v>1160</v>
      </c>
      <c r="H42" s="90">
        <f t="shared" si="11"/>
        <v>1162</v>
      </c>
      <c r="I42" s="90">
        <f t="shared" si="11"/>
        <v>1164</v>
      </c>
      <c r="J42" s="90">
        <f t="shared" si="11"/>
        <v>1166</v>
      </c>
      <c r="K42" s="90">
        <f t="shared" si="11"/>
        <v>1168</v>
      </c>
      <c r="L42" s="90">
        <f t="shared" si="11"/>
        <v>1170</v>
      </c>
      <c r="M42" s="90">
        <f t="shared" si="11"/>
        <v>1172</v>
      </c>
      <c r="N42" s="90">
        <f t="shared" si="11"/>
        <v>1174</v>
      </c>
      <c r="O42" s="90">
        <f t="shared" si="11"/>
        <v>1176</v>
      </c>
      <c r="P42" s="53"/>
    </row>
    <row r="43" spans="1:16" x14ac:dyDescent="0.35">
      <c r="A43" s="41">
        <f>Dashboard!A45</f>
        <v>7</v>
      </c>
      <c r="B43" s="41" t="str">
        <f>Dashboard!B45</f>
        <v>HOPEWELL- WATER</v>
      </c>
      <c r="C43" s="41" t="str">
        <f>Dashboard!C45</f>
        <v>No.</v>
      </c>
      <c r="D43" s="90">
        <f>'Input Actual2024-25'!P43+'budget 2025-26'!D12</f>
        <v>367</v>
      </c>
      <c r="E43" s="90">
        <f t="shared" si="6"/>
        <v>369</v>
      </c>
      <c r="F43" s="90">
        <f t="shared" si="6"/>
        <v>371</v>
      </c>
      <c r="G43" s="90">
        <f t="shared" ref="G43:O43" si="12">F43+G12</f>
        <v>373</v>
      </c>
      <c r="H43" s="90">
        <f t="shared" si="12"/>
        <v>375</v>
      </c>
      <c r="I43" s="90">
        <f t="shared" si="12"/>
        <v>377</v>
      </c>
      <c r="J43" s="90">
        <f t="shared" si="12"/>
        <v>379</v>
      </c>
      <c r="K43" s="90">
        <f t="shared" si="12"/>
        <v>381</v>
      </c>
      <c r="L43" s="90">
        <f t="shared" si="12"/>
        <v>383</v>
      </c>
      <c r="M43" s="90">
        <f t="shared" si="12"/>
        <v>385</v>
      </c>
      <c r="N43" s="90">
        <f t="shared" si="12"/>
        <v>387</v>
      </c>
      <c r="O43" s="90">
        <f t="shared" si="12"/>
        <v>389</v>
      </c>
      <c r="P43" s="53"/>
    </row>
    <row r="44" spans="1:16" x14ac:dyDescent="0.35">
      <c r="A44" s="41">
        <f>Dashboard!A46</f>
        <v>0</v>
      </c>
      <c r="B44" s="41" t="str">
        <f>Dashboard!B46</f>
        <v>TOTALWATER CONNECTION CENTRAL REGION</v>
      </c>
      <c r="C44" s="41" t="str">
        <f>Dashboard!C46</f>
        <v>No.</v>
      </c>
      <c r="D44" s="51">
        <f>SUM(D37:D43)</f>
        <v>5318</v>
      </c>
      <c r="E44" s="51">
        <f t="shared" ref="E44:O44" si="13">SUM(E37:E43)</f>
        <v>5339</v>
      </c>
      <c r="F44" s="51">
        <f t="shared" si="13"/>
        <v>5360</v>
      </c>
      <c r="G44" s="51">
        <f t="shared" si="13"/>
        <v>5381</v>
      </c>
      <c r="H44" s="51">
        <f t="shared" si="13"/>
        <v>5402</v>
      </c>
      <c r="I44" s="51">
        <f t="shared" si="13"/>
        <v>5423</v>
      </c>
      <c r="J44" s="51">
        <f t="shared" si="13"/>
        <v>5444</v>
      </c>
      <c r="K44" s="51">
        <f t="shared" si="13"/>
        <v>5465</v>
      </c>
      <c r="L44" s="51">
        <f t="shared" si="13"/>
        <v>5486</v>
      </c>
      <c r="M44" s="51">
        <f t="shared" si="13"/>
        <v>5507</v>
      </c>
      <c r="N44" s="51">
        <f t="shared" si="13"/>
        <v>5528</v>
      </c>
      <c r="O44" s="51">
        <f t="shared" si="13"/>
        <v>5549</v>
      </c>
    </row>
    <row r="45" spans="1:16" x14ac:dyDescent="0.35">
      <c r="A45" s="41">
        <f>Dashboard!A47</f>
        <v>1</v>
      </c>
      <c r="B45" s="41" t="str">
        <f>Dashboard!B47</f>
        <v>HELLSGATE-  WATER</v>
      </c>
      <c r="C45" s="41" t="str">
        <f>Dashboard!C47</f>
        <v>No.</v>
      </c>
      <c r="D45" s="89">
        <f>'Input Actual2024-25'!P45+D14</f>
        <v>1843</v>
      </c>
      <c r="E45" s="89">
        <f>D45+E14</f>
        <v>1851</v>
      </c>
      <c r="F45" s="89">
        <f t="shared" ref="F45:O45" si="14">E45+F14</f>
        <v>1871</v>
      </c>
      <c r="G45" s="89">
        <f t="shared" si="14"/>
        <v>1921</v>
      </c>
      <c r="H45" s="89">
        <f t="shared" si="14"/>
        <v>1971</v>
      </c>
      <c r="I45" s="89">
        <f t="shared" si="14"/>
        <v>2021</v>
      </c>
      <c r="J45" s="89">
        <f t="shared" si="14"/>
        <v>2066</v>
      </c>
      <c r="K45" s="89">
        <f t="shared" si="14"/>
        <v>2111</v>
      </c>
      <c r="L45" s="89">
        <f t="shared" si="14"/>
        <v>2146</v>
      </c>
      <c r="M45" s="89">
        <f t="shared" si="14"/>
        <v>2176</v>
      </c>
      <c r="N45" s="89">
        <f t="shared" si="14"/>
        <v>2206</v>
      </c>
      <c r="O45" s="89">
        <f t="shared" si="14"/>
        <v>2234</v>
      </c>
    </row>
    <row r="46" spans="1:16" x14ac:dyDescent="0.35">
      <c r="A46" s="41">
        <f>Dashboard!A48</f>
        <v>2</v>
      </c>
      <c r="B46" s="41" t="str">
        <f>Dashboard!B48</f>
        <v>KAMERE- WATER</v>
      </c>
      <c r="C46" s="41" t="str">
        <f>Dashboard!C48</f>
        <v>No.</v>
      </c>
      <c r="D46" s="89">
        <f>'Input Actual2024-25'!P46+D15</f>
        <v>366</v>
      </c>
      <c r="E46" s="89">
        <f t="shared" ref="E46:O48" si="15">D46+E15</f>
        <v>367</v>
      </c>
      <c r="F46" s="89">
        <f t="shared" si="15"/>
        <v>368</v>
      </c>
      <c r="G46" s="89">
        <f t="shared" si="15"/>
        <v>389</v>
      </c>
      <c r="H46" s="89">
        <f t="shared" si="15"/>
        <v>400</v>
      </c>
      <c r="I46" s="89">
        <f t="shared" si="15"/>
        <v>411</v>
      </c>
      <c r="J46" s="89">
        <f t="shared" si="15"/>
        <v>422</v>
      </c>
      <c r="K46" s="89">
        <f t="shared" si="15"/>
        <v>433</v>
      </c>
      <c r="L46" s="89">
        <f t="shared" si="15"/>
        <v>444</v>
      </c>
      <c r="M46" s="89">
        <f t="shared" si="15"/>
        <v>455</v>
      </c>
      <c r="N46" s="89">
        <f t="shared" si="15"/>
        <v>466</v>
      </c>
      <c r="O46" s="89">
        <f t="shared" si="15"/>
        <v>477</v>
      </c>
    </row>
    <row r="47" spans="1:16" x14ac:dyDescent="0.35">
      <c r="A47" s="41">
        <f>Dashboard!A49</f>
        <v>3</v>
      </c>
      <c r="B47" s="41" t="str">
        <f>Dashboard!B49</f>
        <v>MAI-MAHIU- WATER</v>
      </c>
      <c r="C47" s="41" t="str">
        <f>Dashboard!C49</f>
        <v>No.</v>
      </c>
      <c r="D47" s="89">
        <f>'Input Actual2024-25'!P47+D16</f>
        <v>1197</v>
      </c>
      <c r="E47" s="89">
        <f t="shared" si="15"/>
        <v>1248</v>
      </c>
      <c r="F47" s="89">
        <f t="shared" si="15"/>
        <v>1294</v>
      </c>
      <c r="G47" s="89">
        <f t="shared" si="15"/>
        <v>1365</v>
      </c>
      <c r="H47" s="89">
        <f t="shared" si="15"/>
        <v>1436</v>
      </c>
      <c r="I47" s="89">
        <f t="shared" si="15"/>
        <v>1502</v>
      </c>
      <c r="J47" s="89">
        <f t="shared" si="15"/>
        <v>1563</v>
      </c>
      <c r="K47" s="89">
        <f t="shared" si="15"/>
        <v>1624</v>
      </c>
      <c r="L47" s="89">
        <f t="shared" si="15"/>
        <v>1680</v>
      </c>
      <c r="M47" s="89">
        <f t="shared" si="15"/>
        <v>1726</v>
      </c>
      <c r="N47" s="89">
        <f t="shared" si="15"/>
        <v>1772</v>
      </c>
      <c r="O47" s="89">
        <f t="shared" si="15"/>
        <v>1818</v>
      </c>
    </row>
    <row r="48" spans="1:16" x14ac:dyDescent="0.35">
      <c r="A48" s="41">
        <f>Dashboard!A50</f>
        <v>4</v>
      </c>
      <c r="B48" s="41" t="str">
        <f>Dashboard!B50</f>
        <v>LONGONOT- WATER</v>
      </c>
      <c r="C48" s="41" t="str">
        <f>Dashboard!C50</f>
        <v>No.</v>
      </c>
      <c r="D48" s="89">
        <f>'Input Actual2024-25'!P48+D17</f>
        <v>628</v>
      </c>
      <c r="E48" s="89">
        <f t="shared" si="15"/>
        <v>638</v>
      </c>
      <c r="F48" s="89">
        <f t="shared" si="15"/>
        <v>648</v>
      </c>
      <c r="G48" s="89">
        <f t="shared" si="15"/>
        <v>658</v>
      </c>
      <c r="H48" s="89">
        <f t="shared" si="15"/>
        <v>668</v>
      </c>
      <c r="I48" s="89">
        <f t="shared" si="15"/>
        <v>678</v>
      </c>
      <c r="J48" s="89">
        <f t="shared" si="15"/>
        <v>688</v>
      </c>
      <c r="K48" s="89">
        <f t="shared" si="15"/>
        <v>698</v>
      </c>
      <c r="L48" s="89">
        <f t="shared" si="15"/>
        <v>708</v>
      </c>
      <c r="M48" s="89">
        <f t="shared" si="15"/>
        <v>718</v>
      </c>
      <c r="N48" s="89">
        <f t="shared" si="15"/>
        <v>728</v>
      </c>
      <c r="O48" s="89">
        <f t="shared" si="15"/>
        <v>738</v>
      </c>
    </row>
    <row r="49" spans="1:16" x14ac:dyDescent="0.35">
      <c r="A49" s="41">
        <f>Dashboard!A51</f>
        <v>0</v>
      </c>
      <c r="B49" s="41" t="str">
        <f>Dashboard!B51</f>
        <v>TOTAL WATER CONNECTION SOUTHERN REGION</v>
      </c>
      <c r="C49" s="41" t="str">
        <f>Dashboard!C51</f>
        <v>No.</v>
      </c>
      <c r="D49" s="53">
        <f>SUM(D45:D48)</f>
        <v>4034</v>
      </c>
      <c r="E49" s="53">
        <f t="shared" ref="E49:O49" si="16">SUM(E45:E48)</f>
        <v>4104</v>
      </c>
      <c r="F49" s="53">
        <f t="shared" si="16"/>
        <v>4181</v>
      </c>
      <c r="G49" s="53">
        <f t="shared" si="16"/>
        <v>4333</v>
      </c>
      <c r="H49" s="53">
        <f t="shared" si="16"/>
        <v>4475</v>
      </c>
      <c r="I49" s="53">
        <f t="shared" si="16"/>
        <v>4612</v>
      </c>
      <c r="J49" s="53">
        <f t="shared" si="16"/>
        <v>4739</v>
      </c>
      <c r="K49" s="53">
        <f t="shared" si="16"/>
        <v>4866</v>
      </c>
      <c r="L49" s="53">
        <f t="shared" si="16"/>
        <v>4978</v>
      </c>
      <c r="M49" s="53">
        <f t="shared" si="16"/>
        <v>5075</v>
      </c>
      <c r="N49" s="53">
        <f t="shared" si="16"/>
        <v>5172</v>
      </c>
      <c r="O49" s="53">
        <f t="shared" si="16"/>
        <v>5267</v>
      </c>
    </row>
    <row r="50" spans="1:16" x14ac:dyDescent="0.35">
      <c r="A50" s="41">
        <f>Dashboard!A53</f>
        <v>1</v>
      </c>
      <c r="B50" s="41" t="str">
        <f>Dashboard!B53</f>
        <v>KAYOLE-WATER</v>
      </c>
      <c r="C50" s="41" t="str">
        <f>Dashboard!C53</f>
        <v>No.</v>
      </c>
      <c r="D50" s="76">
        <f>2863+D19</f>
        <v>2901</v>
      </c>
      <c r="E50" s="76">
        <f>D50+E19</f>
        <v>2919</v>
      </c>
      <c r="F50" s="76">
        <f t="shared" ref="F50:O50" si="17">E50+F19</f>
        <v>2937</v>
      </c>
      <c r="G50" s="76">
        <f t="shared" si="17"/>
        <v>2955</v>
      </c>
      <c r="H50" s="76">
        <f t="shared" si="17"/>
        <v>2973</v>
      </c>
      <c r="I50" s="76">
        <f t="shared" si="17"/>
        <v>2991</v>
      </c>
      <c r="J50" s="76">
        <f t="shared" si="17"/>
        <v>3024</v>
      </c>
      <c r="K50" s="76">
        <f t="shared" si="17"/>
        <v>3047</v>
      </c>
      <c r="L50" s="76">
        <f t="shared" si="17"/>
        <v>3070</v>
      </c>
      <c r="M50" s="76">
        <f t="shared" si="17"/>
        <v>3088</v>
      </c>
      <c r="N50" s="76">
        <f t="shared" si="17"/>
        <v>3106</v>
      </c>
      <c r="O50" s="76">
        <f t="shared" si="17"/>
        <v>3124</v>
      </c>
    </row>
    <row r="51" spans="1:16" x14ac:dyDescent="0.35">
      <c r="A51" s="41">
        <f>Dashboard!A54</f>
        <v>2</v>
      </c>
      <c r="B51" s="41" t="str">
        <f>Dashboard!B54</f>
        <v>IHINDU-WATER</v>
      </c>
      <c r="C51" s="41" t="str">
        <f>Dashboard!C54</f>
        <v>No.</v>
      </c>
      <c r="D51" s="76">
        <f>56+D20</f>
        <v>94</v>
      </c>
      <c r="E51" s="76">
        <f>D51+E20</f>
        <v>132</v>
      </c>
      <c r="F51" s="76">
        <f t="shared" ref="F51:O51" si="18">E51+F20</f>
        <v>165</v>
      </c>
      <c r="G51" s="76">
        <f t="shared" si="18"/>
        <v>193</v>
      </c>
      <c r="H51" s="76">
        <f t="shared" si="18"/>
        <v>221</v>
      </c>
      <c r="I51" s="76">
        <f t="shared" si="18"/>
        <v>244</v>
      </c>
      <c r="J51" s="76">
        <f t="shared" si="18"/>
        <v>267</v>
      </c>
      <c r="K51" s="76">
        <f t="shared" si="18"/>
        <v>285</v>
      </c>
      <c r="L51" s="76">
        <f t="shared" si="18"/>
        <v>303</v>
      </c>
      <c r="M51" s="76">
        <f t="shared" si="18"/>
        <v>321</v>
      </c>
      <c r="N51" s="76">
        <f t="shared" si="18"/>
        <v>339</v>
      </c>
      <c r="O51" s="76">
        <f t="shared" si="18"/>
        <v>357</v>
      </c>
    </row>
    <row r="52" spans="1:16" x14ac:dyDescent="0.35">
      <c r="A52" s="41">
        <f>Dashboard!A55</f>
        <v>0</v>
      </c>
      <c r="B52" s="41" t="str">
        <f>Dashboard!B55</f>
        <v>TOTAL WATER CONNECTION EASTERN REGION</v>
      </c>
      <c r="C52" s="41" t="str">
        <f>Dashboard!C55</f>
        <v>No.</v>
      </c>
      <c r="D52" s="53">
        <f>D50+D51</f>
        <v>2995</v>
      </c>
      <c r="E52" s="53">
        <f t="shared" ref="E52:O52" si="19">E50+E51</f>
        <v>3051</v>
      </c>
      <c r="F52" s="53">
        <f t="shared" si="19"/>
        <v>3102</v>
      </c>
      <c r="G52" s="53">
        <f t="shared" si="19"/>
        <v>3148</v>
      </c>
      <c r="H52" s="53">
        <f t="shared" si="19"/>
        <v>3194</v>
      </c>
      <c r="I52" s="53">
        <f t="shared" si="19"/>
        <v>3235</v>
      </c>
      <c r="J52" s="53">
        <f t="shared" si="19"/>
        <v>3291</v>
      </c>
      <c r="K52" s="53">
        <f t="shared" si="19"/>
        <v>3332</v>
      </c>
      <c r="L52" s="53">
        <f t="shared" si="19"/>
        <v>3373</v>
      </c>
      <c r="M52" s="53">
        <f t="shared" si="19"/>
        <v>3409</v>
      </c>
      <c r="N52" s="53">
        <f t="shared" si="19"/>
        <v>3445</v>
      </c>
      <c r="O52" s="53">
        <f t="shared" si="19"/>
        <v>3481</v>
      </c>
    </row>
    <row r="53" spans="1:16" x14ac:dyDescent="0.35">
      <c r="A53" s="41" t="str">
        <f>Dashboard!A56</f>
        <v>TOTAL  CONNECTIONS-SEWER</v>
      </c>
      <c r="D53" s="366"/>
      <c r="E53" s="366"/>
      <c r="F53" s="366"/>
      <c r="G53" s="366"/>
      <c r="H53" s="366"/>
      <c r="I53" s="366"/>
      <c r="J53" s="366"/>
      <c r="K53" s="366"/>
      <c r="L53" s="366"/>
      <c r="M53" s="366"/>
      <c r="N53" s="366"/>
      <c r="O53" s="366"/>
    </row>
    <row r="54" spans="1:16" x14ac:dyDescent="0.35">
      <c r="A54" s="41">
        <f>Dashboard!A57</f>
        <v>1</v>
      </c>
      <c r="B54" s="41" t="str">
        <f>Dashboard!B57</f>
        <v>CBD- SEWER</v>
      </c>
      <c r="C54" s="41" t="str">
        <f>Dashboard!C57</f>
        <v>No.</v>
      </c>
      <c r="D54" s="76">
        <f>'Input Actual2024-25'!P52+D23</f>
        <v>481</v>
      </c>
      <c r="E54" s="76">
        <f>D54+E23</f>
        <v>482</v>
      </c>
      <c r="F54" s="76">
        <f t="shared" ref="F54:O54" si="20">E54+F23</f>
        <v>483</v>
      </c>
      <c r="G54" s="76">
        <f t="shared" si="20"/>
        <v>484</v>
      </c>
      <c r="H54" s="76">
        <f t="shared" si="20"/>
        <v>485</v>
      </c>
      <c r="I54" s="76">
        <f t="shared" si="20"/>
        <v>486</v>
      </c>
      <c r="J54" s="76">
        <f t="shared" si="20"/>
        <v>487</v>
      </c>
      <c r="K54" s="76">
        <f t="shared" si="20"/>
        <v>488</v>
      </c>
      <c r="L54" s="76">
        <f t="shared" si="20"/>
        <v>489</v>
      </c>
      <c r="M54" s="76">
        <f t="shared" si="20"/>
        <v>490</v>
      </c>
      <c r="N54" s="76">
        <f t="shared" si="20"/>
        <v>491</v>
      </c>
      <c r="O54" s="76">
        <f t="shared" si="20"/>
        <v>492</v>
      </c>
    </row>
    <row r="55" spans="1:16" x14ac:dyDescent="0.35">
      <c r="A55" s="41">
        <f>Dashboard!A58</f>
        <v>2</v>
      </c>
      <c r="B55" s="41" t="str">
        <f>Dashboard!B58</f>
        <v>CCCR-SEWER</v>
      </c>
      <c r="C55" s="41" t="str">
        <f>Dashboard!C58</f>
        <v>No.</v>
      </c>
      <c r="D55" s="76">
        <f>'Input Actual2024-25'!P53+D24</f>
        <v>460</v>
      </c>
      <c r="E55" s="76">
        <f t="shared" ref="E55:O60" si="21">D55+E24</f>
        <v>467</v>
      </c>
      <c r="F55" s="76">
        <f t="shared" si="21"/>
        <v>474</v>
      </c>
      <c r="G55" s="76">
        <f t="shared" si="21"/>
        <v>481</v>
      </c>
      <c r="H55" s="76">
        <f t="shared" si="21"/>
        <v>488</v>
      </c>
      <c r="I55" s="76">
        <f t="shared" si="21"/>
        <v>495</v>
      </c>
      <c r="J55" s="76">
        <f t="shared" si="21"/>
        <v>502</v>
      </c>
      <c r="K55" s="76">
        <f t="shared" si="21"/>
        <v>509</v>
      </c>
      <c r="L55" s="76">
        <f t="shared" si="21"/>
        <v>516</v>
      </c>
      <c r="M55" s="76">
        <f t="shared" si="21"/>
        <v>523</v>
      </c>
      <c r="N55" s="76">
        <f t="shared" si="21"/>
        <v>530</v>
      </c>
      <c r="O55" s="76">
        <f t="shared" si="21"/>
        <v>537</v>
      </c>
      <c r="P55" s="53"/>
    </row>
    <row r="56" spans="1:16" x14ac:dyDescent="0.35">
      <c r="A56" s="41">
        <f>Dashboard!A59</f>
        <v>3</v>
      </c>
      <c r="B56" s="41" t="str">
        <f>Dashboard!B59</f>
        <v>KABATI-SEWER</v>
      </c>
      <c r="C56" s="41" t="str">
        <f>Dashboard!C59</f>
        <v>No.</v>
      </c>
      <c r="D56" s="76">
        <f>'Input Actual2024-25'!P54+D25</f>
        <v>386</v>
      </c>
      <c r="E56" s="76">
        <f t="shared" si="21"/>
        <v>389</v>
      </c>
      <c r="F56" s="76">
        <f t="shared" si="21"/>
        <v>392</v>
      </c>
      <c r="G56" s="76">
        <f t="shared" si="21"/>
        <v>395</v>
      </c>
      <c r="H56" s="76">
        <f t="shared" si="21"/>
        <v>398</v>
      </c>
      <c r="I56" s="76">
        <f t="shared" si="21"/>
        <v>401</v>
      </c>
      <c r="J56" s="76">
        <f t="shared" si="21"/>
        <v>404</v>
      </c>
      <c r="K56" s="76">
        <f t="shared" si="21"/>
        <v>407</v>
      </c>
      <c r="L56" s="76">
        <f t="shared" si="21"/>
        <v>410</v>
      </c>
      <c r="M56" s="76">
        <f t="shared" si="21"/>
        <v>413</v>
      </c>
      <c r="N56" s="76">
        <f t="shared" si="21"/>
        <v>416</v>
      </c>
      <c r="O56" s="76">
        <f t="shared" si="21"/>
        <v>419</v>
      </c>
    </row>
    <row r="57" spans="1:16" x14ac:dyDescent="0.35">
      <c r="A57" s="41">
        <f>Dashboard!A60</f>
        <v>4</v>
      </c>
      <c r="B57" s="41" t="str">
        <f>Dashboard!B60</f>
        <v>SITE- SEWER</v>
      </c>
      <c r="C57" s="41" t="str">
        <f>Dashboard!C60</f>
        <v>No.</v>
      </c>
      <c r="D57" s="76">
        <f>'Input Actual2024-25'!P55+D26</f>
        <v>606</v>
      </c>
      <c r="E57" s="76">
        <f t="shared" si="21"/>
        <v>607</v>
      </c>
      <c r="F57" s="76">
        <f t="shared" si="21"/>
        <v>608</v>
      </c>
      <c r="G57" s="76">
        <f t="shared" si="21"/>
        <v>609</v>
      </c>
      <c r="H57" s="76">
        <f t="shared" si="21"/>
        <v>610</v>
      </c>
      <c r="I57" s="76">
        <f t="shared" si="21"/>
        <v>611</v>
      </c>
      <c r="J57" s="76">
        <f t="shared" si="21"/>
        <v>612</v>
      </c>
      <c r="K57" s="76">
        <f t="shared" si="21"/>
        <v>613</v>
      </c>
      <c r="L57" s="76">
        <f t="shared" si="21"/>
        <v>614</v>
      </c>
      <c r="M57" s="76">
        <f t="shared" si="21"/>
        <v>615</v>
      </c>
      <c r="N57" s="76">
        <f t="shared" si="21"/>
        <v>616</v>
      </c>
      <c r="O57" s="76">
        <f t="shared" si="21"/>
        <v>617</v>
      </c>
    </row>
    <row r="58" spans="1:16" x14ac:dyDescent="0.35">
      <c r="A58" s="41">
        <f>Dashboard!A61</f>
        <v>5</v>
      </c>
      <c r="B58" s="41" t="str">
        <f>Dashboard!B61</f>
        <v>KIHOTO- SEWER</v>
      </c>
      <c r="C58" s="41" t="str">
        <f>Dashboard!C61</f>
        <v>No.</v>
      </c>
      <c r="D58" s="76">
        <f>'Input Actual2024-25'!P56+D27</f>
        <v>0</v>
      </c>
      <c r="E58" s="76">
        <f t="shared" si="21"/>
        <v>0</v>
      </c>
      <c r="F58" s="76">
        <f t="shared" si="21"/>
        <v>0</v>
      </c>
      <c r="G58" s="76">
        <f t="shared" si="21"/>
        <v>0</v>
      </c>
      <c r="H58" s="76">
        <f t="shared" si="21"/>
        <v>0</v>
      </c>
      <c r="I58" s="76">
        <f t="shared" si="21"/>
        <v>0</v>
      </c>
      <c r="J58" s="76">
        <f t="shared" si="21"/>
        <v>0</v>
      </c>
      <c r="K58" s="76">
        <f t="shared" si="21"/>
        <v>0</v>
      </c>
      <c r="L58" s="76">
        <f t="shared" si="21"/>
        <v>0</v>
      </c>
      <c r="M58" s="76">
        <f t="shared" si="21"/>
        <v>0</v>
      </c>
      <c r="N58" s="76">
        <f t="shared" si="21"/>
        <v>0</v>
      </c>
      <c r="O58" s="76">
        <f t="shared" si="21"/>
        <v>0</v>
      </c>
    </row>
    <row r="59" spans="1:16" x14ac:dyDescent="0.35">
      <c r="A59" s="41">
        <f>Dashboard!A62</f>
        <v>6</v>
      </c>
      <c r="B59" s="41" t="str">
        <f>Dashboard!B62</f>
        <v>LAKEVIEW- SEWER</v>
      </c>
      <c r="C59" s="41" t="str">
        <f>Dashboard!C62</f>
        <v>No.</v>
      </c>
      <c r="D59" s="76">
        <f>'Input Actual2024-25'!P57+D28</f>
        <v>181</v>
      </c>
      <c r="E59" s="76">
        <f t="shared" si="21"/>
        <v>182</v>
      </c>
      <c r="F59" s="76">
        <f t="shared" si="21"/>
        <v>183</v>
      </c>
      <c r="G59" s="76">
        <f t="shared" si="21"/>
        <v>184</v>
      </c>
      <c r="H59" s="76">
        <f t="shared" si="21"/>
        <v>185</v>
      </c>
      <c r="I59" s="76">
        <f t="shared" si="21"/>
        <v>186</v>
      </c>
      <c r="J59" s="76">
        <f t="shared" si="21"/>
        <v>187</v>
      </c>
      <c r="K59" s="76">
        <f t="shared" si="21"/>
        <v>188</v>
      </c>
      <c r="L59" s="76">
        <f t="shared" si="21"/>
        <v>189</v>
      </c>
      <c r="M59" s="76">
        <f t="shared" si="21"/>
        <v>190</v>
      </c>
      <c r="N59" s="76">
        <f t="shared" si="21"/>
        <v>191</v>
      </c>
      <c r="O59" s="76">
        <f t="shared" si="21"/>
        <v>192</v>
      </c>
    </row>
    <row r="60" spans="1:16" x14ac:dyDescent="0.35">
      <c r="A60" s="41">
        <f>Dashboard!A63</f>
        <v>7</v>
      </c>
      <c r="B60" s="41" t="str">
        <f>Dashboard!B63</f>
        <v>HOPEWELL- SEWER</v>
      </c>
      <c r="C60" s="41" t="str">
        <f>Dashboard!C63</f>
        <v>No.</v>
      </c>
      <c r="D60" s="76">
        <f>'Input Actual2024-25'!P58+D29</f>
        <v>2</v>
      </c>
      <c r="E60" s="76">
        <f t="shared" si="21"/>
        <v>2</v>
      </c>
      <c r="F60" s="76">
        <f t="shared" si="21"/>
        <v>2</v>
      </c>
      <c r="G60" s="76">
        <f t="shared" si="21"/>
        <v>2</v>
      </c>
      <c r="H60" s="76">
        <f t="shared" si="21"/>
        <v>2</v>
      </c>
      <c r="I60" s="76">
        <f t="shared" si="21"/>
        <v>2</v>
      </c>
      <c r="J60" s="76">
        <f t="shared" si="21"/>
        <v>2</v>
      </c>
      <c r="K60" s="76">
        <f t="shared" si="21"/>
        <v>2</v>
      </c>
      <c r="L60" s="76">
        <f t="shared" si="21"/>
        <v>2</v>
      </c>
      <c r="M60" s="76">
        <f t="shared" si="21"/>
        <v>2</v>
      </c>
      <c r="N60" s="76">
        <f t="shared" si="21"/>
        <v>2</v>
      </c>
      <c r="O60" s="76">
        <f t="shared" si="21"/>
        <v>2</v>
      </c>
    </row>
    <row r="61" spans="1:16" x14ac:dyDescent="0.35">
      <c r="A61" s="41">
        <f>Dashboard!A64</f>
        <v>0</v>
      </c>
      <c r="B61" s="41" t="str">
        <f>Dashboard!B64</f>
        <v>TOTAL SEWER CONNECTION CENTRAL REGION</v>
      </c>
      <c r="C61" s="41" t="str">
        <f>Dashboard!C64</f>
        <v>No.</v>
      </c>
      <c r="D61" s="53">
        <f>SUM(D54:D60)</f>
        <v>2116</v>
      </c>
      <c r="E61" s="53">
        <f t="shared" ref="E61:O61" si="22">SUM(E54:E60)</f>
        <v>2129</v>
      </c>
      <c r="F61" s="53">
        <f t="shared" si="22"/>
        <v>2142</v>
      </c>
      <c r="G61" s="53">
        <f t="shared" si="22"/>
        <v>2155</v>
      </c>
      <c r="H61" s="53">
        <f t="shared" si="22"/>
        <v>2168</v>
      </c>
      <c r="I61" s="53">
        <f t="shared" si="22"/>
        <v>2181</v>
      </c>
      <c r="J61" s="53">
        <f t="shared" si="22"/>
        <v>2194</v>
      </c>
      <c r="K61" s="53">
        <f t="shared" si="22"/>
        <v>2207</v>
      </c>
      <c r="L61" s="53">
        <f t="shared" si="22"/>
        <v>2220</v>
      </c>
      <c r="M61" s="53">
        <f t="shared" si="22"/>
        <v>2233</v>
      </c>
      <c r="N61" s="53">
        <f t="shared" si="22"/>
        <v>2246</v>
      </c>
      <c r="O61" s="53">
        <f t="shared" si="22"/>
        <v>2259</v>
      </c>
    </row>
    <row r="62" spans="1:16" x14ac:dyDescent="0.35">
      <c r="A62" s="41">
        <f>Dashboard!A66</f>
        <v>1</v>
      </c>
      <c r="B62" s="41" t="str">
        <f>Dashboard!B66</f>
        <v>HELLSGATE-SEWER</v>
      </c>
      <c r="C62" s="41" t="str">
        <f>Dashboard!C66</f>
        <v>No.</v>
      </c>
      <c r="D62" s="53">
        <f>'Input Actual2024-25'!E60+'budget 2025-26'!D31</f>
        <v>0</v>
      </c>
      <c r="E62" s="53">
        <f>D62+E31</f>
        <v>0</v>
      </c>
      <c r="F62" s="53">
        <f t="shared" ref="F62:O62" si="23">E62+F31</f>
        <v>0</v>
      </c>
      <c r="G62" s="53">
        <f t="shared" si="23"/>
        <v>0</v>
      </c>
      <c r="H62" s="53">
        <f t="shared" si="23"/>
        <v>0</v>
      </c>
      <c r="I62" s="53">
        <f t="shared" si="23"/>
        <v>0</v>
      </c>
      <c r="J62" s="53">
        <f t="shared" si="23"/>
        <v>0</v>
      </c>
      <c r="K62" s="53">
        <f t="shared" si="23"/>
        <v>0</v>
      </c>
      <c r="L62" s="53">
        <f t="shared" si="23"/>
        <v>0</v>
      </c>
      <c r="M62" s="53">
        <f t="shared" si="23"/>
        <v>0</v>
      </c>
      <c r="N62" s="53">
        <f t="shared" si="23"/>
        <v>0</v>
      </c>
      <c r="O62" s="53">
        <f t="shared" si="23"/>
        <v>0</v>
      </c>
    </row>
    <row r="63" spans="1:16" x14ac:dyDescent="0.35">
      <c r="A63" s="41">
        <f>Dashboard!A67</f>
        <v>2</v>
      </c>
      <c r="B63" s="41" t="str">
        <f>Dashboard!B67</f>
        <v>KAMERE-  SEWER</v>
      </c>
      <c r="C63" s="41" t="str">
        <f>Dashboard!C67</f>
        <v>No.</v>
      </c>
      <c r="D63" s="53">
        <f>'Input Actual2024-25'!E61+'budget 2025-26'!D32</f>
        <v>0</v>
      </c>
      <c r="E63" s="53">
        <f t="shared" ref="E63:O64" si="24">D63+E32</f>
        <v>0</v>
      </c>
      <c r="F63" s="53">
        <f t="shared" si="24"/>
        <v>0</v>
      </c>
      <c r="G63" s="53">
        <f t="shared" si="24"/>
        <v>0</v>
      </c>
      <c r="H63" s="53">
        <f t="shared" si="24"/>
        <v>0</v>
      </c>
      <c r="I63" s="53">
        <f t="shared" si="24"/>
        <v>0</v>
      </c>
      <c r="J63" s="53">
        <f t="shared" si="24"/>
        <v>0</v>
      </c>
      <c r="K63" s="53">
        <f t="shared" si="24"/>
        <v>0</v>
      </c>
      <c r="L63" s="53">
        <f t="shared" si="24"/>
        <v>0</v>
      </c>
      <c r="M63" s="53">
        <f t="shared" si="24"/>
        <v>0</v>
      </c>
      <c r="N63" s="53">
        <f t="shared" si="24"/>
        <v>0</v>
      </c>
      <c r="O63" s="53">
        <f t="shared" si="24"/>
        <v>0</v>
      </c>
    </row>
    <row r="64" spans="1:16" x14ac:dyDescent="0.35">
      <c r="A64" s="41">
        <f>Dashboard!A68</f>
        <v>3</v>
      </c>
      <c r="B64" s="41" t="str">
        <f>Dashboard!B68</f>
        <v>MAI-MAHIU-SEWER</v>
      </c>
      <c r="C64" s="41" t="str">
        <f>Dashboard!C68</f>
        <v>No.</v>
      </c>
      <c r="D64" s="53">
        <f>'Input Actual2024-25'!E62+'budget 2025-26'!D33</f>
        <v>0</v>
      </c>
      <c r="E64" s="53">
        <f t="shared" si="24"/>
        <v>0</v>
      </c>
      <c r="F64" s="53">
        <f t="shared" si="24"/>
        <v>0</v>
      </c>
      <c r="G64" s="53">
        <f t="shared" si="24"/>
        <v>0</v>
      </c>
      <c r="H64" s="53">
        <f t="shared" si="24"/>
        <v>0</v>
      </c>
      <c r="I64" s="53">
        <f t="shared" si="24"/>
        <v>0</v>
      </c>
      <c r="J64" s="53">
        <f t="shared" si="24"/>
        <v>0</v>
      </c>
      <c r="K64" s="53">
        <f t="shared" si="24"/>
        <v>0</v>
      </c>
      <c r="L64" s="53">
        <f t="shared" si="24"/>
        <v>0</v>
      </c>
      <c r="M64" s="53">
        <f t="shared" si="24"/>
        <v>0</v>
      </c>
      <c r="N64" s="53">
        <f t="shared" si="24"/>
        <v>0</v>
      </c>
      <c r="O64" s="53">
        <f t="shared" si="24"/>
        <v>0</v>
      </c>
    </row>
    <row r="65" spans="1:17" x14ac:dyDescent="0.35">
      <c r="A65" s="41">
        <f>Dashboard!A69</f>
        <v>0</v>
      </c>
      <c r="B65" s="41" t="str">
        <f>Dashboard!B69</f>
        <v>TOTAL SEWER CONNECTION SOUTHERNREGION</v>
      </c>
      <c r="C65" s="41" t="str">
        <f>Dashboard!C69</f>
        <v>No.</v>
      </c>
      <c r="D65" s="53">
        <f>SUM(D62:D64)</f>
        <v>0</v>
      </c>
      <c r="E65" s="53">
        <f t="shared" ref="E65:O65" si="25">SUM(E62:E64)</f>
        <v>0</v>
      </c>
      <c r="F65" s="53">
        <f t="shared" si="25"/>
        <v>0</v>
      </c>
      <c r="G65" s="53">
        <f t="shared" si="25"/>
        <v>0</v>
      </c>
      <c r="H65" s="53">
        <f t="shared" si="25"/>
        <v>0</v>
      </c>
      <c r="I65" s="53">
        <f t="shared" si="25"/>
        <v>0</v>
      </c>
      <c r="J65" s="53">
        <f t="shared" si="25"/>
        <v>0</v>
      </c>
      <c r="K65" s="53">
        <f t="shared" si="25"/>
        <v>0</v>
      </c>
      <c r="L65" s="53">
        <f t="shared" si="25"/>
        <v>0</v>
      </c>
      <c r="M65" s="53">
        <f t="shared" si="25"/>
        <v>0</v>
      </c>
      <c r="N65" s="53">
        <f t="shared" si="25"/>
        <v>0</v>
      </c>
      <c r="O65" s="53">
        <f t="shared" si="25"/>
        <v>0</v>
      </c>
    </row>
    <row r="66" spans="1:17" x14ac:dyDescent="0.35">
      <c r="A66" s="41">
        <f>Dashboard!A71</f>
        <v>1</v>
      </c>
      <c r="B66" s="41" t="str">
        <f>Dashboard!B71</f>
        <v>KAYOLE-SEWER</v>
      </c>
      <c r="C66" s="41" t="str">
        <f>Dashboard!C71</f>
        <v>No.</v>
      </c>
      <c r="D66" s="76">
        <f>'Input Actual2024-25'!P64+'budget 2025-26'!D35</f>
        <v>53</v>
      </c>
      <c r="E66" s="76">
        <f>D66+E35</f>
        <v>54</v>
      </c>
      <c r="F66" s="76">
        <f t="shared" ref="F66:O66" si="26">E66+F35</f>
        <v>55</v>
      </c>
      <c r="G66" s="76">
        <f t="shared" si="26"/>
        <v>56</v>
      </c>
      <c r="H66" s="76">
        <f t="shared" si="26"/>
        <v>57</v>
      </c>
      <c r="I66" s="76">
        <f t="shared" si="26"/>
        <v>58</v>
      </c>
      <c r="J66" s="76">
        <f t="shared" si="26"/>
        <v>59</v>
      </c>
      <c r="K66" s="76">
        <f t="shared" si="26"/>
        <v>60</v>
      </c>
      <c r="L66" s="76">
        <f t="shared" si="26"/>
        <v>61</v>
      </c>
      <c r="M66" s="76">
        <f t="shared" si="26"/>
        <v>62</v>
      </c>
      <c r="N66" s="76">
        <f t="shared" si="26"/>
        <v>63</v>
      </c>
      <c r="O66" s="76">
        <f t="shared" si="26"/>
        <v>64</v>
      </c>
      <c r="P66" s="69"/>
      <c r="Q66" s="70">
        <v>7</v>
      </c>
    </row>
    <row r="67" spans="1:17" x14ac:dyDescent="0.35">
      <c r="A67" s="41" t="str">
        <f>Dashboard!A72</f>
        <v>TOTAL ACTIVE CONNECTIONS-WATER</v>
      </c>
    </row>
    <row r="68" spans="1:17" x14ac:dyDescent="0.35">
      <c r="A68" s="41">
        <f>Dashboard!A73</f>
        <v>1</v>
      </c>
      <c r="B68" s="41" t="str">
        <f>Dashboard!B73</f>
        <v>CBD- ACTIVE WATER</v>
      </c>
      <c r="C68" s="41" t="str">
        <f>Dashboard!C73</f>
        <v>No.</v>
      </c>
      <c r="D68" s="74">
        <f>'Input Actual2024-25'!P66+'budget 2025-26'!D6</f>
        <v>597</v>
      </c>
      <c r="E68" s="74">
        <f>D68+E6</f>
        <v>598</v>
      </c>
      <c r="F68" s="74">
        <f t="shared" ref="F68:O68" si="27">E68+F6</f>
        <v>599</v>
      </c>
      <c r="G68" s="74">
        <f t="shared" si="27"/>
        <v>600</v>
      </c>
      <c r="H68" s="74">
        <f t="shared" si="27"/>
        <v>601</v>
      </c>
      <c r="I68" s="74">
        <f t="shared" si="27"/>
        <v>602</v>
      </c>
      <c r="J68" s="74">
        <f t="shared" si="27"/>
        <v>603</v>
      </c>
      <c r="K68" s="74">
        <f t="shared" si="27"/>
        <v>604</v>
      </c>
      <c r="L68" s="74">
        <f t="shared" si="27"/>
        <v>605</v>
      </c>
      <c r="M68" s="74">
        <f t="shared" si="27"/>
        <v>606</v>
      </c>
      <c r="N68" s="74">
        <f t="shared" si="27"/>
        <v>607</v>
      </c>
      <c r="O68" s="74">
        <f t="shared" si="27"/>
        <v>608</v>
      </c>
    </row>
    <row r="69" spans="1:17" x14ac:dyDescent="0.35">
      <c r="A69" s="41">
        <f>Dashboard!A74</f>
        <v>2</v>
      </c>
      <c r="B69" s="41" t="str">
        <f>Dashboard!B74</f>
        <v>CCCR- ACTIVE WATER</v>
      </c>
      <c r="C69" s="41" t="str">
        <f>Dashboard!C74</f>
        <v>No.</v>
      </c>
      <c r="D69" s="74">
        <f>'Input Actual2024-25'!P67+'budget 2025-26'!D7</f>
        <v>709</v>
      </c>
      <c r="E69" s="74">
        <f t="shared" ref="E69:O74" si="28">D69+E7</f>
        <v>719</v>
      </c>
      <c r="F69" s="74">
        <f t="shared" si="28"/>
        <v>729</v>
      </c>
      <c r="G69" s="74">
        <f t="shared" si="28"/>
        <v>739</v>
      </c>
      <c r="H69" s="74">
        <f t="shared" si="28"/>
        <v>749</v>
      </c>
      <c r="I69" s="74">
        <f t="shared" si="28"/>
        <v>759</v>
      </c>
      <c r="J69" s="74">
        <f t="shared" si="28"/>
        <v>769</v>
      </c>
      <c r="K69" s="74">
        <f t="shared" si="28"/>
        <v>779</v>
      </c>
      <c r="L69" s="74">
        <f t="shared" si="28"/>
        <v>789</v>
      </c>
      <c r="M69" s="74">
        <f t="shared" si="28"/>
        <v>799</v>
      </c>
      <c r="N69" s="74">
        <f t="shared" si="28"/>
        <v>809</v>
      </c>
      <c r="O69" s="74">
        <f t="shared" si="28"/>
        <v>819</v>
      </c>
    </row>
    <row r="70" spans="1:17" x14ac:dyDescent="0.35">
      <c r="A70" s="41">
        <f>Dashboard!A75</f>
        <v>3</v>
      </c>
      <c r="B70" s="41" t="str">
        <f>Dashboard!B75</f>
        <v>KABATI- ACTIVE WATER</v>
      </c>
      <c r="C70" s="41" t="str">
        <f>Dashboard!C75</f>
        <v>No.</v>
      </c>
      <c r="D70" s="74">
        <f>'Input Actual2024-25'!P68+'budget 2025-26'!D8</f>
        <v>866</v>
      </c>
      <c r="E70" s="74">
        <f t="shared" si="28"/>
        <v>870</v>
      </c>
      <c r="F70" s="74">
        <f t="shared" si="28"/>
        <v>874</v>
      </c>
      <c r="G70" s="74">
        <f t="shared" si="28"/>
        <v>878</v>
      </c>
      <c r="H70" s="74">
        <f t="shared" si="28"/>
        <v>882</v>
      </c>
      <c r="I70" s="74">
        <f t="shared" si="28"/>
        <v>886</v>
      </c>
      <c r="J70" s="74">
        <f t="shared" si="28"/>
        <v>890</v>
      </c>
      <c r="K70" s="74">
        <f t="shared" si="28"/>
        <v>894</v>
      </c>
      <c r="L70" s="74">
        <f t="shared" si="28"/>
        <v>898</v>
      </c>
      <c r="M70" s="74">
        <f t="shared" si="28"/>
        <v>902</v>
      </c>
      <c r="N70" s="74">
        <f t="shared" si="28"/>
        <v>906</v>
      </c>
      <c r="O70" s="74">
        <f t="shared" si="28"/>
        <v>910</v>
      </c>
    </row>
    <row r="71" spans="1:17" x14ac:dyDescent="0.35">
      <c r="A71" s="41">
        <f>Dashboard!A76</f>
        <v>4</v>
      </c>
      <c r="B71" s="41" t="str">
        <f>Dashboard!B76</f>
        <v>SITE- ACTIVE WATER</v>
      </c>
      <c r="C71" s="41" t="str">
        <f>Dashboard!C76</f>
        <v>No.</v>
      </c>
      <c r="D71" s="74">
        <f>'Input Actual2024-25'!P69+'budget 2025-26'!D9</f>
        <v>837</v>
      </c>
      <c r="E71" s="74">
        <f t="shared" si="28"/>
        <v>838</v>
      </c>
      <c r="F71" s="74">
        <f t="shared" si="28"/>
        <v>839</v>
      </c>
      <c r="G71" s="74">
        <f t="shared" si="28"/>
        <v>840</v>
      </c>
      <c r="H71" s="74">
        <f t="shared" si="28"/>
        <v>841</v>
      </c>
      <c r="I71" s="74">
        <f t="shared" si="28"/>
        <v>842</v>
      </c>
      <c r="J71" s="74">
        <f t="shared" si="28"/>
        <v>843</v>
      </c>
      <c r="K71" s="74">
        <f t="shared" si="28"/>
        <v>844</v>
      </c>
      <c r="L71" s="74">
        <f t="shared" si="28"/>
        <v>845</v>
      </c>
      <c r="M71" s="74">
        <f t="shared" si="28"/>
        <v>846</v>
      </c>
      <c r="N71" s="74">
        <f t="shared" si="28"/>
        <v>847</v>
      </c>
      <c r="O71" s="74">
        <f t="shared" si="28"/>
        <v>848</v>
      </c>
    </row>
    <row r="72" spans="1:17" x14ac:dyDescent="0.35">
      <c r="A72" s="41">
        <f>Dashboard!A77</f>
        <v>5</v>
      </c>
      <c r="B72" s="41" t="str">
        <f>Dashboard!B77</f>
        <v>KIHOTO-ACTIVE WATER</v>
      </c>
      <c r="C72" s="41" t="str">
        <f>Dashboard!C77</f>
        <v>No.</v>
      </c>
      <c r="D72" s="74">
        <f>'Input Actual2024-25'!P70+'budget 2025-26'!D10</f>
        <v>176</v>
      </c>
      <c r="E72" s="74">
        <f t="shared" si="28"/>
        <v>177</v>
      </c>
      <c r="F72" s="74">
        <f t="shared" si="28"/>
        <v>178</v>
      </c>
      <c r="G72" s="74">
        <f t="shared" si="28"/>
        <v>179</v>
      </c>
      <c r="H72" s="74">
        <f t="shared" si="28"/>
        <v>180</v>
      </c>
      <c r="I72" s="74">
        <f t="shared" si="28"/>
        <v>181</v>
      </c>
      <c r="J72" s="74">
        <f t="shared" si="28"/>
        <v>182</v>
      </c>
      <c r="K72" s="74">
        <f t="shared" si="28"/>
        <v>183</v>
      </c>
      <c r="L72" s="74">
        <f t="shared" si="28"/>
        <v>184</v>
      </c>
      <c r="M72" s="74">
        <f t="shared" si="28"/>
        <v>185</v>
      </c>
      <c r="N72" s="74">
        <f t="shared" si="28"/>
        <v>186</v>
      </c>
      <c r="O72" s="74">
        <f t="shared" si="28"/>
        <v>187</v>
      </c>
    </row>
    <row r="73" spans="1:17" x14ac:dyDescent="0.35">
      <c r="A73" s="41">
        <f>Dashboard!A78</f>
        <v>6</v>
      </c>
      <c r="B73" s="41" t="str">
        <f>Dashboard!B78</f>
        <v>LAKEVIEW- ACTIVE WATER</v>
      </c>
      <c r="C73" s="41" t="str">
        <f>Dashboard!C78</f>
        <v>No.</v>
      </c>
      <c r="D73" s="74">
        <f>'Input Actual2024-25'!P71+'budget 2025-26'!D11</f>
        <v>983</v>
      </c>
      <c r="E73" s="74">
        <f t="shared" si="28"/>
        <v>985</v>
      </c>
      <c r="F73" s="74">
        <f t="shared" si="28"/>
        <v>987</v>
      </c>
      <c r="G73" s="74">
        <f t="shared" si="28"/>
        <v>989</v>
      </c>
      <c r="H73" s="74">
        <f t="shared" si="28"/>
        <v>991</v>
      </c>
      <c r="I73" s="74">
        <f t="shared" si="28"/>
        <v>993</v>
      </c>
      <c r="J73" s="74">
        <f t="shared" si="28"/>
        <v>995</v>
      </c>
      <c r="K73" s="74">
        <f t="shared" si="28"/>
        <v>997</v>
      </c>
      <c r="L73" s="74">
        <f t="shared" si="28"/>
        <v>999</v>
      </c>
      <c r="M73" s="74">
        <f t="shared" si="28"/>
        <v>1001</v>
      </c>
      <c r="N73" s="74">
        <f t="shared" si="28"/>
        <v>1003</v>
      </c>
      <c r="O73" s="74">
        <f t="shared" si="28"/>
        <v>1005</v>
      </c>
    </row>
    <row r="74" spans="1:17" x14ac:dyDescent="0.35">
      <c r="A74" s="41">
        <f>Dashboard!A79</f>
        <v>7</v>
      </c>
      <c r="B74" s="41" t="str">
        <f>Dashboard!B79</f>
        <v>HOPEWELL- ACTIVE WATER</v>
      </c>
      <c r="C74" s="41" t="str">
        <f>Dashboard!C79</f>
        <v>No.</v>
      </c>
      <c r="D74" s="74">
        <f>'Input Actual2024-25'!P72+'budget 2025-26'!D12</f>
        <v>297</v>
      </c>
      <c r="E74" s="74">
        <f t="shared" si="28"/>
        <v>299</v>
      </c>
      <c r="F74" s="74">
        <f t="shared" si="28"/>
        <v>301</v>
      </c>
      <c r="G74" s="74">
        <f t="shared" si="28"/>
        <v>303</v>
      </c>
      <c r="H74" s="74">
        <f t="shared" si="28"/>
        <v>305</v>
      </c>
      <c r="I74" s="74">
        <f t="shared" si="28"/>
        <v>307</v>
      </c>
      <c r="J74" s="74">
        <f t="shared" si="28"/>
        <v>309</v>
      </c>
      <c r="K74" s="74">
        <f t="shared" si="28"/>
        <v>311</v>
      </c>
      <c r="L74" s="74">
        <f t="shared" si="28"/>
        <v>313</v>
      </c>
      <c r="M74" s="74">
        <f t="shared" si="28"/>
        <v>315</v>
      </c>
      <c r="N74" s="74">
        <f t="shared" si="28"/>
        <v>317</v>
      </c>
      <c r="O74" s="74">
        <f t="shared" si="28"/>
        <v>319</v>
      </c>
    </row>
    <row r="75" spans="1:17" x14ac:dyDescent="0.35">
      <c r="A75" s="41">
        <f>Dashboard!A80</f>
        <v>0</v>
      </c>
      <c r="B75" s="41" t="str">
        <f>Dashboard!B80</f>
        <v>TOTAL ACTIVE WATER CONNECTION CENTRAL REGION</v>
      </c>
      <c r="C75" s="41" t="str">
        <f>Dashboard!C80</f>
        <v>No.</v>
      </c>
      <c r="D75" s="73">
        <f>SUM(D68:D74)</f>
        <v>4465</v>
      </c>
      <c r="E75" s="73">
        <f t="shared" ref="E75:O75" si="29">SUM(E68:E74)</f>
        <v>4486</v>
      </c>
      <c r="F75" s="73">
        <f t="shared" si="29"/>
        <v>4507</v>
      </c>
      <c r="G75" s="73">
        <f t="shared" si="29"/>
        <v>4528</v>
      </c>
      <c r="H75" s="73">
        <f t="shared" si="29"/>
        <v>4549</v>
      </c>
      <c r="I75" s="73">
        <f t="shared" si="29"/>
        <v>4570</v>
      </c>
      <c r="J75" s="73">
        <f t="shared" si="29"/>
        <v>4591</v>
      </c>
      <c r="K75" s="73">
        <f t="shared" si="29"/>
        <v>4612</v>
      </c>
      <c r="L75" s="73">
        <f t="shared" si="29"/>
        <v>4633</v>
      </c>
      <c r="M75" s="73">
        <f t="shared" si="29"/>
        <v>4654</v>
      </c>
      <c r="N75" s="73">
        <f t="shared" si="29"/>
        <v>4675</v>
      </c>
      <c r="O75" s="73">
        <f t="shared" si="29"/>
        <v>4696</v>
      </c>
    </row>
    <row r="76" spans="1:17" x14ac:dyDescent="0.35">
      <c r="A76" s="41">
        <f>Dashboard!A81</f>
        <v>1</v>
      </c>
      <c r="B76" s="41" t="str">
        <f>Dashboard!B81</f>
        <v>HELLSGATE- ACTIVE WATER</v>
      </c>
      <c r="C76" s="41" t="str">
        <f>Dashboard!C81</f>
        <v>No.</v>
      </c>
      <c r="D76" s="50">
        <f>'Input Actual2024-25'!P74+'budget 2025-26'!D14</f>
        <v>1591</v>
      </c>
      <c r="E76" s="50">
        <f>D76+E14</f>
        <v>1599</v>
      </c>
      <c r="F76" s="50">
        <f t="shared" ref="F76:O76" si="30">E76+F14</f>
        <v>1619</v>
      </c>
      <c r="G76" s="50">
        <f t="shared" si="30"/>
        <v>1669</v>
      </c>
      <c r="H76" s="50">
        <f t="shared" si="30"/>
        <v>1719</v>
      </c>
      <c r="I76" s="50">
        <f t="shared" si="30"/>
        <v>1769</v>
      </c>
      <c r="J76" s="50">
        <f t="shared" si="30"/>
        <v>1814</v>
      </c>
      <c r="K76" s="50">
        <f t="shared" si="30"/>
        <v>1859</v>
      </c>
      <c r="L76" s="50">
        <f t="shared" si="30"/>
        <v>1894</v>
      </c>
      <c r="M76" s="50">
        <f t="shared" si="30"/>
        <v>1924</v>
      </c>
      <c r="N76" s="50">
        <f t="shared" si="30"/>
        <v>1954</v>
      </c>
      <c r="O76" s="50">
        <f t="shared" si="30"/>
        <v>1982</v>
      </c>
    </row>
    <row r="77" spans="1:17" x14ac:dyDescent="0.35">
      <c r="A77" s="41">
        <f>Dashboard!A82</f>
        <v>2</v>
      </c>
      <c r="B77" s="41" t="str">
        <f>Dashboard!B82</f>
        <v>KAMERE- ACTIVE WATER</v>
      </c>
      <c r="C77" s="41" t="str">
        <f>Dashboard!C82</f>
        <v>No.</v>
      </c>
      <c r="D77" s="50">
        <f>'Input Actual2024-25'!P75+'budget 2025-26'!D15</f>
        <v>265</v>
      </c>
      <c r="E77" s="50">
        <f t="shared" ref="E77:O79" si="31">D77+E15</f>
        <v>266</v>
      </c>
      <c r="F77" s="50">
        <f t="shared" si="31"/>
        <v>267</v>
      </c>
      <c r="G77" s="50">
        <f t="shared" si="31"/>
        <v>288</v>
      </c>
      <c r="H77" s="50">
        <f t="shared" si="31"/>
        <v>299</v>
      </c>
      <c r="I77" s="50">
        <f t="shared" si="31"/>
        <v>310</v>
      </c>
      <c r="J77" s="50">
        <f t="shared" si="31"/>
        <v>321</v>
      </c>
      <c r="K77" s="50">
        <f t="shared" si="31"/>
        <v>332</v>
      </c>
      <c r="L77" s="50">
        <f t="shared" si="31"/>
        <v>343</v>
      </c>
      <c r="M77" s="50">
        <f t="shared" si="31"/>
        <v>354</v>
      </c>
      <c r="N77" s="50">
        <f t="shared" si="31"/>
        <v>365</v>
      </c>
      <c r="O77" s="50">
        <f t="shared" si="31"/>
        <v>376</v>
      </c>
    </row>
    <row r="78" spans="1:17" x14ac:dyDescent="0.35">
      <c r="A78" s="41">
        <f>Dashboard!A83</f>
        <v>3</v>
      </c>
      <c r="B78" s="41" t="str">
        <f>Dashboard!B83</f>
        <v>MAI-MAHIU- ACTIVE WATER</v>
      </c>
      <c r="C78" s="41" t="str">
        <f>Dashboard!C83</f>
        <v>No.</v>
      </c>
      <c r="D78" s="50">
        <f>'Input Actual2024-25'!P76+'budget 2025-26'!D16</f>
        <v>732</v>
      </c>
      <c r="E78" s="50">
        <f t="shared" si="31"/>
        <v>783</v>
      </c>
      <c r="F78" s="50">
        <f t="shared" si="31"/>
        <v>829</v>
      </c>
      <c r="G78" s="50">
        <f t="shared" si="31"/>
        <v>900</v>
      </c>
      <c r="H78" s="50">
        <f t="shared" si="31"/>
        <v>971</v>
      </c>
      <c r="I78" s="50">
        <f t="shared" si="31"/>
        <v>1037</v>
      </c>
      <c r="J78" s="50">
        <f t="shared" si="31"/>
        <v>1098</v>
      </c>
      <c r="K78" s="50">
        <f t="shared" si="31"/>
        <v>1159</v>
      </c>
      <c r="L78" s="50">
        <f t="shared" si="31"/>
        <v>1215</v>
      </c>
      <c r="M78" s="50">
        <f t="shared" si="31"/>
        <v>1261</v>
      </c>
      <c r="N78" s="50">
        <f t="shared" si="31"/>
        <v>1307</v>
      </c>
      <c r="O78" s="50">
        <f t="shared" si="31"/>
        <v>1353</v>
      </c>
    </row>
    <row r="79" spans="1:17" x14ac:dyDescent="0.35">
      <c r="A79" s="41">
        <f>Dashboard!A84</f>
        <v>4</v>
      </c>
      <c r="B79" s="41" t="str">
        <f>Dashboard!B84</f>
        <v>LONGONOT- ACTIVE WATER</v>
      </c>
      <c r="C79" s="41" t="str">
        <f>Dashboard!C84</f>
        <v>No.</v>
      </c>
      <c r="D79" s="50">
        <f>'Input Actual2024-25'!P77+'budget 2025-26'!D17</f>
        <v>529</v>
      </c>
      <c r="E79" s="50">
        <f t="shared" si="31"/>
        <v>539</v>
      </c>
      <c r="F79" s="50">
        <f t="shared" si="31"/>
        <v>549</v>
      </c>
      <c r="G79" s="50">
        <f t="shared" si="31"/>
        <v>559</v>
      </c>
      <c r="H79" s="50">
        <f t="shared" si="31"/>
        <v>569</v>
      </c>
      <c r="I79" s="50">
        <f t="shared" si="31"/>
        <v>579</v>
      </c>
      <c r="J79" s="50">
        <f t="shared" si="31"/>
        <v>589</v>
      </c>
      <c r="K79" s="50">
        <f t="shared" si="31"/>
        <v>599</v>
      </c>
      <c r="L79" s="50">
        <f t="shared" si="31"/>
        <v>609</v>
      </c>
      <c r="M79" s="50">
        <f t="shared" si="31"/>
        <v>619</v>
      </c>
      <c r="N79" s="50">
        <f t="shared" si="31"/>
        <v>629</v>
      </c>
      <c r="O79" s="50">
        <f t="shared" si="31"/>
        <v>639</v>
      </c>
    </row>
    <row r="80" spans="1:17" x14ac:dyDescent="0.35">
      <c r="A80" s="41">
        <f>Dashboard!A85</f>
        <v>0</v>
      </c>
      <c r="B80" s="41" t="str">
        <f>Dashboard!B85</f>
        <v>TOTAL ACTIVE WATER CONNECTION SOUTHERN REGION</v>
      </c>
      <c r="C80" s="41" t="str">
        <f>Dashboard!C85</f>
        <v>No.</v>
      </c>
      <c r="D80" s="73">
        <f>SUM(D76:D79)</f>
        <v>3117</v>
      </c>
      <c r="E80" s="73">
        <f t="shared" ref="E80:O80" si="32">SUM(E76:E79)</f>
        <v>3187</v>
      </c>
      <c r="F80" s="73">
        <f t="shared" si="32"/>
        <v>3264</v>
      </c>
      <c r="G80" s="73">
        <f t="shared" si="32"/>
        <v>3416</v>
      </c>
      <c r="H80" s="73">
        <f t="shared" si="32"/>
        <v>3558</v>
      </c>
      <c r="I80" s="73">
        <f t="shared" si="32"/>
        <v>3695</v>
      </c>
      <c r="J80" s="73">
        <f t="shared" si="32"/>
        <v>3822</v>
      </c>
      <c r="K80" s="73">
        <f t="shared" si="32"/>
        <v>3949</v>
      </c>
      <c r="L80" s="73">
        <f t="shared" si="32"/>
        <v>4061</v>
      </c>
      <c r="M80" s="73">
        <f t="shared" si="32"/>
        <v>4158</v>
      </c>
      <c r="N80" s="73">
        <f t="shared" si="32"/>
        <v>4255</v>
      </c>
      <c r="O80" s="73">
        <f t="shared" si="32"/>
        <v>4350</v>
      </c>
    </row>
    <row r="81" spans="1:15" x14ac:dyDescent="0.35">
      <c r="A81" s="41">
        <f>Dashboard!A87</f>
        <v>1</v>
      </c>
      <c r="B81" s="41" t="str">
        <f>Dashboard!B87</f>
        <v>KAYOLE- ACTIVE WATER</v>
      </c>
      <c r="C81" s="41" t="str">
        <f>Dashboard!C87</f>
        <v>No.</v>
      </c>
      <c r="D81" s="50">
        <f>2702+D19</f>
        <v>2740</v>
      </c>
      <c r="E81" s="50">
        <f>D81+E19</f>
        <v>2758</v>
      </c>
      <c r="F81" s="50">
        <f t="shared" ref="F81:O81" si="33">E81+F19</f>
        <v>2776</v>
      </c>
      <c r="G81" s="50">
        <f t="shared" si="33"/>
        <v>2794</v>
      </c>
      <c r="H81" s="50">
        <f t="shared" si="33"/>
        <v>2812</v>
      </c>
      <c r="I81" s="50">
        <f t="shared" si="33"/>
        <v>2830</v>
      </c>
      <c r="J81" s="50">
        <f t="shared" si="33"/>
        <v>2863</v>
      </c>
      <c r="K81" s="50">
        <f t="shared" si="33"/>
        <v>2886</v>
      </c>
      <c r="L81" s="50">
        <f t="shared" si="33"/>
        <v>2909</v>
      </c>
      <c r="M81" s="50">
        <f t="shared" si="33"/>
        <v>2927</v>
      </c>
      <c r="N81" s="50">
        <f t="shared" si="33"/>
        <v>2945</v>
      </c>
      <c r="O81" s="50">
        <f t="shared" si="33"/>
        <v>2963</v>
      </c>
    </row>
    <row r="82" spans="1:15" x14ac:dyDescent="0.35">
      <c r="A82" s="41">
        <f>Dashboard!A88</f>
        <v>2</v>
      </c>
      <c r="B82" s="41" t="str">
        <f>Dashboard!B88</f>
        <v>IHINDU- ACTIVE WATER</v>
      </c>
      <c r="C82" s="41" t="str">
        <f>Dashboard!C88</f>
        <v>No.</v>
      </c>
      <c r="D82" s="50">
        <f>13+D20</f>
        <v>51</v>
      </c>
      <c r="E82" s="50">
        <f>D82+E20</f>
        <v>89</v>
      </c>
      <c r="F82" s="50">
        <f t="shared" ref="F82:O82" si="34">E82+F20</f>
        <v>122</v>
      </c>
      <c r="G82" s="50">
        <f t="shared" si="34"/>
        <v>150</v>
      </c>
      <c r="H82" s="50">
        <f t="shared" si="34"/>
        <v>178</v>
      </c>
      <c r="I82" s="50">
        <f t="shared" si="34"/>
        <v>201</v>
      </c>
      <c r="J82" s="50">
        <f t="shared" si="34"/>
        <v>224</v>
      </c>
      <c r="K82" s="50">
        <f t="shared" si="34"/>
        <v>242</v>
      </c>
      <c r="L82" s="50">
        <f t="shared" si="34"/>
        <v>260</v>
      </c>
      <c r="M82" s="50">
        <f t="shared" si="34"/>
        <v>278</v>
      </c>
      <c r="N82" s="50">
        <f t="shared" si="34"/>
        <v>296</v>
      </c>
      <c r="O82" s="50">
        <f t="shared" si="34"/>
        <v>314</v>
      </c>
    </row>
    <row r="83" spans="1:15" x14ac:dyDescent="0.35">
      <c r="A83" s="41">
        <f>Dashboard!A89</f>
        <v>0</v>
      </c>
      <c r="B83" s="41" t="str">
        <f>Dashboard!B89</f>
        <v>TOTAL ACTIVE WATER CONNECTION EASTERN REGION</v>
      </c>
      <c r="C83" s="41" t="str">
        <f>Dashboard!C89</f>
        <v>No.</v>
      </c>
      <c r="D83" s="50">
        <f>D81+D82</f>
        <v>2791</v>
      </c>
      <c r="E83" s="50">
        <f t="shared" ref="E83:O83" si="35">E81+E82</f>
        <v>2847</v>
      </c>
      <c r="F83" s="50">
        <f t="shared" si="35"/>
        <v>2898</v>
      </c>
      <c r="G83" s="50">
        <f t="shared" si="35"/>
        <v>2944</v>
      </c>
      <c r="H83" s="50">
        <f t="shared" si="35"/>
        <v>2990</v>
      </c>
      <c r="I83" s="50">
        <f t="shared" si="35"/>
        <v>3031</v>
      </c>
      <c r="J83" s="50">
        <f t="shared" si="35"/>
        <v>3087</v>
      </c>
      <c r="K83" s="50">
        <f t="shared" si="35"/>
        <v>3128</v>
      </c>
      <c r="L83" s="50">
        <f t="shared" si="35"/>
        <v>3169</v>
      </c>
      <c r="M83" s="50">
        <f t="shared" si="35"/>
        <v>3205</v>
      </c>
      <c r="N83" s="50">
        <f t="shared" si="35"/>
        <v>3241</v>
      </c>
      <c r="O83" s="50">
        <f t="shared" si="35"/>
        <v>3277</v>
      </c>
    </row>
    <row r="84" spans="1:15" x14ac:dyDescent="0.35">
      <c r="A84" s="41" t="str">
        <f>Dashboard!A90</f>
        <v>TOTAL ACTIVE CONNECTIONS-SEWER</v>
      </c>
      <c r="D84" s="53"/>
      <c r="E84" s="53"/>
      <c r="F84" s="53"/>
      <c r="G84" s="53"/>
      <c r="H84" s="53"/>
      <c r="I84" s="53"/>
      <c r="J84" s="53"/>
      <c r="K84" s="53"/>
      <c r="L84" s="53"/>
      <c r="M84" s="53"/>
      <c r="N84" s="53"/>
      <c r="O84" s="53"/>
    </row>
    <row r="85" spans="1:15" x14ac:dyDescent="0.35">
      <c r="A85" s="41">
        <f>Dashboard!A91</f>
        <v>1</v>
      </c>
      <c r="B85" s="41" t="str">
        <f>Dashboard!B91</f>
        <v>CBD- ACTIVE SEWER</v>
      </c>
      <c r="C85" s="41" t="str">
        <f>Dashboard!C91</f>
        <v>No.</v>
      </c>
      <c r="D85" s="74">
        <f>'Input Actual2024-25'!P81+'budget 2025-26'!D23</f>
        <v>389</v>
      </c>
      <c r="E85" s="74">
        <f>D85+E23</f>
        <v>390</v>
      </c>
      <c r="F85" s="74">
        <f t="shared" ref="F85:O85" si="36">E85+F23</f>
        <v>391</v>
      </c>
      <c r="G85" s="74">
        <f t="shared" si="36"/>
        <v>392</v>
      </c>
      <c r="H85" s="74">
        <f t="shared" si="36"/>
        <v>393</v>
      </c>
      <c r="I85" s="74">
        <f t="shared" si="36"/>
        <v>394</v>
      </c>
      <c r="J85" s="74">
        <f t="shared" si="36"/>
        <v>395</v>
      </c>
      <c r="K85" s="74">
        <f t="shared" si="36"/>
        <v>396</v>
      </c>
      <c r="L85" s="74">
        <f t="shared" si="36"/>
        <v>397</v>
      </c>
      <c r="M85" s="74">
        <f t="shared" si="36"/>
        <v>398</v>
      </c>
      <c r="N85" s="74">
        <f t="shared" si="36"/>
        <v>399</v>
      </c>
      <c r="O85" s="74">
        <f t="shared" si="36"/>
        <v>400</v>
      </c>
    </row>
    <row r="86" spans="1:15" x14ac:dyDescent="0.35">
      <c r="A86" s="41">
        <f>Dashboard!A92</f>
        <v>2</v>
      </c>
      <c r="B86" s="41" t="str">
        <f>Dashboard!B92</f>
        <v>CCCR- ACTIVE SEWER</v>
      </c>
      <c r="C86" s="41" t="str">
        <f>Dashboard!C92</f>
        <v>No.</v>
      </c>
      <c r="D86" s="74">
        <f>'Input Actual2024-25'!P82+'budget 2025-26'!D24</f>
        <v>398</v>
      </c>
      <c r="E86" s="74">
        <f t="shared" ref="E86:O91" si="37">D86+E24</f>
        <v>405</v>
      </c>
      <c r="F86" s="74">
        <f t="shared" si="37"/>
        <v>412</v>
      </c>
      <c r="G86" s="74">
        <f t="shared" si="37"/>
        <v>419</v>
      </c>
      <c r="H86" s="74">
        <f t="shared" si="37"/>
        <v>426</v>
      </c>
      <c r="I86" s="74">
        <f t="shared" si="37"/>
        <v>433</v>
      </c>
      <c r="J86" s="74">
        <f t="shared" si="37"/>
        <v>440</v>
      </c>
      <c r="K86" s="74">
        <f t="shared" si="37"/>
        <v>447</v>
      </c>
      <c r="L86" s="74">
        <f t="shared" si="37"/>
        <v>454</v>
      </c>
      <c r="M86" s="74">
        <f t="shared" si="37"/>
        <v>461</v>
      </c>
      <c r="N86" s="74">
        <f t="shared" si="37"/>
        <v>468</v>
      </c>
      <c r="O86" s="74">
        <f t="shared" si="37"/>
        <v>475</v>
      </c>
    </row>
    <row r="87" spans="1:15" x14ac:dyDescent="0.35">
      <c r="A87" s="41">
        <f>Dashboard!A93</f>
        <v>3</v>
      </c>
      <c r="B87" s="41" t="str">
        <f>Dashboard!B93</f>
        <v>KABATI- ACTIVE SEWER</v>
      </c>
      <c r="C87" s="41" t="str">
        <f>Dashboard!C93</f>
        <v>No.</v>
      </c>
      <c r="D87" s="74">
        <f>'Input Actual2024-25'!P83+'budget 2025-26'!D25</f>
        <v>332</v>
      </c>
      <c r="E87" s="74">
        <f t="shared" si="37"/>
        <v>335</v>
      </c>
      <c r="F87" s="74">
        <f t="shared" si="37"/>
        <v>338</v>
      </c>
      <c r="G87" s="74">
        <f t="shared" si="37"/>
        <v>341</v>
      </c>
      <c r="H87" s="74">
        <f t="shared" si="37"/>
        <v>344</v>
      </c>
      <c r="I87" s="74">
        <f t="shared" si="37"/>
        <v>347</v>
      </c>
      <c r="J87" s="74">
        <f t="shared" si="37"/>
        <v>350</v>
      </c>
      <c r="K87" s="74">
        <f t="shared" si="37"/>
        <v>353</v>
      </c>
      <c r="L87" s="74">
        <f t="shared" si="37"/>
        <v>356</v>
      </c>
      <c r="M87" s="74">
        <f t="shared" si="37"/>
        <v>359</v>
      </c>
      <c r="N87" s="74">
        <f t="shared" si="37"/>
        <v>362</v>
      </c>
      <c r="O87" s="74">
        <f t="shared" si="37"/>
        <v>365</v>
      </c>
    </row>
    <row r="88" spans="1:15" x14ac:dyDescent="0.35">
      <c r="A88" s="41">
        <f>Dashboard!A94</f>
        <v>4</v>
      </c>
      <c r="B88" s="41" t="str">
        <f>Dashboard!B94</f>
        <v>SITE- ACTIVE SEWER</v>
      </c>
      <c r="C88" s="41" t="str">
        <f>Dashboard!C94</f>
        <v>No.</v>
      </c>
      <c r="D88" s="74">
        <f>'Input Actual2024-25'!P84+'budget 2025-26'!D26</f>
        <v>520</v>
      </c>
      <c r="E88" s="74">
        <f t="shared" si="37"/>
        <v>521</v>
      </c>
      <c r="F88" s="74">
        <f t="shared" si="37"/>
        <v>522</v>
      </c>
      <c r="G88" s="74">
        <f t="shared" si="37"/>
        <v>523</v>
      </c>
      <c r="H88" s="74">
        <f t="shared" si="37"/>
        <v>524</v>
      </c>
      <c r="I88" s="74">
        <f t="shared" si="37"/>
        <v>525</v>
      </c>
      <c r="J88" s="74">
        <f t="shared" si="37"/>
        <v>526</v>
      </c>
      <c r="K88" s="74">
        <f t="shared" si="37"/>
        <v>527</v>
      </c>
      <c r="L88" s="74">
        <f t="shared" si="37"/>
        <v>528</v>
      </c>
      <c r="M88" s="74">
        <f t="shared" si="37"/>
        <v>529</v>
      </c>
      <c r="N88" s="74">
        <f t="shared" si="37"/>
        <v>530</v>
      </c>
      <c r="O88" s="74">
        <f t="shared" si="37"/>
        <v>531</v>
      </c>
    </row>
    <row r="89" spans="1:15" x14ac:dyDescent="0.35">
      <c r="A89" s="41">
        <f>Dashboard!A95</f>
        <v>5</v>
      </c>
      <c r="B89" s="41" t="str">
        <f>Dashboard!B95</f>
        <v>KIHOTO- ACTIVE SEWER</v>
      </c>
      <c r="C89" s="41" t="str">
        <f>Dashboard!C95</f>
        <v>No.</v>
      </c>
      <c r="D89" s="74">
        <f>'Input Actual2024-25'!P85+'budget 2025-26'!D27</f>
        <v>0</v>
      </c>
      <c r="E89" s="74">
        <f t="shared" si="37"/>
        <v>0</v>
      </c>
      <c r="F89" s="74">
        <f t="shared" si="37"/>
        <v>0</v>
      </c>
      <c r="G89" s="74">
        <f t="shared" si="37"/>
        <v>0</v>
      </c>
      <c r="H89" s="74">
        <f t="shared" si="37"/>
        <v>0</v>
      </c>
      <c r="I89" s="74">
        <f t="shared" si="37"/>
        <v>0</v>
      </c>
      <c r="J89" s="74">
        <f t="shared" si="37"/>
        <v>0</v>
      </c>
      <c r="K89" s="74">
        <f t="shared" si="37"/>
        <v>0</v>
      </c>
      <c r="L89" s="74">
        <f t="shared" si="37"/>
        <v>0</v>
      </c>
      <c r="M89" s="74">
        <f t="shared" si="37"/>
        <v>0</v>
      </c>
      <c r="N89" s="74">
        <f t="shared" si="37"/>
        <v>0</v>
      </c>
      <c r="O89" s="74">
        <f t="shared" si="37"/>
        <v>0</v>
      </c>
    </row>
    <row r="90" spans="1:15" x14ac:dyDescent="0.35">
      <c r="A90" s="41">
        <f>Dashboard!A96</f>
        <v>6</v>
      </c>
      <c r="B90" s="41" t="str">
        <f>Dashboard!B96</f>
        <v>LAKEVIEW- ACTIVE SEWER</v>
      </c>
      <c r="C90" s="41" t="str">
        <f>Dashboard!C96</f>
        <v>No.</v>
      </c>
      <c r="D90" s="74">
        <f>'Input Actual2024-25'!P86+'budget 2025-26'!D28</f>
        <v>156</v>
      </c>
      <c r="E90" s="74">
        <f t="shared" si="37"/>
        <v>157</v>
      </c>
      <c r="F90" s="74">
        <f t="shared" si="37"/>
        <v>158</v>
      </c>
      <c r="G90" s="74">
        <f t="shared" si="37"/>
        <v>159</v>
      </c>
      <c r="H90" s="74">
        <f t="shared" si="37"/>
        <v>160</v>
      </c>
      <c r="I90" s="74">
        <f t="shared" si="37"/>
        <v>161</v>
      </c>
      <c r="J90" s="74">
        <f t="shared" si="37"/>
        <v>162</v>
      </c>
      <c r="K90" s="74">
        <f t="shared" si="37"/>
        <v>163</v>
      </c>
      <c r="L90" s="74">
        <f t="shared" si="37"/>
        <v>164</v>
      </c>
      <c r="M90" s="74">
        <f t="shared" si="37"/>
        <v>165</v>
      </c>
      <c r="N90" s="74">
        <f t="shared" si="37"/>
        <v>166</v>
      </c>
      <c r="O90" s="74">
        <f t="shared" si="37"/>
        <v>167</v>
      </c>
    </row>
    <row r="91" spans="1:15" x14ac:dyDescent="0.35">
      <c r="A91" s="41">
        <f>Dashboard!A97</f>
        <v>7</v>
      </c>
      <c r="B91" s="41" t="str">
        <f>Dashboard!B97</f>
        <v>HOPEWELL- ACTIVE SEWER</v>
      </c>
      <c r="C91" s="41" t="str">
        <f>Dashboard!C97</f>
        <v>No.</v>
      </c>
      <c r="D91" s="74">
        <f>'Input Actual2024-25'!P87+'budget 2025-26'!D29</f>
        <v>2</v>
      </c>
      <c r="E91" s="74">
        <f t="shared" si="37"/>
        <v>2</v>
      </c>
      <c r="F91" s="74">
        <f t="shared" si="37"/>
        <v>2</v>
      </c>
      <c r="G91" s="74">
        <f t="shared" si="37"/>
        <v>2</v>
      </c>
      <c r="H91" s="74">
        <f t="shared" si="37"/>
        <v>2</v>
      </c>
      <c r="I91" s="74">
        <f t="shared" si="37"/>
        <v>2</v>
      </c>
      <c r="J91" s="74">
        <f t="shared" si="37"/>
        <v>2</v>
      </c>
      <c r="K91" s="74">
        <f t="shared" si="37"/>
        <v>2</v>
      </c>
      <c r="L91" s="74">
        <f t="shared" si="37"/>
        <v>2</v>
      </c>
      <c r="M91" s="74">
        <f t="shared" si="37"/>
        <v>2</v>
      </c>
      <c r="N91" s="74">
        <f t="shared" si="37"/>
        <v>2</v>
      </c>
      <c r="O91" s="74">
        <f t="shared" si="37"/>
        <v>2</v>
      </c>
    </row>
    <row r="92" spans="1:15" x14ac:dyDescent="0.35">
      <c r="A92" s="41">
        <f>Dashboard!A98</f>
        <v>0</v>
      </c>
      <c r="B92" s="41" t="str">
        <f>Dashboard!B98</f>
        <v>TOTAL ACTIVE SEWER CONNECTION CENTRAL REGION</v>
      </c>
      <c r="C92" s="41" t="str">
        <f>Dashboard!C98</f>
        <v>No.</v>
      </c>
      <c r="D92" s="51">
        <f>SUM(D85:D91)</f>
        <v>1797</v>
      </c>
      <c r="E92" s="51">
        <f t="shared" ref="E92:O92" si="38">SUM(E85:E91)</f>
        <v>1810</v>
      </c>
      <c r="F92" s="51">
        <f t="shared" si="38"/>
        <v>1823</v>
      </c>
      <c r="G92" s="51">
        <f t="shared" si="38"/>
        <v>1836</v>
      </c>
      <c r="H92" s="51">
        <f t="shared" si="38"/>
        <v>1849</v>
      </c>
      <c r="I92" s="51">
        <f t="shared" si="38"/>
        <v>1862</v>
      </c>
      <c r="J92" s="51">
        <f t="shared" si="38"/>
        <v>1875</v>
      </c>
      <c r="K92" s="51">
        <f t="shared" si="38"/>
        <v>1888</v>
      </c>
      <c r="L92" s="51">
        <f t="shared" si="38"/>
        <v>1901</v>
      </c>
      <c r="M92" s="51">
        <f t="shared" si="38"/>
        <v>1914</v>
      </c>
      <c r="N92" s="51">
        <f t="shared" si="38"/>
        <v>1927</v>
      </c>
      <c r="O92" s="51">
        <f t="shared" si="38"/>
        <v>1940</v>
      </c>
    </row>
    <row r="93" spans="1:15" x14ac:dyDescent="0.35">
      <c r="A93" s="41">
        <f>Dashboard!A99</f>
        <v>1</v>
      </c>
      <c r="B93" s="41" t="str">
        <f>Dashboard!B99</f>
        <v>HELLSGATE- ACTIVE SEWER</v>
      </c>
      <c r="C93" s="41" t="str">
        <f>Dashboard!C99</f>
        <v>No.</v>
      </c>
      <c r="D93" s="50">
        <f>'Input Actual2024-25'!P89+'budget 2025-26'!D31</f>
        <v>0</v>
      </c>
      <c r="E93" s="50">
        <f>D93+E31</f>
        <v>0</v>
      </c>
      <c r="F93" s="50">
        <f t="shared" ref="F93:O93" si="39">E93+F31</f>
        <v>0</v>
      </c>
      <c r="G93" s="50">
        <f t="shared" si="39"/>
        <v>0</v>
      </c>
      <c r="H93" s="50">
        <f t="shared" si="39"/>
        <v>0</v>
      </c>
      <c r="I93" s="50">
        <f t="shared" si="39"/>
        <v>0</v>
      </c>
      <c r="J93" s="50">
        <f t="shared" si="39"/>
        <v>0</v>
      </c>
      <c r="K93" s="50">
        <f t="shared" si="39"/>
        <v>0</v>
      </c>
      <c r="L93" s="50">
        <f t="shared" si="39"/>
        <v>0</v>
      </c>
      <c r="M93" s="50">
        <f t="shared" si="39"/>
        <v>0</v>
      </c>
      <c r="N93" s="50">
        <f t="shared" si="39"/>
        <v>0</v>
      </c>
      <c r="O93" s="50">
        <f t="shared" si="39"/>
        <v>0</v>
      </c>
    </row>
    <row r="94" spans="1:15" x14ac:dyDescent="0.35">
      <c r="A94" s="41">
        <f>Dashboard!A100</f>
        <v>2</v>
      </c>
      <c r="B94" s="41" t="str">
        <f>Dashboard!B100</f>
        <v>KAMERE- ACTIVE SEWER</v>
      </c>
      <c r="C94" s="41" t="str">
        <f>Dashboard!C100</f>
        <v>No.</v>
      </c>
      <c r="D94" s="50">
        <f>'Input Actual2024-25'!P90+'budget 2025-26'!D32</f>
        <v>0</v>
      </c>
      <c r="E94" s="50">
        <f t="shared" ref="E94:O95" si="40">D94+E32</f>
        <v>0</v>
      </c>
      <c r="F94" s="50">
        <f t="shared" si="40"/>
        <v>0</v>
      </c>
      <c r="G94" s="50">
        <f t="shared" si="40"/>
        <v>0</v>
      </c>
      <c r="H94" s="50">
        <f t="shared" si="40"/>
        <v>0</v>
      </c>
      <c r="I94" s="50">
        <f t="shared" si="40"/>
        <v>0</v>
      </c>
      <c r="J94" s="50">
        <f t="shared" si="40"/>
        <v>0</v>
      </c>
      <c r="K94" s="50">
        <f t="shared" si="40"/>
        <v>0</v>
      </c>
      <c r="L94" s="50">
        <f t="shared" si="40"/>
        <v>0</v>
      </c>
      <c r="M94" s="50">
        <f t="shared" si="40"/>
        <v>0</v>
      </c>
      <c r="N94" s="50">
        <f t="shared" si="40"/>
        <v>0</v>
      </c>
      <c r="O94" s="50">
        <f t="shared" si="40"/>
        <v>0</v>
      </c>
    </row>
    <row r="95" spans="1:15" x14ac:dyDescent="0.35">
      <c r="A95" s="41">
        <f>Dashboard!A101</f>
        <v>3</v>
      </c>
      <c r="B95" s="41" t="str">
        <f>Dashboard!B101</f>
        <v>MAI-MAHIU- ACTIVE SEWER</v>
      </c>
      <c r="C95" s="41" t="str">
        <f>Dashboard!C101</f>
        <v>No.</v>
      </c>
      <c r="D95" s="50">
        <f>'Input Actual2024-25'!P91+'budget 2025-26'!D33</f>
        <v>0</v>
      </c>
      <c r="E95" s="50">
        <f t="shared" si="40"/>
        <v>0</v>
      </c>
      <c r="F95" s="50">
        <f t="shared" si="40"/>
        <v>0</v>
      </c>
      <c r="G95" s="50">
        <f t="shared" si="40"/>
        <v>0</v>
      </c>
      <c r="H95" s="50">
        <f t="shared" si="40"/>
        <v>0</v>
      </c>
      <c r="I95" s="50">
        <f t="shared" si="40"/>
        <v>0</v>
      </c>
      <c r="J95" s="50">
        <f t="shared" si="40"/>
        <v>0</v>
      </c>
      <c r="K95" s="50">
        <f t="shared" si="40"/>
        <v>0</v>
      </c>
      <c r="L95" s="50">
        <f t="shared" si="40"/>
        <v>0</v>
      </c>
      <c r="M95" s="50">
        <f t="shared" si="40"/>
        <v>0</v>
      </c>
      <c r="N95" s="50">
        <f t="shared" si="40"/>
        <v>0</v>
      </c>
      <c r="O95" s="50">
        <f t="shared" si="40"/>
        <v>0</v>
      </c>
    </row>
    <row r="96" spans="1:15" x14ac:dyDescent="0.35">
      <c r="A96" s="41">
        <f>Dashboard!A102</f>
        <v>0</v>
      </c>
      <c r="B96" s="41" t="str">
        <f>Dashboard!B102</f>
        <v>TOTAL ACTIVE SEWER CONNECTION SOUTHERN REGION</v>
      </c>
      <c r="C96" s="41" t="str">
        <f>Dashboard!C102</f>
        <v>No.</v>
      </c>
      <c r="D96" s="51">
        <f>SUM(D93:D95)</f>
        <v>0</v>
      </c>
      <c r="E96" s="51">
        <f t="shared" ref="E96:O96" si="41">SUM(E93:E95)</f>
        <v>0</v>
      </c>
      <c r="F96" s="51">
        <f t="shared" si="41"/>
        <v>0</v>
      </c>
      <c r="G96" s="51">
        <f t="shared" si="41"/>
        <v>0</v>
      </c>
      <c r="H96" s="51">
        <f t="shared" si="41"/>
        <v>0</v>
      </c>
      <c r="I96" s="51">
        <f t="shared" si="41"/>
        <v>0</v>
      </c>
      <c r="J96" s="51">
        <f t="shared" si="41"/>
        <v>0</v>
      </c>
      <c r="K96" s="51">
        <f t="shared" si="41"/>
        <v>0</v>
      </c>
      <c r="L96" s="51">
        <f t="shared" si="41"/>
        <v>0</v>
      </c>
      <c r="M96" s="51">
        <f t="shared" si="41"/>
        <v>0</v>
      </c>
      <c r="N96" s="51">
        <f t="shared" si="41"/>
        <v>0</v>
      </c>
      <c r="O96" s="51">
        <f t="shared" si="41"/>
        <v>0</v>
      </c>
    </row>
    <row r="97" spans="1:15" x14ac:dyDescent="0.35">
      <c r="A97" s="41">
        <f>Dashboard!A104</f>
        <v>1</v>
      </c>
      <c r="B97" s="41" t="str">
        <f>Dashboard!B104</f>
        <v>KAYOLE- ACTIVE SEWER</v>
      </c>
      <c r="C97" s="41" t="str">
        <f>Dashboard!C104</f>
        <v>No.</v>
      </c>
      <c r="D97" s="367">
        <f>'Input Actual2024-25'!P93+'budget 2025-26'!D35</f>
        <v>51</v>
      </c>
      <c r="E97" s="367">
        <f>D97+E35</f>
        <v>52</v>
      </c>
      <c r="F97" s="367">
        <f t="shared" ref="F97:O97" si="42">E97+F35</f>
        <v>53</v>
      </c>
      <c r="G97" s="367">
        <f t="shared" si="42"/>
        <v>54</v>
      </c>
      <c r="H97" s="367">
        <f t="shared" si="42"/>
        <v>55</v>
      </c>
      <c r="I97" s="367">
        <f t="shared" si="42"/>
        <v>56</v>
      </c>
      <c r="J97" s="367">
        <f t="shared" si="42"/>
        <v>57</v>
      </c>
      <c r="K97" s="367">
        <f t="shared" si="42"/>
        <v>58</v>
      </c>
      <c r="L97" s="367">
        <f t="shared" si="42"/>
        <v>59</v>
      </c>
      <c r="M97" s="367">
        <f t="shared" si="42"/>
        <v>60</v>
      </c>
      <c r="N97" s="367">
        <f t="shared" si="42"/>
        <v>61</v>
      </c>
      <c r="O97" s="367">
        <f t="shared" si="42"/>
        <v>62</v>
      </c>
    </row>
    <row r="98" spans="1:15" x14ac:dyDescent="0.35">
      <c r="A98" s="41" t="str">
        <f>Dashboard!A105</f>
        <v>SUMMARY CONNECTIONS</v>
      </c>
    </row>
    <row r="99" spans="1:15" x14ac:dyDescent="0.35">
      <c r="A99" s="41">
        <f>Dashboard!A106</f>
        <v>1</v>
      </c>
      <c r="B99" s="41" t="str">
        <f>Dashboard!B106</f>
        <v>TOTAL WATER CONNECTIONS</v>
      </c>
      <c r="C99" s="41" t="str">
        <f>Dashboard!C106</f>
        <v>No.</v>
      </c>
      <c r="D99" s="53">
        <f>D44+D49+D52</f>
        <v>12347</v>
      </c>
      <c r="E99" s="53">
        <f t="shared" ref="E99:O99" si="43">E44+E49+E52</f>
        <v>12494</v>
      </c>
      <c r="F99" s="53">
        <f t="shared" si="43"/>
        <v>12643</v>
      </c>
      <c r="G99" s="53">
        <f t="shared" si="43"/>
        <v>12862</v>
      </c>
      <c r="H99" s="53">
        <f t="shared" si="43"/>
        <v>13071</v>
      </c>
      <c r="I99" s="53">
        <f t="shared" si="43"/>
        <v>13270</v>
      </c>
      <c r="J99" s="53">
        <f t="shared" si="43"/>
        <v>13474</v>
      </c>
      <c r="K99" s="53">
        <f t="shared" si="43"/>
        <v>13663</v>
      </c>
      <c r="L99" s="53">
        <f t="shared" si="43"/>
        <v>13837</v>
      </c>
      <c r="M99" s="53">
        <f t="shared" si="43"/>
        <v>13991</v>
      </c>
      <c r="N99" s="53">
        <f t="shared" si="43"/>
        <v>14145</v>
      </c>
      <c r="O99" s="53">
        <f t="shared" si="43"/>
        <v>14297</v>
      </c>
    </row>
    <row r="100" spans="1:15" x14ac:dyDescent="0.35">
      <c r="A100" s="41">
        <f>Dashboard!A107</f>
        <v>2</v>
      </c>
      <c r="B100" s="41" t="str">
        <f>Dashboard!B107</f>
        <v xml:space="preserve">TOTAL SEWER CONNECTIONS </v>
      </c>
      <c r="C100" s="41" t="str">
        <f>Dashboard!C107</f>
        <v>No.</v>
      </c>
      <c r="D100" s="53">
        <f t="shared" ref="D100:O100" si="44">D65+D61+D66</f>
        <v>2169</v>
      </c>
      <c r="E100" s="53">
        <f t="shared" si="44"/>
        <v>2183</v>
      </c>
      <c r="F100" s="53">
        <f t="shared" si="44"/>
        <v>2197</v>
      </c>
      <c r="G100" s="53">
        <f t="shared" si="44"/>
        <v>2211</v>
      </c>
      <c r="H100" s="53">
        <f t="shared" si="44"/>
        <v>2225</v>
      </c>
      <c r="I100" s="53">
        <f t="shared" si="44"/>
        <v>2239</v>
      </c>
      <c r="J100" s="53">
        <f t="shared" si="44"/>
        <v>2253</v>
      </c>
      <c r="K100" s="53">
        <f t="shared" si="44"/>
        <v>2267</v>
      </c>
      <c r="L100" s="53">
        <f t="shared" si="44"/>
        <v>2281</v>
      </c>
      <c r="M100" s="53">
        <f t="shared" si="44"/>
        <v>2295</v>
      </c>
      <c r="N100" s="53">
        <f t="shared" si="44"/>
        <v>2309</v>
      </c>
      <c r="O100" s="53">
        <f t="shared" si="44"/>
        <v>2323</v>
      </c>
    </row>
    <row r="101" spans="1:15" x14ac:dyDescent="0.35">
      <c r="A101" s="41">
        <f>Dashboard!A108</f>
        <v>3</v>
      </c>
      <c r="B101" s="41" t="str">
        <f>Dashboard!B108</f>
        <v>TOTAL ACTIVE WATER CONNECTIONS</v>
      </c>
      <c r="C101" s="41" t="str">
        <f>Dashboard!C108</f>
        <v>No.</v>
      </c>
      <c r="D101" s="53">
        <f>D75+D80+D83</f>
        <v>10373</v>
      </c>
      <c r="E101" s="53">
        <f t="shared" ref="E101:O101" si="45">E75+E80+E83</f>
        <v>10520</v>
      </c>
      <c r="F101" s="53">
        <f t="shared" si="45"/>
        <v>10669</v>
      </c>
      <c r="G101" s="53">
        <f t="shared" si="45"/>
        <v>10888</v>
      </c>
      <c r="H101" s="53">
        <f t="shared" si="45"/>
        <v>11097</v>
      </c>
      <c r="I101" s="53">
        <f t="shared" si="45"/>
        <v>11296</v>
      </c>
      <c r="J101" s="53">
        <f t="shared" si="45"/>
        <v>11500</v>
      </c>
      <c r="K101" s="53">
        <f t="shared" si="45"/>
        <v>11689</v>
      </c>
      <c r="L101" s="53">
        <f t="shared" si="45"/>
        <v>11863</v>
      </c>
      <c r="M101" s="53">
        <f t="shared" si="45"/>
        <v>12017</v>
      </c>
      <c r="N101" s="53">
        <f t="shared" si="45"/>
        <v>12171</v>
      </c>
      <c r="O101" s="53">
        <f t="shared" si="45"/>
        <v>12323</v>
      </c>
    </row>
    <row r="102" spans="1:15" x14ac:dyDescent="0.35">
      <c r="A102" s="41">
        <f>Dashboard!A109</f>
        <v>4</v>
      </c>
      <c r="B102" s="41" t="str">
        <f>Dashboard!B109</f>
        <v>TOTAL SEWER ACTIVE CONNECTIONS</v>
      </c>
      <c r="C102" s="41" t="str">
        <f>Dashboard!C109</f>
        <v>No.</v>
      </c>
      <c r="D102" s="53">
        <f>D92+D96+D97</f>
        <v>1848</v>
      </c>
      <c r="E102" s="53">
        <f t="shared" ref="E102:O102" si="46">E92+E96+E97</f>
        <v>1862</v>
      </c>
      <c r="F102" s="53">
        <f t="shared" si="46"/>
        <v>1876</v>
      </c>
      <c r="G102" s="53">
        <f t="shared" si="46"/>
        <v>1890</v>
      </c>
      <c r="H102" s="53">
        <f t="shared" si="46"/>
        <v>1904</v>
      </c>
      <c r="I102" s="53">
        <f t="shared" si="46"/>
        <v>1918</v>
      </c>
      <c r="J102" s="53">
        <f t="shared" si="46"/>
        <v>1932</v>
      </c>
      <c r="K102" s="53">
        <f t="shared" si="46"/>
        <v>1946</v>
      </c>
      <c r="L102" s="53">
        <f t="shared" si="46"/>
        <v>1960</v>
      </c>
      <c r="M102" s="53">
        <f t="shared" si="46"/>
        <v>1974</v>
      </c>
      <c r="N102" s="53">
        <f t="shared" si="46"/>
        <v>1988</v>
      </c>
      <c r="O102" s="53">
        <f t="shared" si="46"/>
        <v>2002</v>
      </c>
    </row>
    <row r="103" spans="1:15" x14ac:dyDescent="0.35">
      <c r="A103" s="41" t="str">
        <f>Dashboard!A110</f>
        <v>x</v>
      </c>
      <c r="B103" s="41" t="str">
        <f>Dashboard!B110</f>
        <v>TOTAL NEW CONNECTION WATER</v>
      </c>
      <c r="C103" s="41" t="str">
        <f>Dashboard!C110</f>
        <v>No.</v>
      </c>
      <c r="D103" s="53">
        <f>D13+D18+D21</f>
        <v>166</v>
      </c>
      <c r="E103" s="53">
        <f t="shared" ref="E103:O103" si="47">E13+E18+E21</f>
        <v>147</v>
      </c>
      <c r="F103" s="53">
        <f t="shared" si="47"/>
        <v>149</v>
      </c>
      <c r="G103" s="53">
        <f t="shared" si="47"/>
        <v>219</v>
      </c>
      <c r="H103" s="53">
        <f t="shared" si="47"/>
        <v>209</v>
      </c>
      <c r="I103" s="53">
        <f t="shared" si="47"/>
        <v>199</v>
      </c>
      <c r="J103" s="53">
        <f t="shared" si="47"/>
        <v>204</v>
      </c>
      <c r="K103" s="53">
        <f t="shared" si="47"/>
        <v>189</v>
      </c>
      <c r="L103" s="53">
        <f t="shared" si="47"/>
        <v>174</v>
      </c>
      <c r="M103" s="53">
        <f t="shared" si="47"/>
        <v>154</v>
      </c>
      <c r="N103" s="53">
        <f t="shared" si="47"/>
        <v>154</v>
      </c>
      <c r="O103" s="53">
        <f t="shared" si="47"/>
        <v>152</v>
      </c>
    </row>
    <row r="104" spans="1:15" x14ac:dyDescent="0.35">
      <c r="A104" s="41" t="str">
        <f>Dashboard!A111</f>
        <v>y</v>
      </c>
      <c r="B104" s="41" t="str">
        <f>Dashboard!B111</f>
        <v>TOTAL NEW CONNECTIONS SEWER</v>
      </c>
      <c r="C104" s="41" t="str">
        <f>Dashboard!C111</f>
        <v>No.</v>
      </c>
      <c r="D104" s="53">
        <f>D35+D34+D30</f>
        <v>15</v>
      </c>
      <c r="E104" s="53">
        <f t="shared" ref="E104:O104" si="48">E35+E34+E30</f>
        <v>14</v>
      </c>
      <c r="F104" s="53">
        <f t="shared" si="48"/>
        <v>14</v>
      </c>
      <c r="G104" s="53">
        <f t="shared" si="48"/>
        <v>14</v>
      </c>
      <c r="H104" s="53">
        <f t="shared" si="48"/>
        <v>14</v>
      </c>
      <c r="I104" s="53">
        <f t="shared" si="48"/>
        <v>14</v>
      </c>
      <c r="J104" s="53">
        <f t="shared" si="48"/>
        <v>14</v>
      </c>
      <c r="K104" s="53">
        <f t="shared" si="48"/>
        <v>14</v>
      </c>
      <c r="L104" s="53">
        <f t="shared" si="48"/>
        <v>14</v>
      </c>
      <c r="M104" s="53">
        <f t="shared" si="48"/>
        <v>14</v>
      </c>
      <c r="N104" s="53">
        <f t="shared" si="48"/>
        <v>14</v>
      </c>
      <c r="O104" s="53">
        <f t="shared" si="48"/>
        <v>14</v>
      </c>
    </row>
    <row r="105" spans="1:15" x14ac:dyDescent="0.35">
      <c r="A105" s="41">
        <f>Dashboard!A112</f>
        <v>5</v>
      </c>
      <c r="B105" s="41" t="str">
        <f>Dashboard!B112</f>
        <v>% ACTIVE CONNECTIONS</v>
      </c>
      <c r="C105" s="41" t="str">
        <f>Dashboard!C112</f>
        <v>No.</v>
      </c>
      <c r="D105" s="59">
        <f t="shared" ref="D105:O105" si="49">SUM(D101:D102)/SUM(D99:D100)</f>
        <v>0.84189859465417471</v>
      </c>
      <c r="E105" s="59">
        <f t="shared" si="49"/>
        <v>0.84363289500579142</v>
      </c>
      <c r="F105" s="59">
        <f t="shared" si="49"/>
        <v>0.8453504043126685</v>
      </c>
      <c r="G105" s="59">
        <f t="shared" si="49"/>
        <v>0.84774099383002721</v>
      </c>
      <c r="H105" s="59">
        <f t="shared" si="49"/>
        <v>0.8499607740585774</v>
      </c>
      <c r="I105" s="59">
        <f t="shared" si="49"/>
        <v>0.85202140692501127</v>
      </c>
      <c r="J105" s="59">
        <f t="shared" si="49"/>
        <v>0.8540726139759649</v>
      </c>
      <c r="K105" s="59">
        <f t="shared" si="49"/>
        <v>0.85593220338983056</v>
      </c>
      <c r="L105" s="59">
        <f t="shared" si="49"/>
        <v>0.85761260702320385</v>
      </c>
      <c r="M105" s="59">
        <f t="shared" si="49"/>
        <v>0.85908141962421714</v>
      </c>
      <c r="N105" s="59">
        <f t="shared" si="49"/>
        <v>0.86052023823994161</v>
      </c>
      <c r="O105" s="59">
        <f t="shared" si="49"/>
        <v>0.86191335740072206</v>
      </c>
    </row>
    <row r="106" spans="1:15" x14ac:dyDescent="0.35">
      <c r="A106" s="41" t="str">
        <f>Dashboard!A113</f>
        <v>TOTAL BILLING IN M3 - WATER</v>
      </c>
    </row>
    <row r="107" spans="1:15" x14ac:dyDescent="0.35">
      <c r="A107" s="41">
        <f>Dashboard!A114</f>
        <v>1</v>
      </c>
      <c r="B107" s="41" t="str">
        <f>Dashboard!B114</f>
        <v>CBD - WATER(M3)</v>
      </c>
      <c r="C107" s="41" t="str">
        <f>Dashboard!C114</f>
        <v>M3</v>
      </c>
      <c r="D107" s="50">
        <v>16134.369786189976</v>
      </c>
      <c r="E107" s="50">
        <v>16146.406239046619</v>
      </c>
      <c r="F107" s="63">
        <v>16158.442691903261</v>
      </c>
      <c r="G107" s="63">
        <v>16170.479144759904</v>
      </c>
      <c r="H107" s="63">
        <v>16182.515597616546</v>
      </c>
      <c r="I107" s="50">
        <v>16194.552050473189</v>
      </c>
      <c r="J107" s="50">
        <v>16206.588503329831</v>
      </c>
      <c r="K107" s="50">
        <v>16218.62495618647</v>
      </c>
      <c r="L107" s="50">
        <v>16230.661409043112</v>
      </c>
      <c r="M107" s="50">
        <v>16242.697861899755</v>
      </c>
      <c r="N107" s="50">
        <v>16254.734314756397</v>
      </c>
      <c r="O107" s="50">
        <v>16266.770767613039</v>
      </c>
    </row>
    <row r="108" spans="1:15" x14ac:dyDescent="0.35">
      <c r="A108" s="41">
        <f>Dashboard!A115</f>
        <v>2</v>
      </c>
      <c r="B108" s="41" t="str">
        <f>Dashboard!B115</f>
        <v>CCCR - WATER(M3)</v>
      </c>
      <c r="C108" s="41" t="str">
        <f>Dashboard!C115</f>
        <v>M3</v>
      </c>
      <c r="D108" s="50">
        <v>15540.334546280268</v>
      </c>
      <c r="E108" s="50">
        <v>15772.885471977739</v>
      </c>
      <c r="F108" s="50">
        <v>16005.436397675212</v>
      </c>
      <c r="G108" s="50">
        <v>16237.987323372683</v>
      </c>
      <c r="H108" s="50">
        <v>16470.538249070152</v>
      </c>
      <c r="I108" s="50">
        <v>16703.089174767621</v>
      </c>
      <c r="J108" s="50">
        <v>16935.640100465091</v>
      </c>
      <c r="K108" s="50">
        <v>17168.19102616256</v>
      </c>
      <c r="L108" s="50">
        <v>17400.741951860036</v>
      </c>
      <c r="M108" s="50">
        <v>17633.292877557506</v>
      </c>
      <c r="N108" s="50">
        <v>17865.843803254975</v>
      </c>
      <c r="O108" s="50">
        <v>18098.394728952448</v>
      </c>
    </row>
    <row r="109" spans="1:15" x14ac:dyDescent="0.35">
      <c r="A109" s="41">
        <f>Dashboard!A116</f>
        <v>3</v>
      </c>
      <c r="B109" s="41" t="str">
        <f>Dashboard!B116</f>
        <v>KABATI - WATER(M3)</v>
      </c>
      <c r="C109" s="41" t="str">
        <f>Dashboard!C116</f>
        <v>M3</v>
      </c>
      <c r="D109" s="50">
        <v>13490.984942516672</v>
      </c>
      <c r="E109" s="50">
        <v>13575.264656221774</v>
      </c>
      <c r="F109" s="50">
        <v>13659.544369926876</v>
      </c>
      <c r="G109" s="50">
        <v>13743.824083631978</v>
      </c>
      <c r="H109" s="50">
        <v>13828.10379733708</v>
      </c>
      <c r="I109" s="50">
        <v>13912.383511042179</v>
      </c>
      <c r="J109" s="50">
        <v>13996.663224747281</v>
      </c>
      <c r="K109" s="50">
        <v>14080.942938452383</v>
      </c>
      <c r="L109" s="50">
        <v>14165.222652157485</v>
      </c>
      <c r="M109" s="50">
        <v>14249.502365862587</v>
      </c>
      <c r="N109" s="50">
        <v>14333.782079567689</v>
      </c>
      <c r="O109" s="50">
        <v>14418.061793272787</v>
      </c>
    </row>
    <row r="110" spans="1:15" x14ac:dyDescent="0.35">
      <c r="A110" s="41">
        <f>Dashboard!A117</f>
        <v>4</v>
      </c>
      <c r="B110" s="41" t="str">
        <f>Dashboard!B117</f>
        <v>SITE - WATER(M3)</v>
      </c>
      <c r="C110" s="41" t="str">
        <f>Dashboard!C117</f>
        <v>M3</v>
      </c>
      <c r="D110" s="50">
        <v>10726.763520129374</v>
      </c>
      <c r="E110" s="50">
        <v>10741.844290307705</v>
      </c>
      <c r="F110" s="50">
        <v>10756.925060486035</v>
      </c>
      <c r="G110" s="50">
        <v>10772.005830664366</v>
      </c>
      <c r="H110" s="50">
        <v>10787.086600842696</v>
      </c>
      <c r="I110" s="50">
        <v>10802.167371021029</v>
      </c>
      <c r="J110" s="50">
        <v>10817.248141199361</v>
      </c>
      <c r="K110" s="50">
        <v>10832.328911377692</v>
      </c>
      <c r="L110" s="50">
        <v>10847.409681556022</v>
      </c>
      <c r="M110" s="50">
        <v>10862.490451734353</v>
      </c>
      <c r="N110" s="50">
        <v>10877.571221912684</v>
      </c>
      <c r="O110" s="50">
        <v>10892.651992091016</v>
      </c>
    </row>
    <row r="111" spans="1:15" x14ac:dyDescent="0.35">
      <c r="A111" s="41">
        <f>Dashboard!A118</f>
        <v>5</v>
      </c>
      <c r="B111" s="41" t="str">
        <f>Dashboard!B118</f>
        <v>KIHOTO - WATER(M3)</v>
      </c>
      <c r="C111" s="41" t="str">
        <f>Dashboard!C118</f>
        <v>M3</v>
      </c>
      <c r="D111" s="50">
        <v>1799.1930442637758</v>
      </c>
      <c r="E111" s="50">
        <v>1809.0471770551037</v>
      </c>
      <c r="F111" s="50">
        <v>1818.9013098464316</v>
      </c>
      <c r="G111" s="50">
        <v>1828.7554426377596</v>
      </c>
      <c r="H111" s="50">
        <v>1838.6095754290875</v>
      </c>
      <c r="I111" s="50">
        <v>1848.4637082204154</v>
      </c>
      <c r="J111" s="50">
        <v>1858.3178410117434</v>
      </c>
      <c r="K111" s="50">
        <v>1868.1719738030713</v>
      </c>
      <c r="L111" s="50">
        <v>1878.0261065943992</v>
      </c>
      <c r="M111" s="50">
        <v>1887.8802393857272</v>
      </c>
      <c r="N111" s="50">
        <v>1897.7343721770551</v>
      </c>
      <c r="O111" s="50">
        <v>1907.5885049683829</v>
      </c>
    </row>
    <row r="112" spans="1:15" x14ac:dyDescent="0.35">
      <c r="A112" s="41">
        <f>Dashboard!A119</f>
        <v>6</v>
      </c>
      <c r="B112" s="41" t="str">
        <f>Dashboard!B119</f>
        <v>LAKEVIEW - WATER(M3)</v>
      </c>
      <c r="C112" s="41" t="str">
        <f>Dashboard!C119</f>
        <v>M3</v>
      </c>
      <c r="D112" s="50">
        <v>21090.847636599865</v>
      </c>
      <c r="E112" s="50">
        <v>21163.054104961095</v>
      </c>
      <c r="F112" s="50">
        <v>21235.260573322324</v>
      </c>
      <c r="G112" s="50">
        <v>21307.467041683554</v>
      </c>
      <c r="H112" s="50">
        <v>21379.673510044788</v>
      </c>
      <c r="I112" s="50">
        <v>21451.879978406017</v>
      </c>
      <c r="J112" s="50">
        <v>21524.086446767247</v>
      </c>
      <c r="K112" s="50">
        <v>21596.292915128477</v>
      </c>
      <c r="L112" s="50">
        <v>21668.499383489707</v>
      </c>
      <c r="M112" s="50">
        <v>21740.70585185094</v>
      </c>
      <c r="N112" s="50">
        <v>21812.912320212166</v>
      </c>
      <c r="O112" s="50">
        <v>21885.1187885734</v>
      </c>
    </row>
    <row r="113" spans="1:15" x14ac:dyDescent="0.35">
      <c r="A113" s="41">
        <f>Dashboard!A120</f>
        <v>7</v>
      </c>
      <c r="B113" s="41" t="str">
        <f>Dashboard!B120</f>
        <v>HOPEWELL - WATER(M3)</v>
      </c>
      <c r="C113" s="41" t="str">
        <f>Dashboard!C120</f>
        <v>M3</v>
      </c>
      <c r="D113" s="50">
        <v>5697.6238542942338</v>
      </c>
      <c r="E113" s="50">
        <v>5753.4776109277609</v>
      </c>
      <c r="F113" s="50">
        <v>5809.331367561289</v>
      </c>
      <c r="G113" s="50">
        <v>5865.1851241948152</v>
      </c>
      <c r="H113" s="50">
        <v>5921.0388808283433</v>
      </c>
      <c r="I113" s="50">
        <v>5976.8926374618704</v>
      </c>
      <c r="J113" s="50">
        <v>6032.7463940953985</v>
      </c>
      <c r="K113" s="50">
        <v>6088.6001507289257</v>
      </c>
      <c r="L113" s="50">
        <v>6144.4539073624528</v>
      </c>
      <c r="M113" s="50">
        <v>6200.30766399598</v>
      </c>
      <c r="N113" s="50">
        <v>6256.161420629508</v>
      </c>
      <c r="O113" s="50">
        <v>6312.0151772630352</v>
      </c>
    </row>
    <row r="114" spans="1:15" x14ac:dyDescent="0.35">
      <c r="A114" s="41">
        <f>Dashboard!A121</f>
        <v>0</v>
      </c>
      <c r="B114" s="41" t="str">
        <f>Dashboard!B121</f>
        <v>TOTAL  - WATER(M3) CENTRAL REGION</v>
      </c>
      <c r="C114" s="41" t="str">
        <f>Dashboard!C121</f>
        <v>M3</v>
      </c>
      <c r="D114" s="51">
        <f>SUM(D107:D113)</f>
        <v>84480.117330274152</v>
      </c>
      <c r="E114" s="51">
        <f t="shared" ref="E114:O114" si="50">SUM(E107:E113)</f>
        <v>84961.979550497796</v>
      </c>
      <c r="F114" s="51">
        <f t="shared" si="50"/>
        <v>85443.841770721439</v>
      </c>
      <c r="G114" s="51">
        <f t="shared" si="50"/>
        <v>85925.703990945069</v>
      </c>
      <c r="H114" s="51">
        <f t="shared" si="50"/>
        <v>86407.566211168698</v>
      </c>
      <c r="I114" s="51">
        <f t="shared" si="50"/>
        <v>86889.428431392327</v>
      </c>
      <c r="J114" s="51">
        <f t="shared" si="50"/>
        <v>87371.290651615956</v>
      </c>
      <c r="K114" s="51">
        <f t="shared" si="50"/>
        <v>87853.152871839586</v>
      </c>
      <c r="L114" s="51">
        <f t="shared" si="50"/>
        <v>88335.015092063215</v>
      </c>
      <c r="M114" s="51">
        <f t="shared" si="50"/>
        <v>88816.877312286844</v>
      </c>
      <c r="N114" s="51">
        <f t="shared" si="50"/>
        <v>89298.739532510459</v>
      </c>
      <c r="O114" s="51">
        <f t="shared" si="50"/>
        <v>89780.601752734117</v>
      </c>
    </row>
    <row r="115" spans="1:15" x14ac:dyDescent="0.35">
      <c r="A115" s="41">
        <f>Dashboard!A122</f>
        <v>1</v>
      </c>
      <c r="B115" s="41" t="str">
        <f>Dashboard!B122</f>
        <v>HELLSGATE - WATER(M3)</v>
      </c>
      <c r="C115" s="41" t="str">
        <f>Dashboard!C122</f>
        <v>M3</v>
      </c>
      <c r="D115" s="50">
        <v>26743.803240712103</v>
      </c>
      <c r="E115" s="50">
        <v>26870.671175652296</v>
      </c>
      <c r="F115" s="50">
        <v>27176.885064189766</v>
      </c>
      <c r="G115" s="50">
        <v>27975.287631972518</v>
      </c>
      <c r="H115" s="50">
        <v>28773.69019975527</v>
      </c>
      <c r="I115" s="50">
        <v>29572.092767538026</v>
      </c>
      <c r="J115" s="50">
        <v>30288.463888779897</v>
      </c>
      <c r="K115" s="50">
        <v>31004.835010021769</v>
      </c>
      <c r="L115" s="50">
        <v>31571.751169932581</v>
      </c>
      <c r="M115" s="50">
        <v>32056.635883302512</v>
      </c>
      <c r="N115" s="50">
        <v>32541.520596672442</v>
      </c>
      <c r="O115" s="50">
        <v>32996.514317776164</v>
      </c>
    </row>
    <row r="116" spans="1:15" x14ac:dyDescent="0.35">
      <c r="A116" s="41">
        <f>Dashboard!A123</f>
        <v>2</v>
      </c>
      <c r="B116" s="41" t="str">
        <f>Dashboard!B123</f>
        <v>KAMERE - WATER(M3)</v>
      </c>
      <c r="C116" s="41" t="str">
        <f>Dashboard!C123</f>
        <v>M3</v>
      </c>
      <c r="D116" s="50">
        <v>7182.0222162243208</v>
      </c>
      <c r="E116" s="50">
        <v>7194.1396626180831</v>
      </c>
      <c r="F116" s="50">
        <v>7206.2571090118454</v>
      </c>
      <c r="G116" s="50">
        <v>7625.3365807220634</v>
      </c>
      <c r="H116" s="50">
        <v>7840.9350397740527</v>
      </c>
      <c r="I116" s="50">
        <v>8056.5334988260438</v>
      </c>
      <c r="J116" s="50">
        <v>8272.1319578780349</v>
      </c>
      <c r="K116" s="50">
        <v>8487.7304169300241</v>
      </c>
      <c r="L116" s="50">
        <v>8703.3288759820134</v>
      </c>
      <c r="M116" s="50">
        <v>8918.9273350340027</v>
      </c>
      <c r="N116" s="50">
        <v>9134.5257940859919</v>
      </c>
      <c r="O116" s="50">
        <v>9350.124253137983</v>
      </c>
    </row>
    <row r="117" spans="1:15" x14ac:dyDescent="0.35">
      <c r="A117" s="41">
        <f>Dashboard!A124</f>
        <v>3</v>
      </c>
      <c r="B117" s="41" t="str">
        <f>Dashboard!B124</f>
        <v>MAI-MAHIU - WATER(M3)</v>
      </c>
      <c r="C117" s="41" t="str">
        <f>Dashboard!C124</f>
        <v>M3</v>
      </c>
      <c r="D117" s="50">
        <v>11163.229155333855</v>
      </c>
      <c r="E117" s="50">
        <v>12084.524600373532</v>
      </c>
      <c r="F117" s="50">
        <v>12965.375313479615</v>
      </c>
      <c r="G117" s="50">
        <v>14500.326010610601</v>
      </c>
      <c r="H117" s="50">
        <v>16035.276707741588</v>
      </c>
      <c r="I117" s="50">
        <v>17529.782672938982</v>
      </c>
      <c r="J117" s="50">
        <v>18757.905744024312</v>
      </c>
      <c r="K117" s="50">
        <v>19986.028815109647</v>
      </c>
      <c r="L117" s="50">
        <v>21173.707154261385</v>
      </c>
      <c r="M117" s="50">
        <v>22054.557867367464</v>
      </c>
      <c r="N117" s="50">
        <v>22935.408580473548</v>
      </c>
      <c r="O117" s="50">
        <v>23816.259293579631</v>
      </c>
    </row>
    <row r="118" spans="1:15" x14ac:dyDescent="0.35">
      <c r="A118" s="41">
        <f>Dashboard!A125</f>
        <v>4</v>
      </c>
      <c r="B118" s="41" t="str">
        <f>Dashboard!B125</f>
        <v>LONGONOT - WATER(M3)</v>
      </c>
      <c r="C118" s="41" t="str">
        <f>Dashboard!C125</f>
        <v>M3</v>
      </c>
      <c r="D118" s="50">
        <v>4593.0535651389737</v>
      </c>
      <c r="E118" s="50">
        <v>4663.4607920254339</v>
      </c>
      <c r="F118" s="50">
        <v>4733.8680189118932</v>
      </c>
      <c r="G118" s="50">
        <v>4804.2752457983534</v>
      </c>
      <c r="H118" s="50">
        <v>4874.6824726848126</v>
      </c>
      <c r="I118" s="50">
        <v>4945.0896995712728</v>
      </c>
      <c r="J118" s="50">
        <v>5015.4969264577321</v>
      </c>
      <c r="K118" s="50">
        <v>5085.9041533441923</v>
      </c>
      <c r="L118" s="50">
        <v>5156.3113802306516</v>
      </c>
      <c r="M118" s="50">
        <v>5226.7186071171118</v>
      </c>
      <c r="N118" s="50">
        <v>5297.1258340035711</v>
      </c>
      <c r="O118" s="50">
        <v>5367.5330608900313</v>
      </c>
    </row>
    <row r="119" spans="1:15" x14ac:dyDescent="0.35">
      <c r="A119" s="41">
        <f>Dashboard!A126</f>
        <v>0</v>
      </c>
      <c r="B119" s="41" t="str">
        <f>Dashboard!B126</f>
        <v>TOTAL  WATER(M3) SOUTHERN REGION</v>
      </c>
      <c r="C119" s="41" t="str">
        <f>Dashboard!C126</f>
        <v>M3</v>
      </c>
      <c r="D119" s="51">
        <f>SUM(D115:D118)</f>
        <v>49682.108177409253</v>
      </c>
      <c r="E119" s="51">
        <f t="shared" ref="E119:O119" si="51">SUM(E115:E118)</f>
        <v>50812.796230669344</v>
      </c>
      <c r="F119" s="51">
        <f t="shared" si="51"/>
        <v>52082.38550559312</v>
      </c>
      <c r="G119" s="51">
        <f t="shared" si="51"/>
        <v>54905.225469103534</v>
      </c>
      <c r="H119" s="51">
        <f t="shared" si="51"/>
        <v>57524.584419955732</v>
      </c>
      <c r="I119" s="51">
        <f t="shared" si="51"/>
        <v>60103.49863887432</v>
      </c>
      <c r="J119" s="51">
        <f t="shared" si="51"/>
        <v>62333.998517139975</v>
      </c>
      <c r="K119" s="51">
        <f t="shared" si="51"/>
        <v>64564.49839540563</v>
      </c>
      <c r="L119" s="51">
        <f t="shared" si="51"/>
        <v>66605.098580406629</v>
      </c>
      <c r="M119" s="51">
        <f t="shared" si="51"/>
        <v>68256.8396928211</v>
      </c>
      <c r="N119" s="51">
        <f t="shared" si="51"/>
        <v>69908.580805235557</v>
      </c>
      <c r="O119" s="51">
        <f t="shared" si="51"/>
        <v>71530.4309253838</v>
      </c>
    </row>
    <row r="120" spans="1:15" x14ac:dyDescent="0.35">
      <c r="A120" s="41">
        <f>Dashboard!A128</f>
        <v>1</v>
      </c>
      <c r="B120" s="41" t="str">
        <f>Dashboard!B128</f>
        <v>KAYOLE - WATER(M3)</v>
      </c>
      <c r="C120" s="41" t="str">
        <f>Dashboard!C128</f>
        <v>M3</v>
      </c>
      <c r="D120" s="50">
        <v>28461.852059246539</v>
      </c>
      <c r="E120" s="50">
        <v>28655.785179753802</v>
      </c>
      <c r="F120" s="50">
        <v>28849.718300261065</v>
      </c>
      <c r="G120" s="50">
        <v>29043.651420768332</v>
      </c>
      <c r="H120" s="50">
        <v>29237.584541275592</v>
      </c>
      <c r="I120" s="50">
        <v>29431.517661782855</v>
      </c>
      <c r="J120" s="50">
        <v>29772.483308404735</v>
      </c>
      <c r="K120" s="50">
        <v>30023.594695713906</v>
      </c>
      <c r="L120" s="50">
        <v>30274.706083023073</v>
      </c>
      <c r="M120" s="50">
        <v>30480.890340675887</v>
      </c>
      <c r="N120" s="50">
        <v>30687.074598328705</v>
      </c>
      <c r="O120" s="50">
        <v>30893.258855981519</v>
      </c>
    </row>
    <row r="121" spans="1:15" x14ac:dyDescent="0.35">
      <c r="A121" s="41">
        <f>Dashboard!A129</f>
        <v>2</v>
      </c>
      <c r="B121" s="41" t="str">
        <f>Dashboard!B129</f>
        <v>IHINDU- WATER(M3)</v>
      </c>
      <c r="C121" s="41" t="str">
        <f>Dashboard!C129</f>
        <v>M3</v>
      </c>
      <c r="D121" s="50">
        <v>343.66666666666669</v>
      </c>
      <c r="E121" s="50">
        <v>565.66666666666663</v>
      </c>
      <c r="F121" s="50">
        <v>757.66666666666663</v>
      </c>
      <c r="G121" s="50">
        <v>919.66666666666663</v>
      </c>
      <c r="H121" s="50">
        <v>1081.6666666666667</v>
      </c>
      <c r="I121" s="50">
        <v>1213.6666666666667</v>
      </c>
      <c r="J121" s="50">
        <v>1345.6666666666667</v>
      </c>
      <c r="K121" s="50">
        <v>1447.6666666666667</v>
      </c>
      <c r="L121" s="50">
        <v>1549.6666666666667</v>
      </c>
      <c r="M121" s="50">
        <v>1651.6666666666667</v>
      </c>
      <c r="N121" s="50">
        <v>1753.6666666666667</v>
      </c>
      <c r="O121" s="50">
        <v>1855.6666666666667</v>
      </c>
    </row>
    <row r="122" spans="1:15" x14ac:dyDescent="0.35">
      <c r="A122" s="41">
        <f>Dashboard!A130</f>
        <v>0</v>
      </c>
      <c r="B122" s="41" t="str">
        <f>Dashboard!B130</f>
        <v>TOTAL  WATER(M3) EASTERN REGION</v>
      </c>
      <c r="C122" s="41" t="str">
        <f>Dashboard!C130</f>
        <v>M3</v>
      </c>
      <c r="D122" s="50">
        <f>D120+D121</f>
        <v>28805.518725913207</v>
      </c>
      <c r="E122" s="50">
        <f t="shared" ref="E122:O122" si="52">E120+E121</f>
        <v>29221.45184642047</v>
      </c>
      <c r="F122" s="50">
        <f t="shared" si="52"/>
        <v>29607.384966927733</v>
      </c>
      <c r="G122" s="50">
        <f t="shared" si="52"/>
        <v>29963.318087435</v>
      </c>
      <c r="H122" s="50">
        <f t="shared" si="52"/>
        <v>30319.251207942259</v>
      </c>
      <c r="I122" s="50">
        <f t="shared" si="52"/>
        <v>30645.184328449523</v>
      </c>
      <c r="J122" s="50">
        <f t="shared" si="52"/>
        <v>31118.149975071403</v>
      </c>
      <c r="K122" s="50">
        <f t="shared" si="52"/>
        <v>31471.261362380574</v>
      </c>
      <c r="L122" s="50">
        <f t="shared" si="52"/>
        <v>31824.372749689741</v>
      </c>
      <c r="M122" s="50">
        <f t="shared" si="52"/>
        <v>32132.557007342555</v>
      </c>
      <c r="N122" s="50">
        <f t="shared" si="52"/>
        <v>32440.741264995373</v>
      </c>
      <c r="O122" s="50">
        <f t="shared" si="52"/>
        <v>32748.925522648187</v>
      </c>
    </row>
    <row r="123" spans="1:15" x14ac:dyDescent="0.35">
      <c r="A123" s="41" t="str">
        <f>Dashboard!A131</f>
        <v>TOTAL BILLING IN KSH - WATER</v>
      </c>
    </row>
    <row r="124" spans="1:15" x14ac:dyDescent="0.35">
      <c r="A124" s="41">
        <f>Dashboard!A132</f>
        <v>1</v>
      </c>
      <c r="B124" s="41" t="str">
        <f>Dashboard!B132</f>
        <v>CBD - WATER(KES)</v>
      </c>
      <c r="C124" s="41" t="str">
        <f>Dashboard!C132</f>
        <v>Ksh</v>
      </c>
      <c r="D124" s="50">
        <v>1752927.0586512885</v>
      </c>
      <c r="E124" s="50">
        <v>1754378.3852636518</v>
      </c>
      <c r="F124" s="50">
        <v>1755033.3425282673</v>
      </c>
      <c r="G124" s="50">
        <v>1744176.5014120559</v>
      </c>
      <c r="H124" s="50">
        <v>1734220.3937780771</v>
      </c>
      <c r="I124" s="50">
        <v>1723786.7373200238</v>
      </c>
      <c r="J124" s="50">
        <v>1717476.417078702</v>
      </c>
      <c r="K124" s="50">
        <v>1710227.5106934104</v>
      </c>
      <c r="L124" s="50">
        <v>1702694.1580974476</v>
      </c>
      <c r="M124" s="50">
        <v>1698050.1592234008</v>
      </c>
      <c r="N124" s="50">
        <v>1693550.1293134014</v>
      </c>
      <c r="O124" s="50">
        <v>1689153.9266319557</v>
      </c>
    </row>
    <row r="125" spans="1:15" x14ac:dyDescent="0.35">
      <c r="A125" s="41">
        <f>Dashboard!A133</f>
        <v>2</v>
      </c>
      <c r="B125" s="41" t="str">
        <f>Dashboard!B133</f>
        <v>CCCR - WATER(KES)</v>
      </c>
      <c r="C125" s="41" t="str">
        <f>Dashboard!C133</f>
        <v>Ksh</v>
      </c>
      <c r="D125" s="50">
        <v>1663282.8427858627</v>
      </c>
      <c r="E125" s="50">
        <v>1688782.9571948145</v>
      </c>
      <c r="F125" s="50">
        <v>1713512.5255645295</v>
      </c>
      <c r="G125" s="50">
        <v>1726829.9130229065</v>
      </c>
      <c r="H125" s="50">
        <v>1740721.2827597526</v>
      </c>
      <c r="I125" s="50">
        <v>1753821.9649670271</v>
      </c>
      <c r="J125" s="50">
        <v>1770856.9003018704</v>
      </c>
      <c r="K125" s="50">
        <v>1786707.1541104387</v>
      </c>
      <c r="L125" s="50">
        <v>1802027.094127028</v>
      </c>
      <c r="M125" s="50">
        <v>1820207.7035114679</v>
      </c>
      <c r="N125" s="50">
        <v>1838387.0224189812</v>
      </c>
      <c r="O125" s="50">
        <v>1856527.1105331483</v>
      </c>
    </row>
    <row r="126" spans="1:15" x14ac:dyDescent="0.35">
      <c r="A126" s="41">
        <f>Dashboard!A134</f>
        <v>3</v>
      </c>
      <c r="B126" s="41" t="str">
        <f>Dashboard!B134</f>
        <v>KABATI - WATER(KES)</v>
      </c>
      <c r="C126" s="41" t="str">
        <f>Dashboard!C134</f>
        <v>Ksh</v>
      </c>
      <c r="D126" s="50">
        <v>1424748.1160304756</v>
      </c>
      <c r="E126" s="50">
        <v>1434113.9838862398</v>
      </c>
      <c r="F126" s="50">
        <v>1442827.5194822694</v>
      </c>
      <c r="G126" s="50">
        <v>1442018.4930026892</v>
      </c>
      <c r="H126" s="50">
        <v>1441846.3140103987</v>
      </c>
      <c r="I126" s="50">
        <v>1441171.4390759747</v>
      </c>
      <c r="J126" s="50">
        <v>1443855.3311388872</v>
      </c>
      <c r="K126" s="50">
        <v>1445676.5546680286</v>
      </c>
      <c r="L126" s="50">
        <v>1447178.2126143673</v>
      </c>
      <c r="M126" s="50">
        <v>1451068.6953090201</v>
      </c>
      <c r="N126" s="50">
        <v>1455029.3974738852</v>
      </c>
      <c r="O126" s="50">
        <v>1459027.7430380341</v>
      </c>
    </row>
    <row r="127" spans="1:15" x14ac:dyDescent="0.35">
      <c r="A127" s="41">
        <f>Dashboard!A135</f>
        <v>4</v>
      </c>
      <c r="B127" s="41" t="str">
        <f>Dashboard!B135</f>
        <v>SITE - WATER(KES)</v>
      </c>
      <c r="C127" s="41" t="str">
        <f>Dashboard!C135</f>
        <v>Ksh</v>
      </c>
      <c r="D127" s="50">
        <v>1133218.3889606094</v>
      </c>
      <c r="E127" s="50">
        <v>1135078.3597499891</v>
      </c>
      <c r="F127" s="50">
        <v>1136422.930567394</v>
      </c>
      <c r="G127" s="50">
        <v>1130306.7572219612</v>
      </c>
      <c r="H127" s="50">
        <v>1124762.1579652634</v>
      </c>
      <c r="I127" s="50">
        <v>1118895.9387072914</v>
      </c>
      <c r="J127" s="50">
        <v>1115696.1734860314</v>
      </c>
      <c r="K127" s="50">
        <v>1111878.4013268447</v>
      </c>
      <c r="L127" s="50">
        <v>1107866.7923380483</v>
      </c>
      <c r="M127" s="50">
        <v>1105727.6196918457</v>
      </c>
      <c r="N127" s="50">
        <v>1103676.2499850402</v>
      </c>
      <c r="O127" s="50">
        <v>1101686.7383839148</v>
      </c>
    </row>
    <row r="128" spans="1:15" x14ac:dyDescent="0.35">
      <c r="A128" s="41">
        <f>Dashboard!A136</f>
        <v>5</v>
      </c>
      <c r="B128" s="41" t="str">
        <f>Dashboard!B136</f>
        <v>KIHOTO - WATER(KES)</v>
      </c>
      <c r="C128" s="41" t="str">
        <f>Dashboard!C136</f>
        <v>Ksh</v>
      </c>
      <c r="D128" s="50">
        <v>183708.59105408264</v>
      </c>
      <c r="E128" s="50">
        <v>184843.23742081341</v>
      </c>
      <c r="F128" s="50">
        <v>185893.81644517777</v>
      </c>
      <c r="G128" s="50">
        <v>185718.02587903308</v>
      </c>
      <c r="H128" s="50">
        <v>185625.2005226257</v>
      </c>
      <c r="I128" s="50">
        <v>185468.57849383735</v>
      </c>
      <c r="J128" s="50">
        <v>185744.97366199992</v>
      </c>
      <c r="K128" s="50">
        <v>185911.02536237886</v>
      </c>
      <c r="L128" s="50">
        <v>186036.65996703701</v>
      </c>
      <c r="M128" s="50">
        <v>186469.95192670121</v>
      </c>
      <c r="N128" s="50">
        <v>186912.71535380371</v>
      </c>
      <c r="O128" s="50">
        <v>187360.74940426063</v>
      </c>
    </row>
    <row r="129" spans="1:15" x14ac:dyDescent="0.35">
      <c r="A129" s="41">
        <f>Dashboard!A137</f>
        <v>6</v>
      </c>
      <c r="B129" s="41" t="str">
        <f>Dashboard!B137</f>
        <v>LAKEVIEW - WATER(KES)</v>
      </c>
      <c r="C129" s="41" t="str">
        <f>Dashboard!C137</f>
        <v>Ksh</v>
      </c>
      <c r="D129" s="50">
        <v>2177207.2889747513</v>
      </c>
      <c r="E129" s="50">
        <v>2185407.8277332895</v>
      </c>
      <c r="F129" s="50">
        <v>2192615.290566538</v>
      </c>
      <c r="G129" s="50">
        <v>2185394.9100039843</v>
      </c>
      <c r="H129" s="50">
        <v>2179218.832989845</v>
      </c>
      <c r="I129" s="50">
        <v>2172360.092595309</v>
      </c>
      <c r="J129" s="50">
        <v>2170628.4822349497</v>
      </c>
      <c r="K129" s="50">
        <v>2167653.1093387692</v>
      </c>
      <c r="L129" s="50">
        <v>2164255.3752662288</v>
      </c>
      <c r="M129" s="50">
        <v>2164477.9185813186</v>
      </c>
      <c r="N129" s="50">
        <v>2164842.7040794734</v>
      </c>
      <c r="O129" s="50">
        <v>2165299.9134860937</v>
      </c>
    </row>
    <row r="130" spans="1:15" x14ac:dyDescent="0.35">
      <c r="A130" s="41">
        <f>Dashboard!A138</f>
        <v>7</v>
      </c>
      <c r="B130" s="41" t="str">
        <f>Dashboard!B138</f>
        <v>HOPEWELL - WATER(KES)</v>
      </c>
      <c r="C130" s="41" t="str">
        <f>Dashboard!C138</f>
        <v>Ksh</v>
      </c>
      <c r="D130" s="50">
        <v>607373.63794520765</v>
      </c>
      <c r="E130" s="50">
        <v>613605.90288007155</v>
      </c>
      <c r="F130" s="50">
        <v>619558.69339113927</v>
      </c>
      <c r="G130" s="50">
        <v>621406.58497137623</v>
      </c>
      <c r="H130" s="50">
        <v>623499.90722898534</v>
      </c>
      <c r="I130" s="50">
        <v>625347.58996437164</v>
      </c>
      <c r="J130" s="50">
        <v>628629.14570594812</v>
      </c>
      <c r="K130" s="50">
        <v>631515.64009056799</v>
      </c>
      <c r="L130" s="50">
        <v>634241.72611853434</v>
      </c>
      <c r="M130" s="50">
        <v>637997.22904811928</v>
      </c>
      <c r="N130" s="50">
        <v>641769.86440649047</v>
      </c>
      <c r="O130" s="50">
        <v>645545.75872848381</v>
      </c>
    </row>
    <row r="131" spans="1:15" x14ac:dyDescent="0.35">
      <c r="A131" s="41">
        <f>Dashboard!A139</f>
        <v>0</v>
      </c>
      <c r="B131" s="41" t="str">
        <f>Dashboard!B139</f>
        <v>TOTAL - WATER(KES)CENTRAL REGION</v>
      </c>
      <c r="C131" s="41" t="str">
        <f>Dashboard!C139</f>
        <v>Ksh</v>
      </c>
      <c r="D131" s="51">
        <f>SUM(D124:D130)</f>
        <v>8942465.9244022779</v>
      </c>
      <c r="E131" s="51">
        <f t="shared" ref="E131:O131" si="53">SUM(E124:E130)</f>
        <v>8996210.65412887</v>
      </c>
      <c r="F131" s="51">
        <f t="shared" si="53"/>
        <v>9045864.1185453143</v>
      </c>
      <c r="G131" s="51">
        <f t="shared" si="53"/>
        <v>9035851.1855140068</v>
      </c>
      <c r="H131" s="51">
        <f t="shared" si="53"/>
        <v>9029894.0892549474</v>
      </c>
      <c r="I131" s="51">
        <f t="shared" si="53"/>
        <v>9020852.3411238343</v>
      </c>
      <c r="J131" s="51">
        <f t="shared" si="53"/>
        <v>9032887.4236083888</v>
      </c>
      <c r="K131" s="51">
        <f t="shared" si="53"/>
        <v>9039569.3955904376</v>
      </c>
      <c r="L131" s="51">
        <f t="shared" si="53"/>
        <v>9044300.0185286924</v>
      </c>
      <c r="M131" s="51">
        <f t="shared" si="53"/>
        <v>9063999.2772918735</v>
      </c>
      <c r="N131" s="51">
        <f t="shared" si="53"/>
        <v>9084168.0830310751</v>
      </c>
      <c r="O131" s="51">
        <f t="shared" si="53"/>
        <v>9104601.9402058907</v>
      </c>
    </row>
    <row r="132" spans="1:15" x14ac:dyDescent="0.35">
      <c r="A132" s="41">
        <f>Dashboard!A140</f>
        <v>1</v>
      </c>
      <c r="B132" s="41" t="str">
        <f>Dashboard!B140</f>
        <v>HELLSGATE - WATER(KES)</v>
      </c>
      <c r="C132" s="41" t="str">
        <f>Dashboard!C140</f>
        <v>Ksh</v>
      </c>
      <c r="D132" s="50">
        <v>2688213.5283896001</v>
      </c>
      <c r="E132" s="50">
        <v>2702286.7497774758</v>
      </c>
      <c r="F132" s="50">
        <v>2732965.0247134324</v>
      </c>
      <c r="G132" s="50">
        <v>2800450.1302181515</v>
      </c>
      <c r="H132" s="50">
        <v>2868260.1330612507</v>
      </c>
      <c r="I132" s="50">
        <v>2934181.7272959882</v>
      </c>
      <c r="J132" s="50">
        <v>2997202.2204598826</v>
      </c>
      <c r="K132" s="50">
        <v>3057902.5893164724</v>
      </c>
      <c r="L132" s="50">
        <v>3103001.7466430347</v>
      </c>
      <c r="M132" s="50">
        <v>3143989.1710044788</v>
      </c>
      <c r="N132" s="50">
        <v>3184909.961858456</v>
      </c>
      <c r="O132" s="50">
        <v>3222857.4397244095</v>
      </c>
    </row>
    <row r="133" spans="1:15" x14ac:dyDescent="0.35">
      <c r="A133" s="41">
        <f>Dashboard!A141</f>
        <v>2</v>
      </c>
      <c r="B133" s="41" t="str">
        <f>Dashboard!B141</f>
        <v>KAMERE - WATER(KES)</v>
      </c>
      <c r="C133" s="41" t="str">
        <f>Dashboard!C141</f>
        <v>Ksh</v>
      </c>
      <c r="D133" s="50">
        <v>720087.34240920749</v>
      </c>
      <c r="E133" s="50">
        <v>721554.22809174797</v>
      </c>
      <c r="F133" s="50">
        <v>722693.43420304731</v>
      </c>
      <c r="G133" s="50">
        <v>759974.38734635361</v>
      </c>
      <c r="H133" s="50">
        <v>776779.41947001475</v>
      </c>
      <c r="I133" s="50">
        <v>793093.35953986295</v>
      </c>
      <c r="J133" s="50">
        <v>811072.09384178184</v>
      </c>
      <c r="K133" s="50">
        <v>828414.45852852741</v>
      </c>
      <c r="L133" s="50">
        <v>845411.47092874232</v>
      </c>
      <c r="M133" s="50">
        <v>863667.48138267198</v>
      </c>
      <c r="N133" s="50">
        <v>881858.17324671615</v>
      </c>
      <c r="O133" s="50">
        <v>899967.66040379391</v>
      </c>
    </row>
    <row r="134" spans="1:15" x14ac:dyDescent="0.35">
      <c r="A134" s="41">
        <f>Dashboard!A142</f>
        <v>3</v>
      </c>
      <c r="B134" s="41" t="str">
        <f>Dashboard!B142</f>
        <v>MAI-MAHIU - WATER(KES)</v>
      </c>
      <c r="C134" s="41" t="str">
        <f>Dashboard!C142</f>
        <v>Ksh</v>
      </c>
      <c r="D134" s="50">
        <v>1188819.1671533906</v>
      </c>
      <c r="E134" s="50">
        <v>1287658.6967341241</v>
      </c>
      <c r="F134" s="50">
        <v>1381980.8877410155</v>
      </c>
      <c r="G134" s="50">
        <v>1537711.06431137</v>
      </c>
      <c r="H134" s="50">
        <v>1692052.5525589893</v>
      </c>
      <c r="I134" s="50">
        <v>1839950.3643511266</v>
      </c>
      <c r="J134" s="50">
        <v>1961276.7905317671</v>
      </c>
      <c r="K134" s="50">
        <v>2080347.025746421</v>
      </c>
      <c r="L134" s="50">
        <v>2194013.8039731942</v>
      </c>
      <c r="M134" s="50">
        <v>2277753.810654202</v>
      </c>
      <c r="N134" s="50">
        <v>2361082.3802054571</v>
      </c>
      <c r="O134" s="50">
        <v>2443965.4378791125</v>
      </c>
    </row>
    <row r="135" spans="1:15" x14ac:dyDescent="0.35">
      <c r="A135" s="41">
        <f>Dashboard!A143</f>
        <v>4</v>
      </c>
      <c r="B135" s="41" t="str">
        <f>Dashboard!B143</f>
        <v>LONGONOT - WATER(KES)</v>
      </c>
      <c r="C135" s="41" t="str">
        <f>Dashboard!C143</f>
        <v>Ksh</v>
      </c>
      <c r="D135" s="50">
        <v>467998.20347072533</v>
      </c>
      <c r="E135" s="50">
        <v>475354.36553089326</v>
      </c>
      <c r="F135" s="50">
        <v>482493.6069720643</v>
      </c>
      <c r="G135" s="50">
        <v>486418.12732269603</v>
      </c>
      <c r="H135" s="50">
        <v>490502.04090128816</v>
      </c>
      <c r="I135" s="50">
        <v>494360.94313517597</v>
      </c>
      <c r="J135" s="50">
        <v>499326.9905204979</v>
      </c>
      <c r="K135" s="50">
        <v>503957.49487391952</v>
      </c>
      <c r="L135" s="50">
        <v>508436.82874290773</v>
      </c>
      <c r="M135" s="50">
        <v>513721.96407890122</v>
      </c>
      <c r="N135" s="50">
        <v>519005.70055690833</v>
      </c>
      <c r="O135" s="50">
        <v>524277.36401903688</v>
      </c>
    </row>
    <row r="136" spans="1:15" x14ac:dyDescent="0.35">
      <c r="A136" s="41">
        <f>Dashboard!A144</f>
        <v>0</v>
      </c>
      <c r="B136" s="41" t="str">
        <f>Dashboard!B144</f>
        <v>TOTAL  - WATER(KES) SOUTHERN REGION</v>
      </c>
      <c r="C136" s="41" t="str">
        <f>Dashboard!C144</f>
        <v>Ksh</v>
      </c>
      <c r="D136" s="51">
        <f>SUM(D132:D135)</f>
        <v>5065118.2414229233</v>
      </c>
      <c r="E136" s="51">
        <f t="shared" ref="E136:O136" si="54">SUM(E132:E135)</f>
        <v>5186854.0401342409</v>
      </c>
      <c r="F136" s="51">
        <f t="shared" si="54"/>
        <v>5320132.9536295589</v>
      </c>
      <c r="G136" s="51">
        <f t="shared" si="54"/>
        <v>5584553.7091985717</v>
      </c>
      <c r="H136" s="51">
        <f t="shared" si="54"/>
        <v>5827594.1459915433</v>
      </c>
      <c r="I136" s="51">
        <f t="shared" si="54"/>
        <v>6061586.3943221532</v>
      </c>
      <c r="J136" s="51">
        <f t="shared" si="54"/>
        <v>6268878.0953539293</v>
      </c>
      <c r="K136" s="51">
        <f t="shared" si="54"/>
        <v>6470621.56846534</v>
      </c>
      <c r="L136" s="51">
        <f t="shared" si="54"/>
        <v>6650863.8502878789</v>
      </c>
      <c r="M136" s="51">
        <f t="shared" si="54"/>
        <v>6799132.4271202534</v>
      </c>
      <c r="N136" s="51">
        <f t="shared" si="54"/>
        <v>6946856.215867538</v>
      </c>
      <c r="O136" s="51">
        <f t="shared" si="54"/>
        <v>7091067.9020263534</v>
      </c>
    </row>
    <row r="137" spans="1:15" x14ac:dyDescent="0.35">
      <c r="A137" s="41">
        <f>Dashboard!A146</f>
        <v>1</v>
      </c>
      <c r="B137" s="41" t="str">
        <f>Dashboard!B146</f>
        <v>KAYOLE - WATER(KES)</v>
      </c>
      <c r="C137" s="41" t="str">
        <f>Dashboard!C146</f>
        <v>Ksh</v>
      </c>
      <c r="D137" s="50">
        <v>2905035.4432993769</v>
      </c>
      <c r="E137" s="50">
        <v>2925280.926313458</v>
      </c>
      <c r="F137" s="50">
        <v>2944195.6061214763</v>
      </c>
      <c r="G137" s="50">
        <v>2943670.6665969905</v>
      </c>
      <c r="H137" s="50">
        <v>2944430.8821631768</v>
      </c>
      <c r="I137" s="50">
        <v>2944150.0364758922</v>
      </c>
      <c r="J137" s="50">
        <v>2965559.5046671415</v>
      </c>
      <c r="K137" s="50">
        <v>2976524.3885078211</v>
      </c>
      <c r="L137" s="50">
        <v>2986759.4972029631</v>
      </c>
      <c r="M137" s="50">
        <v>2997637.3306012782</v>
      </c>
      <c r="N137" s="50">
        <v>3008641.1352224974</v>
      </c>
      <c r="O137" s="50">
        <v>3019704.2392601273</v>
      </c>
    </row>
    <row r="138" spans="1:15" x14ac:dyDescent="0.35">
      <c r="A138" s="41">
        <f>Dashboard!A147</f>
        <v>2</v>
      </c>
      <c r="B138" s="41" t="str">
        <f>Dashboard!B147</f>
        <v>IHINDU- WATER(KES)</v>
      </c>
      <c r="C138" s="41" t="str">
        <f>Dashboard!C147</f>
        <v>Ksh</v>
      </c>
      <c r="D138" s="50">
        <v>31848.168653195429</v>
      </c>
      <c r="E138" s="50">
        <v>53182.157201207912</v>
      </c>
      <c r="F138" s="50">
        <v>71635.099481421435</v>
      </c>
      <c r="G138" s="50">
        <v>86652.216468204031</v>
      </c>
      <c r="H138" s="50">
        <v>101508.66036810634</v>
      </c>
      <c r="I138" s="50">
        <v>113339.00585589245</v>
      </c>
      <c r="J138" s="50">
        <v>125302.75414831932</v>
      </c>
      <c r="K138" s="50">
        <v>134312.42521417406</v>
      </c>
      <c r="L138" s="50">
        <v>143204.41175823667</v>
      </c>
      <c r="M138" s="50">
        <v>152258.74276436967</v>
      </c>
      <c r="N138" s="50">
        <v>161262.34365666882</v>
      </c>
      <c r="O138" s="50">
        <v>170213.69628540627</v>
      </c>
    </row>
    <row r="139" spans="1:15" x14ac:dyDescent="0.35">
      <c r="A139" s="41">
        <f>Dashboard!A148</f>
        <v>0</v>
      </c>
      <c r="B139" s="41" t="str">
        <f>Dashboard!B148</f>
        <v>TOTAL  - WATER(KES) EASTERN REGION</v>
      </c>
      <c r="C139" s="41" t="str">
        <f>Dashboard!C148</f>
        <v>Ksh</v>
      </c>
      <c r="D139" s="53">
        <f>D137+D138</f>
        <v>2936883.6119525721</v>
      </c>
      <c r="E139" s="53">
        <f t="shared" ref="E139:O139" si="55">E137+E138</f>
        <v>2978463.0835146657</v>
      </c>
      <c r="F139" s="53">
        <f t="shared" si="55"/>
        <v>3015830.7056028978</v>
      </c>
      <c r="G139" s="53">
        <f t="shared" si="55"/>
        <v>3030322.8830651944</v>
      </c>
      <c r="H139" s="53">
        <f t="shared" si="55"/>
        <v>3045939.5425312831</v>
      </c>
      <c r="I139" s="53">
        <f t="shared" si="55"/>
        <v>3057489.0423317845</v>
      </c>
      <c r="J139" s="53">
        <f t="shared" si="55"/>
        <v>3090862.2588154608</v>
      </c>
      <c r="K139" s="53">
        <f t="shared" si="55"/>
        <v>3110836.8137219953</v>
      </c>
      <c r="L139" s="53">
        <f t="shared" si="55"/>
        <v>3129963.9089611997</v>
      </c>
      <c r="M139" s="53">
        <f t="shared" si="55"/>
        <v>3149896.0733656478</v>
      </c>
      <c r="N139" s="53">
        <f t="shared" si="55"/>
        <v>3169903.4788791663</v>
      </c>
      <c r="O139" s="53">
        <f t="shared" si="55"/>
        <v>3189917.9355455334</v>
      </c>
    </row>
    <row r="140" spans="1:15" x14ac:dyDescent="0.35">
      <c r="A140" s="41" t="str">
        <f>Dashboard!A149</f>
        <v>AVG TARIFF- WATER KSH/M3</v>
      </c>
    </row>
    <row r="141" spans="1:15" x14ac:dyDescent="0.35">
      <c r="A141" s="41">
        <f>Dashboard!A150</f>
        <v>1</v>
      </c>
      <c r="B141" s="41" t="str">
        <f>Dashboard!B150</f>
        <v>CBD - KSH/M3</v>
      </c>
      <c r="C141" s="41" t="str">
        <f>Dashboard!C150</f>
        <v>Ksh/M3</v>
      </c>
      <c r="D141" s="52">
        <f>'Input Actual2024-25'!$Q$133</f>
        <v>132.21627718912831</v>
      </c>
      <c r="E141" s="52">
        <f>'Input Actual2024-25'!$Q$133</f>
        <v>132.21627718912831</v>
      </c>
      <c r="F141" s="52">
        <f>'Input Actual2024-25'!$Q$133</f>
        <v>132.21627718912831</v>
      </c>
      <c r="G141" s="52">
        <f>'Input Actual2024-25'!$Q$133</f>
        <v>132.21627718912831</v>
      </c>
      <c r="H141" s="52">
        <f>'Input Actual2024-25'!$Q$133</f>
        <v>132.21627718912831</v>
      </c>
      <c r="I141" s="52">
        <f>'Input Actual2024-25'!$Q$133</f>
        <v>132.21627718912831</v>
      </c>
      <c r="J141" s="52">
        <f>'Input Actual2024-25'!$Q$133</f>
        <v>132.21627718912831</v>
      </c>
      <c r="K141" s="52">
        <f>'Input Actual2024-25'!$Q$133</f>
        <v>132.21627718912831</v>
      </c>
      <c r="L141" s="52">
        <f>'Input Actual2024-25'!$Q$133</f>
        <v>132.21627718912831</v>
      </c>
      <c r="M141" s="52">
        <f>'Input Actual2024-25'!$Q$133</f>
        <v>132.21627718912831</v>
      </c>
      <c r="N141" s="52">
        <f>'Input Actual2024-25'!$Q$133</f>
        <v>132.21627718912831</v>
      </c>
      <c r="O141" s="52">
        <f>'Input Actual2024-25'!$Q$133</f>
        <v>132.21627718912831</v>
      </c>
    </row>
    <row r="142" spans="1:15" x14ac:dyDescent="0.35">
      <c r="A142" s="41">
        <f>Dashboard!A151</f>
        <v>2</v>
      </c>
      <c r="B142" s="41" t="str">
        <f>Dashboard!B151</f>
        <v>CCCR - KSH/M3</v>
      </c>
      <c r="C142" s="41" t="str">
        <f>Dashboard!C151</f>
        <v>Ksh/M3</v>
      </c>
      <c r="D142" s="52">
        <f>'Input Actual2024-25'!$Q$134</f>
        <v>134.9971969586137</v>
      </c>
      <c r="E142" s="52">
        <f>'Input Actual2024-25'!$Q$134</f>
        <v>134.9971969586137</v>
      </c>
      <c r="F142" s="52">
        <f>'Input Actual2024-25'!$Q$134</f>
        <v>134.9971969586137</v>
      </c>
      <c r="G142" s="52">
        <f>'Input Actual2024-25'!$Q$134</f>
        <v>134.9971969586137</v>
      </c>
      <c r="H142" s="52">
        <f>'Input Actual2024-25'!$Q$134</f>
        <v>134.9971969586137</v>
      </c>
      <c r="I142" s="52">
        <f>'Input Actual2024-25'!$Q$134</f>
        <v>134.9971969586137</v>
      </c>
      <c r="J142" s="52">
        <f>'Input Actual2024-25'!$Q$134</f>
        <v>134.9971969586137</v>
      </c>
      <c r="K142" s="52">
        <f>'Input Actual2024-25'!$Q$134</f>
        <v>134.9971969586137</v>
      </c>
      <c r="L142" s="52">
        <f>'Input Actual2024-25'!$Q$134</f>
        <v>134.9971969586137</v>
      </c>
      <c r="M142" s="52">
        <f>'Input Actual2024-25'!$Q$134</f>
        <v>134.9971969586137</v>
      </c>
      <c r="N142" s="52">
        <f>'Input Actual2024-25'!$Q$134</f>
        <v>134.9971969586137</v>
      </c>
      <c r="O142" s="52">
        <f>'Input Actual2024-25'!$Q$134</f>
        <v>134.9971969586137</v>
      </c>
    </row>
    <row r="143" spans="1:15" x14ac:dyDescent="0.35">
      <c r="A143" s="41">
        <f>Dashboard!A152</f>
        <v>3</v>
      </c>
      <c r="B143" s="41" t="str">
        <f>Dashboard!B152</f>
        <v>KABATI - KSH/M3</v>
      </c>
      <c r="C143" s="41" t="str">
        <f>Dashboard!C152</f>
        <v>Ksh/M3</v>
      </c>
      <c r="D143" s="52">
        <f>'Input Actual2024-25'!$Q$135</f>
        <v>124.89599264752223</v>
      </c>
      <c r="E143" s="52">
        <f>'Input Actual2024-25'!$Q$135</f>
        <v>124.89599264752223</v>
      </c>
      <c r="F143" s="52">
        <f>'Input Actual2024-25'!$Q$135</f>
        <v>124.89599264752223</v>
      </c>
      <c r="G143" s="52">
        <f>'Input Actual2024-25'!$Q$135</f>
        <v>124.89599264752223</v>
      </c>
      <c r="H143" s="52">
        <f>'Input Actual2024-25'!$Q$135</f>
        <v>124.89599264752223</v>
      </c>
      <c r="I143" s="52">
        <f>'Input Actual2024-25'!$Q$135</f>
        <v>124.89599264752223</v>
      </c>
      <c r="J143" s="52">
        <f>'Input Actual2024-25'!$Q$135</f>
        <v>124.89599264752223</v>
      </c>
      <c r="K143" s="52">
        <f>'Input Actual2024-25'!$Q$135</f>
        <v>124.89599264752223</v>
      </c>
      <c r="L143" s="52">
        <f>'Input Actual2024-25'!$Q$135</f>
        <v>124.89599264752223</v>
      </c>
      <c r="M143" s="52">
        <f>'Input Actual2024-25'!$Q$135</f>
        <v>124.89599264752223</v>
      </c>
      <c r="N143" s="52">
        <f>'Input Actual2024-25'!$Q$135</f>
        <v>124.89599264752223</v>
      </c>
      <c r="O143" s="52">
        <f>'Input Actual2024-25'!$Q$135</f>
        <v>124.89599264752223</v>
      </c>
    </row>
    <row r="144" spans="1:15" x14ac:dyDescent="0.35">
      <c r="A144" s="41">
        <f>Dashboard!A153</f>
        <v>4</v>
      </c>
      <c r="B144" s="41" t="str">
        <f>Dashboard!B153</f>
        <v>SITE - KSH/M3</v>
      </c>
      <c r="C144" s="41" t="str">
        <f>Dashboard!C153</f>
        <v>Ksh/M3</v>
      </c>
      <c r="D144" s="52">
        <f>'Input Actual2024-25'!$Q$136</f>
        <v>122.2703158852111</v>
      </c>
      <c r="E144" s="52">
        <f>'Input Actual2024-25'!$Q$136</f>
        <v>122.2703158852111</v>
      </c>
      <c r="F144" s="52">
        <f>'Input Actual2024-25'!$Q$136</f>
        <v>122.2703158852111</v>
      </c>
      <c r="G144" s="52">
        <f>'Input Actual2024-25'!$Q$136</f>
        <v>122.2703158852111</v>
      </c>
      <c r="H144" s="52">
        <f>'Input Actual2024-25'!$Q$136</f>
        <v>122.2703158852111</v>
      </c>
      <c r="I144" s="52">
        <f>'Input Actual2024-25'!$Q$136</f>
        <v>122.2703158852111</v>
      </c>
      <c r="J144" s="52">
        <f>'Input Actual2024-25'!$Q$136</f>
        <v>122.2703158852111</v>
      </c>
      <c r="K144" s="52">
        <f>'Input Actual2024-25'!$Q$136</f>
        <v>122.2703158852111</v>
      </c>
      <c r="L144" s="52">
        <f>'Input Actual2024-25'!$Q$136</f>
        <v>122.2703158852111</v>
      </c>
      <c r="M144" s="52">
        <f>'Input Actual2024-25'!$Q$136</f>
        <v>122.2703158852111</v>
      </c>
      <c r="N144" s="52">
        <f>'Input Actual2024-25'!$Q$136</f>
        <v>122.2703158852111</v>
      </c>
      <c r="O144" s="52">
        <f>'Input Actual2024-25'!$Q$136</f>
        <v>122.2703158852111</v>
      </c>
    </row>
    <row r="145" spans="1:16" x14ac:dyDescent="0.35">
      <c r="A145" s="41">
        <f>Dashboard!A154</f>
        <v>5</v>
      </c>
      <c r="B145" s="41" t="str">
        <f>Dashboard!B154</f>
        <v>KIHOTO - KSH/M3</v>
      </c>
      <c r="C145" s="41" t="str">
        <f>Dashboard!C154</f>
        <v>Ksh/M3</v>
      </c>
      <c r="D145" s="52">
        <f>'Input Actual2024-25'!$Q$137</f>
        <v>123.39817473589818</v>
      </c>
      <c r="E145" s="52">
        <f>'Input Actual2024-25'!$Q$137</f>
        <v>123.39817473589818</v>
      </c>
      <c r="F145" s="52">
        <f>'Input Actual2024-25'!$Q$137</f>
        <v>123.39817473589818</v>
      </c>
      <c r="G145" s="52">
        <f>'Input Actual2024-25'!$Q$137</f>
        <v>123.39817473589818</v>
      </c>
      <c r="H145" s="52">
        <f>'Input Actual2024-25'!$Q$137</f>
        <v>123.39817473589818</v>
      </c>
      <c r="I145" s="52">
        <f>'Input Actual2024-25'!$Q$137</f>
        <v>123.39817473589818</v>
      </c>
      <c r="J145" s="52">
        <f>'Input Actual2024-25'!$Q$137</f>
        <v>123.39817473589818</v>
      </c>
      <c r="K145" s="52">
        <f>'Input Actual2024-25'!$Q$137</f>
        <v>123.39817473589818</v>
      </c>
      <c r="L145" s="52">
        <f>'Input Actual2024-25'!$Q$137</f>
        <v>123.39817473589818</v>
      </c>
      <c r="M145" s="52">
        <f>'Input Actual2024-25'!$Q$137</f>
        <v>123.39817473589818</v>
      </c>
      <c r="N145" s="52">
        <f>'Input Actual2024-25'!$Q$137</f>
        <v>123.39817473589818</v>
      </c>
      <c r="O145" s="52">
        <f>'Input Actual2024-25'!$Q$137</f>
        <v>123.39817473589818</v>
      </c>
    </row>
    <row r="146" spans="1:16" x14ac:dyDescent="0.35">
      <c r="A146" s="41">
        <f>Dashboard!A155</f>
        <v>6</v>
      </c>
      <c r="B146" s="41" t="str">
        <f>Dashboard!B155</f>
        <v>LAKEVIEW - KSH/M3</v>
      </c>
      <c r="C146" s="41" t="str">
        <f>Dashboard!C155</f>
        <v>Ksh/M3</v>
      </c>
      <c r="D146" s="52">
        <f>'Input Actual2024-25'!$Q$138</f>
        <v>126.77057512861391</v>
      </c>
      <c r="E146" s="52">
        <f>'Input Actual2024-25'!$Q$138</f>
        <v>126.77057512861391</v>
      </c>
      <c r="F146" s="52">
        <f>'Input Actual2024-25'!$Q$138</f>
        <v>126.77057512861391</v>
      </c>
      <c r="G146" s="52">
        <f>'Input Actual2024-25'!$Q$138</f>
        <v>126.77057512861391</v>
      </c>
      <c r="H146" s="52">
        <f>'Input Actual2024-25'!$Q$138</f>
        <v>126.77057512861391</v>
      </c>
      <c r="I146" s="52">
        <f>'Input Actual2024-25'!$Q$138</f>
        <v>126.77057512861391</v>
      </c>
      <c r="J146" s="52">
        <f>'Input Actual2024-25'!$Q$138</f>
        <v>126.77057512861391</v>
      </c>
      <c r="K146" s="52">
        <f>'Input Actual2024-25'!$Q$138</f>
        <v>126.77057512861391</v>
      </c>
      <c r="L146" s="52">
        <f>'Input Actual2024-25'!$Q$138</f>
        <v>126.77057512861391</v>
      </c>
      <c r="M146" s="52">
        <f>'Input Actual2024-25'!$Q$138</f>
        <v>126.77057512861391</v>
      </c>
      <c r="N146" s="52">
        <f>'Input Actual2024-25'!$Q$138</f>
        <v>126.77057512861391</v>
      </c>
      <c r="O146" s="52">
        <f>'Input Actual2024-25'!$Q$138</f>
        <v>126.77057512861391</v>
      </c>
    </row>
    <row r="147" spans="1:16" x14ac:dyDescent="0.35">
      <c r="A147" s="41">
        <f>Dashboard!A156</f>
        <v>7</v>
      </c>
      <c r="B147" s="41" t="str">
        <f>Dashboard!B156</f>
        <v>HOPEWELL - KSH/M3</v>
      </c>
      <c r="C147" s="41" t="str">
        <f>Dashboard!C156</f>
        <v>Ksh/M3</v>
      </c>
      <c r="D147" s="52">
        <f>'Input Actual2024-25'!$Q$139</f>
        <v>128.16774251726946</v>
      </c>
      <c r="E147" s="52">
        <f>'Input Actual2024-25'!$Q$139</f>
        <v>128.16774251726946</v>
      </c>
      <c r="F147" s="52">
        <f>'Input Actual2024-25'!$Q$139</f>
        <v>128.16774251726946</v>
      </c>
      <c r="G147" s="52">
        <f>'Input Actual2024-25'!$Q$139</f>
        <v>128.16774251726946</v>
      </c>
      <c r="H147" s="52">
        <f>'Input Actual2024-25'!$Q$139</f>
        <v>128.16774251726946</v>
      </c>
      <c r="I147" s="52">
        <f>'Input Actual2024-25'!$Q$139</f>
        <v>128.16774251726946</v>
      </c>
      <c r="J147" s="52">
        <f>'Input Actual2024-25'!$Q$139</f>
        <v>128.16774251726946</v>
      </c>
      <c r="K147" s="52">
        <f>'Input Actual2024-25'!$Q$139</f>
        <v>128.16774251726946</v>
      </c>
      <c r="L147" s="52">
        <f>'Input Actual2024-25'!$Q$139</f>
        <v>128.16774251726946</v>
      </c>
      <c r="M147" s="52">
        <f>'Input Actual2024-25'!$Q$139</f>
        <v>128.16774251726946</v>
      </c>
      <c r="N147" s="52">
        <f>'Input Actual2024-25'!$Q$139</f>
        <v>128.16774251726946</v>
      </c>
      <c r="O147" s="52">
        <f>'Input Actual2024-25'!$Q$139</f>
        <v>128.16774251726946</v>
      </c>
    </row>
    <row r="148" spans="1:16" x14ac:dyDescent="0.35">
      <c r="A148" s="41">
        <f>Dashboard!A157</f>
        <v>0</v>
      </c>
      <c r="B148" s="41" t="str">
        <f>Dashboard!B157</f>
        <v xml:space="preserve"> - KSH/M3 CENTRAL REGION</v>
      </c>
      <c r="C148" s="41" t="str">
        <f>Dashboard!C157</f>
        <v>Ksh/M3</v>
      </c>
      <c r="D148" s="52">
        <f>AVERAGE(D141:D147)</f>
        <v>127.53089643746527</v>
      </c>
      <c r="E148" s="52">
        <f t="shared" ref="E148:O148" si="56">AVERAGE(E141:E147)</f>
        <v>127.53089643746527</v>
      </c>
      <c r="F148" s="52">
        <f t="shared" si="56"/>
        <v>127.53089643746527</v>
      </c>
      <c r="G148" s="52">
        <f t="shared" si="56"/>
        <v>127.53089643746527</v>
      </c>
      <c r="H148" s="52">
        <f t="shared" si="56"/>
        <v>127.53089643746527</v>
      </c>
      <c r="I148" s="52">
        <f t="shared" si="56"/>
        <v>127.53089643746527</v>
      </c>
      <c r="J148" s="52">
        <f t="shared" si="56"/>
        <v>127.53089643746527</v>
      </c>
      <c r="K148" s="52">
        <f t="shared" si="56"/>
        <v>127.53089643746527</v>
      </c>
      <c r="L148" s="52">
        <f t="shared" si="56"/>
        <v>127.53089643746527</v>
      </c>
      <c r="M148" s="52">
        <f t="shared" si="56"/>
        <v>127.53089643746527</v>
      </c>
      <c r="N148" s="52">
        <f t="shared" si="56"/>
        <v>127.53089643746527</v>
      </c>
      <c r="O148" s="52">
        <f t="shared" si="56"/>
        <v>127.53089643746527</v>
      </c>
    </row>
    <row r="149" spans="1:16" x14ac:dyDescent="0.35">
      <c r="A149" s="41">
        <f>Dashboard!A158</f>
        <v>1</v>
      </c>
      <c r="B149" s="41" t="str">
        <f>Dashboard!B158</f>
        <v>HELLSGATE - KSH/M3</v>
      </c>
      <c r="C149" s="41" t="str">
        <f>Dashboard!C158</f>
        <v>Ksh/M3</v>
      </c>
      <c r="D149" s="52">
        <f>'Input Actual2024-25'!$Q$141</f>
        <v>123.76528801618204</v>
      </c>
      <c r="E149" s="52">
        <f>'Input Actual2024-25'!$Q$141</f>
        <v>123.76528801618204</v>
      </c>
      <c r="F149" s="52">
        <f>'Input Actual2024-25'!$Q$141</f>
        <v>123.76528801618204</v>
      </c>
      <c r="G149" s="52">
        <f>'Input Actual2024-25'!$Q$141</f>
        <v>123.76528801618204</v>
      </c>
      <c r="H149" s="52">
        <f>'Input Actual2024-25'!$Q$141</f>
        <v>123.76528801618204</v>
      </c>
      <c r="I149" s="52">
        <f>'Input Actual2024-25'!$Q$141</f>
        <v>123.76528801618204</v>
      </c>
      <c r="J149" s="52">
        <f>'Input Actual2024-25'!$Q$141</f>
        <v>123.76528801618204</v>
      </c>
      <c r="K149" s="52">
        <f>'Input Actual2024-25'!$Q$141</f>
        <v>123.76528801618204</v>
      </c>
      <c r="L149" s="52">
        <f>'Input Actual2024-25'!$Q$141</f>
        <v>123.76528801618204</v>
      </c>
      <c r="M149" s="52">
        <f>'Input Actual2024-25'!$Q$141</f>
        <v>123.76528801618204</v>
      </c>
      <c r="N149" s="52">
        <f>'Input Actual2024-25'!$Q$141</f>
        <v>123.76528801618204</v>
      </c>
      <c r="O149" s="52">
        <f>'Input Actual2024-25'!$Q$141</f>
        <v>123.76528801618204</v>
      </c>
      <c r="P149" s="52"/>
    </row>
    <row r="150" spans="1:16" x14ac:dyDescent="0.35">
      <c r="A150" s="41">
        <f>Dashboard!A159</f>
        <v>2</v>
      </c>
      <c r="B150" s="41" t="str">
        <f>Dashboard!B159</f>
        <v>KAMERE - KSH/M3</v>
      </c>
      <c r="C150" s="41" t="str">
        <f>Dashboard!C159</f>
        <v>Ksh/M3</v>
      </c>
      <c r="D150" s="52">
        <f>'Input Actual2024-25'!$Q$142</f>
        <v>123.10036562946703</v>
      </c>
      <c r="E150" s="52">
        <f>'Input Actual2024-25'!$Q$142</f>
        <v>123.10036562946703</v>
      </c>
      <c r="F150" s="52">
        <f>'Input Actual2024-25'!$Q$142</f>
        <v>123.10036562946703</v>
      </c>
      <c r="G150" s="52">
        <f>'Input Actual2024-25'!$Q$142</f>
        <v>123.10036562946703</v>
      </c>
      <c r="H150" s="52">
        <f>'Input Actual2024-25'!$Q$142</f>
        <v>123.10036562946703</v>
      </c>
      <c r="I150" s="52">
        <f>'Input Actual2024-25'!$Q$142</f>
        <v>123.10036562946703</v>
      </c>
      <c r="J150" s="52">
        <f>'Input Actual2024-25'!$Q$142</f>
        <v>123.10036562946703</v>
      </c>
      <c r="K150" s="52">
        <f>'Input Actual2024-25'!$Q$142</f>
        <v>123.10036562946703</v>
      </c>
      <c r="L150" s="52">
        <f>'Input Actual2024-25'!$Q$142</f>
        <v>123.10036562946703</v>
      </c>
      <c r="M150" s="52">
        <f>'Input Actual2024-25'!$Q$142</f>
        <v>123.10036562946703</v>
      </c>
      <c r="N150" s="52">
        <f>'Input Actual2024-25'!$Q$142</f>
        <v>123.10036562946703</v>
      </c>
      <c r="O150" s="52">
        <f>'Input Actual2024-25'!$Q$142</f>
        <v>123.10036562946703</v>
      </c>
      <c r="P150" s="52"/>
    </row>
    <row r="151" spans="1:16" x14ac:dyDescent="0.35">
      <c r="A151" s="41">
        <f>Dashboard!A160</f>
        <v>3</v>
      </c>
      <c r="B151" s="41" t="str">
        <f>Dashboard!B160</f>
        <v>MAI-MAHIU - KSH/M3</v>
      </c>
      <c r="C151" s="41" t="str">
        <f>Dashboard!C160</f>
        <v>Ksh/M3</v>
      </c>
      <c r="D151" s="52">
        <f>'Input Actual2024-25'!$Q$143</f>
        <v>130.31358061090211</v>
      </c>
      <c r="E151" s="52">
        <f>'Input Actual2024-25'!$Q$143</f>
        <v>130.31358061090211</v>
      </c>
      <c r="F151" s="52">
        <f>'Input Actual2024-25'!$Q$143</f>
        <v>130.31358061090211</v>
      </c>
      <c r="G151" s="52">
        <f>'Input Actual2024-25'!$Q$143</f>
        <v>130.31358061090211</v>
      </c>
      <c r="H151" s="52">
        <f>'Input Actual2024-25'!$Q$143</f>
        <v>130.31358061090211</v>
      </c>
      <c r="I151" s="52">
        <f>'Input Actual2024-25'!$Q$143</f>
        <v>130.31358061090211</v>
      </c>
      <c r="J151" s="52">
        <f>'Input Actual2024-25'!$Q$143</f>
        <v>130.31358061090211</v>
      </c>
      <c r="K151" s="52">
        <f>'Input Actual2024-25'!$Q$143</f>
        <v>130.31358061090211</v>
      </c>
      <c r="L151" s="52">
        <f>'Input Actual2024-25'!$Q$143</f>
        <v>130.31358061090211</v>
      </c>
      <c r="M151" s="52">
        <f>'Input Actual2024-25'!$Q$143</f>
        <v>130.31358061090211</v>
      </c>
      <c r="N151" s="52">
        <f>'Input Actual2024-25'!$Q$143</f>
        <v>130.31358061090211</v>
      </c>
      <c r="O151" s="52">
        <f>'Input Actual2024-25'!$Q$143</f>
        <v>130.31358061090211</v>
      </c>
      <c r="P151" s="52"/>
    </row>
    <row r="152" spans="1:16" x14ac:dyDescent="0.35">
      <c r="A152" s="41">
        <f>Dashboard!A161</f>
        <v>4</v>
      </c>
      <c r="B152" s="41" t="str">
        <f>Dashboard!B161</f>
        <v>LONGONOT - KSH/M3</v>
      </c>
      <c r="C152" s="41" t="str">
        <f>Dashboard!C161</f>
        <v>Ksh/M3</v>
      </c>
      <c r="D152" s="52">
        <f>'Input Actual2024-25'!$Q$144</f>
        <v>123.52031526555615</v>
      </c>
      <c r="E152" s="52">
        <f>'Input Actual2024-25'!$Q$144</f>
        <v>123.52031526555615</v>
      </c>
      <c r="F152" s="52">
        <f>'Input Actual2024-25'!$Q$144</f>
        <v>123.52031526555615</v>
      </c>
      <c r="G152" s="52">
        <f>'Input Actual2024-25'!$Q$144</f>
        <v>123.52031526555615</v>
      </c>
      <c r="H152" s="52">
        <f>'Input Actual2024-25'!$Q$144</f>
        <v>123.52031526555615</v>
      </c>
      <c r="I152" s="52">
        <f>'Input Actual2024-25'!$Q$144</f>
        <v>123.52031526555615</v>
      </c>
      <c r="J152" s="52">
        <f>'Input Actual2024-25'!$Q$144</f>
        <v>123.52031526555615</v>
      </c>
      <c r="K152" s="52">
        <f>'Input Actual2024-25'!$Q$144</f>
        <v>123.52031526555615</v>
      </c>
      <c r="L152" s="52">
        <f>'Input Actual2024-25'!$Q$144</f>
        <v>123.52031526555615</v>
      </c>
      <c r="M152" s="52">
        <f>'Input Actual2024-25'!$Q$144</f>
        <v>123.52031526555615</v>
      </c>
      <c r="N152" s="52">
        <f>'Input Actual2024-25'!$Q$144</f>
        <v>123.52031526555615</v>
      </c>
      <c r="O152" s="52">
        <f>'Input Actual2024-25'!$Q$144</f>
        <v>123.52031526555615</v>
      </c>
      <c r="P152" s="52"/>
    </row>
    <row r="153" spans="1:16" x14ac:dyDescent="0.35">
      <c r="A153" s="41">
        <f>Dashboard!A162</f>
        <v>0</v>
      </c>
      <c r="B153" s="41" t="str">
        <f>Dashboard!B162</f>
        <v xml:space="preserve"> - KSH/M3 SOUTHERN REGION</v>
      </c>
      <c r="C153" s="41" t="str">
        <f>Dashboard!C162</f>
        <v>Ksh/M3</v>
      </c>
      <c r="D153" s="52">
        <f>AVERAGE(D149:D152)</f>
        <v>125.17488738052683</v>
      </c>
      <c r="E153" s="52">
        <f t="shared" ref="E153:O153" si="57">AVERAGE(E149:E152)</f>
        <v>125.17488738052683</v>
      </c>
      <c r="F153" s="52">
        <f t="shared" si="57"/>
        <v>125.17488738052683</v>
      </c>
      <c r="G153" s="52">
        <f t="shared" si="57"/>
        <v>125.17488738052683</v>
      </c>
      <c r="H153" s="52">
        <f t="shared" si="57"/>
        <v>125.17488738052683</v>
      </c>
      <c r="I153" s="52">
        <f t="shared" si="57"/>
        <v>125.17488738052683</v>
      </c>
      <c r="J153" s="52">
        <f t="shared" si="57"/>
        <v>125.17488738052683</v>
      </c>
      <c r="K153" s="52">
        <f t="shared" si="57"/>
        <v>125.17488738052683</v>
      </c>
      <c r="L153" s="52">
        <f t="shared" si="57"/>
        <v>125.17488738052683</v>
      </c>
      <c r="M153" s="52">
        <f t="shared" si="57"/>
        <v>125.17488738052683</v>
      </c>
      <c r="N153" s="52">
        <f t="shared" si="57"/>
        <v>125.17488738052683</v>
      </c>
      <c r="O153" s="52">
        <f t="shared" si="57"/>
        <v>125.17488738052683</v>
      </c>
    </row>
    <row r="154" spans="1:16" x14ac:dyDescent="0.35">
      <c r="A154" s="41">
        <f>Dashboard!A164</f>
        <v>1</v>
      </c>
      <c r="B154" s="41" t="str">
        <f>Dashboard!B164</f>
        <v>KAYOLE - KSH/M3</v>
      </c>
      <c r="C154" s="41" t="str">
        <f>Dashboard!C164</f>
        <v>Ksh/M3</v>
      </c>
      <c r="D154" s="52">
        <f>'Input Actual2024-25'!$Q$146</f>
        <v>124.080668885779</v>
      </c>
      <c r="E154" s="52">
        <f>'Input Actual2024-25'!$Q$146</f>
        <v>124.080668885779</v>
      </c>
      <c r="F154" s="52">
        <f>'Input Actual2024-25'!$Q$146</f>
        <v>124.080668885779</v>
      </c>
      <c r="G154" s="52">
        <f>'Input Actual2024-25'!$Q$146</f>
        <v>124.080668885779</v>
      </c>
      <c r="H154" s="52">
        <f>'Input Actual2024-25'!$Q$146</f>
        <v>124.080668885779</v>
      </c>
      <c r="I154" s="52">
        <f>'Input Actual2024-25'!$Q$146</f>
        <v>124.080668885779</v>
      </c>
      <c r="J154" s="52">
        <f>'Input Actual2024-25'!$Q$146</f>
        <v>124.080668885779</v>
      </c>
      <c r="K154" s="52">
        <f>'Input Actual2024-25'!$Q$146</f>
        <v>124.080668885779</v>
      </c>
      <c r="L154" s="52">
        <f>'Input Actual2024-25'!$Q$146</f>
        <v>124.080668885779</v>
      </c>
      <c r="M154" s="52">
        <f>'Input Actual2024-25'!$Q$146</f>
        <v>124.080668885779</v>
      </c>
      <c r="N154" s="52">
        <f>'Input Actual2024-25'!$Q$146</f>
        <v>124.080668885779</v>
      </c>
      <c r="O154" s="52">
        <f>'Input Actual2024-25'!$Q$146</f>
        <v>124.080668885779</v>
      </c>
    </row>
    <row r="155" spans="1:16" x14ac:dyDescent="0.35">
      <c r="A155" s="41">
        <f>Dashboard!A165</f>
        <v>2</v>
      </c>
      <c r="B155" s="41" t="str">
        <f>Dashboard!B165</f>
        <v>IHINDU - KSH/M3</v>
      </c>
      <c r="C155" s="41" t="str">
        <f>Dashboard!C165</f>
        <v>Ksh/M3</v>
      </c>
      <c r="D155" s="52">
        <v>100</v>
      </c>
      <c r="E155" s="52">
        <v>100</v>
      </c>
      <c r="F155" s="52">
        <v>100</v>
      </c>
      <c r="G155" s="52">
        <v>100</v>
      </c>
      <c r="H155" s="52">
        <v>100</v>
      </c>
      <c r="I155" s="52">
        <v>100</v>
      </c>
      <c r="J155" s="52">
        <v>100</v>
      </c>
      <c r="K155" s="52">
        <v>100</v>
      </c>
      <c r="L155" s="52">
        <v>100</v>
      </c>
      <c r="M155" s="52">
        <v>100</v>
      </c>
      <c r="N155" s="52">
        <v>100</v>
      </c>
      <c r="O155" s="52">
        <v>100</v>
      </c>
    </row>
    <row r="156" spans="1:16" x14ac:dyDescent="0.35">
      <c r="A156" s="41">
        <f>Dashboard!A166</f>
        <v>0</v>
      </c>
      <c r="B156" s="41" t="str">
        <f>Dashboard!B166</f>
        <v xml:space="preserve"> - KSH/M3 EASTERN REGION</v>
      </c>
      <c r="C156" s="41" t="str">
        <f>Dashboard!C166</f>
        <v>Ksh/M3</v>
      </c>
      <c r="D156" s="52">
        <f>AVERAGE(D154:D155)</f>
        <v>112.0403344428895</v>
      </c>
      <c r="E156" s="52">
        <f t="shared" ref="E156:O156" si="58">AVERAGE(E154:E155)</f>
        <v>112.0403344428895</v>
      </c>
      <c r="F156" s="52">
        <f t="shared" si="58"/>
        <v>112.0403344428895</v>
      </c>
      <c r="G156" s="52">
        <f t="shared" si="58"/>
        <v>112.0403344428895</v>
      </c>
      <c r="H156" s="52">
        <f t="shared" si="58"/>
        <v>112.0403344428895</v>
      </c>
      <c r="I156" s="52">
        <f t="shared" si="58"/>
        <v>112.0403344428895</v>
      </c>
      <c r="J156" s="52">
        <f t="shared" si="58"/>
        <v>112.0403344428895</v>
      </c>
      <c r="K156" s="52">
        <f t="shared" si="58"/>
        <v>112.0403344428895</v>
      </c>
      <c r="L156" s="52">
        <f t="shared" si="58"/>
        <v>112.0403344428895</v>
      </c>
      <c r="M156" s="52">
        <f t="shared" si="58"/>
        <v>112.0403344428895</v>
      </c>
      <c r="N156" s="52">
        <f t="shared" si="58"/>
        <v>112.0403344428895</v>
      </c>
      <c r="O156" s="52">
        <f t="shared" si="58"/>
        <v>112.0403344428895</v>
      </c>
    </row>
    <row r="157" spans="1:16" x14ac:dyDescent="0.35">
      <c r="A157" s="41" t="str">
        <f>Dashboard!A167</f>
        <v>TOTAL SALES SEWER - KSH.</v>
      </c>
    </row>
    <row r="158" spans="1:16" x14ac:dyDescent="0.35">
      <c r="A158" s="41">
        <f>Dashboard!A168</f>
        <v>1</v>
      </c>
      <c r="B158" s="41" t="str">
        <f>Dashboard!B168</f>
        <v>CBD - SEWER(KES)</v>
      </c>
      <c r="C158" s="41" t="str">
        <f>Dashboard!C168</f>
        <v>Ksh</v>
      </c>
      <c r="D158" s="50">
        <v>1691651.722903348</v>
      </c>
      <c r="E158" s="50">
        <v>1694694.4053062443</v>
      </c>
      <c r="F158" s="50">
        <v>1697740.0137370352</v>
      </c>
      <c r="G158" s="50">
        <v>1700788.5041692217</v>
      </c>
      <c r="H158" s="50">
        <v>1703839.8334551535</v>
      </c>
      <c r="I158" s="50">
        <v>1706893.9593042135</v>
      </c>
      <c r="J158" s="50">
        <v>1709950.8402616431</v>
      </c>
      <c r="K158" s="50">
        <v>1713010.4356879916</v>
      </c>
      <c r="L158" s="50">
        <v>1716072.7057391726</v>
      </c>
      <c r="M158" s="50">
        <v>1719137.6113470991</v>
      </c>
      <c r="N158" s="50">
        <v>1722205.1142008854</v>
      </c>
      <c r="O158" s="50">
        <v>1725275.1767285895</v>
      </c>
    </row>
    <row r="159" spans="1:16" x14ac:dyDescent="0.35">
      <c r="A159" s="41">
        <f>Dashboard!A169</f>
        <v>2</v>
      </c>
      <c r="B159" s="41" t="str">
        <f>Dashboard!B169</f>
        <v>CCCR- SEWER(KES)</v>
      </c>
      <c r="C159" s="41" t="str">
        <f>Dashboard!C169</f>
        <v>Ksh</v>
      </c>
      <c r="D159" s="50">
        <v>1796286.6210640594</v>
      </c>
      <c r="E159" s="50">
        <v>1806883.9788652488</v>
      </c>
      <c r="F159" s="50">
        <v>1817480.1977979443</v>
      </c>
      <c r="G159" s="50">
        <v>1828075.2949981415</v>
      </c>
      <c r="H159" s="50">
        <v>1838669.287259765</v>
      </c>
      <c r="I159" s="50">
        <v>1849262.1910431692</v>
      </c>
      <c r="J159" s="50">
        <v>1859854.0224833733</v>
      </c>
      <c r="K159" s="50">
        <v>1870444.7973980627</v>
      </c>
      <c r="L159" s="50">
        <v>1881034.5312953533</v>
      </c>
      <c r="M159" s="50">
        <v>1891623.2393813224</v>
      </c>
      <c r="N159" s="50">
        <v>1902210.9365673335</v>
      </c>
      <c r="O159" s="50">
        <v>1912797.6374771369</v>
      </c>
    </row>
    <row r="160" spans="1:16" x14ac:dyDescent="0.35">
      <c r="A160" s="41">
        <f>Dashboard!A170</f>
        <v>3</v>
      </c>
      <c r="B160" s="41" t="str">
        <f>Dashboard!B170</f>
        <v>KABATI- SEWER(KES)</v>
      </c>
      <c r="C160" s="41" t="str">
        <f>Dashboard!C170</f>
        <v>Ksh</v>
      </c>
      <c r="D160" s="50">
        <v>486956.78858548333</v>
      </c>
      <c r="E160" s="50">
        <v>493558.23612630012</v>
      </c>
      <c r="F160" s="50">
        <v>500157.22584239591</v>
      </c>
      <c r="G160" s="50">
        <v>506753.79471544962</v>
      </c>
      <c r="H160" s="50">
        <v>513347.97898891487</v>
      </c>
      <c r="I160" s="50">
        <v>519939.81418635079</v>
      </c>
      <c r="J160" s="50">
        <v>526529.33512920677</v>
      </c>
      <c r="K160" s="50">
        <v>533116.57595408289</v>
      </c>
      <c r="L160" s="50">
        <v>539701.57012948545</v>
      </c>
      <c r="M160" s="50">
        <v>546284.35047208972</v>
      </c>
      <c r="N160" s="50">
        <v>552864.94916253351</v>
      </c>
      <c r="O160" s="50">
        <v>559443.39776075142</v>
      </c>
    </row>
    <row r="161" spans="1:15" x14ac:dyDescent="0.35">
      <c r="A161" s="41">
        <f>Dashboard!A171</f>
        <v>4</v>
      </c>
      <c r="B161" s="41" t="str">
        <f>Dashboard!B171</f>
        <v>SITE- SEWER(KES)</v>
      </c>
      <c r="C161" s="41" t="str">
        <f>Dashboard!C171</f>
        <v>Ksh</v>
      </c>
      <c r="D161" s="50">
        <v>525759.16892081895</v>
      </c>
      <c r="E161" s="50">
        <v>526925.09022857412</v>
      </c>
      <c r="F161" s="50">
        <v>528091.79397794453</v>
      </c>
      <c r="G161" s="50">
        <v>529259.26839591714</v>
      </c>
      <c r="H161" s="50">
        <v>530427.50194448896</v>
      </c>
      <c r="I161" s="50">
        <v>531596.48331483477</v>
      </c>
      <c r="J161" s="50">
        <v>532766.20142164396</v>
      </c>
      <c r="K161" s="50">
        <v>533936.64539762505</v>
      </c>
      <c r="L161" s="50">
        <v>535107.80458817352</v>
      </c>
      <c r="M161" s="50">
        <v>536279.66854619177</v>
      </c>
      <c r="N161" s="50">
        <v>537452.22702706465</v>
      </c>
      <c r="O161" s="50">
        <v>538625.46998377517</v>
      </c>
    </row>
    <row r="162" spans="1:15" x14ac:dyDescent="0.35">
      <c r="A162" s="41">
        <f>Dashboard!A172</f>
        <v>5</v>
      </c>
      <c r="B162" s="41" t="str">
        <f>Dashboard!B172</f>
        <v>KIHOTO- SEWER(KES)</v>
      </c>
      <c r="C162" s="41" t="str">
        <f>Dashboard!C172</f>
        <v>Ksh</v>
      </c>
      <c r="D162" s="50"/>
      <c r="E162" s="50"/>
      <c r="F162" s="50"/>
      <c r="G162" s="50"/>
      <c r="H162" s="50"/>
      <c r="I162" s="50"/>
      <c r="J162" s="50"/>
      <c r="K162" s="50"/>
      <c r="L162" s="50"/>
      <c r="M162" s="50"/>
      <c r="N162" s="50"/>
      <c r="O162" s="50"/>
    </row>
    <row r="163" spans="1:15" x14ac:dyDescent="0.35">
      <c r="A163" s="41">
        <f>Dashboard!A173</f>
        <v>6</v>
      </c>
      <c r="B163" s="41" t="str">
        <f>Dashboard!B173</f>
        <v>LAKEVIEW- SEWER(KES)</v>
      </c>
      <c r="C163" s="41" t="str">
        <f>Dashboard!C173</f>
        <v>Ksh</v>
      </c>
      <c r="D163" s="50">
        <v>472494.51673396066</v>
      </c>
      <c r="E163" s="50">
        <v>474547.79860247305</v>
      </c>
      <c r="F163" s="50">
        <v>476601.20410575392</v>
      </c>
      <c r="G163" s="50">
        <v>478654.73138353234</v>
      </c>
      <c r="H163" s="50">
        <v>480708.37861267093</v>
      </c>
      <c r="I163" s="50">
        <v>482762.14400624548</v>
      </c>
      <c r="J163" s="50">
        <v>484816.02581264934</v>
      </c>
      <c r="K163" s="50">
        <v>486870.02231472556</v>
      </c>
      <c r="L163" s="50">
        <v>488924.13182892435</v>
      </c>
      <c r="M163" s="50">
        <v>490978.35270448396</v>
      </c>
      <c r="N163" s="50">
        <v>493032.68332263757</v>
      </c>
      <c r="O163" s="50">
        <v>495087.12209584104</v>
      </c>
    </row>
    <row r="164" spans="1:15" x14ac:dyDescent="0.35">
      <c r="A164" s="41">
        <f>Dashboard!A174</f>
        <v>7</v>
      </c>
      <c r="B164" s="41" t="str">
        <f>Dashboard!B174</f>
        <v>HOPEWELL- SEWER(KES)</v>
      </c>
      <c r="C164" s="41" t="str">
        <f>Dashboard!C174</f>
        <v>Ksh</v>
      </c>
      <c r="D164" s="50">
        <v>325.76773545936459</v>
      </c>
      <c r="E164" s="50">
        <v>325.67292407405392</v>
      </c>
      <c r="F164" s="50">
        <v>325.57906853628862</v>
      </c>
      <c r="G164" s="50">
        <v>325.48615446390164</v>
      </c>
      <c r="H164" s="50">
        <v>325.39416776182054</v>
      </c>
      <c r="I164" s="50">
        <v>325.30309461494039</v>
      </c>
      <c r="J164" s="50">
        <v>325.21292148120659</v>
      </c>
      <c r="K164" s="50">
        <v>325.12363508490176</v>
      </c>
      <c r="L164" s="50">
        <v>325.0352224101311</v>
      </c>
      <c r="M164" s="50">
        <v>324.94767069449546</v>
      </c>
      <c r="N164" s="50">
        <v>324.86096742295149</v>
      </c>
      <c r="O164" s="50">
        <v>324.77510032184699</v>
      </c>
    </row>
    <row r="165" spans="1:15" x14ac:dyDescent="0.35">
      <c r="A165" s="41">
        <f>Dashboard!A175</f>
        <v>0</v>
      </c>
      <c r="B165" s="41" t="str">
        <f>Dashboard!B175</f>
        <v>TOTAL SEWER SALES-CENTRAL</v>
      </c>
      <c r="C165" s="41" t="str">
        <f>Dashboard!C175</f>
        <v>Ksh</v>
      </c>
      <c r="D165" s="51">
        <f>SUM(D158:D164)</f>
        <v>4973474.5859431289</v>
      </c>
      <c r="E165" s="51">
        <f>SUM(E158:E164)</f>
        <v>4996935.182052915</v>
      </c>
      <c r="F165" s="51">
        <f t="shared" ref="F165:O165" si="59">SUM(F158:F164)</f>
        <v>5020396.0145296101</v>
      </c>
      <c r="G165" s="51">
        <f t="shared" si="59"/>
        <v>5043857.079816726</v>
      </c>
      <c r="H165" s="51">
        <f t="shared" si="59"/>
        <v>5067318.3744287556</v>
      </c>
      <c r="I165" s="51">
        <f t="shared" si="59"/>
        <v>5090779.8949494297</v>
      </c>
      <c r="J165" s="51">
        <f t="shared" si="59"/>
        <v>5114241.6380299972</v>
      </c>
      <c r="K165" s="51">
        <f t="shared" si="59"/>
        <v>5137703.6003875732</v>
      </c>
      <c r="L165" s="51">
        <f t="shared" si="59"/>
        <v>5161165.778803519</v>
      </c>
      <c r="M165" s="51">
        <f t="shared" si="59"/>
        <v>5184628.1701218812</v>
      </c>
      <c r="N165" s="51">
        <f t="shared" si="59"/>
        <v>5208090.7712478768</v>
      </c>
      <c r="O165" s="51">
        <f t="shared" si="59"/>
        <v>5231553.5791464159</v>
      </c>
    </row>
    <row r="166" spans="1:15" x14ac:dyDescent="0.35">
      <c r="A166" s="41">
        <f>Dashboard!A176</f>
        <v>1</v>
      </c>
      <c r="B166" s="41" t="str">
        <f>Dashboard!B176</f>
        <v>HELLSGATE- SEWER(KES)</v>
      </c>
      <c r="C166" s="41" t="str">
        <f>Dashboard!C176</f>
        <v>Ksh</v>
      </c>
      <c r="D166" s="50">
        <v>0</v>
      </c>
      <c r="E166" s="50">
        <v>0</v>
      </c>
      <c r="F166" s="50">
        <v>0</v>
      </c>
      <c r="G166" s="50">
        <v>0</v>
      </c>
      <c r="H166" s="50">
        <v>0</v>
      </c>
      <c r="I166" s="50">
        <v>0</v>
      </c>
      <c r="J166" s="50">
        <v>0</v>
      </c>
      <c r="K166" s="50">
        <v>0</v>
      </c>
      <c r="L166" s="50">
        <v>0</v>
      </c>
      <c r="M166" s="50">
        <v>0</v>
      </c>
      <c r="N166" s="50">
        <v>0</v>
      </c>
      <c r="O166" s="50">
        <v>0</v>
      </c>
    </row>
    <row r="167" spans="1:15" x14ac:dyDescent="0.35">
      <c r="A167" s="41">
        <f>Dashboard!A177</f>
        <v>2</v>
      </c>
      <c r="B167" s="41" t="str">
        <f>Dashboard!B177</f>
        <v>KAMERE- SEWER(KES)</v>
      </c>
      <c r="C167" s="41" t="str">
        <f>Dashboard!C177</f>
        <v>Ksh</v>
      </c>
      <c r="D167" s="50">
        <v>0</v>
      </c>
      <c r="E167" s="50">
        <v>0</v>
      </c>
      <c r="F167" s="50">
        <v>0</v>
      </c>
      <c r="G167" s="50">
        <v>0</v>
      </c>
      <c r="H167" s="50">
        <v>0</v>
      </c>
      <c r="I167" s="50">
        <v>0</v>
      </c>
      <c r="J167" s="50">
        <v>0</v>
      </c>
      <c r="K167" s="50">
        <v>0</v>
      </c>
      <c r="L167" s="50">
        <v>0</v>
      </c>
      <c r="M167" s="50">
        <v>0</v>
      </c>
      <c r="N167" s="50">
        <v>0</v>
      </c>
      <c r="O167" s="50">
        <v>0</v>
      </c>
    </row>
    <row r="168" spans="1:15" x14ac:dyDescent="0.35">
      <c r="A168" s="41">
        <f>Dashboard!A178</f>
        <v>3</v>
      </c>
      <c r="B168" s="41" t="str">
        <f>Dashboard!B178</f>
        <v>MAI-MAHIU- SEWER(KES)</v>
      </c>
      <c r="C168" s="41" t="str">
        <f>Dashboard!C178</f>
        <v>Ksh</v>
      </c>
      <c r="D168" s="50">
        <v>0</v>
      </c>
      <c r="E168" s="50">
        <v>0</v>
      </c>
      <c r="F168" s="50">
        <v>0</v>
      </c>
      <c r="G168" s="50">
        <v>0</v>
      </c>
      <c r="H168" s="50">
        <v>0</v>
      </c>
      <c r="I168" s="50">
        <v>0</v>
      </c>
      <c r="J168" s="50">
        <v>0</v>
      </c>
      <c r="K168" s="50">
        <v>0</v>
      </c>
      <c r="L168" s="50">
        <v>0</v>
      </c>
      <c r="M168" s="50">
        <v>0</v>
      </c>
      <c r="N168" s="50">
        <v>0</v>
      </c>
      <c r="O168" s="50">
        <v>0</v>
      </c>
    </row>
    <row r="169" spans="1:15" x14ac:dyDescent="0.35">
      <c r="A169" s="41">
        <f>Dashboard!A179</f>
        <v>0</v>
      </c>
      <c r="B169" s="41" t="str">
        <f>Dashboard!B179</f>
        <v>TOTAL SEWER SALES-SOUTHERN</v>
      </c>
      <c r="C169" s="41" t="str">
        <f>Dashboard!C179</f>
        <v>Ksh</v>
      </c>
      <c r="D169" s="51">
        <f t="shared" ref="D169:O169" si="60">SUM(D166:D168)</f>
        <v>0</v>
      </c>
      <c r="E169" s="51">
        <f t="shared" si="60"/>
        <v>0</v>
      </c>
      <c r="F169" s="51">
        <f t="shared" si="60"/>
        <v>0</v>
      </c>
      <c r="G169" s="51">
        <f t="shared" si="60"/>
        <v>0</v>
      </c>
      <c r="H169" s="51">
        <f t="shared" si="60"/>
        <v>0</v>
      </c>
      <c r="I169" s="51">
        <f t="shared" si="60"/>
        <v>0</v>
      </c>
      <c r="J169" s="51">
        <f t="shared" si="60"/>
        <v>0</v>
      </c>
      <c r="K169" s="51">
        <f t="shared" si="60"/>
        <v>0</v>
      </c>
      <c r="L169" s="51">
        <f t="shared" si="60"/>
        <v>0</v>
      </c>
      <c r="M169" s="51">
        <f t="shared" si="60"/>
        <v>0</v>
      </c>
      <c r="N169" s="51">
        <f t="shared" si="60"/>
        <v>0</v>
      </c>
      <c r="O169" s="51">
        <f t="shared" si="60"/>
        <v>0</v>
      </c>
    </row>
    <row r="170" spans="1:15" x14ac:dyDescent="0.35">
      <c r="A170" s="41">
        <f>Dashboard!A181</f>
        <v>1</v>
      </c>
      <c r="B170" s="41" t="str">
        <f>Dashboard!B181</f>
        <v>KAYOLE- SEWER(KES)</v>
      </c>
      <c r="C170" s="41" t="str">
        <f>Dashboard!C181</f>
        <v>Ksh</v>
      </c>
      <c r="D170" s="50">
        <v>96809.505999981353</v>
      </c>
      <c r="E170" s="50">
        <v>97684.242144150659</v>
      </c>
      <c r="F170" s="50">
        <v>98558.741921406414</v>
      </c>
      <c r="G170" s="50">
        <v>99433.008888245269</v>
      </c>
      <c r="H170" s="50">
        <v>100307.04653016933</v>
      </c>
      <c r="I170" s="50">
        <v>101180.85826344904</v>
      </c>
      <c r="J170" s="50">
        <v>102054.44743683365</v>
      </c>
      <c r="K170" s="50">
        <v>102927.8173332109</v>
      </c>
      <c r="L170" s="50">
        <v>103800.97117121863</v>
      </c>
      <c r="M170" s="50">
        <v>104673.91210680854</v>
      </c>
      <c r="N170" s="50">
        <v>105546.64323476522</v>
      </c>
      <c r="O170" s="50">
        <v>106419.1675901808</v>
      </c>
    </row>
    <row r="171" spans="1:15" x14ac:dyDescent="0.35">
      <c r="A171" s="41" t="str">
        <f>Dashboard!A182</f>
        <v>SUMMARY SALES</v>
      </c>
      <c r="D171" s="53"/>
      <c r="E171" s="53"/>
      <c r="F171" s="53"/>
      <c r="G171" s="53"/>
      <c r="H171" s="53"/>
      <c r="I171" s="53"/>
      <c r="J171" s="53"/>
      <c r="K171" s="53"/>
      <c r="L171" s="53"/>
      <c r="M171" s="53"/>
      <c r="N171" s="53"/>
      <c r="O171" s="53"/>
    </row>
    <row r="172" spans="1:15" x14ac:dyDescent="0.35">
      <c r="A172" s="41">
        <f>Dashboard!A183</f>
        <v>1</v>
      </c>
      <c r="B172" s="41" t="str">
        <f>Dashboard!B183</f>
        <v>TOTAL VOLUME BILLED</v>
      </c>
      <c r="C172" s="41" t="str">
        <f>Dashboard!C183</f>
        <v>M3</v>
      </c>
      <c r="D172" s="53">
        <f>D114+D119+D122</f>
        <v>162967.7442335966</v>
      </c>
      <c r="E172" s="53">
        <f t="shared" ref="E172:O172" si="61">E114+E119+E122</f>
        <v>164996.22762758762</v>
      </c>
      <c r="F172" s="53">
        <f t="shared" si="61"/>
        <v>167133.6122432423</v>
      </c>
      <c r="G172" s="53">
        <f t="shared" si="61"/>
        <v>170794.24754748362</v>
      </c>
      <c r="H172" s="53">
        <f t="shared" si="61"/>
        <v>174251.4018390667</v>
      </c>
      <c r="I172" s="53">
        <f t="shared" si="61"/>
        <v>177638.11139871617</v>
      </c>
      <c r="J172" s="53">
        <f t="shared" si="61"/>
        <v>180823.43914382733</v>
      </c>
      <c r="K172" s="53">
        <f t="shared" si="61"/>
        <v>183888.91262962579</v>
      </c>
      <c r="L172" s="53">
        <f t="shared" si="61"/>
        <v>186764.48642215959</v>
      </c>
      <c r="M172" s="53">
        <f t="shared" si="61"/>
        <v>189206.27401245051</v>
      </c>
      <c r="N172" s="53">
        <f t="shared" si="61"/>
        <v>191648.06160274136</v>
      </c>
      <c r="O172" s="53">
        <f t="shared" si="61"/>
        <v>194059.95820076609</v>
      </c>
    </row>
    <row r="173" spans="1:15" x14ac:dyDescent="0.35">
      <c r="A173" s="41">
        <f>Dashboard!A184</f>
        <v>2</v>
      </c>
      <c r="B173" s="41" t="str">
        <f>Dashboard!B184</f>
        <v>TOTAL WATER SALES</v>
      </c>
      <c r="C173" s="41" t="str">
        <f>Dashboard!C184</f>
        <v>Ksh</v>
      </c>
      <c r="D173" s="53">
        <f>D131+D136+D139</f>
        <v>16944467.777777772</v>
      </c>
      <c r="E173" s="53">
        <f t="shared" ref="E173:O173" si="62">E131+E136+E139</f>
        <v>17161527.777777776</v>
      </c>
      <c r="F173" s="53">
        <f t="shared" si="62"/>
        <v>17381827.777777772</v>
      </c>
      <c r="G173" s="53">
        <f t="shared" si="62"/>
        <v>17650727.777777772</v>
      </c>
      <c r="H173" s="53">
        <f t="shared" si="62"/>
        <v>17903427.777777772</v>
      </c>
      <c r="I173" s="53">
        <f t="shared" si="62"/>
        <v>18139927.777777772</v>
      </c>
      <c r="J173" s="53">
        <f t="shared" si="62"/>
        <v>18392627.77777778</v>
      </c>
      <c r="K173" s="53">
        <f t="shared" si="62"/>
        <v>18621027.777777772</v>
      </c>
      <c r="L173" s="53">
        <f t="shared" si="62"/>
        <v>18825127.777777772</v>
      </c>
      <c r="M173" s="53">
        <f t="shared" si="62"/>
        <v>19013027.777777776</v>
      </c>
      <c r="N173" s="53">
        <f t="shared" si="62"/>
        <v>19200927.77777778</v>
      </c>
      <c r="O173" s="53">
        <f t="shared" si="62"/>
        <v>19385587.777777776</v>
      </c>
    </row>
    <row r="174" spans="1:15" x14ac:dyDescent="0.35">
      <c r="A174" s="41">
        <f>Dashboard!A185</f>
        <v>3</v>
      </c>
      <c r="B174" s="41" t="str">
        <f>Dashboard!B185</f>
        <v>TOTAL SEWER SALES</v>
      </c>
      <c r="C174" s="41" t="str">
        <f>Dashboard!C185</f>
        <v>Ksh</v>
      </c>
      <c r="D174" s="53">
        <f>D165+D169+D170</f>
        <v>5070284.0919431103</v>
      </c>
      <c r="E174" s="53">
        <f t="shared" ref="E174:O174" si="63">E165+E169+E170</f>
        <v>5094619.4241970656</v>
      </c>
      <c r="F174" s="53">
        <f t="shared" si="63"/>
        <v>5118954.7564510163</v>
      </c>
      <c r="G174" s="53">
        <f t="shared" si="63"/>
        <v>5143290.0887049716</v>
      </c>
      <c r="H174" s="53">
        <f t="shared" si="63"/>
        <v>5167625.420958925</v>
      </c>
      <c r="I174" s="53">
        <f t="shared" si="63"/>
        <v>5191960.7532128785</v>
      </c>
      <c r="J174" s="53">
        <f t="shared" si="63"/>
        <v>5216296.085466831</v>
      </c>
      <c r="K174" s="53">
        <f t="shared" si="63"/>
        <v>5240631.4177207844</v>
      </c>
      <c r="L174" s="53">
        <f t="shared" si="63"/>
        <v>5264966.7499747379</v>
      </c>
      <c r="M174" s="53">
        <f t="shared" si="63"/>
        <v>5289302.0822286895</v>
      </c>
      <c r="N174" s="53">
        <f t="shared" si="63"/>
        <v>5313637.414482642</v>
      </c>
      <c r="O174" s="53">
        <f t="shared" si="63"/>
        <v>5337972.7467365963</v>
      </c>
    </row>
    <row r="175" spans="1:15" x14ac:dyDescent="0.35">
      <c r="B175" s="41" t="str">
        <f>Dashboard!B186</f>
        <v>TOTAL WATER &amp; SEWER SALES</v>
      </c>
      <c r="D175" s="53">
        <f>D174+D173</f>
        <v>22014751.869720884</v>
      </c>
      <c r="E175" s="53">
        <f t="shared" ref="E175:O175" si="64">E174+E173</f>
        <v>22256147.201974843</v>
      </c>
      <c r="F175" s="53">
        <f t="shared" si="64"/>
        <v>22500782.534228787</v>
      </c>
      <c r="G175" s="53">
        <f t="shared" si="64"/>
        <v>22794017.866482742</v>
      </c>
      <c r="H175" s="53">
        <f t="shared" si="64"/>
        <v>23071053.198736697</v>
      </c>
      <c r="I175" s="53">
        <f t="shared" si="64"/>
        <v>23331888.530990653</v>
      </c>
      <c r="J175" s="53">
        <f t="shared" si="64"/>
        <v>23608923.863244612</v>
      </c>
      <c r="K175" s="53">
        <f t="shared" si="64"/>
        <v>23861659.195498556</v>
      </c>
      <c r="L175" s="53">
        <f t="shared" si="64"/>
        <v>24090094.527752511</v>
      </c>
      <c r="M175" s="53">
        <f t="shared" si="64"/>
        <v>24302329.860006467</v>
      </c>
      <c r="N175" s="53">
        <f t="shared" si="64"/>
        <v>24514565.192260422</v>
      </c>
      <c r="O175" s="53">
        <f t="shared" si="64"/>
        <v>24723560.524514373</v>
      </c>
    </row>
    <row r="176" spans="1:15" x14ac:dyDescent="0.35">
      <c r="A176" s="41">
        <f>Dashboard!A187</f>
        <v>4</v>
      </c>
      <c r="B176" s="41" t="str">
        <f>Dashboard!B187</f>
        <v>AVG TARIFF WATER (KSH/M3)</v>
      </c>
      <c r="C176" s="41" t="str">
        <f>Dashboard!C187</f>
        <v>Ksh/M3</v>
      </c>
      <c r="D176" s="52">
        <v>110</v>
      </c>
      <c r="E176" s="52">
        <v>110</v>
      </c>
      <c r="F176" s="52">
        <v>110</v>
      </c>
      <c r="G176" s="52">
        <v>110</v>
      </c>
      <c r="H176" s="52">
        <v>110</v>
      </c>
      <c r="I176" s="52">
        <v>110</v>
      </c>
      <c r="J176" s="52">
        <v>110</v>
      </c>
      <c r="K176" s="52">
        <v>110</v>
      </c>
      <c r="L176" s="52">
        <v>110</v>
      </c>
      <c r="M176" s="52">
        <v>110</v>
      </c>
      <c r="N176" s="52">
        <v>110</v>
      </c>
      <c r="O176" s="52">
        <v>110</v>
      </c>
    </row>
    <row r="177" spans="1:15" x14ac:dyDescent="0.35">
      <c r="A177" s="41">
        <f>Dashboard!A188</f>
        <v>5</v>
      </c>
      <c r="B177" s="41" t="str">
        <f>Dashboard!B188</f>
        <v>AVG TARIFF SEWER (KSH/NO.)</v>
      </c>
      <c r="C177" s="41" t="str">
        <f>Dashboard!C188</f>
        <v>ksh/No</v>
      </c>
      <c r="D177" s="41">
        <f t="shared" ref="D177:O177" si="65">D174/D102</f>
        <v>2743.6602229129385</v>
      </c>
      <c r="E177" s="41">
        <f t="shared" si="65"/>
        <v>2736.1006574635153</v>
      </c>
      <c r="F177" s="41">
        <f t="shared" si="65"/>
        <v>2728.653921349156</v>
      </c>
      <c r="G177" s="41">
        <f t="shared" si="65"/>
        <v>2721.3175072513077</v>
      </c>
      <c r="H177" s="41">
        <f t="shared" si="65"/>
        <v>2714.0889815960741</v>
      </c>
      <c r="I177" s="41">
        <f t="shared" si="65"/>
        <v>2706.9659818628147</v>
      </c>
      <c r="J177" s="41">
        <f t="shared" si="65"/>
        <v>2699.9462140097471</v>
      </c>
      <c r="K177" s="41">
        <f t="shared" si="65"/>
        <v>2693.0274500106807</v>
      </c>
      <c r="L177" s="41">
        <f t="shared" si="65"/>
        <v>2686.2075254973151</v>
      </c>
      <c r="M177" s="41">
        <f t="shared" si="65"/>
        <v>2679.484337501869</v>
      </c>
      <c r="N177" s="41">
        <f t="shared" si="65"/>
        <v>2672.8558422950914</v>
      </c>
      <c r="O177" s="41">
        <f t="shared" si="65"/>
        <v>2666.3200533149834</v>
      </c>
    </row>
    <row r="178" spans="1:15" x14ac:dyDescent="0.35">
      <c r="A178" s="41" t="str">
        <f>Dashboard!A189</f>
        <v>METER READING EFFICIENCY</v>
      </c>
    </row>
    <row r="179" spans="1:15" x14ac:dyDescent="0.35">
      <c r="A179" s="41">
        <f>Dashboard!A190</f>
        <v>1</v>
      </c>
      <c r="B179" s="41" t="str">
        <f>Dashboard!B190</f>
        <v>Meters Read</v>
      </c>
      <c r="C179" s="41" t="str">
        <f>Dashboard!C190</f>
        <v>No.</v>
      </c>
      <c r="D179" s="53">
        <f t="shared" ref="D179:O179" si="66">D101</f>
        <v>10373</v>
      </c>
      <c r="E179" s="53">
        <f t="shared" si="66"/>
        <v>10520</v>
      </c>
      <c r="F179" s="53">
        <f t="shared" si="66"/>
        <v>10669</v>
      </c>
      <c r="G179" s="53">
        <f t="shared" si="66"/>
        <v>10888</v>
      </c>
      <c r="H179" s="53">
        <f t="shared" si="66"/>
        <v>11097</v>
      </c>
      <c r="I179" s="53">
        <f t="shared" si="66"/>
        <v>11296</v>
      </c>
      <c r="J179" s="53">
        <f t="shared" si="66"/>
        <v>11500</v>
      </c>
      <c r="K179" s="53">
        <f t="shared" si="66"/>
        <v>11689</v>
      </c>
      <c r="L179" s="53">
        <f t="shared" si="66"/>
        <v>11863</v>
      </c>
      <c r="M179" s="53">
        <f t="shared" si="66"/>
        <v>12017</v>
      </c>
      <c r="N179" s="53">
        <f t="shared" si="66"/>
        <v>12171</v>
      </c>
      <c r="O179" s="53">
        <f t="shared" si="66"/>
        <v>12323</v>
      </c>
    </row>
    <row r="180" spans="1:15" x14ac:dyDescent="0.35">
      <c r="A180" s="41">
        <f>Dashboard!A191</f>
        <v>2</v>
      </c>
      <c r="B180" s="41" t="str">
        <f>Dashboard!B191</f>
        <v>Meter Reading Efficiency (%)</v>
      </c>
      <c r="C180" s="41" t="str">
        <f>Dashboard!C191</f>
        <v>%</v>
      </c>
      <c r="D180" s="357">
        <f t="shared" ref="D180:O180" si="67">D101/D179</f>
        <v>1</v>
      </c>
      <c r="E180" s="357">
        <f t="shared" si="67"/>
        <v>1</v>
      </c>
      <c r="F180" s="357">
        <f t="shared" si="67"/>
        <v>1</v>
      </c>
      <c r="G180" s="357">
        <f t="shared" si="67"/>
        <v>1</v>
      </c>
      <c r="H180" s="357">
        <f t="shared" si="67"/>
        <v>1</v>
      </c>
      <c r="I180" s="357">
        <f t="shared" si="67"/>
        <v>1</v>
      </c>
      <c r="J180" s="357">
        <f t="shared" si="67"/>
        <v>1</v>
      </c>
      <c r="K180" s="357">
        <f t="shared" si="67"/>
        <v>1</v>
      </c>
      <c r="L180" s="357">
        <f t="shared" si="67"/>
        <v>1</v>
      </c>
      <c r="M180" s="357">
        <f t="shared" si="67"/>
        <v>1</v>
      </c>
      <c r="N180" s="357">
        <f t="shared" si="67"/>
        <v>1</v>
      </c>
      <c r="O180" s="357">
        <f t="shared" si="67"/>
        <v>1</v>
      </c>
    </row>
    <row r="181" spans="1:15" x14ac:dyDescent="0.35">
      <c r="A181" s="41" t="str">
        <f>Dashboard!A192</f>
        <v>BILLING EFFICIENCY</v>
      </c>
    </row>
    <row r="182" spans="1:15" x14ac:dyDescent="0.35">
      <c r="A182" s="41">
        <f>Dashboard!A193</f>
        <v>1</v>
      </c>
      <c r="B182" s="41" t="str">
        <f>Dashboard!B193</f>
        <v>No. of Active accounts W,W&amp;S &amp;S</v>
      </c>
      <c r="D182" s="53">
        <f t="shared" ref="D182:O182" si="68">D101+D102</f>
        <v>12221</v>
      </c>
      <c r="E182" s="53">
        <f t="shared" si="68"/>
        <v>12382</v>
      </c>
      <c r="F182" s="53">
        <f t="shared" si="68"/>
        <v>12545</v>
      </c>
      <c r="G182" s="53">
        <f t="shared" si="68"/>
        <v>12778</v>
      </c>
      <c r="H182" s="53">
        <f t="shared" si="68"/>
        <v>13001</v>
      </c>
      <c r="I182" s="53">
        <f t="shared" si="68"/>
        <v>13214</v>
      </c>
      <c r="J182" s="53">
        <f t="shared" si="68"/>
        <v>13432</v>
      </c>
      <c r="K182" s="53">
        <f t="shared" si="68"/>
        <v>13635</v>
      </c>
      <c r="L182" s="53">
        <f t="shared" si="68"/>
        <v>13823</v>
      </c>
      <c r="M182" s="53">
        <f t="shared" si="68"/>
        <v>13991</v>
      </c>
      <c r="N182" s="53">
        <f t="shared" si="68"/>
        <v>14159</v>
      </c>
      <c r="O182" s="53">
        <f t="shared" si="68"/>
        <v>14325</v>
      </c>
    </row>
    <row r="183" spans="1:15" x14ac:dyDescent="0.35">
      <c r="A183" s="41">
        <f>Dashboard!A194</f>
        <v>1</v>
      </c>
      <c r="B183" s="41" t="str">
        <f>Dashboard!B194</f>
        <v>Accounts Billed</v>
      </c>
      <c r="C183" s="41" t="str">
        <f>Dashboard!C194</f>
        <v>No.</v>
      </c>
      <c r="D183" s="53">
        <f t="shared" ref="D183:O183" si="69">D101+D102</f>
        <v>12221</v>
      </c>
      <c r="E183" s="53">
        <f t="shared" si="69"/>
        <v>12382</v>
      </c>
      <c r="F183" s="53">
        <f t="shared" si="69"/>
        <v>12545</v>
      </c>
      <c r="G183" s="53">
        <f t="shared" si="69"/>
        <v>12778</v>
      </c>
      <c r="H183" s="53">
        <f t="shared" si="69"/>
        <v>13001</v>
      </c>
      <c r="I183" s="53">
        <f t="shared" si="69"/>
        <v>13214</v>
      </c>
      <c r="J183" s="53">
        <f t="shared" si="69"/>
        <v>13432</v>
      </c>
      <c r="K183" s="53">
        <f t="shared" si="69"/>
        <v>13635</v>
      </c>
      <c r="L183" s="53">
        <f t="shared" si="69"/>
        <v>13823</v>
      </c>
      <c r="M183" s="53">
        <f t="shared" si="69"/>
        <v>13991</v>
      </c>
      <c r="N183" s="53">
        <f t="shared" si="69"/>
        <v>14159</v>
      </c>
      <c r="O183" s="53">
        <f t="shared" si="69"/>
        <v>14325</v>
      </c>
    </row>
    <row r="184" spans="1:15" x14ac:dyDescent="0.35">
      <c r="A184" s="41">
        <f>Dashboard!A195</f>
        <v>2</v>
      </c>
      <c r="B184" s="41" t="str">
        <f>Dashboard!B195</f>
        <v>Billing Efficiency (%)</v>
      </c>
      <c r="C184" s="41" t="str">
        <f>Dashboard!C195</f>
        <v>%</v>
      </c>
      <c r="D184" s="357">
        <f>D183/D182</f>
        <v>1</v>
      </c>
      <c r="E184" s="357">
        <f t="shared" ref="E184:O184" si="70">E183/E183</f>
        <v>1</v>
      </c>
      <c r="F184" s="357">
        <f t="shared" si="70"/>
        <v>1</v>
      </c>
      <c r="G184" s="357">
        <f t="shared" si="70"/>
        <v>1</v>
      </c>
      <c r="H184" s="357">
        <f t="shared" si="70"/>
        <v>1</v>
      </c>
      <c r="I184" s="357">
        <f t="shared" si="70"/>
        <v>1</v>
      </c>
      <c r="J184" s="357">
        <f t="shared" si="70"/>
        <v>1</v>
      </c>
      <c r="K184" s="357">
        <f t="shared" si="70"/>
        <v>1</v>
      </c>
      <c r="L184" s="357">
        <f t="shared" si="70"/>
        <v>1</v>
      </c>
      <c r="M184" s="357">
        <f t="shared" si="70"/>
        <v>1</v>
      </c>
      <c r="N184" s="357">
        <f t="shared" si="70"/>
        <v>1</v>
      </c>
      <c r="O184" s="357">
        <f t="shared" si="70"/>
        <v>1</v>
      </c>
    </row>
    <row r="185" spans="1:15" s="361" customFormat="1" x14ac:dyDescent="0.35">
      <c r="A185" s="361" t="str">
        <f>Dashboard!A196</f>
        <v>METER READING TAT</v>
      </c>
    </row>
    <row r="186" spans="1:15" s="361" customFormat="1" x14ac:dyDescent="0.35">
      <c r="A186" s="72">
        <f>Dashboard!A197</f>
        <v>1</v>
      </c>
      <c r="B186" s="72" t="str">
        <f>Dashboard!B197</f>
        <v>Eastern</v>
      </c>
      <c r="C186" s="72" t="str">
        <f>Dashboard!C197</f>
        <v>Date</v>
      </c>
      <c r="D186" s="368" t="s">
        <v>431</v>
      </c>
      <c r="E186" s="368" t="s">
        <v>431</v>
      </c>
      <c r="F186" s="368" t="s">
        <v>431</v>
      </c>
      <c r="G186" s="368" t="s">
        <v>431</v>
      </c>
      <c r="H186" s="368" t="s">
        <v>431</v>
      </c>
      <c r="I186" s="368" t="s">
        <v>431</v>
      </c>
      <c r="J186" s="368" t="s">
        <v>431</v>
      </c>
      <c r="K186" s="368" t="s">
        <v>431</v>
      </c>
      <c r="L186" s="368" t="s">
        <v>431</v>
      </c>
      <c r="M186" s="368" t="s">
        <v>431</v>
      </c>
      <c r="N186" s="368" t="s">
        <v>431</v>
      </c>
      <c r="O186" s="368" t="s">
        <v>431</v>
      </c>
    </row>
    <row r="187" spans="1:15" s="361" customFormat="1" x14ac:dyDescent="0.35">
      <c r="A187" s="72">
        <f>Dashboard!A198</f>
        <v>2</v>
      </c>
      <c r="B187" s="72" t="str">
        <f>Dashboard!B198</f>
        <v>Southern</v>
      </c>
      <c r="C187" s="72" t="str">
        <f>Dashboard!C198</f>
        <v>Date</v>
      </c>
      <c r="D187" s="368" t="s">
        <v>432</v>
      </c>
      <c r="E187" s="368" t="s">
        <v>432</v>
      </c>
      <c r="F187" s="368" t="s">
        <v>432</v>
      </c>
      <c r="G187" s="368" t="s">
        <v>432</v>
      </c>
      <c r="H187" s="368" t="s">
        <v>432</v>
      </c>
      <c r="I187" s="368" t="s">
        <v>432</v>
      </c>
      <c r="J187" s="368" t="s">
        <v>432</v>
      </c>
      <c r="K187" s="368" t="s">
        <v>432</v>
      </c>
      <c r="L187" s="368" t="s">
        <v>432</v>
      </c>
      <c r="M187" s="368" t="s">
        <v>432</v>
      </c>
      <c r="N187" s="368" t="s">
        <v>432</v>
      </c>
      <c r="O187" s="368" t="s">
        <v>432</v>
      </c>
    </row>
    <row r="188" spans="1:15" s="361" customFormat="1" x14ac:dyDescent="0.35">
      <c r="A188" s="72">
        <f>Dashboard!A199</f>
        <v>3</v>
      </c>
      <c r="B188" s="72" t="str">
        <f>Dashboard!B199</f>
        <v>Lakeview</v>
      </c>
      <c r="C188" s="72" t="str">
        <f>Dashboard!C199</f>
        <v>Date</v>
      </c>
      <c r="D188" s="368" t="s">
        <v>433</v>
      </c>
      <c r="E188" s="368" t="s">
        <v>433</v>
      </c>
      <c r="F188" s="368" t="s">
        <v>433</v>
      </c>
      <c r="G188" s="368" t="s">
        <v>433</v>
      </c>
      <c r="H188" s="368" t="s">
        <v>433</v>
      </c>
      <c r="I188" s="368" t="s">
        <v>433</v>
      </c>
      <c r="J188" s="368" t="s">
        <v>433</v>
      </c>
      <c r="K188" s="368" t="s">
        <v>433</v>
      </c>
      <c r="L188" s="368" t="s">
        <v>433</v>
      </c>
      <c r="M188" s="368" t="s">
        <v>433</v>
      </c>
      <c r="N188" s="368" t="s">
        <v>433</v>
      </c>
      <c r="O188" s="368" t="s">
        <v>433</v>
      </c>
    </row>
    <row r="189" spans="1:15" s="361" customFormat="1" x14ac:dyDescent="0.35">
      <c r="A189" s="72">
        <f>Dashboard!A200</f>
        <v>4</v>
      </c>
      <c r="B189" s="72" t="str">
        <f>Dashboard!B200</f>
        <v>Central</v>
      </c>
      <c r="C189" s="72" t="str">
        <f>Dashboard!C200</f>
        <v>Date</v>
      </c>
      <c r="D189" s="368" t="s">
        <v>434</v>
      </c>
      <c r="E189" s="368" t="s">
        <v>434</v>
      </c>
      <c r="F189" s="368" t="s">
        <v>434</v>
      </c>
      <c r="G189" s="368" t="s">
        <v>434</v>
      </c>
      <c r="H189" s="368" t="s">
        <v>434</v>
      </c>
      <c r="I189" s="368" t="s">
        <v>434</v>
      </c>
      <c r="J189" s="368" t="s">
        <v>434</v>
      </c>
      <c r="K189" s="368" t="s">
        <v>434</v>
      </c>
      <c r="L189" s="368" t="s">
        <v>434</v>
      </c>
      <c r="M189" s="368" t="s">
        <v>434</v>
      </c>
      <c r="N189" s="368" t="s">
        <v>434</v>
      </c>
      <c r="O189" s="368" t="s">
        <v>434</v>
      </c>
    </row>
    <row r="190" spans="1:15" x14ac:dyDescent="0.35">
      <c r="A190" s="41" t="str">
        <f>Dashboard!A201</f>
        <v>TOTAL EXHAUSTER SALES</v>
      </c>
    </row>
    <row r="191" spans="1:15" hidden="1" x14ac:dyDescent="0.35">
      <c r="A191" s="41">
        <f>Dashboard!A202</f>
        <v>1</v>
      </c>
      <c r="B191" s="41" t="str">
        <f>Dashboard!B202</f>
        <v>CBD- EXHAUSTER SALES</v>
      </c>
      <c r="C191" s="41" t="str">
        <f>Dashboard!C202</f>
        <v>Ksh</v>
      </c>
      <c r="D191" s="50">
        <v>0</v>
      </c>
      <c r="E191" s="50">
        <v>0</v>
      </c>
      <c r="F191" s="50">
        <v>0</v>
      </c>
      <c r="G191" s="50">
        <v>0</v>
      </c>
      <c r="H191" s="50">
        <v>0</v>
      </c>
      <c r="I191" s="50">
        <v>0</v>
      </c>
      <c r="J191" s="50">
        <v>0</v>
      </c>
      <c r="K191" s="50">
        <v>0</v>
      </c>
      <c r="L191" s="50">
        <v>0</v>
      </c>
      <c r="M191" s="50">
        <v>0</v>
      </c>
      <c r="N191" s="50">
        <v>0</v>
      </c>
      <c r="O191" s="50">
        <v>0</v>
      </c>
    </row>
    <row r="192" spans="1:15" hidden="1" x14ac:dyDescent="0.35">
      <c r="A192" s="41">
        <f>Dashboard!A203</f>
        <v>2</v>
      </c>
      <c r="B192" s="41" t="str">
        <f>Dashboard!B203</f>
        <v>CCCR- EXHAUSTER SALES</v>
      </c>
      <c r="C192" s="41" t="str">
        <f>Dashboard!C203</f>
        <v>Ksh</v>
      </c>
      <c r="D192" s="50">
        <v>0</v>
      </c>
      <c r="E192" s="50">
        <v>0</v>
      </c>
      <c r="F192" s="50">
        <v>0</v>
      </c>
      <c r="G192" s="50">
        <v>0</v>
      </c>
      <c r="H192" s="50">
        <v>0</v>
      </c>
      <c r="I192" s="50">
        <v>0</v>
      </c>
      <c r="J192" s="50">
        <v>0</v>
      </c>
      <c r="K192" s="50">
        <v>0</v>
      </c>
      <c r="L192" s="50">
        <v>0</v>
      </c>
      <c r="M192" s="50">
        <v>0</v>
      </c>
      <c r="N192" s="50">
        <v>0</v>
      </c>
      <c r="O192" s="50">
        <v>0</v>
      </c>
    </row>
    <row r="193" spans="1:15" hidden="1" x14ac:dyDescent="0.35">
      <c r="A193" s="41">
        <f>Dashboard!A204</f>
        <v>3</v>
      </c>
      <c r="B193" s="41" t="str">
        <f>Dashboard!B204</f>
        <v>KABATI- EXHAUSTER SALES</v>
      </c>
      <c r="C193" s="41" t="str">
        <f>Dashboard!C204</f>
        <v>Ksh</v>
      </c>
      <c r="D193" s="50">
        <v>0</v>
      </c>
      <c r="E193" s="50">
        <v>0</v>
      </c>
      <c r="F193" s="50">
        <v>0</v>
      </c>
      <c r="G193" s="50">
        <v>0</v>
      </c>
      <c r="H193" s="50">
        <v>0</v>
      </c>
      <c r="I193" s="50">
        <v>0</v>
      </c>
      <c r="J193" s="50">
        <v>0</v>
      </c>
      <c r="K193" s="50">
        <v>0</v>
      </c>
      <c r="L193" s="50">
        <v>0</v>
      </c>
      <c r="M193" s="50">
        <v>0</v>
      </c>
      <c r="N193" s="50">
        <v>0</v>
      </c>
      <c r="O193" s="50">
        <v>0</v>
      </c>
    </row>
    <row r="194" spans="1:15" hidden="1" x14ac:dyDescent="0.35">
      <c r="A194" s="41">
        <f>Dashboard!A205</f>
        <v>4</v>
      </c>
      <c r="B194" s="41" t="str">
        <f>Dashboard!B205</f>
        <v>SITE- EXHAUSTER SALES</v>
      </c>
      <c r="C194" s="41" t="str">
        <f>Dashboard!C205</f>
        <v>Ksh</v>
      </c>
      <c r="D194" s="50">
        <v>0</v>
      </c>
      <c r="E194" s="50">
        <v>0</v>
      </c>
      <c r="F194" s="50">
        <v>0</v>
      </c>
      <c r="G194" s="50">
        <v>0</v>
      </c>
      <c r="H194" s="50">
        <v>0</v>
      </c>
      <c r="I194" s="50">
        <v>0</v>
      </c>
      <c r="J194" s="50">
        <v>0</v>
      </c>
      <c r="K194" s="50">
        <v>0</v>
      </c>
      <c r="L194" s="50">
        <v>0</v>
      </c>
      <c r="M194" s="50">
        <v>0</v>
      </c>
      <c r="N194" s="50">
        <v>0</v>
      </c>
      <c r="O194" s="50">
        <v>0</v>
      </c>
    </row>
    <row r="195" spans="1:15" hidden="1" x14ac:dyDescent="0.35">
      <c r="A195" s="41">
        <f>Dashboard!A206</f>
        <v>5</v>
      </c>
      <c r="B195" s="41" t="str">
        <f>Dashboard!B206</f>
        <v>KIHOTO- EXHAUSTER SALES</v>
      </c>
      <c r="C195" s="41" t="str">
        <f>Dashboard!C206</f>
        <v>Ksh</v>
      </c>
      <c r="D195" s="50">
        <v>0</v>
      </c>
      <c r="E195" s="50">
        <v>0</v>
      </c>
      <c r="F195" s="50">
        <v>0</v>
      </c>
      <c r="G195" s="50">
        <v>0</v>
      </c>
      <c r="H195" s="50">
        <v>0</v>
      </c>
      <c r="I195" s="50">
        <v>0</v>
      </c>
      <c r="J195" s="50">
        <v>0</v>
      </c>
      <c r="K195" s="50">
        <v>0</v>
      </c>
      <c r="L195" s="50">
        <v>0</v>
      </c>
      <c r="M195" s="50">
        <v>0</v>
      </c>
      <c r="N195" s="50">
        <v>0</v>
      </c>
      <c r="O195" s="50">
        <v>0</v>
      </c>
    </row>
    <row r="196" spans="1:15" hidden="1" x14ac:dyDescent="0.35">
      <c r="A196" s="41">
        <f>Dashboard!A207</f>
        <v>6</v>
      </c>
      <c r="B196" s="41" t="str">
        <f>Dashboard!B207</f>
        <v>LAKEVIEW- EXHAUSTER SALES</v>
      </c>
      <c r="C196" s="41" t="str">
        <f>Dashboard!C207</f>
        <v>Ksh</v>
      </c>
      <c r="D196" s="50">
        <v>0</v>
      </c>
      <c r="E196" s="50">
        <v>0</v>
      </c>
      <c r="F196" s="50">
        <v>0</v>
      </c>
      <c r="G196" s="50">
        <v>0</v>
      </c>
      <c r="H196" s="50">
        <v>0</v>
      </c>
      <c r="I196" s="50">
        <v>0</v>
      </c>
      <c r="J196" s="50">
        <v>0</v>
      </c>
      <c r="K196" s="50">
        <v>0</v>
      </c>
      <c r="L196" s="50">
        <v>0</v>
      </c>
      <c r="M196" s="50">
        <v>0</v>
      </c>
      <c r="N196" s="50">
        <v>0</v>
      </c>
      <c r="O196" s="50">
        <v>0</v>
      </c>
    </row>
    <row r="197" spans="1:15" hidden="1" x14ac:dyDescent="0.35">
      <c r="A197" s="41">
        <f>Dashboard!A208</f>
        <v>0</v>
      </c>
      <c r="B197" s="41" t="str">
        <f>Dashboard!B208</f>
        <v>TOTAL EXHAUSTER SALES-CENTRAL</v>
      </c>
      <c r="C197" s="41" t="str">
        <f>Dashboard!C208</f>
        <v>Ksh</v>
      </c>
      <c r="D197" s="50">
        <v>0</v>
      </c>
      <c r="E197" s="50">
        <v>0</v>
      </c>
      <c r="F197" s="50">
        <v>0</v>
      </c>
      <c r="G197" s="50">
        <v>0</v>
      </c>
      <c r="H197" s="50">
        <v>0</v>
      </c>
      <c r="I197" s="50">
        <v>0</v>
      </c>
      <c r="J197" s="50">
        <v>0</v>
      </c>
      <c r="K197" s="50">
        <v>0</v>
      </c>
      <c r="L197" s="50">
        <v>0</v>
      </c>
      <c r="M197" s="50">
        <v>0</v>
      </c>
      <c r="N197" s="50">
        <v>0</v>
      </c>
      <c r="O197" s="50">
        <v>0</v>
      </c>
    </row>
    <row r="198" spans="1:15" hidden="1" x14ac:dyDescent="0.35">
      <c r="A198" s="41">
        <f>Dashboard!A209</f>
        <v>1</v>
      </c>
      <c r="B198" s="41" t="str">
        <f>Dashboard!B209</f>
        <v>HELLSGATE- EXHAUSTER SALES</v>
      </c>
      <c r="C198" s="41" t="str">
        <f>Dashboard!C209</f>
        <v>Ksh</v>
      </c>
      <c r="D198" s="50">
        <v>0</v>
      </c>
      <c r="E198" s="50">
        <v>0</v>
      </c>
      <c r="F198" s="50">
        <v>0</v>
      </c>
      <c r="G198" s="50">
        <v>0</v>
      </c>
      <c r="H198" s="50">
        <v>0</v>
      </c>
      <c r="I198" s="50">
        <v>0</v>
      </c>
      <c r="J198" s="50">
        <v>0</v>
      </c>
      <c r="K198" s="50">
        <v>0</v>
      </c>
      <c r="L198" s="50">
        <v>0</v>
      </c>
      <c r="M198" s="50">
        <v>0</v>
      </c>
      <c r="N198" s="50">
        <v>0</v>
      </c>
      <c r="O198" s="50">
        <v>0</v>
      </c>
    </row>
    <row r="199" spans="1:15" hidden="1" x14ac:dyDescent="0.35">
      <c r="A199" s="41">
        <f>Dashboard!A210</f>
        <v>2</v>
      </c>
      <c r="B199" s="41" t="str">
        <f>Dashboard!B210</f>
        <v>KAMERE- EXHAUSTER SALES</v>
      </c>
      <c r="C199" s="41" t="str">
        <f>Dashboard!C210</f>
        <v>Ksh</v>
      </c>
      <c r="D199" s="50">
        <v>0</v>
      </c>
      <c r="E199" s="50">
        <v>0</v>
      </c>
      <c r="F199" s="50">
        <v>0</v>
      </c>
      <c r="G199" s="50">
        <v>0</v>
      </c>
      <c r="H199" s="50">
        <v>0</v>
      </c>
      <c r="I199" s="50">
        <v>0</v>
      </c>
      <c r="J199" s="50">
        <v>0</v>
      </c>
      <c r="K199" s="50">
        <v>0</v>
      </c>
      <c r="L199" s="50">
        <v>0</v>
      </c>
      <c r="M199" s="50">
        <v>0</v>
      </c>
      <c r="N199" s="50">
        <v>0</v>
      </c>
      <c r="O199" s="50">
        <v>0</v>
      </c>
    </row>
    <row r="200" spans="1:15" hidden="1" x14ac:dyDescent="0.35">
      <c r="A200" s="41">
        <f>Dashboard!A214</f>
        <v>2</v>
      </c>
      <c r="B200" s="41" t="str">
        <f>Dashboard!B214</f>
        <v>OTHER- EXHAUSTER SALES</v>
      </c>
      <c r="C200" s="41" t="str">
        <f>Dashboard!C214</f>
        <v>Ksh</v>
      </c>
      <c r="D200" s="50">
        <v>0</v>
      </c>
      <c r="E200" s="50">
        <v>0</v>
      </c>
      <c r="F200" s="50">
        <v>0</v>
      </c>
      <c r="G200" s="50">
        <v>0</v>
      </c>
      <c r="H200" s="50">
        <v>0</v>
      </c>
      <c r="I200" s="50">
        <v>0</v>
      </c>
      <c r="J200" s="50">
        <v>0</v>
      </c>
      <c r="K200" s="50">
        <v>0</v>
      </c>
      <c r="L200" s="50">
        <v>0</v>
      </c>
      <c r="M200" s="50">
        <v>0</v>
      </c>
      <c r="N200" s="50">
        <v>0</v>
      </c>
      <c r="O200" s="50">
        <v>0</v>
      </c>
    </row>
    <row r="201" spans="1:15" hidden="1" x14ac:dyDescent="0.35">
      <c r="A201" s="41">
        <f>Dashboard!A211</f>
        <v>0</v>
      </c>
      <c r="B201" s="41" t="str">
        <f>Dashboard!B211</f>
        <v>TOTAL EXHAUSTER SALES-SOUTHERN</v>
      </c>
      <c r="C201" s="41" t="str">
        <f>Dashboard!C211</f>
        <v>Ksh</v>
      </c>
      <c r="D201" s="50">
        <v>0</v>
      </c>
      <c r="E201" s="50">
        <v>0</v>
      </c>
      <c r="F201" s="50">
        <v>0</v>
      </c>
      <c r="G201" s="50">
        <v>0</v>
      </c>
      <c r="H201" s="50">
        <v>0</v>
      </c>
      <c r="I201" s="50">
        <v>0</v>
      </c>
      <c r="J201" s="50">
        <v>0</v>
      </c>
      <c r="K201" s="50">
        <v>0</v>
      </c>
      <c r="L201" s="50">
        <v>0</v>
      </c>
      <c r="M201" s="50">
        <v>0</v>
      </c>
      <c r="N201" s="50">
        <v>0</v>
      </c>
      <c r="O201" s="50">
        <v>0</v>
      </c>
    </row>
    <row r="202" spans="1:15" hidden="1" x14ac:dyDescent="0.35">
      <c r="A202" s="41">
        <f>Dashboard!A213</f>
        <v>1</v>
      </c>
      <c r="B202" s="41" t="str">
        <f>Dashboard!B213</f>
        <v>KAYOLE- EXHAUSTER SALES</v>
      </c>
      <c r="C202" s="41" t="str">
        <f>Dashboard!C213</f>
        <v>Ksh</v>
      </c>
      <c r="D202" s="50">
        <v>0</v>
      </c>
      <c r="E202" s="50">
        <v>0</v>
      </c>
      <c r="F202" s="50">
        <v>0</v>
      </c>
      <c r="G202" s="50">
        <v>0</v>
      </c>
      <c r="H202" s="50">
        <v>0</v>
      </c>
      <c r="I202" s="50">
        <v>0</v>
      </c>
      <c r="J202" s="50">
        <v>0</v>
      </c>
      <c r="K202" s="50">
        <v>0</v>
      </c>
      <c r="L202" s="50">
        <v>0</v>
      </c>
      <c r="M202" s="50">
        <v>0</v>
      </c>
      <c r="N202" s="50">
        <v>0</v>
      </c>
      <c r="O202" s="50">
        <v>0</v>
      </c>
    </row>
    <row r="203" spans="1:15" hidden="1" x14ac:dyDescent="0.35">
      <c r="A203" s="41" t="str">
        <f>Dashboard!A215</f>
        <v>SUMMARY EXHAUSTER SALES</v>
      </c>
      <c r="D203" s="53"/>
      <c r="E203" s="53"/>
      <c r="F203" s="53"/>
      <c r="G203" s="53"/>
      <c r="H203" s="53"/>
      <c r="I203" s="53"/>
      <c r="J203" s="53"/>
      <c r="K203" s="53"/>
      <c r="L203" s="53"/>
      <c r="M203" s="53"/>
      <c r="N203" s="53"/>
      <c r="O203" s="53"/>
    </row>
    <row r="204" spans="1:15" hidden="1" x14ac:dyDescent="0.35">
      <c r="A204" s="41">
        <f>Dashboard!A216</f>
        <v>1</v>
      </c>
      <c r="B204" s="41" t="str">
        <f>Dashboard!B216</f>
        <v>EXHAUSTER SALES</v>
      </c>
      <c r="C204" s="41" t="str">
        <f>Dashboard!C216</f>
        <v>Ksh</v>
      </c>
      <c r="D204" s="50">
        <v>0</v>
      </c>
      <c r="E204" s="50">
        <v>0</v>
      </c>
      <c r="F204" s="50">
        <v>0</v>
      </c>
      <c r="G204" s="50">
        <v>0</v>
      </c>
      <c r="H204" s="50">
        <v>0</v>
      </c>
      <c r="I204" s="50">
        <v>0</v>
      </c>
      <c r="J204" s="50">
        <v>0</v>
      </c>
      <c r="K204" s="50">
        <v>0</v>
      </c>
      <c r="L204" s="50">
        <v>0</v>
      </c>
      <c r="M204" s="50">
        <v>0</v>
      </c>
      <c r="N204" s="50">
        <v>0</v>
      </c>
      <c r="O204" s="50">
        <v>0</v>
      </c>
    </row>
    <row r="205" spans="1:15" hidden="1" x14ac:dyDescent="0.35">
      <c r="A205" s="41" t="str">
        <f>Dashboard!A217</f>
        <v xml:space="preserve">COMPLAINTS </v>
      </c>
      <c r="D205" s="50">
        <v>0</v>
      </c>
    </row>
    <row r="206" spans="1:15" hidden="1" x14ac:dyDescent="0.35">
      <c r="A206" s="41">
        <f>Dashboard!A218</f>
        <v>1</v>
      </c>
      <c r="B206" s="41" t="str">
        <f>Dashboard!B218</f>
        <v>NO. COMPLAINTS BOOKED</v>
      </c>
      <c r="C206" s="41" t="str">
        <f>Dashboard!C218</f>
        <v>No.</v>
      </c>
      <c r="D206">
        <f>'actual 2022-23'!D166</f>
        <v>411</v>
      </c>
      <c r="E206">
        <f>'actual 2022-23'!E166</f>
        <v>447</v>
      </c>
      <c r="F206">
        <f>'actual 2022-23'!F166</f>
        <v>0</v>
      </c>
      <c r="G206">
        <f>'actual 2022-23'!G166</f>
        <v>0</v>
      </c>
      <c r="H206">
        <f>'actual 2022-23'!H166</f>
        <v>0</v>
      </c>
      <c r="I206">
        <f>'actual 2022-23'!I166</f>
        <v>0</v>
      </c>
      <c r="J206">
        <f>'actual 2022-23'!J166</f>
        <v>0</v>
      </c>
      <c r="K206">
        <f>'actual 2022-23'!K166</f>
        <v>0</v>
      </c>
      <c r="L206">
        <f>'actual 2022-23'!L166</f>
        <v>0</v>
      </c>
      <c r="M206">
        <f>'actual 2022-23'!M166</f>
        <v>0</v>
      </c>
      <c r="N206">
        <f>'actual 2022-23'!N166</f>
        <v>0</v>
      </c>
      <c r="O206">
        <f>'actual 2022-23'!O166</f>
        <v>0</v>
      </c>
    </row>
    <row r="207" spans="1:15" hidden="1" x14ac:dyDescent="0.35">
      <c r="A207" s="41">
        <f>Dashboard!A219</f>
        <v>2</v>
      </c>
      <c r="B207" s="41" t="str">
        <f>Dashboard!B219</f>
        <v>NO. COMPLAINTS SOLVED</v>
      </c>
      <c r="C207" s="41" t="str">
        <f>Dashboard!C219</f>
        <v>No.</v>
      </c>
      <c r="D207">
        <f>D208*D206</f>
        <v>369.90000000000003</v>
      </c>
      <c r="E207">
        <f t="shared" ref="E207:O207" si="71">E208*E206</f>
        <v>402.3</v>
      </c>
      <c r="F207">
        <f t="shared" si="71"/>
        <v>0</v>
      </c>
      <c r="G207">
        <f t="shared" si="71"/>
        <v>0</v>
      </c>
      <c r="H207">
        <f t="shared" si="71"/>
        <v>0</v>
      </c>
      <c r="I207">
        <f t="shared" si="71"/>
        <v>0</v>
      </c>
      <c r="J207">
        <f t="shared" si="71"/>
        <v>0</v>
      </c>
      <c r="K207">
        <f t="shared" si="71"/>
        <v>0</v>
      </c>
      <c r="L207">
        <f t="shared" si="71"/>
        <v>0</v>
      </c>
      <c r="M207">
        <f t="shared" si="71"/>
        <v>0</v>
      </c>
      <c r="N207">
        <f t="shared" si="71"/>
        <v>0</v>
      </c>
      <c r="O207">
        <f t="shared" si="71"/>
        <v>0</v>
      </c>
    </row>
    <row r="208" spans="1:15" hidden="1" x14ac:dyDescent="0.35">
      <c r="A208" s="41">
        <f>Dashboard!A220</f>
        <v>3</v>
      </c>
      <c r="B208" s="41" t="str">
        <f>Dashboard!B220</f>
        <v>% RESOLUTION</v>
      </c>
      <c r="C208" s="41" t="str">
        <f>Dashboard!C220</f>
        <v>%</v>
      </c>
      <c r="D208" s="2">
        <v>0.9</v>
      </c>
      <c r="E208" s="2">
        <v>0.9</v>
      </c>
      <c r="F208" s="2">
        <v>0.9</v>
      </c>
      <c r="G208" s="2">
        <v>0.9</v>
      </c>
      <c r="H208" s="2">
        <v>0.9</v>
      </c>
      <c r="I208" s="2">
        <v>0.9</v>
      </c>
      <c r="J208" s="2">
        <v>0.9</v>
      </c>
      <c r="K208" s="2">
        <v>0.9</v>
      </c>
      <c r="L208" s="2">
        <v>0.9</v>
      </c>
      <c r="M208" s="2">
        <v>0.9</v>
      </c>
      <c r="N208" s="2">
        <v>0.9</v>
      </c>
      <c r="O208" s="2">
        <v>0.9</v>
      </c>
    </row>
    <row r="209" spans="1:15" hidden="1" x14ac:dyDescent="0.35">
      <c r="A209" s="41" t="str">
        <f>Dashboard!A221</f>
        <v>METER READING EFFICIENCY</v>
      </c>
    </row>
    <row r="210" spans="1:15" hidden="1" x14ac:dyDescent="0.35">
      <c r="A210" s="41">
        <f>Dashboard!A222</f>
        <v>1</v>
      </c>
      <c r="B210" s="41" t="str">
        <f>Dashboard!B222</f>
        <v>AVG METERS READ PER METER READER</v>
      </c>
      <c r="C210" s="41" t="str">
        <f>Dashboard!C222</f>
        <v>No.</v>
      </c>
      <c r="D210" s="50">
        <v>1500</v>
      </c>
      <c r="E210" s="50">
        <v>1500</v>
      </c>
      <c r="F210" s="50">
        <v>1500</v>
      </c>
      <c r="G210" s="50">
        <v>1500</v>
      </c>
      <c r="H210" s="50">
        <v>1500</v>
      </c>
      <c r="I210" s="50">
        <v>1500</v>
      </c>
      <c r="J210" s="50">
        <v>1500</v>
      </c>
      <c r="K210" s="50">
        <v>1500</v>
      </c>
      <c r="L210" s="50">
        <v>1500</v>
      </c>
      <c r="M210" s="50">
        <v>1500</v>
      </c>
      <c r="N210" s="50">
        <v>1500</v>
      </c>
      <c r="O210" s="50">
        <v>1500</v>
      </c>
    </row>
    <row r="211" spans="1:15" hidden="1" x14ac:dyDescent="0.35">
      <c r="A211" s="41">
        <f>Dashboard!A223</f>
        <v>2</v>
      </c>
      <c r="B211" s="41" t="str">
        <f>Dashboard!B223</f>
        <v>NO DAYS TAKEN METER READING DTI</v>
      </c>
      <c r="C211" s="41" t="str">
        <f>Dashboard!C223</f>
        <v>No.</v>
      </c>
      <c r="D211">
        <v>7</v>
      </c>
      <c r="E211">
        <v>7</v>
      </c>
      <c r="F211">
        <v>7</v>
      </c>
      <c r="G211">
        <v>7</v>
      </c>
      <c r="H211">
        <v>7</v>
      </c>
      <c r="I211">
        <v>7</v>
      </c>
      <c r="J211">
        <v>7</v>
      </c>
      <c r="K211">
        <v>7</v>
      </c>
      <c r="L211">
        <v>7</v>
      </c>
      <c r="M211">
        <v>7</v>
      </c>
      <c r="N211">
        <v>7</v>
      </c>
      <c r="O211">
        <v>7</v>
      </c>
    </row>
    <row r="212" spans="1:15" hidden="1" x14ac:dyDescent="0.35">
      <c r="A212" s="41">
        <f>Dashboard!A224</f>
        <v>3</v>
      </c>
      <c r="B212" s="41" t="str">
        <f>Dashboard!B224</f>
        <v>NO DAYS TAKEN METER READING KARATI</v>
      </c>
      <c r="C212" s="41" t="str">
        <f>Dashboard!C224</f>
        <v>No.</v>
      </c>
      <c r="D212">
        <v>15</v>
      </c>
      <c r="E212">
        <v>15</v>
      </c>
      <c r="F212">
        <v>15</v>
      </c>
      <c r="G212">
        <v>15</v>
      </c>
      <c r="H212">
        <v>15</v>
      </c>
      <c r="I212">
        <v>15</v>
      </c>
      <c r="J212">
        <v>15</v>
      </c>
      <c r="K212">
        <v>15</v>
      </c>
      <c r="L212">
        <v>15</v>
      </c>
      <c r="M212">
        <v>15</v>
      </c>
      <c r="N212">
        <v>15</v>
      </c>
      <c r="O212">
        <v>15</v>
      </c>
    </row>
  </sheetData>
  <phoneticPr fontId="11" type="noConversion"/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218"/>
  <sheetViews>
    <sheetView topLeftCell="B1" workbookViewId="0">
      <pane ySplit="4" topLeftCell="A172" activePane="bottomLeft" state="frozen"/>
      <selection pane="bottomLeft" activeCell="L140" sqref="L140"/>
    </sheetView>
  </sheetViews>
  <sheetFormatPr defaultColWidth="9.1796875" defaultRowHeight="14.5" x14ac:dyDescent="0.35"/>
  <cols>
    <col min="1" max="1" width="6.7265625" style="41" customWidth="1"/>
    <col min="2" max="2" width="15.81640625" style="41" customWidth="1"/>
    <col min="3" max="3" width="5.54296875" style="41" customWidth="1"/>
    <col min="4" max="4" width="5" style="41" customWidth="1"/>
    <col min="5" max="5" width="11.08984375" style="41" customWidth="1"/>
    <col min="6" max="6" width="9.54296875" style="41" customWidth="1"/>
    <col min="7" max="7" width="9.7265625" style="41" customWidth="1"/>
    <col min="8" max="8" width="9.81640625" style="41" customWidth="1"/>
    <col min="9" max="9" width="10.453125" style="41" customWidth="1"/>
    <col min="10" max="10" width="9.81640625" style="41" customWidth="1"/>
    <col min="11" max="11" width="9.90625" style="41" customWidth="1"/>
    <col min="12" max="12" width="10.1796875" style="41" customWidth="1"/>
    <col min="13" max="13" width="13.54296875" style="41" customWidth="1"/>
    <col min="14" max="14" width="16" style="80" customWidth="1"/>
    <col min="15" max="15" width="13.54296875" style="41" customWidth="1"/>
    <col min="16" max="16" width="15.1796875" style="80" customWidth="1"/>
    <col min="17" max="17" width="17.1796875" style="41" customWidth="1"/>
    <col min="18" max="16384" width="9.1796875" style="41"/>
  </cols>
  <sheetData>
    <row r="1" spans="1:16" s="42" customFormat="1" x14ac:dyDescent="0.35">
      <c r="A1" s="42" t="str">
        <f>Dashboard!A1</f>
        <v>SALES &amp; CC DASHBOARD</v>
      </c>
      <c r="E1" s="61">
        <f t="shared" ref="E1" si="0">E13+E18+E19</f>
        <v>136</v>
      </c>
      <c r="F1" s="61"/>
      <c r="G1" s="61">
        <f>G13+G18+G19</f>
        <v>129</v>
      </c>
      <c r="H1" s="61">
        <f t="shared" ref="H1:J1" si="1">H13+H18+H19</f>
        <v>149</v>
      </c>
      <c r="I1" s="61">
        <f t="shared" si="1"/>
        <v>96</v>
      </c>
      <c r="J1" s="61">
        <f t="shared" si="1"/>
        <v>134</v>
      </c>
      <c r="N1" s="40"/>
      <c r="P1" s="40"/>
    </row>
    <row r="2" spans="1:16" x14ac:dyDescent="0.35">
      <c r="E2" s="53">
        <f>E31+E35+E36</f>
        <v>0</v>
      </c>
      <c r="F2" s="53"/>
      <c r="G2" s="53">
        <f>G31+G35+G36</f>
        <v>4</v>
      </c>
      <c r="H2" s="53">
        <f>H31+H35+H36</f>
        <v>3</v>
      </c>
      <c r="I2" s="53">
        <f>I31+I35+I36</f>
        <v>5</v>
      </c>
      <c r="J2" s="53">
        <f>J31+J35+J36</f>
        <v>0</v>
      </c>
    </row>
    <row r="4" spans="1:16" x14ac:dyDescent="0.35">
      <c r="B4" s="41" t="s">
        <v>28</v>
      </c>
      <c r="C4" s="41" t="s">
        <v>29</v>
      </c>
      <c r="E4" s="48" t="s">
        <v>30</v>
      </c>
      <c r="F4" s="48" t="s">
        <v>31</v>
      </c>
      <c r="G4" s="48" t="s">
        <v>32</v>
      </c>
      <c r="H4" s="48" t="s">
        <v>33</v>
      </c>
      <c r="I4" s="48" t="s">
        <v>34</v>
      </c>
      <c r="J4" s="48" t="s">
        <v>35</v>
      </c>
      <c r="K4" s="48" t="s">
        <v>36</v>
      </c>
      <c r="L4" s="48" t="s">
        <v>37</v>
      </c>
      <c r="M4" s="48" t="s">
        <v>38</v>
      </c>
      <c r="N4" s="47" t="s">
        <v>39</v>
      </c>
      <c r="O4" s="48" t="s">
        <v>40</v>
      </c>
      <c r="P4" s="47" t="s">
        <v>41</v>
      </c>
    </row>
    <row r="5" spans="1:16" x14ac:dyDescent="0.35">
      <c r="A5" s="41" t="str">
        <f>Dashboard!A5</f>
        <v>NEW CONNECTIONS WATER</v>
      </c>
    </row>
    <row r="6" spans="1:16" x14ac:dyDescent="0.35">
      <c r="A6" s="41">
        <f>Dashboard!A6</f>
        <v>1</v>
      </c>
      <c r="B6" s="41" t="str">
        <f>Dashboard!B6</f>
        <v>CBD - NEW WATER</v>
      </c>
      <c r="C6" s="41" t="str">
        <f>Dashboard!C6</f>
        <v>No.</v>
      </c>
      <c r="D6" s="41">
        <v>8</v>
      </c>
      <c r="E6" s="50">
        <v>0</v>
      </c>
      <c r="F6" s="50">
        <v>0</v>
      </c>
      <c r="G6" s="50">
        <v>0</v>
      </c>
      <c r="H6" s="50">
        <v>1</v>
      </c>
      <c r="I6" s="50">
        <v>0</v>
      </c>
      <c r="J6" s="50">
        <v>0</v>
      </c>
      <c r="K6" s="50">
        <v>1</v>
      </c>
      <c r="L6" s="50">
        <v>0</v>
      </c>
      <c r="M6" s="50"/>
      <c r="N6" s="63"/>
      <c r="O6" s="50"/>
      <c r="P6" s="63"/>
    </row>
    <row r="7" spans="1:16" x14ac:dyDescent="0.35">
      <c r="A7" s="41">
        <f>Dashboard!A7</f>
        <v>2</v>
      </c>
      <c r="B7" s="41" t="str">
        <f>Dashboard!B7</f>
        <v>CCCR- NEW WATER</v>
      </c>
      <c r="C7" s="41" t="str">
        <f>Dashboard!C7</f>
        <v>No.</v>
      </c>
      <c r="D7" s="41">
        <v>14</v>
      </c>
      <c r="E7" s="50">
        <v>0</v>
      </c>
      <c r="F7" s="50">
        <v>3</v>
      </c>
      <c r="G7" s="50">
        <v>2</v>
      </c>
      <c r="H7" s="50">
        <v>2</v>
      </c>
      <c r="I7" s="50">
        <v>3</v>
      </c>
      <c r="J7" s="50">
        <v>2</v>
      </c>
      <c r="K7" s="50">
        <v>5</v>
      </c>
      <c r="L7" s="50">
        <v>3</v>
      </c>
      <c r="M7" s="50"/>
      <c r="N7" s="63"/>
      <c r="O7" s="50"/>
      <c r="P7" s="63"/>
    </row>
    <row r="8" spans="1:16" x14ac:dyDescent="0.35">
      <c r="A8" s="41">
        <f>Dashboard!A8</f>
        <v>3</v>
      </c>
      <c r="B8" s="41" t="str">
        <f>Dashboard!B8</f>
        <v>KABATI- NEW WATER</v>
      </c>
      <c r="C8" s="41" t="str">
        <f>Dashboard!C8</f>
        <v>No.</v>
      </c>
      <c r="D8" s="41">
        <v>4</v>
      </c>
      <c r="E8" s="50">
        <v>0</v>
      </c>
      <c r="F8" s="50">
        <v>0</v>
      </c>
      <c r="G8" s="50">
        <v>5</v>
      </c>
      <c r="H8" s="50">
        <v>1</v>
      </c>
      <c r="I8" s="50">
        <v>2</v>
      </c>
      <c r="J8" s="50">
        <v>0</v>
      </c>
      <c r="K8" s="50">
        <v>2</v>
      </c>
      <c r="L8" s="50">
        <v>0</v>
      </c>
      <c r="M8" s="50"/>
      <c r="N8" s="63"/>
      <c r="O8" s="50"/>
      <c r="P8" s="63"/>
    </row>
    <row r="9" spans="1:16" x14ac:dyDescent="0.35">
      <c r="A9" s="41">
        <f>Dashboard!A9</f>
        <v>4</v>
      </c>
      <c r="B9" s="41" t="str">
        <f>Dashboard!B9</f>
        <v>SITE- NEW WATER</v>
      </c>
      <c r="C9" s="41" t="str">
        <f>Dashboard!C9</f>
        <v>No.</v>
      </c>
      <c r="D9" s="41">
        <v>2</v>
      </c>
      <c r="E9" s="50">
        <v>0</v>
      </c>
      <c r="F9" s="50">
        <v>2</v>
      </c>
      <c r="G9" s="50">
        <v>0</v>
      </c>
      <c r="H9" s="50">
        <v>3</v>
      </c>
      <c r="I9" s="50">
        <v>0</v>
      </c>
      <c r="J9" s="50">
        <v>0</v>
      </c>
      <c r="K9" s="50">
        <v>2</v>
      </c>
      <c r="L9" s="50">
        <v>0</v>
      </c>
      <c r="M9" s="50"/>
      <c r="N9" s="63"/>
      <c r="O9" s="50"/>
      <c r="P9" s="63"/>
    </row>
    <row r="10" spans="1:16" x14ac:dyDescent="0.35">
      <c r="A10" s="41">
        <f>Dashboard!A10</f>
        <v>5</v>
      </c>
      <c r="B10" s="41" t="str">
        <f>Dashboard!B10</f>
        <v>KIHOTO- NEW WATER</v>
      </c>
      <c r="C10" s="41" t="str">
        <f>Dashboard!C10</f>
        <v>No.</v>
      </c>
      <c r="D10" s="41">
        <v>5</v>
      </c>
      <c r="E10" s="50">
        <v>2</v>
      </c>
      <c r="F10" s="50">
        <v>0</v>
      </c>
      <c r="G10" s="50">
        <v>0</v>
      </c>
      <c r="H10" s="50">
        <v>0</v>
      </c>
      <c r="I10" s="50">
        <v>0</v>
      </c>
      <c r="J10" s="50">
        <v>0</v>
      </c>
      <c r="K10" s="50">
        <v>0</v>
      </c>
      <c r="L10" s="50">
        <v>1</v>
      </c>
      <c r="M10" s="50"/>
      <c r="N10" s="63"/>
      <c r="O10" s="50"/>
      <c r="P10" s="63"/>
    </row>
    <row r="11" spans="1:16" x14ac:dyDescent="0.35">
      <c r="A11" s="41">
        <f>Dashboard!A11</f>
        <v>6</v>
      </c>
      <c r="B11" s="41" t="str">
        <f>Dashboard!B11</f>
        <v>LAKEVIEW- NEW WATER</v>
      </c>
      <c r="C11" s="41" t="str">
        <f>Dashboard!C11</f>
        <v>No.</v>
      </c>
      <c r="D11" s="41">
        <v>7</v>
      </c>
      <c r="E11" s="50">
        <v>2</v>
      </c>
      <c r="F11" s="50">
        <v>8</v>
      </c>
      <c r="G11" s="50">
        <v>0</v>
      </c>
      <c r="H11" s="50">
        <v>2</v>
      </c>
      <c r="I11" s="50">
        <v>0</v>
      </c>
      <c r="J11" s="50">
        <v>0</v>
      </c>
      <c r="K11" s="50">
        <v>2</v>
      </c>
      <c r="L11" s="50">
        <v>0</v>
      </c>
      <c r="M11" s="50"/>
      <c r="N11" s="63"/>
      <c r="O11" s="50"/>
      <c r="P11" s="63"/>
    </row>
    <row r="12" spans="1:16" x14ac:dyDescent="0.35">
      <c r="A12" s="41">
        <f>Dashboard!A12</f>
        <v>7</v>
      </c>
      <c r="B12" s="41" t="str">
        <f>Dashboard!B12</f>
        <v>HOPEWELL- NEW WATER</v>
      </c>
      <c r="C12" s="41" t="str">
        <f>Dashboard!C12</f>
        <v>No.</v>
      </c>
      <c r="D12" s="41" t="str">
        <f>Dashboard!D12</f>
        <v>l</v>
      </c>
      <c r="E12" s="50">
        <v>1</v>
      </c>
      <c r="F12" s="50">
        <v>0</v>
      </c>
      <c r="G12" s="50">
        <v>0</v>
      </c>
      <c r="H12" s="50">
        <v>14</v>
      </c>
      <c r="I12" s="50">
        <v>1</v>
      </c>
      <c r="J12" s="50">
        <v>12</v>
      </c>
      <c r="K12" s="50">
        <v>22</v>
      </c>
      <c r="L12" s="50">
        <v>3</v>
      </c>
      <c r="M12" s="50"/>
      <c r="N12" s="63"/>
      <c r="O12" s="50"/>
      <c r="P12" s="63"/>
    </row>
    <row r="13" spans="1:16" s="40" customFormat="1" x14ac:dyDescent="0.35">
      <c r="A13" s="40">
        <f>Dashboard!A13</f>
        <v>0</v>
      </c>
      <c r="B13" s="40" t="str">
        <f>Dashboard!B13</f>
        <v>TOTAL NEW WATER CONNECTIONS CENTRAL REGION</v>
      </c>
      <c r="C13" s="40" t="str">
        <f>Dashboard!C13</f>
        <v>No.</v>
      </c>
      <c r="D13" s="40">
        <v>40</v>
      </c>
      <c r="E13" s="64">
        <f t="shared" ref="E13:J13" si="2">SUM(E6:E12)</f>
        <v>5</v>
      </c>
      <c r="F13" s="64">
        <f t="shared" si="2"/>
        <v>13</v>
      </c>
      <c r="G13" s="64">
        <f t="shared" si="2"/>
        <v>7</v>
      </c>
      <c r="H13" s="64">
        <f t="shared" si="2"/>
        <v>23</v>
      </c>
      <c r="I13" s="64">
        <f t="shared" si="2"/>
        <v>6</v>
      </c>
      <c r="J13" s="64">
        <f t="shared" si="2"/>
        <v>14</v>
      </c>
      <c r="K13" s="64">
        <f t="shared" ref="K13:P13" si="3">SUM(K6:K12)</f>
        <v>34</v>
      </c>
      <c r="L13" s="64">
        <f t="shared" si="3"/>
        <v>7</v>
      </c>
      <c r="M13" s="64">
        <f t="shared" si="3"/>
        <v>0</v>
      </c>
      <c r="N13" s="64">
        <f t="shared" si="3"/>
        <v>0</v>
      </c>
      <c r="O13" s="64">
        <f t="shared" si="3"/>
        <v>0</v>
      </c>
      <c r="P13" s="64">
        <f t="shared" si="3"/>
        <v>0</v>
      </c>
    </row>
    <row r="14" spans="1:16" x14ac:dyDescent="0.35">
      <c r="A14" s="41">
        <f>Dashboard!A14</f>
        <v>1</v>
      </c>
      <c r="B14" s="41" t="str">
        <f>Dashboard!B14</f>
        <v>HELLSGATE- NEW WATER</v>
      </c>
      <c r="C14" s="41" t="str">
        <f>Dashboard!C14</f>
        <v>No.</v>
      </c>
      <c r="D14" s="41">
        <v>24</v>
      </c>
      <c r="E14" s="79">
        <v>37</v>
      </c>
      <c r="F14" s="50">
        <v>18</v>
      </c>
      <c r="G14" s="50">
        <v>13</v>
      </c>
      <c r="H14" s="50">
        <v>11</v>
      </c>
      <c r="I14" s="50">
        <v>10</v>
      </c>
      <c r="J14" s="50">
        <v>10</v>
      </c>
      <c r="K14" s="50">
        <v>34</v>
      </c>
      <c r="L14" s="50">
        <v>14</v>
      </c>
      <c r="M14" s="50"/>
      <c r="N14" s="63"/>
      <c r="O14" s="50"/>
      <c r="P14" s="63"/>
    </row>
    <row r="15" spans="1:16" x14ac:dyDescent="0.35">
      <c r="A15" s="41">
        <f>Dashboard!A15</f>
        <v>2</v>
      </c>
      <c r="B15" s="41" t="str">
        <f>Dashboard!B15</f>
        <v>KAMERE- NEW WATER</v>
      </c>
      <c r="C15" s="41" t="str">
        <f>Dashboard!C15</f>
        <v>No.</v>
      </c>
      <c r="D15" s="41">
        <v>0</v>
      </c>
      <c r="E15" s="50">
        <v>0</v>
      </c>
      <c r="F15" s="50">
        <v>4</v>
      </c>
      <c r="G15" s="50">
        <v>14</v>
      </c>
      <c r="H15" s="50">
        <v>1</v>
      </c>
      <c r="I15" s="50">
        <v>15</v>
      </c>
      <c r="J15" s="50">
        <v>4</v>
      </c>
      <c r="K15" s="50">
        <v>4</v>
      </c>
      <c r="L15" s="50">
        <v>2</v>
      </c>
      <c r="M15" s="50"/>
      <c r="N15" s="63"/>
      <c r="O15" s="50"/>
      <c r="P15" s="63"/>
    </row>
    <row r="16" spans="1:16" x14ac:dyDescent="0.35">
      <c r="A16" s="41">
        <f>Dashboard!A16</f>
        <v>3</v>
      </c>
      <c r="B16" s="41" t="str">
        <f>Dashboard!B16</f>
        <v>MAI-MAHIU- NEW WATER</v>
      </c>
      <c r="C16" s="41" t="str">
        <f>Dashboard!C16</f>
        <v>No.</v>
      </c>
      <c r="D16" s="41">
        <v>24</v>
      </c>
      <c r="E16" s="76">
        <v>66</v>
      </c>
      <c r="F16" s="50">
        <v>59</v>
      </c>
      <c r="G16" s="50">
        <v>29</v>
      </c>
      <c r="H16" s="50">
        <v>73</v>
      </c>
      <c r="I16" s="50">
        <v>27</v>
      </c>
      <c r="J16" s="50">
        <v>66</v>
      </c>
      <c r="K16" s="50">
        <v>31</v>
      </c>
      <c r="L16" s="50">
        <v>33</v>
      </c>
      <c r="M16" s="50"/>
      <c r="N16" s="63"/>
      <c r="O16" s="50"/>
      <c r="P16" s="63"/>
    </row>
    <row r="17" spans="1:17" x14ac:dyDescent="0.35">
      <c r="A17" s="41">
        <f>Dashboard!A17</f>
        <v>4</v>
      </c>
      <c r="B17" s="41" t="str">
        <f>Dashboard!B17</f>
        <v>LONGONOT- NEW WATER</v>
      </c>
      <c r="C17" s="41" t="str">
        <f>Dashboard!C17</f>
        <v>No.</v>
      </c>
      <c r="D17" s="41">
        <v>24</v>
      </c>
      <c r="E17" s="76">
        <v>11</v>
      </c>
      <c r="F17" s="50">
        <v>20</v>
      </c>
      <c r="G17" s="50">
        <v>11</v>
      </c>
      <c r="H17" s="50">
        <v>11</v>
      </c>
      <c r="I17" s="50">
        <v>8</v>
      </c>
      <c r="J17" s="50">
        <v>2</v>
      </c>
      <c r="K17" s="50">
        <v>6</v>
      </c>
      <c r="L17" s="50">
        <v>2</v>
      </c>
      <c r="M17" s="50"/>
      <c r="N17" s="63"/>
      <c r="O17" s="50"/>
      <c r="P17" s="63"/>
    </row>
    <row r="18" spans="1:17" s="40" customFormat="1" x14ac:dyDescent="0.35">
      <c r="A18" s="40">
        <f>Dashboard!A18</f>
        <v>0</v>
      </c>
      <c r="B18" s="40" t="str">
        <f>Dashboard!B18</f>
        <v>TOTAL NEW WATER CONNECTION SOUTHERN REGION</v>
      </c>
      <c r="C18" s="40" t="str">
        <f>Dashboard!C18</f>
        <v>No.</v>
      </c>
      <c r="D18" s="40">
        <v>48</v>
      </c>
      <c r="E18" s="64">
        <f t="shared" ref="E18:P18" si="4">SUM(E14:E17)</f>
        <v>114</v>
      </c>
      <c r="F18" s="64">
        <f t="shared" si="4"/>
        <v>101</v>
      </c>
      <c r="G18" s="64">
        <f t="shared" si="4"/>
        <v>67</v>
      </c>
      <c r="H18" s="64">
        <f t="shared" si="4"/>
        <v>96</v>
      </c>
      <c r="I18" s="64">
        <f t="shared" si="4"/>
        <v>60</v>
      </c>
      <c r="J18" s="64">
        <f t="shared" si="4"/>
        <v>82</v>
      </c>
      <c r="K18" s="64">
        <f t="shared" si="4"/>
        <v>75</v>
      </c>
      <c r="L18" s="64">
        <f t="shared" si="4"/>
        <v>51</v>
      </c>
      <c r="M18" s="64">
        <f t="shared" si="4"/>
        <v>0</v>
      </c>
      <c r="N18" s="64">
        <f t="shared" si="4"/>
        <v>0</v>
      </c>
      <c r="O18" s="64">
        <f t="shared" si="4"/>
        <v>0</v>
      </c>
      <c r="P18" s="64">
        <f t="shared" si="4"/>
        <v>0</v>
      </c>
    </row>
    <row r="19" spans="1:17" x14ac:dyDescent="0.35">
      <c r="A19" s="41">
        <f>Dashboard!A20</f>
        <v>1</v>
      </c>
      <c r="B19" s="41" t="str">
        <f>Dashboard!B20</f>
        <v>KAYOLE- NEW WATER</v>
      </c>
      <c r="C19" s="41" t="str">
        <f>Dashboard!C20</f>
        <v>No.</v>
      </c>
      <c r="D19" s="41">
        <v>25</v>
      </c>
      <c r="E19" s="50">
        <v>17</v>
      </c>
      <c r="F19" s="50">
        <v>40</v>
      </c>
      <c r="G19" s="50">
        <v>55</v>
      </c>
      <c r="H19" s="50">
        <v>30</v>
      </c>
      <c r="I19" s="50">
        <v>30</v>
      </c>
      <c r="J19" s="50">
        <v>38</v>
      </c>
      <c r="K19" s="50">
        <v>43</v>
      </c>
      <c r="L19" s="50">
        <v>17</v>
      </c>
      <c r="M19" s="50"/>
      <c r="N19" s="63"/>
      <c r="O19" s="50"/>
      <c r="P19" s="63"/>
    </row>
    <row r="20" spans="1:17" x14ac:dyDescent="0.35">
      <c r="A20" s="41">
        <f>Dashboard!A21</f>
        <v>2</v>
      </c>
      <c r="B20" s="41" t="str">
        <f>Dashboard!B21</f>
        <v>IHINDU- NEW WATER</v>
      </c>
      <c r="C20" s="41" t="str">
        <f>Dashboard!C21</f>
        <v>No.</v>
      </c>
      <c r="D20" s="41" t="str">
        <f>Dashboard!D21</f>
        <v>l</v>
      </c>
      <c r="E20" s="50">
        <v>1</v>
      </c>
      <c r="F20" s="50">
        <v>0</v>
      </c>
      <c r="G20" s="50">
        <v>1</v>
      </c>
      <c r="H20" s="50">
        <v>0</v>
      </c>
      <c r="I20" s="50">
        <v>0</v>
      </c>
      <c r="J20" s="50">
        <v>0</v>
      </c>
      <c r="K20" s="50">
        <v>2</v>
      </c>
      <c r="L20" s="50">
        <v>0</v>
      </c>
      <c r="M20" s="50"/>
      <c r="N20" s="63"/>
      <c r="O20" s="50"/>
      <c r="P20" s="63"/>
    </row>
    <row r="21" spans="1:17" x14ac:dyDescent="0.35">
      <c r="A21" s="41">
        <f>Dashboard!A22</f>
        <v>0</v>
      </c>
      <c r="B21" s="41" t="str">
        <f>Dashboard!B22</f>
        <v>TOTAL NEW W CONNECTION EASTERN REGION</v>
      </c>
      <c r="C21" s="41" t="str">
        <f>Dashboard!C22</f>
        <v>No.</v>
      </c>
      <c r="E21" s="53">
        <f>E20+E19</f>
        <v>18</v>
      </c>
      <c r="F21" s="53">
        <f t="shared" ref="F21:P21" si="5">F20+F19</f>
        <v>40</v>
      </c>
      <c r="G21" s="53">
        <f t="shared" si="5"/>
        <v>56</v>
      </c>
      <c r="H21" s="53">
        <f t="shared" si="5"/>
        <v>30</v>
      </c>
      <c r="I21" s="53">
        <f t="shared" si="5"/>
        <v>30</v>
      </c>
      <c r="J21" s="53">
        <f t="shared" si="5"/>
        <v>38</v>
      </c>
      <c r="K21" s="53">
        <f t="shared" si="5"/>
        <v>45</v>
      </c>
      <c r="L21" s="53">
        <f t="shared" si="5"/>
        <v>17</v>
      </c>
      <c r="M21" s="53">
        <f t="shared" si="5"/>
        <v>0</v>
      </c>
      <c r="N21" s="53">
        <f t="shared" si="5"/>
        <v>0</v>
      </c>
      <c r="O21" s="53">
        <f t="shared" si="5"/>
        <v>0</v>
      </c>
      <c r="P21" s="53">
        <f t="shared" si="5"/>
        <v>0</v>
      </c>
    </row>
    <row r="22" spans="1:17" s="40" customFormat="1" x14ac:dyDescent="0.35">
      <c r="B22" s="40" t="s">
        <v>218</v>
      </c>
      <c r="E22" s="62">
        <f>E21+E18+E13</f>
        <v>137</v>
      </c>
      <c r="F22" s="62">
        <f t="shared" ref="F22:P22" si="6">F21+F18+F13</f>
        <v>154</v>
      </c>
      <c r="G22" s="62">
        <f t="shared" si="6"/>
        <v>130</v>
      </c>
      <c r="H22" s="62">
        <f t="shared" si="6"/>
        <v>149</v>
      </c>
      <c r="I22" s="62">
        <f t="shared" si="6"/>
        <v>96</v>
      </c>
      <c r="J22" s="62">
        <f t="shared" si="6"/>
        <v>134</v>
      </c>
      <c r="K22" s="62">
        <f t="shared" si="6"/>
        <v>154</v>
      </c>
      <c r="L22" s="62">
        <f t="shared" si="6"/>
        <v>75</v>
      </c>
      <c r="M22" s="62">
        <f t="shared" si="6"/>
        <v>0</v>
      </c>
      <c r="N22" s="62">
        <f t="shared" si="6"/>
        <v>0</v>
      </c>
      <c r="O22" s="62">
        <f t="shared" si="6"/>
        <v>0</v>
      </c>
      <c r="P22" s="62">
        <f t="shared" si="6"/>
        <v>0</v>
      </c>
      <c r="Q22" s="62"/>
    </row>
    <row r="23" spans="1:17" x14ac:dyDescent="0.35">
      <c r="A23" s="41" t="str">
        <f>Dashboard!A23</f>
        <v>NEW CONNECTIONS SEWER</v>
      </c>
      <c r="E23" s="53"/>
      <c r="F23" s="53"/>
      <c r="G23" s="53"/>
      <c r="H23" s="53"/>
      <c r="I23" s="53"/>
      <c r="J23" s="53"/>
      <c r="K23" s="53"/>
      <c r="L23" s="53"/>
      <c r="M23" s="53"/>
      <c r="N23" s="81"/>
      <c r="O23" s="53"/>
      <c r="P23" s="81"/>
    </row>
    <row r="24" spans="1:17" x14ac:dyDescent="0.35">
      <c r="A24" s="41">
        <f>Dashboard!A24</f>
        <v>1</v>
      </c>
      <c r="B24" s="41" t="str">
        <f>Dashboard!B24</f>
        <v>CBD- NEW SEWER</v>
      </c>
      <c r="C24" s="41" t="str">
        <f>Dashboard!C24</f>
        <v>No.</v>
      </c>
      <c r="D24" s="41">
        <v>0</v>
      </c>
      <c r="E24" s="50">
        <v>0</v>
      </c>
      <c r="F24" s="50">
        <v>0</v>
      </c>
      <c r="G24" s="50">
        <v>0</v>
      </c>
      <c r="H24" s="50">
        <v>0</v>
      </c>
      <c r="I24" s="50">
        <v>0</v>
      </c>
      <c r="J24" s="50">
        <v>0</v>
      </c>
      <c r="K24" s="50">
        <v>0</v>
      </c>
      <c r="L24" s="50">
        <v>0</v>
      </c>
      <c r="M24" s="50"/>
      <c r="N24" s="63"/>
      <c r="O24" s="50"/>
      <c r="P24" s="63"/>
    </row>
    <row r="25" spans="1:17" x14ac:dyDescent="0.35">
      <c r="A25" s="41">
        <f>Dashboard!A25</f>
        <v>2</v>
      </c>
      <c r="B25" s="41" t="str">
        <f>Dashboard!B25</f>
        <v>CCCR- NEW SEWER</v>
      </c>
      <c r="C25" s="41" t="str">
        <f>Dashboard!C25</f>
        <v>No.</v>
      </c>
      <c r="D25" s="41">
        <v>0</v>
      </c>
      <c r="E25" s="50">
        <v>0</v>
      </c>
      <c r="F25" s="50">
        <v>0</v>
      </c>
      <c r="G25" s="50">
        <v>0</v>
      </c>
      <c r="H25" s="50">
        <v>1</v>
      </c>
      <c r="I25" s="50">
        <v>1</v>
      </c>
      <c r="J25" s="50">
        <v>0</v>
      </c>
      <c r="K25" s="50">
        <v>1</v>
      </c>
      <c r="L25" s="50">
        <v>2</v>
      </c>
      <c r="M25" s="50"/>
      <c r="N25" s="63"/>
      <c r="O25" s="50"/>
      <c r="P25" s="63"/>
    </row>
    <row r="26" spans="1:17" x14ac:dyDescent="0.35">
      <c r="A26" s="41">
        <f>Dashboard!A26</f>
        <v>3</v>
      </c>
      <c r="B26" s="41" t="str">
        <f>Dashboard!B26</f>
        <v>KABATI- NEW SEWER</v>
      </c>
      <c r="C26" s="41" t="str">
        <f>Dashboard!C26</f>
        <v>No.</v>
      </c>
      <c r="D26" s="41">
        <v>0</v>
      </c>
      <c r="E26" s="50">
        <v>0</v>
      </c>
      <c r="F26" s="50">
        <v>1</v>
      </c>
      <c r="G26" s="50">
        <v>1</v>
      </c>
      <c r="H26" s="50">
        <v>0</v>
      </c>
      <c r="I26" s="50">
        <v>1</v>
      </c>
      <c r="J26" s="50">
        <v>0</v>
      </c>
      <c r="K26" s="50">
        <v>2</v>
      </c>
      <c r="L26" s="50">
        <v>1</v>
      </c>
      <c r="M26" s="50"/>
      <c r="N26" s="63"/>
      <c r="O26" s="50"/>
      <c r="P26" s="63"/>
    </row>
    <row r="27" spans="1:17" x14ac:dyDescent="0.35">
      <c r="A27" s="41">
        <f>Dashboard!A27</f>
        <v>4</v>
      </c>
      <c r="B27" s="41" t="str">
        <f>Dashboard!B27</f>
        <v>SITE- NEW SEWER</v>
      </c>
      <c r="C27" s="41" t="str">
        <f>Dashboard!C27</f>
        <v>No.</v>
      </c>
      <c r="D27" s="41">
        <v>0</v>
      </c>
      <c r="E27" s="50">
        <v>0</v>
      </c>
      <c r="F27" s="50">
        <v>0</v>
      </c>
      <c r="G27" s="50">
        <v>1</v>
      </c>
      <c r="H27" s="50">
        <v>0</v>
      </c>
      <c r="I27" s="50">
        <v>0</v>
      </c>
      <c r="J27" s="50">
        <v>0</v>
      </c>
      <c r="K27" s="50">
        <v>0</v>
      </c>
      <c r="L27" s="50">
        <v>0</v>
      </c>
      <c r="M27" s="50"/>
      <c r="N27" s="63"/>
      <c r="O27" s="50"/>
      <c r="P27" s="63"/>
    </row>
    <row r="28" spans="1:17" x14ac:dyDescent="0.35">
      <c r="A28" s="41">
        <f>Dashboard!A28</f>
        <v>5</v>
      </c>
      <c r="B28" s="41" t="str">
        <f>Dashboard!B28</f>
        <v>KIHOTO- NEW SEWER</v>
      </c>
      <c r="C28" s="41" t="str">
        <f>Dashboard!C28</f>
        <v>No.</v>
      </c>
      <c r="D28" s="41">
        <v>0</v>
      </c>
      <c r="E28" s="50">
        <v>0</v>
      </c>
      <c r="F28" s="50">
        <v>0</v>
      </c>
      <c r="G28" s="50">
        <v>0</v>
      </c>
      <c r="H28" s="50">
        <v>0</v>
      </c>
      <c r="I28" s="50">
        <v>0</v>
      </c>
      <c r="J28" s="50">
        <v>0</v>
      </c>
      <c r="K28" s="50">
        <v>0</v>
      </c>
      <c r="L28" s="50">
        <v>0</v>
      </c>
      <c r="M28" s="50"/>
      <c r="N28" s="63"/>
      <c r="O28" s="50"/>
      <c r="P28" s="63"/>
    </row>
    <row r="29" spans="1:17" x14ac:dyDescent="0.35">
      <c r="A29" s="41">
        <f>Dashboard!A29</f>
        <v>6</v>
      </c>
      <c r="B29" s="41" t="str">
        <f>Dashboard!B29</f>
        <v>LAKEVIEW- NEW SEWER</v>
      </c>
      <c r="C29" s="41" t="str">
        <f>Dashboard!C29</f>
        <v>No.</v>
      </c>
      <c r="D29" s="41">
        <v>2</v>
      </c>
      <c r="E29" s="50">
        <v>0</v>
      </c>
      <c r="F29" s="50">
        <v>1</v>
      </c>
      <c r="G29" s="50">
        <v>0</v>
      </c>
      <c r="H29" s="50">
        <v>1</v>
      </c>
      <c r="I29" s="50">
        <v>0</v>
      </c>
      <c r="J29" s="50">
        <v>0</v>
      </c>
      <c r="K29" s="50">
        <v>1</v>
      </c>
      <c r="L29" s="50">
        <v>0</v>
      </c>
      <c r="M29" s="50"/>
      <c r="N29" s="63"/>
      <c r="O29" s="50"/>
      <c r="P29" s="63"/>
    </row>
    <row r="30" spans="1:17" x14ac:dyDescent="0.35">
      <c r="A30" s="41">
        <f>Dashboard!A30</f>
        <v>7</v>
      </c>
      <c r="B30" s="41" t="str">
        <f>Dashboard!B30</f>
        <v>HOPEWELL- NEW SEWER</v>
      </c>
      <c r="C30" s="41" t="str">
        <f>Dashboard!C30</f>
        <v>No.</v>
      </c>
      <c r="D30" s="41">
        <v>2</v>
      </c>
      <c r="E30" s="50">
        <v>0</v>
      </c>
      <c r="F30" s="50">
        <v>0</v>
      </c>
      <c r="G30" s="50">
        <v>0</v>
      </c>
      <c r="H30" s="50">
        <v>0</v>
      </c>
      <c r="I30" s="50">
        <v>0</v>
      </c>
      <c r="J30" s="50">
        <v>0</v>
      </c>
      <c r="K30" s="50">
        <v>0</v>
      </c>
      <c r="L30" s="50">
        <v>0</v>
      </c>
      <c r="M30" s="50"/>
      <c r="N30" s="63"/>
      <c r="O30" s="50"/>
      <c r="P30" s="63"/>
    </row>
    <row r="31" spans="1:17" s="40" customFormat="1" x14ac:dyDescent="0.35">
      <c r="A31" s="40">
        <f>Dashboard!A31</f>
        <v>0</v>
      </c>
      <c r="B31" s="40" t="str">
        <f>Dashboard!B31</f>
        <v>TOTAL NEW SEWER CONNECTIONS CENTRAL REGION</v>
      </c>
      <c r="C31" s="40" t="str">
        <f>Dashboard!C31</f>
        <v>No.</v>
      </c>
      <c r="D31" s="40">
        <v>2</v>
      </c>
      <c r="E31" s="64">
        <f t="shared" ref="E31:J31" si="7">SUM(E24:E30)</f>
        <v>0</v>
      </c>
      <c r="F31" s="64">
        <f t="shared" si="7"/>
        <v>2</v>
      </c>
      <c r="G31" s="64">
        <f t="shared" si="7"/>
        <v>2</v>
      </c>
      <c r="H31" s="64">
        <f t="shared" si="7"/>
        <v>2</v>
      </c>
      <c r="I31" s="64">
        <f t="shared" si="7"/>
        <v>2</v>
      </c>
      <c r="J31" s="64">
        <f t="shared" si="7"/>
        <v>0</v>
      </c>
      <c r="K31" s="64">
        <f t="shared" ref="K31:P31" si="8">SUM(K24:K30)</f>
        <v>4</v>
      </c>
      <c r="L31" s="64">
        <f t="shared" si="8"/>
        <v>3</v>
      </c>
      <c r="M31" s="64">
        <f t="shared" si="8"/>
        <v>0</v>
      </c>
      <c r="N31" s="64">
        <f t="shared" si="8"/>
        <v>0</v>
      </c>
      <c r="O31" s="64">
        <f t="shared" si="8"/>
        <v>0</v>
      </c>
      <c r="P31" s="64">
        <f t="shared" si="8"/>
        <v>0</v>
      </c>
    </row>
    <row r="32" spans="1:17" x14ac:dyDescent="0.35">
      <c r="A32" s="41">
        <f>Dashboard!A32</f>
        <v>1</v>
      </c>
      <c r="B32" s="41" t="str">
        <f>Dashboard!B32</f>
        <v>HELLSGATE- NEW SEWER</v>
      </c>
      <c r="C32" s="41" t="str">
        <f>Dashboard!C32</f>
        <v>No.</v>
      </c>
      <c r="E32" s="50">
        <v>0</v>
      </c>
      <c r="F32" s="50">
        <f>F64-E64</f>
        <v>0</v>
      </c>
      <c r="G32" s="50">
        <f t="shared" ref="G32:P34" si="9">G64-F64</f>
        <v>0</v>
      </c>
      <c r="H32" s="50">
        <f t="shared" si="9"/>
        <v>0</v>
      </c>
      <c r="I32" s="50">
        <f t="shared" si="9"/>
        <v>0</v>
      </c>
      <c r="J32" s="50">
        <f t="shared" si="9"/>
        <v>0</v>
      </c>
      <c r="K32" s="50">
        <f t="shared" si="9"/>
        <v>0</v>
      </c>
      <c r="L32" s="50">
        <f t="shared" si="9"/>
        <v>0</v>
      </c>
      <c r="M32" s="50">
        <f t="shared" si="9"/>
        <v>0</v>
      </c>
      <c r="N32" s="63">
        <f t="shared" si="9"/>
        <v>0</v>
      </c>
      <c r="O32" s="50">
        <f t="shared" si="9"/>
        <v>0</v>
      </c>
      <c r="P32" s="63">
        <f t="shared" si="9"/>
        <v>0</v>
      </c>
    </row>
    <row r="33" spans="1:17" x14ac:dyDescent="0.35">
      <c r="A33" s="41">
        <f>Dashboard!A33</f>
        <v>2</v>
      </c>
      <c r="B33" s="41" t="str">
        <f>Dashboard!B33</f>
        <v>KAMERE- NEW SEWER</v>
      </c>
      <c r="C33" s="41" t="str">
        <f>Dashboard!C33</f>
        <v>No.</v>
      </c>
      <c r="E33" s="50">
        <v>0</v>
      </c>
      <c r="F33" s="50">
        <f t="shared" ref="F33:G34" si="10">F65-E65</f>
        <v>0</v>
      </c>
      <c r="G33" s="50">
        <f t="shared" si="10"/>
        <v>0</v>
      </c>
      <c r="H33" s="50">
        <f t="shared" si="9"/>
        <v>0</v>
      </c>
      <c r="I33" s="50">
        <f t="shared" si="9"/>
        <v>0</v>
      </c>
      <c r="J33" s="50">
        <f t="shared" si="9"/>
        <v>0</v>
      </c>
      <c r="K33" s="50">
        <f t="shared" si="9"/>
        <v>0</v>
      </c>
      <c r="L33" s="50">
        <f t="shared" si="9"/>
        <v>0</v>
      </c>
      <c r="M33" s="50">
        <f t="shared" si="9"/>
        <v>0</v>
      </c>
      <c r="N33" s="63">
        <f t="shared" si="9"/>
        <v>0</v>
      </c>
      <c r="O33" s="50">
        <f t="shared" si="9"/>
        <v>0</v>
      </c>
      <c r="P33" s="63">
        <f t="shared" si="9"/>
        <v>0</v>
      </c>
    </row>
    <row r="34" spans="1:17" x14ac:dyDescent="0.35">
      <c r="A34" s="41">
        <f>Dashboard!A34</f>
        <v>3</v>
      </c>
      <c r="B34" s="41" t="str">
        <f>Dashboard!B34</f>
        <v>MAI-MAHIU- NEW SEWER</v>
      </c>
      <c r="C34" s="41" t="str">
        <f>Dashboard!C34</f>
        <v>No.</v>
      </c>
      <c r="E34" s="50">
        <v>0</v>
      </c>
      <c r="F34" s="50">
        <f t="shared" si="10"/>
        <v>0</v>
      </c>
      <c r="G34" s="50">
        <f t="shared" si="10"/>
        <v>0</v>
      </c>
      <c r="H34" s="50">
        <f t="shared" si="9"/>
        <v>0</v>
      </c>
      <c r="I34" s="50">
        <f t="shared" si="9"/>
        <v>0</v>
      </c>
      <c r="J34" s="50">
        <f t="shared" si="9"/>
        <v>0</v>
      </c>
      <c r="K34" s="50">
        <f t="shared" si="9"/>
        <v>0</v>
      </c>
      <c r="L34" s="50">
        <f t="shared" si="9"/>
        <v>0</v>
      </c>
      <c r="M34" s="50">
        <f t="shared" si="9"/>
        <v>0</v>
      </c>
      <c r="N34" s="63">
        <f t="shared" si="9"/>
        <v>0</v>
      </c>
      <c r="O34" s="50">
        <f t="shared" si="9"/>
        <v>0</v>
      </c>
      <c r="P34" s="63">
        <f t="shared" si="9"/>
        <v>0</v>
      </c>
    </row>
    <row r="35" spans="1:17" s="40" customFormat="1" x14ac:dyDescent="0.35">
      <c r="A35" s="40">
        <f>Dashboard!A35</f>
        <v>0</v>
      </c>
      <c r="B35" s="40" t="str">
        <f>Dashboard!B35</f>
        <v>TOTAL NEW S CONNECTION SOUTHERN REGION</v>
      </c>
      <c r="C35" s="40" t="str">
        <f>Dashboard!C35</f>
        <v>No.</v>
      </c>
      <c r="D35" s="40">
        <v>0</v>
      </c>
      <c r="E35" s="64">
        <f t="shared" ref="E35:P35" si="11">SUM(E32:E34)</f>
        <v>0</v>
      </c>
      <c r="F35" s="64">
        <f t="shared" si="11"/>
        <v>0</v>
      </c>
      <c r="G35" s="64">
        <f t="shared" si="11"/>
        <v>0</v>
      </c>
      <c r="H35" s="64">
        <f t="shared" si="11"/>
        <v>0</v>
      </c>
      <c r="I35" s="64">
        <f t="shared" si="11"/>
        <v>0</v>
      </c>
      <c r="J35" s="64">
        <f t="shared" si="11"/>
        <v>0</v>
      </c>
      <c r="K35" s="64">
        <f t="shared" si="11"/>
        <v>0</v>
      </c>
      <c r="L35" s="64">
        <f t="shared" si="11"/>
        <v>0</v>
      </c>
      <c r="M35" s="64">
        <f t="shared" si="11"/>
        <v>0</v>
      </c>
      <c r="N35" s="64">
        <f t="shared" si="11"/>
        <v>0</v>
      </c>
      <c r="O35" s="64">
        <f t="shared" si="11"/>
        <v>0</v>
      </c>
      <c r="P35" s="64">
        <f t="shared" si="11"/>
        <v>0</v>
      </c>
    </row>
    <row r="36" spans="1:17" x14ac:dyDescent="0.35">
      <c r="A36" s="41">
        <f>Dashboard!A37</f>
        <v>1</v>
      </c>
      <c r="B36" s="41" t="str">
        <f>Dashboard!B37</f>
        <v>KAYOLE- NEW SEWER</v>
      </c>
      <c r="C36" s="41" t="str">
        <f>Dashboard!C37</f>
        <v>No.</v>
      </c>
      <c r="D36" s="41">
        <v>6</v>
      </c>
      <c r="E36" s="50">
        <v>0</v>
      </c>
      <c r="F36" s="50">
        <v>2</v>
      </c>
      <c r="G36" s="50">
        <v>2</v>
      </c>
      <c r="H36" s="50">
        <v>1</v>
      </c>
      <c r="I36" s="50">
        <v>3</v>
      </c>
      <c r="J36" s="50">
        <v>0</v>
      </c>
      <c r="K36" s="50">
        <v>0</v>
      </c>
      <c r="L36" s="50">
        <v>2</v>
      </c>
      <c r="M36" s="50"/>
      <c r="N36" s="63"/>
      <c r="O36" s="50"/>
      <c r="P36" s="63"/>
    </row>
    <row r="37" spans="1:17" s="40" customFormat="1" x14ac:dyDescent="0.35">
      <c r="B37" s="40" t="s">
        <v>219</v>
      </c>
      <c r="D37" s="40">
        <v>8</v>
      </c>
      <c r="E37" s="62">
        <f t="shared" ref="E37:P37" si="12">E36+E31</f>
        <v>0</v>
      </c>
      <c r="F37" s="62">
        <f>F36+F31</f>
        <v>4</v>
      </c>
      <c r="G37" s="62">
        <f t="shared" si="12"/>
        <v>4</v>
      </c>
      <c r="H37" s="62">
        <f t="shared" si="12"/>
        <v>3</v>
      </c>
      <c r="I37" s="62">
        <f t="shared" si="12"/>
        <v>5</v>
      </c>
      <c r="J37" s="62">
        <f t="shared" si="12"/>
        <v>0</v>
      </c>
      <c r="K37" s="62">
        <f t="shared" si="12"/>
        <v>4</v>
      </c>
      <c r="L37" s="62">
        <f t="shared" si="12"/>
        <v>5</v>
      </c>
      <c r="M37" s="62">
        <f t="shared" si="12"/>
        <v>0</v>
      </c>
      <c r="N37" s="62">
        <f t="shared" si="12"/>
        <v>0</v>
      </c>
      <c r="O37" s="62">
        <f t="shared" si="12"/>
        <v>0</v>
      </c>
      <c r="P37" s="62">
        <f t="shared" si="12"/>
        <v>0</v>
      </c>
    </row>
    <row r="38" spans="1:17" x14ac:dyDescent="0.35">
      <c r="A38" s="41" t="str">
        <f>Dashboard!A38</f>
        <v>TOTAL CONNECTIONS-WATER</v>
      </c>
      <c r="E38" s="53"/>
      <c r="F38" s="53"/>
      <c r="G38" s="53"/>
      <c r="H38" s="53"/>
      <c r="I38" s="53"/>
      <c r="J38" s="53"/>
      <c r="K38" s="53"/>
      <c r="L38" s="53"/>
      <c r="M38" s="53"/>
      <c r="N38" s="81"/>
      <c r="O38" s="53"/>
      <c r="P38" s="81"/>
    </row>
    <row r="39" spans="1:17" x14ac:dyDescent="0.35">
      <c r="A39" s="41">
        <f>Dashboard!A39</f>
        <v>1</v>
      </c>
      <c r="B39" s="41" t="str">
        <f>Dashboard!B39</f>
        <v>CBD-  WATER</v>
      </c>
      <c r="C39" s="41" t="str">
        <f>Dashboard!C39</f>
        <v>No.</v>
      </c>
      <c r="D39" s="41">
        <v>773</v>
      </c>
      <c r="E39" s="79">
        <v>790</v>
      </c>
      <c r="F39" s="79">
        <v>791</v>
      </c>
      <c r="G39" s="50">
        <v>791</v>
      </c>
      <c r="H39" s="79">
        <v>793</v>
      </c>
      <c r="I39" s="79">
        <v>793</v>
      </c>
      <c r="J39" s="50">
        <v>793</v>
      </c>
      <c r="K39" s="79">
        <v>792</v>
      </c>
      <c r="L39" s="79">
        <v>792</v>
      </c>
      <c r="M39" s="79"/>
      <c r="N39" s="79"/>
      <c r="O39" s="50"/>
      <c r="P39" s="63"/>
      <c r="Q39" s="53"/>
    </row>
    <row r="40" spans="1:17" x14ac:dyDescent="0.35">
      <c r="A40" s="41">
        <f>Dashboard!A40</f>
        <v>2</v>
      </c>
      <c r="B40" s="41" t="str">
        <f>Dashboard!B40</f>
        <v>CCCR-  WATER</v>
      </c>
      <c r="C40" s="41" t="str">
        <f>Dashboard!C40</f>
        <v>No.</v>
      </c>
      <c r="D40" s="41">
        <v>779</v>
      </c>
      <c r="E40" s="79">
        <v>880</v>
      </c>
      <c r="F40" s="79">
        <v>883</v>
      </c>
      <c r="G40" s="50">
        <v>885</v>
      </c>
      <c r="H40" s="79">
        <v>886</v>
      </c>
      <c r="I40" s="79">
        <v>889</v>
      </c>
      <c r="J40" s="50">
        <v>890</v>
      </c>
      <c r="K40" s="79">
        <v>895</v>
      </c>
      <c r="L40" s="79">
        <v>898</v>
      </c>
      <c r="M40" s="79"/>
      <c r="N40" s="79"/>
      <c r="O40" s="79"/>
      <c r="P40" s="63"/>
      <c r="Q40" s="53"/>
    </row>
    <row r="41" spans="1:17" x14ac:dyDescent="0.35">
      <c r="A41" s="41">
        <f>Dashboard!A41</f>
        <v>3</v>
      </c>
      <c r="B41" s="41" t="str">
        <f>Dashboard!B41</f>
        <v>KABATI- WATER</v>
      </c>
      <c r="C41" s="41" t="str">
        <f>Dashboard!C41</f>
        <v>No.</v>
      </c>
      <c r="D41" s="41">
        <v>908</v>
      </c>
      <c r="E41" s="79">
        <v>953</v>
      </c>
      <c r="F41" s="79">
        <v>952</v>
      </c>
      <c r="G41" s="50">
        <v>956</v>
      </c>
      <c r="H41" s="79">
        <v>956</v>
      </c>
      <c r="I41" s="79">
        <v>957</v>
      </c>
      <c r="J41" s="50">
        <v>957</v>
      </c>
      <c r="K41" s="79">
        <v>959</v>
      </c>
      <c r="L41" s="79">
        <v>959</v>
      </c>
      <c r="M41" s="79"/>
      <c r="N41" s="79"/>
      <c r="O41" s="50"/>
      <c r="P41" s="63"/>
      <c r="Q41" s="53"/>
    </row>
    <row r="42" spans="1:17" x14ac:dyDescent="0.35">
      <c r="A42" s="41">
        <f>Dashboard!A42</f>
        <v>4</v>
      </c>
      <c r="B42" s="41" t="str">
        <f>Dashboard!B42</f>
        <v>SITE- WATER</v>
      </c>
      <c r="C42" s="41" t="str">
        <f>Dashboard!C42</f>
        <v>No.</v>
      </c>
      <c r="D42" s="41">
        <v>921</v>
      </c>
      <c r="E42" s="79">
        <v>939</v>
      </c>
      <c r="F42" s="79">
        <v>940</v>
      </c>
      <c r="G42" s="50">
        <v>940</v>
      </c>
      <c r="H42" s="79">
        <v>943</v>
      </c>
      <c r="I42" s="79">
        <v>943</v>
      </c>
      <c r="J42" s="50">
        <v>942</v>
      </c>
      <c r="K42" s="79">
        <v>944</v>
      </c>
      <c r="L42" s="79">
        <v>944</v>
      </c>
      <c r="M42" s="79"/>
      <c r="N42" s="79"/>
      <c r="O42" s="50"/>
      <c r="P42" s="63"/>
      <c r="Q42" s="53"/>
    </row>
    <row r="43" spans="1:17" x14ac:dyDescent="0.35">
      <c r="A43" s="41">
        <f>Dashboard!A43</f>
        <v>5</v>
      </c>
      <c r="B43" s="41" t="str">
        <f>Dashboard!B43</f>
        <v>KIHOTO- WATER</v>
      </c>
      <c r="C43" s="41" t="str">
        <f>Dashboard!C43</f>
        <v>No.</v>
      </c>
      <c r="D43" s="41">
        <v>207</v>
      </c>
      <c r="E43" s="79">
        <v>221</v>
      </c>
      <c r="F43" s="79">
        <v>221</v>
      </c>
      <c r="G43" s="50">
        <v>221</v>
      </c>
      <c r="H43" s="79">
        <v>221</v>
      </c>
      <c r="I43" s="79">
        <v>221</v>
      </c>
      <c r="J43" s="50">
        <v>221</v>
      </c>
      <c r="K43" s="79">
        <v>221</v>
      </c>
      <c r="L43" s="79">
        <v>222</v>
      </c>
      <c r="M43" s="79"/>
      <c r="N43" s="79"/>
      <c r="O43" s="50"/>
      <c r="P43" s="63"/>
      <c r="Q43" s="53"/>
    </row>
    <row r="44" spans="1:17" x14ac:dyDescent="0.35">
      <c r="A44" s="41">
        <f>Dashboard!A44</f>
        <v>6</v>
      </c>
      <c r="B44" s="41" t="str">
        <f>Dashboard!B44</f>
        <v>LAKEVIEW- WATER</v>
      </c>
      <c r="C44" s="41" t="str">
        <f>Dashboard!C44</f>
        <v>No.</v>
      </c>
      <c r="D44" s="41">
        <v>1413</v>
      </c>
      <c r="E44" s="79">
        <v>1154</v>
      </c>
      <c r="F44" s="79">
        <v>1162</v>
      </c>
      <c r="G44" s="50">
        <v>1163</v>
      </c>
      <c r="H44" s="79">
        <v>1165</v>
      </c>
      <c r="I44" s="79">
        <v>1166</v>
      </c>
      <c r="J44" s="50">
        <v>1166</v>
      </c>
      <c r="K44" s="79">
        <v>1168</v>
      </c>
      <c r="L44" s="79">
        <v>1168</v>
      </c>
      <c r="M44" s="79"/>
      <c r="N44" s="79"/>
      <c r="O44" s="50"/>
      <c r="P44" s="63"/>
      <c r="Q44" s="53"/>
    </row>
    <row r="45" spans="1:17" x14ac:dyDescent="0.35">
      <c r="A45" s="41">
        <f>Dashboard!A45</f>
        <v>7</v>
      </c>
      <c r="B45" s="41" t="str">
        <f>Dashboard!B45</f>
        <v>HOPEWELL- WATER</v>
      </c>
      <c r="C45" s="41" t="str">
        <f>Dashboard!C45</f>
        <v>No.</v>
      </c>
      <c r="D45" s="41">
        <v>1413</v>
      </c>
      <c r="E45" s="79">
        <v>366</v>
      </c>
      <c r="F45" s="79">
        <v>366</v>
      </c>
      <c r="G45" s="50">
        <v>366</v>
      </c>
      <c r="H45" s="79">
        <v>380</v>
      </c>
      <c r="I45" s="79">
        <v>381</v>
      </c>
      <c r="J45" s="50">
        <v>393</v>
      </c>
      <c r="K45" s="79">
        <v>415</v>
      </c>
      <c r="L45" s="79">
        <v>418</v>
      </c>
      <c r="M45" s="79"/>
      <c r="N45" s="79"/>
      <c r="O45" s="50"/>
      <c r="P45" s="63"/>
      <c r="Q45" s="53"/>
    </row>
    <row r="46" spans="1:17" s="40" customFormat="1" x14ac:dyDescent="0.35">
      <c r="A46" s="40">
        <f>Dashboard!A46</f>
        <v>0</v>
      </c>
      <c r="B46" s="40" t="str">
        <f>Dashboard!B46</f>
        <v>TOTALWATER CONNECTION CENTRAL REGION</v>
      </c>
      <c r="C46" s="40" t="str">
        <f>Dashboard!C46</f>
        <v>No.</v>
      </c>
      <c r="D46" s="40">
        <v>5001</v>
      </c>
      <c r="E46" s="64">
        <f>SUM(E39:E45)</f>
        <v>5303</v>
      </c>
      <c r="F46" s="64">
        <f t="shared" ref="F46:P46" si="13">SUM(F39:F45)</f>
        <v>5315</v>
      </c>
      <c r="G46" s="64">
        <f t="shared" si="13"/>
        <v>5322</v>
      </c>
      <c r="H46" s="64">
        <f t="shared" si="13"/>
        <v>5344</v>
      </c>
      <c r="I46" s="64">
        <f t="shared" si="13"/>
        <v>5350</v>
      </c>
      <c r="J46" s="64">
        <f t="shared" si="13"/>
        <v>5362</v>
      </c>
      <c r="K46" s="64">
        <f t="shared" si="13"/>
        <v>5394</v>
      </c>
      <c r="L46" s="64">
        <f t="shared" si="13"/>
        <v>5401</v>
      </c>
      <c r="M46" s="64">
        <f t="shared" si="13"/>
        <v>0</v>
      </c>
      <c r="N46" s="64">
        <f t="shared" si="13"/>
        <v>0</v>
      </c>
      <c r="O46" s="64">
        <f t="shared" si="13"/>
        <v>0</v>
      </c>
      <c r="P46" s="64">
        <f t="shared" si="13"/>
        <v>0</v>
      </c>
      <c r="Q46" s="53"/>
    </row>
    <row r="47" spans="1:17" x14ac:dyDescent="0.35">
      <c r="A47" s="41">
        <f>Dashboard!A47</f>
        <v>1</v>
      </c>
      <c r="B47" s="41" t="str">
        <f>Dashboard!B47</f>
        <v>HELLSGATE-  WATER</v>
      </c>
      <c r="C47" s="41" t="str">
        <f>Dashboard!C47</f>
        <v>No.</v>
      </c>
      <c r="D47" s="41">
        <v>1607</v>
      </c>
      <c r="E47" s="79">
        <v>1872</v>
      </c>
      <c r="F47" s="79">
        <v>1889</v>
      </c>
      <c r="G47" s="50">
        <v>1901</v>
      </c>
      <c r="H47" s="79">
        <v>1910</v>
      </c>
      <c r="I47" s="79">
        <v>1919</v>
      </c>
      <c r="J47" s="50">
        <v>1929</v>
      </c>
      <c r="K47" s="79">
        <v>1962</v>
      </c>
      <c r="L47" s="79">
        <v>1975</v>
      </c>
      <c r="M47" s="79"/>
      <c r="N47" s="79"/>
      <c r="O47" s="50"/>
      <c r="P47" s="63"/>
      <c r="Q47" s="53"/>
    </row>
    <row r="48" spans="1:17" x14ac:dyDescent="0.35">
      <c r="A48" s="41">
        <f>Dashboard!A48</f>
        <v>2</v>
      </c>
      <c r="B48" s="41" t="str">
        <f>Dashboard!B48</f>
        <v>KAMERE- WATER</v>
      </c>
      <c r="C48" s="41" t="str">
        <f>Dashboard!C48</f>
        <v>No.</v>
      </c>
      <c r="D48" s="41">
        <v>343</v>
      </c>
      <c r="E48" s="79">
        <v>365</v>
      </c>
      <c r="F48" s="79">
        <v>368</v>
      </c>
      <c r="G48" s="50">
        <v>382</v>
      </c>
      <c r="H48" s="79">
        <v>382</v>
      </c>
      <c r="I48" s="79">
        <v>397</v>
      </c>
      <c r="J48" s="50">
        <v>401</v>
      </c>
      <c r="K48" s="79">
        <v>405</v>
      </c>
      <c r="L48" s="79">
        <v>407</v>
      </c>
      <c r="M48" s="79"/>
      <c r="N48" s="79"/>
      <c r="O48" s="50"/>
      <c r="P48" s="63"/>
      <c r="Q48" s="53"/>
    </row>
    <row r="49" spans="1:17" x14ac:dyDescent="0.35">
      <c r="A49" s="41">
        <f>Dashboard!A49</f>
        <v>3</v>
      </c>
      <c r="B49" s="41" t="str">
        <f>Dashboard!B49</f>
        <v>MAI-MAHIU- WATER</v>
      </c>
      <c r="C49" s="41" t="str">
        <f>Dashboard!C49</f>
        <v>No.</v>
      </c>
      <c r="D49" s="41">
        <v>1194</v>
      </c>
      <c r="E49" s="79">
        <v>1211</v>
      </c>
      <c r="F49" s="79">
        <v>1265</v>
      </c>
      <c r="G49" s="50">
        <v>1292</v>
      </c>
      <c r="H49" s="79">
        <v>1361</v>
      </c>
      <c r="I49" s="79">
        <v>1387</v>
      </c>
      <c r="J49" s="50">
        <v>1447</v>
      </c>
      <c r="K49" s="79">
        <v>1477</v>
      </c>
      <c r="L49" s="79">
        <v>1509</v>
      </c>
      <c r="M49" s="79"/>
      <c r="N49" s="79"/>
      <c r="O49" s="50"/>
      <c r="P49" s="63"/>
      <c r="Q49" s="53"/>
    </row>
    <row r="50" spans="1:17" x14ac:dyDescent="0.35">
      <c r="A50" s="41">
        <f>Dashboard!A50</f>
        <v>4</v>
      </c>
      <c r="B50" s="41" t="str">
        <f>Dashboard!B50</f>
        <v>LONGONOT- WATER</v>
      </c>
      <c r="C50" s="41" t="str">
        <f>Dashboard!C50</f>
        <v>No.</v>
      </c>
      <c r="D50" s="41" t="str">
        <f>Dashboard!D50</f>
        <v>l</v>
      </c>
      <c r="E50" s="79">
        <v>629</v>
      </c>
      <c r="F50" s="79">
        <v>653</v>
      </c>
      <c r="G50" s="50">
        <v>665</v>
      </c>
      <c r="H50" s="79">
        <v>676</v>
      </c>
      <c r="I50" s="79">
        <v>684</v>
      </c>
      <c r="J50" s="50">
        <v>686</v>
      </c>
      <c r="K50" s="79">
        <v>693</v>
      </c>
      <c r="L50" s="79">
        <v>696</v>
      </c>
      <c r="M50" s="79"/>
      <c r="N50" s="79"/>
      <c r="O50" s="50"/>
      <c r="P50" s="63"/>
      <c r="Q50" s="53"/>
    </row>
    <row r="51" spans="1:17" s="40" customFormat="1" x14ac:dyDescent="0.35">
      <c r="A51" s="40">
        <f>Dashboard!A51</f>
        <v>0</v>
      </c>
      <c r="B51" s="40" t="str">
        <f>Dashboard!B51</f>
        <v>TOTAL WATER CONNECTION SOUTHERN REGION</v>
      </c>
      <c r="C51" s="40" t="str">
        <f>Dashboard!C51</f>
        <v>No.</v>
      </c>
      <c r="D51" s="40">
        <v>3144</v>
      </c>
      <c r="E51" s="64">
        <f t="shared" ref="E51:P51" si="14">SUM(E47:E50)</f>
        <v>4077</v>
      </c>
      <c r="F51" s="64">
        <f t="shared" si="14"/>
        <v>4175</v>
      </c>
      <c r="G51" s="64">
        <f t="shared" si="14"/>
        <v>4240</v>
      </c>
      <c r="H51" s="64">
        <f t="shared" si="14"/>
        <v>4329</v>
      </c>
      <c r="I51" s="64">
        <f t="shared" si="14"/>
        <v>4387</v>
      </c>
      <c r="J51" s="64">
        <f t="shared" si="14"/>
        <v>4463</v>
      </c>
      <c r="K51" s="64">
        <f t="shared" si="14"/>
        <v>4537</v>
      </c>
      <c r="L51" s="64">
        <f>SUM(L47:L50)</f>
        <v>4587</v>
      </c>
      <c r="M51" s="64">
        <f t="shared" si="14"/>
        <v>0</v>
      </c>
      <c r="N51" s="64">
        <f t="shared" si="14"/>
        <v>0</v>
      </c>
      <c r="O51" s="64">
        <f t="shared" si="14"/>
        <v>0</v>
      </c>
      <c r="P51" s="64">
        <f t="shared" si="14"/>
        <v>0</v>
      </c>
      <c r="Q51" s="53"/>
    </row>
    <row r="52" spans="1:17" x14ac:dyDescent="0.35">
      <c r="A52" s="41">
        <f>Dashboard!A53</f>
        <v>1</v>
      </c>
      <c r="B52" s="41" t="str">
        <f>Dashboard!B53</f>
        <v>KAYOLE-WATER</v>
      </c>
      <c r="C52" s="41" t="str">
        <f>Dashboard!C53</f>
        <v>No.</v>
      </c>
      <c r="D52" s="41">
        <v>2457</v>
      </c>
      <c r="E52" s="79">
        <v>2880</v>
      </c>
      <c r="F52" s="79">
        <v>2920</v>
      </c>
      <c r="G52" s="50">
        <v>2975</v>
      </c>
      <c r="H52" s="79">
        <v>3005</v>
      </c>
      <c r="I52" s="79">
        <v>3035</v>
      </c>
      <c r="J52" s="50">
        <v>3073</v>
      </c>
      <c r="K52" s="79">
        <v>3115</v>
      </c>
      <c r="L52" s="79">
        <v>3131</v>
      </c>
      <c r="M52" s="50"/>
      <c r="N52" s="63"/>
      <c r="O52" s="50"/>
      <c r="P52" s="63"/>
      <c r="Q52" s="53"/>
    </row>
    <row r="53" spans="1:17" x14ac:dyDescent="0.35">
      <c r="A53" s="41">
        <f>Dashboard!A54</f>
        <v>2</v>
      </c>
      <c r="B53" s="41" t="str">
        <f>Dashboard!B54</f>
        <v>IHINDU-WATER</v>
      </c>
      <c r="C53" s="41" t="str">
        <f>Dashboard!C54</f>
        <v>No.</v>
      </c>
      <c r="D53" s="41" t="str">
        <f>Dashboard!D54</f>
        <v>l</v>
      </c>
      <c r="E53" s="79">
        <v>57</v>
      </c>
      <c r="F53" s="79">
        <v>57</v>
      </c>
      <c r="G53" s="50">
        <v>58</v>
      </c>
      <c r="H53" s="79">
        <v>58</v>
      </c>
      <c r="I53" s="79">
        <v>58</v>
      </c>
      <c r="J53" s="50">
        <v>58</v>
      </c>
      <c r="K53" s="79">
        <v>60</v>
      </c>
      <c r="L53" s="79">
        <v>60</v>
      </c>
      <c r="M53" s="50"/>
      <c r="N53" s="63"/>
      <c r="O53" s="50"/>
      <c r="P53" s="63"/>
      <c r="Q53" s="53"/>
    </row>
    <row r="54" spans="1:17" x14ac:dyDescent="0.35">
      <c r="A54" s="41">
        <f>Dashboard!A55</f>
        <v>0</v>
      </c>
      <c r="B54" s="41" t="str">
        <f>Dashboard!B55</f>
        <v>TOTAL WATER CONNECTION EASTERN REGION</v>
      </c>
      <c r="C54" s="41" t="str">
        <f>Dashboard!C55</f>
        <v>No.</v>
      </c>
      <c r="D54" s="41" t="str">
        <f>Dashboard!D55</f>
        <v>l</v>
      </c>
      <c r="E54" s="53">
        <f>E52+E53</f>
        <v>2937</v>
      </c>
      <c r="F54" s="53">
        <f t="shared" ref="F54:P54" si="15">F52+F53</f>
        <v>2977</v>
      </c>
      <c r="G54" s="53">
        <f t="shared" si="15"/>
        <v>3033</v>
      </c>
      <c r="H54" s="53">
        <f t="shared" si="15"/>
        <v>3063</v>
      </c>
      <c r="I54" s="53">
        <f t="shared" si="15"/>
        <v>3093</v>
      </c>
      <c r="J54" s="53">
        <f t="shared" si="15"/>
        <v>3131</v>
      </c>
      <c r="K54" s="53">
        <f t="shared" si="15"/>
        <v>3175</v>
      </c>
      <c r="L54" s="53">
        <f t="shared" si="15"/>
        <v>3191</v>
      </c>
      <c r="M54" s="53">
        <f t="shared" si="15"/>
        <v>0</v>
      </c>
      <c r="N54" s="53">
        <f t="shared" si="15"/>
        <v>0</v>
      </c>
      <c r="O54" s="53">
        <f t="shared" si="15"/>
        <v>0</v>
      </c>
      <c r="P54" s="53">
        <f t="shared" si="15"/>
        <v>0</v>
      </c>
      <c r="Q54" s="53"/>
    </row>
    <row r="55" spans="1:17" x14ac:dyDescent="0.35">
      <c r="A55" s="41" t="str">
        <f>Dashboard!A56</f>
        <v>TOTAL  CONNECTIONS-SEWER</v>
      </c>
      <c r="E55" s="76"/>
      <c r="F55" s="76"/>
      <c r="G55" s="76"/>
      <c r="H55" s="76"/>
      <c r="I55" s="76"/>
      <c r="J55" s="76"/>
      <c r="K55" s="76"/>
      <c r="L55" s="76"/>
      <c r="M55" s="76"/>
      <c r="N55" s="365"/>
      <c r="O55" s="76"/>
      <c r="P55" s="365"/>
      <c r="Q55" s="53"/>
    </row>
    <row r="56" spans="1:17" x14ac:dyDescent="0.35">
      <c r="A56" s="41">
        <f>Dashboard!A57</f>
        <v>1</v>
      </c>
      <c r="B56" s="41" t="str">
        <f>Dashboard!B57</f>
        <v>CBD- SEWER</v>
      </c>
      <c r="C56" s="41" t="str">
        <f>Dashboard!C57</f>
        <v>No.</v>
      </c>
      <c r="D56" s="41">
        <v>439</v>
      </c>
      <c r="E56" s="79">
        <v>480</v>
      </c>
      <c r="F56" s="79">
        <v>481</v>
      </c>
      <c r="G56" s="50">
        <v>482</v>
      </c>
      <c r="H56" s="79">
        <v>481</v>
      </c>
      <c r="I56" s="79">
        <v>481</v>
      </c>
      <c r="J56" s="50">
        <v>482</v>
      </c>
      <c r="K56" s="79">
        <v>482</v>
      </c>
      <c r="L56" s="79">
        <v>482</v>
      </c>
      <c r="M56" s="79"/>
      <c r="N56" s="79"/>
      <c r="O56" s="50"/>
      <c r="P56" s="63"/>
      <c r="Q56" s="53"/>
    </row>
    <row r="57" spans="1:17" x14ac:dyDescent="0.35">
      <c r="A57" s="41">
        <f>Dashboard!A58</f>
        <v>2</v>
      </c>
      <c r="B57" s="41" t="str">
        <f>Dashboard!B58</f>
        <v>CCCR-SEWER</v>
      </c>
      <c r="C57" s="41" t="str">
        <f>Dashboard!C58</f>
        <v>No.</v>
      </c>
      <c r="D57" s="41">
        <v>358</v>
      </c>
      <c r="E57" s="79">
        <v>453</v>
      </c>
      <c r="F57" s="79">
        <v>456</v>
      </c>
      <c r="G57" s="50">
        <v>456</v>
      </c>
      <c r="H57" s="79">
        <v>456</v>
      </c>
      <c r="I57" s="79">
        <v>457</v>
      </c>
      <c r="J57" s="50">
        <v>457</v>
      </c>
      <c r="K57" s="79">
        <v>456</v>
      </c>
      <c r="L57" s="79">
        <v>456</v>
      </c>
      <c r="M57" s="79"/>
      <c r="N57" s="79"/>
      <c r="O57" s="50"/>
      <c r="P57" s="63"/>
      <c r="Q57" s="53"/>
    </row>
    <row r="58" spans="1:17" x14ac:dyDescent="0.35">
      <c r="A58" s="41">
        <f>Dashboard!A59</f>
        <v>3</v>
      </c>
      <c r="B58" s="41" t="str">
        <f>Dashboard!B59</f>
        <v>KABATI-SEWER</v>
      </c>
      <c r="C58" s="41" t="str">
        <f>Dashboard!C59</f>
        <v>No.</v>
      </c>
      <c r="D58" s="41">
        <v>326</v>
      </c>
      <c r="E58" s="79">
        <v>382</v>
      </c>
      <c r="F58" s="79">
        <v>384</v>
      </c>
      <c r="G58" s="50">
        <v>383</v>
      </c>
      <c r="H58" s="79">
        <v>383</v>
      </c>
      <c r="I58" s="79">
        <v>382</v>
      </c>
      <c r="J58" s="50">
        <v>382</v>
      </c>
      <c r="K58" s="79">
        <v>384</v>
      </c>
      <c r="L58" s="79">
        <v>384</v>
      </c>
      <c r="M58" s="79"/>
      <c r="N58" s="79"/>
      <c r="O58" s="50"/>
      <c r="P58" s="63"/>
      <c r="Q58" s="53"/>
    </row>
    <row r="59" spans="1:17" x14ac:dyDescent="0.35">
      <c r="A59" s="41">
        <f>Dashboard!A60</f>
        <v>4</v>
      </c>
      <c r="B59" s="41" t="str">
        <f>Dashboard!B60</f>
        <v>SITE- SEWER</v>
      </c>
      <c r="C59" s="41" t="str">
        <f>Dashboard!C60</f>
        <v>No.</v>
      </c>
      <c r="D59" s="41">
        <v>530</v>
      </c>
      <c r="E59" s="79">
        <v>604</v>
      </c>
      <c r="F59" s="79">
        <v>604</v>
      </c>
      <c r="G59" s="50">
        <v>604</v>
      </c>
      <c r="H59" s="79">
        <v>604</v>
      </c>
      <c r="I59" s="79">
        <v>604</v>
      </c>
      <c r="J59" s="50">
        <v>603</v>
      </c>
      <c r="K59" s="79">
        <v>604</v>
      </c>
      <c r="L59" s="79">
        <v>604</v>
      </c>
      <c r="M59" s="79"/>
      <c r="N59" s="79"/>
      <c r="O59" s="50"/>
      <c r="P59" s="63"/>
      <c r="Q59" s="53"/>
    </row>
    <row r="60" spans="1:17" x14ac:dyDescent="0.35">
      <c r="A60" s="41">
        <f>Dashboard!A61</f>
        <v>5</v>
      </c>
      <c r="B60" s="41" t="str">
        <f>Dashboard!B61</f>
        <v>KIHOTO- SEWER</v>
      </c>
      <c r="C60" s="41" t="str">
        <f>Dashboard!C61</f>
        <v>No.</v>
      </c>
      <c r="D60" s="41">
        <v>0</v>
      </c>
      <c r="E60" s="50">
        <v>0</v>
      </c>
      <c r="F60" s="50">
        <v>0</v>
      </c>
      <c r="G60" s="50">
        <v>0</v>
      </c>
      <c r="H60" s="50">
        <v>0</v>
      </c>
      <c r="I60" s="50">
        <v>0</v>
      </c>
      <c r="J60" s="50">
        <v>0</v>
      </c>
      <c r="K60" s="50">
        <v>0</v>
      </c>
      <c r="L60" s="50">
        <v>0</v>
      </c>
      <c r="M60" s="50"/>
      <c r="N60" s="63"/>
      <c r="O60" s="50"/>
      <c r="P60" s="63"/>
      <c r="Q60" s="53"/>
    </row>
    <row r="61" spans="1:17" x14ac:dyDescent="0.35">
      <c r="A61" s="41">
        <f>Dashboard!A62</f>
        <v>6</v>
      </c>
      <c r="B61" s="41" t="str">
        <f>Dashboard!B62</f>
        <v>LAKEVIEW- SEWER</v>
      </c>
      <c r="C61" s="41" t="str">
        <f>Dashboard!C62</f>
        <v>No.</v>
      </c>
      <c r="D61" s="41">
        <v>166</v>
      </c>
      <c r="E61" s="79">
        <v>180</v>
      </c>
      <c r="F61" s="79">
        <v>180</v>
      </c>
      <c r="G61" s="50">
        <v>180</v>
      </c>
      <c r="H61" s="79">
        <v>179</v>
      </c>
      <c r="I61" s="79">
        <v>180</v>
      </c>
      <c r="J61" s="50">
        <v>183</v>
      </c>
      <c r="K61" s="79">
        <v>184</v>
      </c>
      <c r="L61" s="79">
        <v>184</v>
      </c>
      <c r="M61" s="79"/>
      <c r="N61" s="79"/>
      <c r="O61" s="50"/>
      <c r="P61" s="63"/>
      <c r="Q61" s="53"/>
    </row>
    <row r="62" spans="1:17" x14ac:dyDescent="0.35">
      <c r="A62" s="41">
        <f>Dashboard!A63</f>
        <v>7</v>
      </c>
      <c r="B62" s="41" t="str">
        <f>Dashboard!B63</f>
        <v>HOPEWELL- SEWER</v>
      </c>
      <c r="C62" s="41" t="str">
        <f>Dashboard!C63</f>
        <v>No.</v>
      </c>
      <c r="D62" s="41">
        <v>166</v>
      </c>
      <c r="E62" s="79">
        <v>2</v>
      </c>
      <c r="F62" s="50">
        <v>2</v>
      </c>
      <c r="G62" s="50">
        <v>2</v>
      </c>
      <c r="H62" s="50">
        <v>2</v>
      </c>
      <c r="I62" s="79">
        <v>2</v>
      </c>
      <c r="J62" s="50">
        <v>2</v>
      </c>
      <c r="K62" s="50">
        <v>2</v>
      </c>
      <c r="L62" s="79">
        <v>2</v>
      </c>
      <c r="M62" s="79"/>
      <c r="N62" s="79"/>
      <c r="O62" s="50"/>
      <c r="P62" s="63"/>
      <c r="Q62" s="53"/>
    </row>
    <row r="63" spans="1:17" s="40" customFormat="1" x14ac:dyDescent="0.35">
      <c r="A63" s="40">
        <f>Dashboard!A64</f>
        <v>0</v>
      </c>
      <c r="B63" s="40" t="str">
        <f>Dashboard!B64</f>
        <v>TOTAL SEWER CONNECTION CENTRAL REGION</v>
      </c>
      <c r="C63" s="40" t="str">
        <f>Dashboard!C64</f>
        <v>No.</v>
      </c>
      <c r="D63" s="40">
        <v>1819</v>
      </c>
      <c r="E63" s="64">
        <f>SUM(E56:E62)</f>
        <v>2101</v>
      </c>
      <c r="F63" s="64">
        <f t="shared" ref="F63:P63" si="16">SUM(F56:F62)</f>
        <v>2107</v>
      </c>
      <c r="G63" s="64">
        <f t="shared" si="16"/>
        <v>2107</v>
      </c>
      <c r="H63" s="64">
        <f t="shared" si="16"/>
        <v>2105</v>
      </c>
      <c r="I63" s="64">
        <f t="shared" si="16"/>
        <v>2106</v>
      </c>
      <c r="J63" s="64">
        <f t="shared" si="16"/>
        <v>2109</v>
      </c>
      <c r="K63" s="64">
        <f t="shared" si="16"/>
        <v>2112</v>
      </c>
      <c r="L63" s="64">
        <f t="shared" si="16"/>
        <v>2112</v>
      </c>
      <c r="M63" s="64">
        <f t="shared" si="16"/>
        <v>0</v>
      </c>
      <c r="N63" s="64">
        <f t="shared" si="16"/>
        <v>0</v>
      </c>
      <c r="O63" s="64">
        <f t="shared" si="16"/>
        <v>0</v>
      </c>
      <c r="P63" s="64">
        <f t="shared" si="16"/>
        <v>0</v>
      </c>
      <c r="Q63" s="53"/>
    </row>
    <row r="64" spans="1:17" x14ac:dyDescent="0.35">
      <c r="A64" s="41">
        <f>Dashboard!A66</f>
        <v>1</v>
      </c>
      <c r="B64" s="41" t="str">
        <f>Dashboard!B66</f>
        <v>HELLSGATE-SEWER</v>
      </c>
      <c r="C64" s="41" t="str">
        <f>Dashboard!C66</f>
        <v>No.</v>
      </c>
      <c r="D64" s="41">
        <v>0</v>
      </c>
      <c r="E64" s="50">
        <v>0</v>
      </c>
      <c r="F64" s="50">
        <v>0</v>
      </c>
      <c r="G64" s="50">
        <v>0</v>
      </c>
      <c r="H64" s="50">
        <v>0</v>
      </c>
      <c r="I64" s="50">
        <v>0</v>
      </c>
      <c r="J64" s="50">
        <v>0</v>
      </c>
      <c r="K64" s="50">
        <v>0</v>
      </c>
      <c r="L64" s="50">
        <v>0</v>
      </c>
      <c r="M64" s="50">
        <v>0</v>
      </c>
      <c r="N64" s="63">
        <v>0</v>
      </c>
      <c r="O64" s="50">
        <v>0</v>
      </c>
      <c r="P64" s="63">
        <v>0</v>
      </c>
      <c r="Q64" s="53"/>
    </row>
    <row r="65" spans="1:17" x14ac:dyDescent="0.35">
      <c r="A65" s="41">
        <f>Dashboard!A67</f>
        <v>2</v>
      </c>
      <c r="B65" s="41" t="str">
        <f>Dashboard!B67</f>
        <v>KAMERE-  SEWER</v>
      </c>
      <c r="C65" s="41" t="str">
        <f>Dashboard!C67</f>
        <v>No.</v>
      </c>
      <c r="D65" s="41">
        <v>0</v>
      </c>
      <c r="E65" s="50">
        <v>0</v>
      </c>
      <c r="F65" s="50">
        <v>0</v>
      </c>
      <c r="G65" s="50">
        <v>0</v>
      </c>
      <c r="H65" s="50">
        <v>0</v>
      </c>
      <c r="I65" s="50">
        <v>0</v>
      </c>
      <c r="J65" s="50">
        <v>0</v>
      </c>
      <c r="K65" s="50">
        <v>0</v>
      </c>
      <c r="L65" s="50">
        <v>0</v>
      </c>
      <c r="M65" s="50">
        <v>0</v>
      </c>
      <c r="N65" s="63">
        <v>0</v>
      </c>
      <c r="O65" s="50">
        <v>0</v>
      </c>
      <c r="P65" s="63">
        <v>0</v>
      </c>
      <c r="Q65" s="53"/>
    </row>
    <row r="66" spans="1:17" x14ac:dyDescent="0.35">
      <c r="A66" s="41">
        <f>Dashboard!A68</f>
        <v>3</v>
      </c>
      <c r="B66" s="41" t="str">
        <f>Dashboard!B68</f>
        <v>MAI-MAHIU-SEWER</v>
      </c>
      <c r="C66" s="41" t="str">
        <f>Dashboard!C68</f>
        <v>No.</v>
      </c>
      <c r="D66" s="41">
        <v>0</v>
      </c>
      <c r="E66" s="50">
        <v>0</v>
      </c>
      <c r="F66" s="50">
        <v>0</v>
      </c>
      <c r="G66" s="50">
        <v>0</v>
      </c>
      <c r="H66" s="50">
        <v>0</v>
      </c>
      <c r="I66" s="50">
        <v>0</v>
      </c>
      <c r="J66" s="50">
        <v>0</v>
      </c>
      <c r="K66" s="50">
        <v>0</v>
      </c>
      <c r="L66" s="50">
        <v>0</v>
      </c>
      <c r="M66" s="50">
        <v>0</v>
      </c>
      <c r="N66" s="63">
        <v>0</v>
      </c>
      <c r="O66" s="50">
        <v>0</v>
      </c>
      <c r="P66" s="63">
        <v>0</v>
      </c>
      <c r="Q66" s="53"/>
    </row>
    <row r="67" spans="1:17" s="40" customFormat="1" x14ac:dyDescent="0.35">
      <c r="A67" s="40">
        <f>Dashboard!A69</f>
        <v>0</v>
      </c>
      <c r="B67" s="40" t="str">
        <f>Dashboard!B69</f>
        <v>TOTAL SEWER CONNECTION SOUTHERNREGION</v>
      </c>
      <c r="C67" s="40" t="str">
        <f>Dashboard!C69</f>
        <v>No.</v>
      </c>
      <c r="D67" s="40">
        <v>0</v>
      </c>
      <c r="E67" s="64">
        <f>SUM(E64:E66)</f>
        <v>0</v>
      </c>
      <c r="F67" s="64">
        <f>SUM(F64:F66)</f>
        <v>0</v>
      </c>
      <c r="G67" s="64">
        <f t="shared" ref="G67:P67" si="17">SUM(G64:G66)</f>
        <v>0</v>
      </c>
      <c r="H67" s="64">
        <f t="shared" si="17"/>
        <v>0</v>
      </c>
      <c r="I67" s="64">
        <f t="shared" si="17"/>
        <v>0</v>
      </c>
      <c r="J67" s="64">
        <f t="shared" si="17"/>
        <v>0</v>
      </c>
      <c r="K67" s="64">
        <f t="shared" si="17"/>
        <v>0</v>
      </c>
      <c r="L67" s="64">
        <f t="shared" si="17"/>
        <v>0</v>
      </c>
      <c r="M67" s="64">
        <f t="shared" si="17"/>
        <v>0</v>
      </c>
      <c r="N67" s="64">
        <f t="shared" si="17"/>
        <v>0</v>
      </c>
      <c r="O67" s="64">
        <f t="shared" si="17"/>
        <v>0</v>
      </c>
      <c r="P67" s="64">
        <f t="shared" si="17"/>
        <v>0</v>
      </c>
      <c r="Q67" s="53"/>
    </row>
    <row r="68" spans="1:17" x14ac:dyDescent="0.35">
      <c r="A68" s="41">
        <f>Dashboard!A71</f>
        <v>1</v>
      </c>
      <c r="B68" s="41" t="str">
        <f>Dashboard!B71</f>
        <v>KAYOLE-SEWER</v>
      </c>
      <c r="C68" s="41" t="str">
        <f>Dashboard!C71</f>
        <v>No.</v>
      </c>
      <c r="D68" s="41">
        <v>21</v>
      </c>
      <c r="E68" s="79">
        <v>52</v>
      </c>
      <c r="F68" s="79">
        <v>54</v>
      </c>
      <c r="G68" s="50">
        <v>56</v>
      </c>
      <c r="H68" s="50">
        <v>56</v>
      </c>
      <c r="I68" s="79">
        <v>57</v>
      </c>
      <c r="J68" s="50">
        <v>61</v>
      </c>
      <c r="K68" s="79">
        <v>63</v>
      </c>
      <c r="L68" s="79">
        <v>64</v>
      </c>
      <c r="M68" s="79"/>
      <c r="N68" s="79"/>
      <c r="O68" s="50"/>
      <c r="P68" s="63"/>
      <c r="Q68" s="53"/>
    </row>
    <row r="69" spans="1:17" x14ac:dyDescent="0.35">
      <c r="A69" s="41" t="str">
        <f>Dashboard!A72</f>
        <v>TOTAL ACTIVE CONNECTIONS-WATER</v>
      </c>
      <c r="E69" s="53"/>
      <c r="F69" s="53"/>
      <c r="G69" s="53"/>
      <c r="H69" s="53"/>
      <c r="I69" s="53"/>
      <c r="J69" s="53"/>
      <c r="K69" s="53"/>
      <c r="L69" s="53"/>
      <c r="M69" s="53"/>
      <c r="N69" s="81"/>
      <c r="O69" s="53"/>
      <c r="P69" s="81"/>
    </row>
    <row r="70" spans="1:17" x14ac:dyDescent="0.35">
      <c r="A70" s="41">
        <f>Dashboard!A73</f>
        <v>1</v>
      </c>
      <c r="B70" s="41" t="str">
        <f>Dashboard!B73</f>
        <v>CBD- ACTIVE WATER</v>
      </c>
      <c r="C70" s="41" t="str">
        <f>Dashboard!C73</f>
        <v>No.</v>
      </c>
      <c r="D70" s="41">
        <v>583</v>
      </c>
      <c r="E70" s="79">
        <v>595</v>
      </c>
      <c r="F70" s="79">
        <v>596</v>
      </c>
      <c r="G70" s="50">
        <v>596</v>
      </c>
      <c r="H70" s="79">
        <v>598</v>
      </c>
      <c r="I70" s="79">
        <v>598</v>
      </c>
      <c r="J70" s="50">
        <v>599</v>
      </c>
      <c r="K70" s="79">
        <v>598</v>
      </c>
      <c r="L70" s="79">
        <v>600</v>
      </c>
      <c r="M70" s="79"/>
      <c r="N70" s="79"/>
      <c r="O70" s="50"/>
      <c r="P70" s="63"/>
    </row>
    <row r="71" spans="1:17" x14ac:dyDescent="0.35">
      <c r="A71" s="41">
        <f>Dashboard!A74</f>
        <v>2</v>
      </c>
      <c r="B71" s="41" t="str">
        <f>Dashboard!B74</f>
        <v>CCCR- ACTIVE WATER</v>
      </c>
      <c r="C71" s="41" t="str">
        <f>Dashboard!C74</f>
        <v>No.</v>
      </c>
      <c r="D71" s="41">
        <v>593</v>
      </c>
      <c r="E71" s="79">
        <v>700</v>
      </c>
      <c r="F71" s="79">
        <v>702</v>
      </c>
      <c r="G71" s="50">
        <v>705</v>
      </c>
      <c r="H71" s="79">
        <v>705</v>
      </c>
      <c r="I71" s="79">
        <v>710</v>
      </c>
      <c r="J71" s="50">
        <v>709</v>
      </c>
      <c r="K71" s="79">
        <v>709</v>
      </c>
      <c r="L71" s="79">
        <v>716</v>
      </c>
      <c r="M71" s="79"/>
      <c r="N71" s="79"/>
      <c r="O71" s="50"/>
      <c r="P71" s="63"/>
    </row>
    <row r="72" spans="1:17" x14ac:dyDescent="0.35">
      <c r="A72" s="41">
        <f>Dashboard!A75</f>
        <v>3</v>
      </c>
      <c r="B72" s="41" t="str">
        <f>Dashboard!B75</f>
        <v>KABATI- ACTIVE WATER</v>
      </c>
      <c r="C72" s="41" t="str">
        <f>Dashboard!C75</f>
        <v>No.</v>
      </c>
      <c r="D72" s="41">
        <v>811</v>
      </c>
      <c r="E72" s="79">
        <v>864</v>
      </c>
      <c r="F72" s="79">
        <v>864</v>
      </c>
      <c r="G72" s="50">
        <v>868</v>
      </c>
      <c r="H72" s="79">
        <v>868</v>
      </c>
      <c r="I72" s="79">
        <v>868</v>
      </c>
      <c r="J72" s="50">
        <v>868</v>
      </c>
      <c r="K72" s="79">
        <v>868</v>
      </c>
      <c r="L72" s="79">
        <v>870</v>
      </c>
      <c r="M72" s="50"/>
      <c r="N72" s="79"/>
      <c r="O72" s="50"/>
      <c r="P72" s="63"/>
    </row>
    <row r="73" spans="1:17" x14ac:dyDescent="0.35">
      <c r="A73" s="41">
        <f>Dashboard!A76</f>
        <v>4</v>
      </c>
      <c r="B73" s="41" t="str">
        <f>Dashboard!B76</f>
        <v>SITE- ACTIVE WATER</v>
      </c>
      <c r="C73" s="41" t="str">
        <f>Dashboard!C76</f>
        <v>No.</v>
      </c>
      <c r="D73" s="41">
        <v>811</v>
      </c>
      <c r="E73" s="79">
        <v>836</v>
      </c>
      <c r="F73" s="50">
        <v>836</v>
      </c>
      <c r="G73" s="50">
        <v>837</v>
      </c>
      <c r="H73" s="79">
        <v>840</v>
      </c>
      <c r="I73" s="79">
        <v>840</v>
      </c>
      <c r="J73" s="50">
        <v>840</v>
      </c>
      <c r="K73" s="79">
        <v>840</v>
      </c>
      <c r="L73" s="79">
        <v>842</v>
      </c>
      <c r="M73" s="79"/>
      <c r="N73" s="79"/>
      <c r="O73" s="50"/>
      <c r="P73" s="63"/>
    </row>
    <row r="74" spans="1:17" x14ac:dyDescent="0.35">
      <c r="A74" s="41">
        <f>Dashboard!A77</f>
        <v>5</v>
      </c>
      <c r="B74" s="41" t="str">
        <f>Dashboard!B77</f>
        <v>KIHOTO-ACTIVE WATER</v>
      </c>
      <c r="C74" s="41" t="str">
        <f>Dashboard!C77</f>
        <v>No.</v>
      </c>
      <c r="D74" s="41">
        <v>157</v>
      </c>
      <c r="E74" s="79">
        <v>176</v>
      </c>
      <c r="F74" s="79">
        <v>176</v>
      </c>
      <c r="G74" s="50">
        <v>176</v>
      </c>
      <c r="H74" s="79">
        <v>176</v>
      </c>
      <c r="I74" s="79">
        <v>176</v>
      </c>
      <c r="J74" s="50">
        <v>176</v>
      </c>
      <c r="K74" s="79">
        <v>176</v>
      </c>
      <c r="L74" s="79">
        <v>176</v>
      </c>
      <c r="M74" s="79"/>
      <c r="N74" s="79"/>
      <c r="O74" s="50"/>
      <c r="P74" s="63"/>
    </row>
    <row r="75" spans="1:17" x14ac:dyDescent="0.35">
      <c r="A75" s="41">
        <f>Dashboard!A78</f>
        <v>6</v>
      </c>
      <c r="B75" s="41" t="str">
        <f>Dashboard!B78</f>
        <v>LAKEVIEW- ACTIVE WATER</v>
      </c>
      <c r="C75" s="41" t="str">
        <f>Dashboard!C78</f>
        <v>No.</v>
      </c>
      <c r="D75" s="41">
        <v>1180</v>
      </c>
      <c r="E75" s="79">
        <v>984</v>
      </c>
      <c r="F75" s="79">
        <v>990</v>
      </c>
      <c r="G75" s="50">
        <v>993</v>
      </c>
      <c r="H75" s="79">
        <v>993</v>
      </c>
      <c r="I75" s="79">
        <v>996</v>
      </c>
      <c r="J75" s="50">
        <v>997</v>
      </c>
      <c r="K75" s="79">
        <v>999</v>
      </c>
      <c r="L75" s="79">
        <v>1000</v>
      </c>
      <c r="M75" s="79"/>
      <c r="N75" s="79"/>
      <c r="O75" s="50"/>
      <c r="P75" s="63"/>
    </row>
    <row r="76" spans="1:17" x14ac:dyDescent="0.35">
      <c r="A76" s="41">
        <f>Dashboard!A79</f>
        <v>7</v>
      </c>
      <c r="B76" s="41" t="str">
        <f>Dashboard!B79</f>
        <v>HOPEWELL- ACTIVE WATER</v>
      </c>
      <c r="C76" s="41" t="str">
        <f>Dashboard!C79</f>
        <v>No.</v>
      </c>
      <c r="D76" s="41" t="str">
        <f>Dashboard!D79</f>
        <v>l</v>
      </c>
      <c r="E76" s="79">
        <v>295</v>
      </c>
      <c r="F76" s="79">
        <v>297</v>
      </c>
      <c r="G76" s="50">
        <v>298</v>
      </c>
      <c r="H76" s="79">
        <v>299</v>
      </c>
      <c r="I76" s="79">
        <v>300</v>
      </c>
      <c r="J76" s="50">
        <v>302</v>
      </c>
      <c r="K76" s="79">
        <v>339</v>
      </c>
      <c r="L76" s="79">
        <v>343</v>
      </c>
      <c r="M76" s="79"/>
      <c r="N76" s="79"/>
      <c r="O76" s="50"/>
      <c r="P76" s="63"/>
    </row>
    <row r="77" spans="1:17" s="40" customFormat="1" x14ac:dyDescent="0.35">
      <c r="A77" s="40">
        <f>Dashboard!A80</f>
        <v>0</v>
      </c>
      <c r="B77" s="40" t="str">
        <f>Dashboard!B80</f>
        <v>TOTAL ACTIVE WATER CONNECTION CENTRAL REGION</v>
      </c>
      <c r="C77" s="40" t="str">
        <f>Dashboard!C80</f>
        <v>No.</v>
      </c>
      <c r="D77" s="40">
        <v>4135</v>
      </c>
      <c r="E77" s="64">
        <f t="shared" ref="E77:P77" si="18">SUM(E70:E76)</f>
        <v>4450</v>
      </c>
      <c r="F77" s="64">
        <f t="shared" si="18"/>
        <v>4461</v>
      </c>
      <c r="G77" s="64">
        <f t="shared" si="18"/>
        <v>4473</v>
      </c>
      <c r="H77" s="64">
        <f t="shared" si="18"/>
        <v>4479</v>
      </c>
      <c r="I77" s="64">
        <f t="shared" si="18"/>
        <v>4488</v>
      </c>
      <c r="J77" s="64">
        <f t="shared" si="18"/>
        <v>4491</v>
      </c>
      <c r="K77" s="64">
        <f t="shared" si="18"/>
        <v>4529</v>
      </c>
      <c r="L77" s="64">
        <f t="shared" si="18"/>
        <v>4547</v>
      </c>
      <c r="M77" s="64">
        <f t="shared" si="18"/>
        <v>0</v>
      </c>
      <c r="N77" s="64">
        <f t="shared" si="18"/>
        <v>0</v>
      </c>
      <c r="O77" s="64">
        <f t="shared" si="18"/>
        <v>0</v>
      </c>
      <c r="P77" s="64">
        <f t="shared" si="18"/>
        <v>0</v>
      </c>
    </row>
    <row r="78" spans="1:17" x14ac:dyDescent="0.35">
      <c r="A78" s="41">
        <f>Dashboard!A81</f>
        <v>1</v>
      </c>
      <c r="B78" s="41" t="str">
        <f>Dashboard!B81</f>
        <v>HELLSGATE- ACTIVE WATER</v>
      </c>
      <c r="C78" s="41" t="str">
        <f>Dashboard!C81</f>
        <v>No.</v>
      </c>
      <c r="D78" s="41">
        <v>1390</v>
      </c>
      <c r="E78" s="79">
        <v>1600</v>
      </c>
      <c r="F78" s="79">
        <v>1622</v>
      </c>
      <c r="G78" s="50">
        <v>1633</v>
      </c>
      <c r="H78" s="79">
        <v>1658</v>
      </c>
      <c r="I78" s="79">
        <v>1670</v>
      </c>
      <c r="J78" s="50">
        <v>1683</v>
      </c>
      <c r="K78" s="79">
        <v>1696</v>
      </c>
      <c r="L78" s="79">
        <v>1719</v>
      </c>
      <c r="M78" s="79"/>
      <c r="N78" s="79"/>
      <c r="O78" s="50"/>
      <c r="P78" s="63"/>
    </row>
    <row r="79" spans="1:17" x14ac:dyDescent="0.35">
      <c r="A79" s="41">
        <f>Dashboard!A82</f>
        <v>2</v>
      </c>
      <c r="B79" s="41" t="str">
        <f>Dashboard!B82</f>
        <v>KAMERE- ACTIVE WATER</v>
      </c>
      <c r="C79" s="41" t="str">
        <f>Dashboard!C82</f>
        <v>No.</v>
      </c>
      <c r="D79" s="41">
        <v>243</v>
      </c>
      <c r="E79" s="79">
        <v>264</v>
      </c>
      <c r="F79" s="79">
        <v>267</v>
      </c>
      <c r="G79" s="50">
        <v>269</v>
      </c>
      <c r="H79" s="79">
        <v>269</v>
      </c>
      <c r="I79" s="79">
        <v>271</v>
      </c>
      <c r="J79" s="50">
        <v>286</v>
      </c>
      <c r="K79" s="79">
        <v>292</v>
      </c>
      <c r="L79" s="79">
        <v>296</v>
      </c>
      <c r="M79" s="79"/>
      <c r="N79" s="79"/>
      <c r="O79" s="50"/>
      <c r="P79" s="63"/>
    </row>
    <row r="80" spans="1:17" x14ac:dyDescent="0.35">
      <c r="A80" s="41">
        <f>Dashboard!A83</f>
        <v>3</v>
      </c>
      <c r="B80" s="41" t="str">
        <f>Dashboard!B83</f>
        <v>MAI-MAHIU- ACTIVE WATER</v>
      </c>
      <c r="C80" s="41" t="str">
        <f>Dashboard!C83</f>
        <v>No.</v>
      </c>
      <c r="D80" s="41">
        <v>682</v>
      </c>
      <c r="E80" s="79">
        <v>735</v>
      </c>
      <c r="F80" s="79">
        <v>755</v>
      </c>
      <c r="G80" s="50">
        <v>798</v>
      </c>
      <c r="H80" s="79">
        <v>843</v>
      </c>
      <c r="I80" s="79">
        <v>874</v>
      </c>
      <c r="J80" s="50">
        <v>928</v>
      </c>
      <c r="K80" s="79">
        <v>955</v>
      </c>
      <c r="L80" s="79">
        <v>985</v>
      </c>
      <c r="M80" s="79"/>
      <c r="N80" s="79"/>
      <c r="O80" s="50"/>
      <c r="P80" s="63"/>
    </row>
    <row r="81" spans="1:16" x14ac:dyDescent="0.35">
      <c r="A81" s="41">
        <f>Dashboard!A84</f>
        <v>4</v>
      </c>
      <c r="B81" s="41" t="str">
        <f>Dashboard!B84</f>
        <v>LONGONOT- ACTIVE WATER</v>
      </c>
      <c r="C81" s="41" t="str">
        <f>Dashboard!C84</f>
        <v>No.</v>
      </c>
      <c r="D81" s="41">
        <v>682</v>
      </c>
      <c r="E81" s="79">
        <v>530</v>
      </c>
      <c r="F81" s="79">
        <v>546</v>
      </c>
      <c r="G81" s="50">
        <v>564</v>
      </c>
      <c r="H81" s="79">
        <v>577</v>
      </c>
      <c r="I81" s="79">
        <v>589</v>
      </c>
      <c r="J81" s="50">
        <v>594</v>
      </c>
      <c r="K81" s="79">
        <v>599</v>
      </c>
      <c r="L81" s="79">
        <v>605</v>
      </c>
      <c r="M81" s="79"/>
      <c r="N81" s="79"/>
      <c r="O81" s="50"/>
      <c r="P81" s="63"/>
    </row>
    <row r="82" spans="1:16" s="40" customFormat="1" x14ac:dyDescent="0.35">
      <c r="A82" s="40">
        <f>Dashboard!A85</f>
        <v>0</v>
      </c>
      <c r="B82" s="40" t="str">
        <f>Dashboard!B85</f>
        <v>TOTAL ACTIVE WATER CONNECTION SOUTHERN REGION</v>
      </c>
      <c r="C82" s="40" t="str">
        <f>Dashboard!C85</f>
        <v>No.</v>
      </c>
      <c r="D82" s="40">
        <v>2315</v>
      </c>
      <c r="E82" s="64">
        <f>SUM(E78:E81)</f>
        <v>3129</v>
      </c>
      <c r="F82" s="64">
        <f t="shared" ref="F82:P82" si="19">SUM(F78:F81)</f>
        <v>3190</v>
      </c>
      <c r="G82" s="64">
        <f t="shared" si="19"/>
        <v>3264</v>
      </c>
      <c r="H82" s="64">
        <f t="shared" si="19"/>
        <v>3347</v>
      </c>
      <c r="I82" s="64">
        <f t="shared" si="19"/>
        <v>3404</v>
      </c>
      <c r="J82" s="64">
        <f t="shared" si="19"/>
        <v>3491</v>
      </c>
      <c r="K82" s="64">
        <f t="shared" si="19"/>
        <v>3542</v>
      </c>
      <c r="L82" s="64">
        <f t="shared" si="19"/>
        <v>3605</v>
      </c>
      <c r="M82" s="64">
        <f t="shared" si="19"/>
        <v>0</v>
      </c>
      <c r="N82" s="64">
        <f t="shared" si="19"/>
        <v>0</v>
      </c>
      <c r="O82" s="64">
        <f t="shared" si="19"/>
        <v>0</v>
      </c>
      <c r="P82" s="64">
        <f t="shared" si="19"/>
        <v>0</v>
      </c>
    </row>
    <row r="83" spans="1:16" x14ac:dyDescent="0.35">
      <c r="A83" s="41">
        <f>Dashboard!A87</f>
        <v>1</v>
      </c>
      <c r="B83" s="41" t="str">
        <f>Dashboard!B87</f>
        <v>KAYOLE- ACTIVE WATER</v>
      </c>
      <c r="C83" s="41" t="str">
        <f>Dashboard!C87</f>
        <v>No.</v>
      </c>
      <c r="D83" s="41">
        <v>2294</v>
      </c>
      <c r="E83" s="79">
        <v>2715</v>
      </c>
      <c r="F83" s="79">
        <v>2750</v>
      </c>
      <c r="G83" s="50">
        <v>2794</v>
      </c>
      <c r="H83" s="79">
        <v>2818</v>
      </c>
      <c r="I83" s="79">
        <v>2835</v>
      </c>
      <c r="J83" s="50">
        <v>2865</v>
      </c>
      <c r="K83" s="79">
        <v>2894</v>
      </c>
      <c r="L83" s="79">
        <v>2926</v>
      </c>
      <c r="M83" s="50"/>
      <c r="N83" s="63"/>
      <c r="O83" s="50"/>
      <c r="P83" s="63"/>
    </row>
    <row r="84" spans="1:16" x14ac:dyDescent="0.35">
      <c r="A84" s="41">
        <f>Dashboard!A88</f>
        <v>2</v>
      </c>
      <c r="B84" s="41" t="str">
        <f>Dashboard!B88</f>
        <v>IHINDU- ACTIVE WATER</v>
      </c>
      <c r="C84" s="41" t="str">
        <f>Dashboard!C88</f>
        <v>No.</v>
      </c>
      <c r="D84" s="41" t="str">
        <f>Dashboard!D88</f>
        <v>l</v>
      </c>
      <c r="E84" s="79">
        <v>13</v>
      </c>
      <c r="F84" s="79">
        <v>16</v>
      </c>
      <c r="G84" s="50">
        <v>16</v>
      </c>
      <c r="H84" s="50">
        <v>16</v>
      </c>
      <c r="I84" s="79">
        <v>16</v>
      </c>
      <c r="J84" s="50">
        <v>16</v>
      </c>
      <c r="K84" s="79">
        <v>17</v>
      </c>
      <c r="L84" s="79">
        <v>17</v>
      </c>
      <c r="M84" s="50"/>
      <c r="N84" s="63"/>
      <c r="O84" s="50"/>
      <c r="P84" s="63"/>
    </row>
    <row r="85" spans="1:16" x14ac:dyDescent="0.35">
      <c r="A85" s="41">
        <f>Dashboard!A89</f>
        <v>0</v>
      </c>
      <c r="B85" s="41" t="str">
        <f>Dashboard!B89</f>
        <v>TOTAL ACTIVE WATER CONNECTION EASTERN REGION</v>
      </c>
      <c r="C85" s="41" t="str">
        <f>Dashboard!C89</f>
        <v>No.</v>
      </c>
      <c r="D85" s="41" t="str">
        <f>Dashboard!D89</f>
        <v>l</v>
      </c>
      <c r="E85" s="65">
        <f>E83+E84</f>
        <v>2728</v>
      </c>
      <c r="F85" s="65">
        <f t="shared" ref="F85:P85" si="20">F83+F84</f>
        <v>2766</v>
      </c>
      <c r="G85" s="65">
        <f t="shared" si="20"/>
        <v>2810</v>
      </c>
      <c r="H85" s="65">
        <f t="shared" si="20"/>
        <v>2834</v>
      </c>
      <c r="I85" s="65">
        <f t="shared" si="20"/>
        <v>2851</v>
      </c>
      <c r="J85" s="65">
        <f t="shared" si="20"/>
        <v>2881</v>
      </c>
      <c r="K85" s="65">
        <f t="shared" si="20"/>
        <v>2911</v>
      </c>
      <c r="L85" s="65">
        <f t="shared" si="20"/>
        <v>2943</v>
      </c>
      <c r="M85" s="65">
        <f t="shared" si="20"/>
        <v>0</v>
      </c>
      <c r="N85" s="65">
        <f t="shared" si="20"/>
        <v>0</v>
      </c>
      <c r="O85" s="65">
        <f t="shared" si="20"/>
        <v>0</v>
      </c>
      <c r="P85" s="65">
        <f t="shared" si="20"/>
        <v>0</v>
      </c>
    </row>
    <row r="86" spans="1:16" x14ac:dyDescent="0.35">
      <c r="A86" s="41" t="str">
        <f>Dashboard!A90</f>
        <v>TOTAL ACTIVE CONNECTIONS-SEWER</v>
      </c>
      <c r="E86" s="50"/>
      <c r="F86" s="50"/>
      <c r="G86" s="50"/>
      <c r="H86" s="50"/>
      <c r="I86" s="50"/>
      <c r="J86" s="50"/>
      <c r="K86" s="50"/>
      <c r="L86" s="50"/>
      <c r="M86" s="50"/>
      <c r="N86" s="63"/>
      <c r="O86" s="50"/>
      <c r="P86" s="63"/>
    </row>
    <row r="87" spans="1:16" s="40" customFormat="1" x14ac:dyDescent="0.35">
      <c r="A87" s="40" t="str">
        <f>Dashboard!A90</f>
        <v>TOTAL ACTIVE CONNECTIONS-SEWER</v>
      </c>
      <c r="E87" s="65"/>
      <c r="F87" s="65"/>
      <c r="G87" s="65"/>
      <c r="H87" s="65"/>
      <c r="I87" s="65"/>
      <c r="J87" s="65"/>
      <c r="K87" s="65"/>
      <c r="L87" s="65"/>
      <c r="M87" s="65"/>
      <c r="N87" s="65"/>
      <c r="O87" s="65"/>
      <c r="P87" s="65"/>
    </row>
    <row r="88" spans="1:16" x14ac:dyDescent="0.35">
      <c r="A88" s="41">
        <f>Dashboard!A91</f>
        <v>1</v>
      </c>
      <c r="B88" s="41" t="str">
        <f>Dashboard!B91</f>
        <v>CBD- ACTIVE SEWER</v>
      </c>
      <c r="C88" s="41" t="str">
        <f>Dashboard!C91</f>
        <v>No.</v>
      </c>
      <c r="D88" s="41">
        <v>352</v>
      </c>
      <c r="E88" s="79">
        <v>387</v>
      </c>
      <c r="F88" s="79">
        <v>388</v>
      </c>
      <c r="G88" s="50">
        <v>389</v>
      </c>
      <c r="H88" s="79">
        <v>388</v>
      </c>
      <c r="I88" s="79">
        <v>388</v>
      </c>
      <c r="J88" s="50">
        <v>389</v>
      </c>
      <c r="K88" s="79">
        <v>389</v>
      </c>
      <c r="L88" s="79">
        <v>389</v>
      </c>
      <c r="M88" s="79"/>
      <c r="N88" s="79"/>
      <c r="O88" s="50"/>
      <c r="P88" s="63"/>
    </row>
    <row r="89" spans="1:16" x14ac:dyDescent="0.35">
      <c r="A89" s="41">
        <f>Dashboard!A92</f>
        <v>2</v>
      </c>
      <c r="B89" s="41" t="str">
        <f>Dashboard!B92</f>
        <v>CCCR- ACTIVE SEWER</v>
      </c>
      <c r="C89" s="41" t="str">
        <f>Dashboard!C92</f>
        <v>No.</v>
      </c>
      <c r="D89" s="41">
        <v>297</v>
      </c>
      <c r="E89" s="79">
        <v>390</v>
      </c>
      <c r="F89" s="79">
        <v>392</v>
      </c>
      <c r="G89" s="50">
        <v>392</v>
      </c>
      <c r="H89" s="79">
        <v>391</v>
      </c>
      <c r="I89" s="79">
        <v>392</v>
      </c>
      <c r="J89" s="50">
        <v>392</v>
      </c>
      <c r="K89" s="79">
        <v>392</v>
      </c>
      <c r="L89" s="79">
        <v>392</v>
      </c>
      <c r="M89" s="79"/>
      <c r="N89" s="79"/>
      <c r="O89" s="365"/>
      <c r="P89" s="63"/>
    </row>
    <row r="90" spans="1:16" x14ac:dyDescent="0.35">
      <c r="A90" s="41">
        <f>Dashboard!A93</f>
        <v>3</v>
      </c>
      <c r="B90" s="41" t="str">
        <f>Dashboard!B93</f>
        <v>KABATI- ACTIVE SEWER</v>
      </c>
      <c r="C90" s="41" t="str">
        <f>Dashboard!C93</f>
        <v>No.</v>
      </c>
      <c r="D90" s="41">
        <v>272</v>
      </c>
      <c r="E90" s="79">
        <v>328</v>
      </c>
      <c r="F90" s="79">
        <v>330</v>
      </c>
      <c r="G90" s="50">
        <v>329</v>
      </c>
      <c r="H90" s="79">
        <v>329</v>
      </c>
      <c r="I90" s="79">
        <v>328</v>
      </c>
      <c r="J90" s="50">
        <v>328</v>
      </c>
      <c r="K90" s="79">
        <v>330</v>
      </c>
      <c r="L90" s="79">
        <v>330</v>
      </c>
      <c r="M90" s="79"/>
      <c r="N90" s="79"/>
      <c r="O90" s="50"/>
      <c r="P90" s="63"/>
    </row>
    <row r="91" spans="1:16" x14ac:dyDescent="0.35">
      <c r="A91" s="41">
        <f>Dashboard!A94</f>
        <v>4</v>
      </c>
      <c r="B91" s="41" t="str">
        <f>Dashboard!B94</f>
        <v>SITE- ACTIVE SEWER</v>
      </c>
      <c r="C91" s="41" t="str">
        <f>Dashboard!C94</f>
        <v>No.</v>
      </c>
      <c r="D91" s="41">
        <v>441</v>
      </c>
      <c r="E91" s="79">
        <v>518</v>
      </c>
      <c r="F91" s="76">
        <v>518</v>
      </c>
      <c r="G91" s="50">
        <v>518</v>
      </c>
      <c r="H91" s="79">
        <v>517</v>
      </c>
      <c r="I91" s="79">
        <v>517</v>
      </c>
      <c r="J91" s="50">
        <v>517</v>
      </c>
      <c r="K91" s="79">
        <v>518</v>
      </c>
      <c r="L91" s="79">
        <v>518</v>
      </c>
      <c r="M91" s="79"/>
      <c r="N91" s="79"/>
      <c r="O91" s="50"/>
      <c r="P91" s="63"/>
    </row>
    <row r="92" spans="1:16" x14ac:dyDescent="0.35">
      <c r="A92" s="41">
        <f>Dashboard!A95</f>
        <v>5</v>
      </c>
      <c r="B92" s="41" t="str">
        <f>Dashboard!B95</f>
        <v>KIHOTO- ACTIVE SEWER</v>
      </c>
      <c r="C92" s="41" t="str">
        <f>Dashboard!C95</f>
        <v>No.</v>
      </c>
      <c r="D92" s="41">
        <v>0</v>
      </c>
      <c r="E92" s="50">
        <v>0</v>
      </c>
      <c r="F92" s="50">
        <v>0</v>
      </c>
      <c r="G92" s="50">
        <v>0</v>
      </c>
      <c r="H92" s="50">
        <v>0</v>
      </c>
      <c r="I92" s="50">
        <v>0</v>
      </c>
      <c r="J92" s="50">
        <v>0</v>
      </c>
      <c r="K92" s="50">
        <v>0</v>
      </c>
      <c r="L92" s="50">
        <v>0</v>
      </c>
      <c r="M92" s="50"/>
      <c r="N92" s="63"/>
      <c r="O92" s="50"/>
      <c r="P92" s="63"/>
    </row>
    <row r="93" spans="1:16" x14ac:dyDescent="0.35">
      <c r="A93" s="41">
        <f>Dashboard!A96</f>
        <v>6</v>
      </c>
      <c r="B93" s="41" t="str">
        <f>Dashboard!B96</f>
        <v>LAKEVIEW- ACTIVE SEWER</v>
      </c>
      <c r="C93" s="41" t="str">
        <f>Dashboard!C96</f>
        <v>No.</v>
      </c>
      <c r="D93" s="41">
        <v>138</v>
      </c>
      <c r="E93" s="79">
        <v>155</v>
      </c>
      <c r="F93" s="79">
        <v>155</v>
      </c>
      <c r="G93" s="50">
        <v>155</v>
      </c>
      <c r="H93" s="50">
        <v>154</v>
      </c>
      <c r="I93" s="79">
        <v>155</v>
      </c>
      <c r="J93" s="50">
        <v>158</v>
      </c>
      <c r="K93" s="79">
        <v>159</v>
      </c>
      <c r="L93" s="79">
        <v>159</v>
      </c>
      <c r="M93" s="79"/>
      <c r="N93" s="79"/>
      <c r="O93" s="50"/>
      <c r="P93" s="63"/>
    </row>
    <row r="94" spans="1:16" x14ac:dyDescent="0.35">
      <c r="A94" s="41">
        <f>Dashboard!A97</f>
        <v>7</v>
      </c>
      <c r="B94" s="41" t="str">
        <f>Dashboard!B97</f>
        <v>HOPEWELL- ACTIVE SEWER</v>
      </c>
      <c r="C94" s="41" t="str">
        <f>Dashboard!C97</f>
        <v>No.</v>
      </c>
      <c r="D94" s="41" t="str">
        <f>Dashboard!D97</f>
        <v>l</v>
      </c>
      <c r="E94" s="79">
        <v>2</v>
      </c>
      <c r="F94" s="50">
        <v>2</v>
      </c>
      <c r="G94" s="50">
        <v>2</v>
      </c>
      <c r="H94" s="50">
        <v>2</v>
      </c>
      <c r="I94" s="79">
        <v>2</v>
      </c>
      <c r="J94" s="50">
        <v>2</v>
      </c>
      <c r="K94" s="50">
        <v>2</v>
      </c>
      <c r="L94" s="79">
        <v>2</v>
      </c>
      <c r="M94" s="79"/>
      <c r="N94" s="63"/>
      <c r="O94" s="50"/>
      <c r="P94" s="63"/>
    </row>
    <row r="95" spans="1:16" s="40" customFormat="1" x14ac:dyDescent="0.35">
      <c r="A95" s="40">
        <f>Dashboard!A98</f>
        <v>0</v>
      </c>
      <c r="B95" s="40" t="str">
        <f>Dashboard!B98</f>
        <v>TOTAL ACTIVE SEWER CONNECTION CENTRAL REGION</v>
      </c>
      <c r="C95" s="40" t="str">
        <f>Dashboard!C98</f>
        <v>No.</v>
      </c>
      <c r="D95" s="40">
        <v>1500</v>
      </c>
      <c r="E95" s="64">
        <f t="shared" ref="E95:P95" si="21">SUM(E88:E94)</f>
        <v>1780</v>
      </c>
      <c r="F95" s="64">
        <f t="shared" si="21"/>
        <v>1785</v>
      </c>
      <c r="G95" s="64">
        <f t="shared" si="21"/>
        <v>1785</v>
      </c>
      <c r="H95" s="64">
        <f t="shared" si="21"/>
        <v>1781</v>
      </c>
      <c r="I95" s="64">
        <f t="shared" si="21"/>
        <v>1782</v>
      </c>
      <c r="J95" s="64">
        <f t="shared" si="21"/>
        <v>1786</v>
      </c>
      <c r="K95" s="64">
        <f t="shared" si="21"/>
        <v>1790</v>
      </c>
      <c r="L95" s="64">
        <f t="shared" si="21"/>
        <v>1790</v>
      </c>
      <c r="M95" s="64">
        <f t="shared" si="21"/>
        <v>0</v>
      </c>
      <c r="N95" s="64">
        <f t="shared" si="21"/>
        <v>0</v>
      </c>
      <c r="O95" s="64">
        <f t="shared" si="21"/>
        <v>0</v>
      </c>
      <c r="P95" s="64">
        <f t="shared" si="21"/>
        <v>0</v>
      </c>
    </row>
    <row r="96" spans="1:16" x14ac:dyDescent="0.35">
      <c r="A96" s="41">
        <f>Dashboard!A99</f>
        <v>1</v>
      </c>
      <c r="B96" s="41" t="str">
        <f>Dashboard!B99</f>
        <v>HELLSGATE- ACTIVE SEWER</v>
      </c>
      <c r="C96" s="41" t="str">
        <f>Dashboard!C99</f>
        <v>No.</v>
      </c>
      <c r="E96" s="50">
        <v>0</v>
      </c>
      <c r="F96" s="50">
        <v>0</v>
      </c>
      <c r="G96" s="50">
        <v>0</v>
      </c>
      <c r="H96" s="50">
        <v>0</v>
      </c>
      <c r="I96" s="50">
        <v>0</v>
      </c>
      <c r="J96" s="50">
        <v>0</v>
      </c>
      <c r="K96" s="50">
        <v>0</v>
      </c>
      <c r="L96" s="50">
        <v>0</v>
      </c>
      <c r="M96" s="50">
        <v>0</v>
      </c>
      <c r="N96" s="63">
        <v>0</v>
      </c>
      <c r="O96" s="50">
        <v>0</v>
      </c>
      <c r="P96" s="63">
        <v>0</v>
      </c>
    </row>
    <row r="97" spans="1:17" x14ac:dyDescent="0.35">
      <c r="A97" s="41">
        <f>Dashboard!A100</f>
        <v>2</v>
      </c>
      <c r="B97" s="41" t="str">
        <f>Dashboard!B100</f>
        <v>KAMERE- ACTIVE SEWER</v>
      </c>
      <c r="C97" s="41" t="str">
        <f>Dashboard!C100</f>
        <v>No.</v>
      </c>
      <c r="E97" s="50">
        <v>0</v>
      </c>
      <c r="F97" s="50">
        <v>0</v>
      </c>
      <c r="G97" s="50">
        <v>0</v>
      </c>
      <c r="H97" s="50">
        <v>0</v>
      </c>
      <c r="I97" s="50">
        <v>0</v>
      </c>
      <c r="J97" s="50">
        <v>0</v>
      </c>
      <c r="K97" s="50">
        <v>0</v>
      </c>
      <c r="L97" s="50">
        <v>0</v>
      </c>
      <c r="M97" s="50">
        <v>0</v>
      </c>
      <c r="N97" s="63">
        <v>0</v>
      </c>
      <c r="O97" s="50">
        <v>0</v>
      </c>
      <c r="P97" s="63">
        <v>0</v>
      </c>
    </row>
    <row r="98" spans="1:17" x14ac:dyDescent="0.35">
      <c r="A98" s="41">
        <f>Dashboard!A101</f>
        <v>3</v>
      </c>
      <c r="B98" s="41" t="str">
        <f>Dashboard!B101</f>
        <v>MAI-MAHIU- ACTIVE SEWER</v>
      </c>
      <c r="C98" s="41" t="str">
        <f>Dashboard!C101</f>
        <v>No.</v>
      </c>
      <c r="E98" s="50">
        <v>0</v>
      </c>
      <c r="F98" s="50">
        <v>0</v>
      </c>
      <c r="G98" s="50">
        <v>0</v>
      </c>
      <c r="H98" s="50">
        <v>0</v>
      </c>
      <c r="I98" s="50">
        <v>0</v>
      </c>
      <c r="J98" s="50">
        <v>0</v>
      </c>
      <c r="K98" s="50">
        <v>0</v>
      </c>
      <c r="L98" s="50">
        <v>0</v>
      </c>
      <c r="M98" s="50">
        <v>0</v>
      </c>
      <c r="N98" s="63">
        <v>0</v>
      </c>
      <c r="O98" s="50">
        <v>0</v>
      </c>
      <c r="P98" s="63">
        <v>0</v>
      </c>
    </row>
    <row r="99" spans="1:17" x14ac:dyDescent="0.35">
      <c r="A99" s="41">
        <f>Dashboard!A102</f>
        <v>0</v>
      </c>
      <c r="B99" s="41" t="str">
        <f>Dashboard!B102</f>
        <v>TOTAL ACTIVE SEWER CONNECTION SOUTHERN REGION</v>
      </c>
      <c r="C99" s="41" t="str">
        <f>Dashboard!C102</f>
        <v>No.</v>
      </c>
      <c r="D99" s="41">
        <v>0</v>
      </c>
      <c r="E99" s="51">
        <f>SUM(E96:E98)</f>
        <v>0</v>
      </c>
      <c r="F99" s="51">
        <f>SUM(F96:F98)</f>
        <v>0</v>
      </c>
      <c r="G99" s="51">
        <f t="shared" ref="G99:P99" si="22">SUM(G96:G98)</f>
        <v>0</v>
      </c>
      <c r="H99" s="51">
        <f t="shared" si="22"/>
        <v>0</v>
      </c>
      <c r="I99" s="51">
        <f t="shared" si="22"/>
        <v>0</v>
      </c>
      <c r="J99" s="51">
        <f t="shared" si="22"/>
        <v>0</v>
      </c>
      <c r="K99" s="51">
        <f t="shared" si="22"/>
        <v>0</v>
      </c>
      <c r="L99" s="51">
        <f t="shared" si="22"/>
        <v>0</v>
      </c>
      <c r="M99" s="51">
        <f t="shared" si="22"/>
        <v>0</v>
      </c>
      <c r="N99" s="83">
        <f t="shared" si="22"/>
        <v>0</v>
      </c>
      <c r="O99" s="51">
        <f t="shared" si="22"/>
        <v>0</v>
      </c>
      <c r="P99" s="83">
        <f t="shared" si="22"/>
        <v>0</v>
      </c>
    </row>
    <row r="100" spans="1:17" x14ac:dyDescent="0.35">
      <c r="A100" s="41">
        <f>Dashboard!A104</f>
        <v>1</v>
      </c>
      <c r="B100" s="41" t="str">
        <f>Dashboard!B104</f>
        <v>KAYOLE- ACTIVE SEWER</v>
      </c>
      <c r="C100" s="41" t="str">
        <f>Dashboard!C104</f>
        <v>No.</v>
      </c>
      <c r="D100" s="41">
        <v>20</v>
      </c>
      <c r="E100" s="79">
        <v>50</v>
      </c>
      <c r="F100" s="79">
        <v>52</v>
      </c>
      <c r="G100" s="50">
        <v>54</v>
      </c>
      <c r="H100" s="50">
        <v>54</v>
      </c>
      <c r="I100" s="79">
        <v>54</v>
      </c>
      <c r="J100" s="50">
        <v>59</v>
      </c>
      <c r="K100" s="79">
        <v>61</v>
      </c>
      <c r="L100" s="79">
        <v>61</v>
      </c>
      <c r="M100" s="79"/>
      <c r="N100" s="79"/>
      <c r="O100" s="50"/>
      <c r="P100" s="63"/>
    </row>
    <row r="101" spans="1:17" s="40" customFormat="1" x14ac:dyDescent="0.35">
      <c r="A101" s="40" t="str">
        <f>Dashboard!A105</f>
        <v>SUMMARY CONNECTIONS</v>
      </c>
      <c r="E101" s="65">
        <f>E65+E60+E66</f>
        <v>0</v>
      </c>
      <c r="F101" s="65"/>
      <c r="G101" s="65">
        <f t="shared" ref="G101:P101" si="23">G65+G60+G66</f>
        <v>0</v>
      </c>
      <c r="H101" s="65">
        <f t="shared" si="23"/>
        <v>0</v>
      </c>
      <c r="I101" s="65">
        <f t="shared" si="23"/>
        <v>0</v>
      </c>
      <c r="J101" s="65">
        <f t="shared" si="23"/>
        <v>0</v>
      </c>
      <c r="K101" s="65">
        <f t="shared" si="23"/>
        <v>0</v>
      </c>
      <c r="L101" s="65">
        <f t="shared" si="23"/>
        <v>0</v>
      </c>
      <c r="M101" s="65">
        <f t="shared" si="23"/>
        <v>0</v>
      </c>
      <c r="N101" s="65">
        <f t="shared" si="23"/>
        <v>0</v>
      </c>
      <c r="O101" s="65">
        <f t="shared" si="23"/>
        <v>0</v>
      </c>
      <c r="P101" s="65">
        <f t="shared" si="23"/>
        <v>0</v>
      </c>
    </row>
    <row r="102" spans="1:17" x14ac:dyDescent="0.35">
      <c r="A102" s="41">
        <f>Dashboard!A106</f>
        <v>1</v>
      </c>
      <c r="B102" s="41" t="str">
        <f>Dashboard!B106</f>
        <v>TOTAL WATER CONNECTIONS</v>
      </c>
      <c r="C102" s="41" t="str">
        <f>Dashboard!C106</f>
        <v>No.</v>
      </c>
      <c r="D102" s="41">
        <v>10602</v>
      </c>
      <c r="E102" s="53">
        <f>E54+E51+E46</f>
        <v>12317</v>
      </c>
      <c r="F102" s="53">
        <f t="shared" ref="F102:P102" si="24">F54+F51+F46</f>
        <v>12467</v>
      </c>
      <c r="G102" s="53">
        <f t="shared" si="24"/>
        <v>12595</v>
      </c>
      <c r="H102" s="53">
        <f t="shared" si="24"/>
        <v>12736</v>
      </c>
      <c r="I102" s="53">
        <f t="shared" si="24"/>
        <v>12830</v>
      </c>
      <c r="J102" s="53">
        <f t="shared" si="24"/>
        <v>12956</v>
      </c>
      <c r="K102" s="53">
        <f t="shared" si="24"/>
        <v>13106</v>
      </c>
      <c r="L102" s="53">
        <f t="shared" si="24"/>
        <v>13179</v>
      </c>
      <c r="M102" s="53">
        <f t="shared" si="24"/>
        <v>0</v>
      </c>
      <c r="N102" s="53">
        <f t="shared" si="24"/>
        <v>0</v>
      </c>
      <c r="O102" s="53">
        <f t="shared" si="24"/>
        <v>0</v>
      </c>
      <c r="P102" s="53">
        <f t="shared" si="24"/>
        <v>0</v>
      </c>
    </row>
    <row r="103" spans="1:17" x14ac:dyDescent="0.35">
      <c r="A103" s="41">
        <f>Dashboard!A107</f>
        <v>2</v>
      </c>
      <c r="B103" s="41" t="str">
        <f>Dashboard!B107</f>
        <v xml:space="preserve">TOTAL SEWER CONNECTIONS </v>
      </c>
      <c r="C103" s="41" t="str">
        <f>Dashboard!C107</f>
        <v>No.</v>
      </c>
      <c r="D103" s="41">
        <v>1840</v>
      </c>
      <c r="E103" s="53">
        <f>E68+E63+E67</f>
        <v>2153</v>
      </c>
      <c r="F103" s="53">
        <f>F68+F63+F67</f>
        <v>2161</v>
      </c>
      <c r="G103" s="53">
        <f>G68+G63+G67</f>
        <v>2163</v>
      </c>
      <c r="H103" s="53">
        <f>H68+H63+H67</f>
        <v>2161</v>
      </c>
      <c r="I103" s="53">
        <f t="shared" ref="I103:P103" si="25">I68+I63+I67</f>
        <v>2163</v>
      </c>
      <c r="J103" s="53">
        <f t="shared" si="25"/>
        <v>2170</v>
      </c>
      <c r="K103" s="53">
        <f t="shared" si="25"/>
        <v>2175</v>
      </c>
      <c r="L103" s="53">
        <f t="shared" si="25"/>
        <v>2176</v>
      </c>
      <c r="M103" s="53">
        <f>M68+M63+M67</f>
        <v>0</v>
      </c>
      <c r="N103" s="81">
        <f t="shared" si="25"/>
        <v>0</v>
      </c>
      <c r="O103" s="53">
        <f t="shared" si="25"/>
        <v>0</v>
      </c>
      <c r="P103" s="81">
        <f t="shared" si="25"/>
        <v>0</v>
      </c>
    </row>
    <row r="104" spans="1:17" x14ac:dyDescent="0.35">
      <c r="A104" s="41">
        <f>Dashboard!A108</f>
        <v>3</v>
      </c>
      <c r="B104" s="41" t="str">
        <f>Dashboard!B108</f>
        <v>TOTAL ACTIVE WATER CONNECTIONS</v>
      </c>
      <c r="C104" s="41" t="str">
        <f>Dashboard!C108</f>
        <v>No.</v>
      </c>
      <c r="D104" s="41">
        <v>8744</v>
      </c>
      <c r="E104" s="53">
        <f>E85+E82+E77</f>
        <v>10307</v>
      </c>
      <c r="F104" s="53">
        <f t="shared" ref="F104:P104" si="26">F85+F82+F77</f>
        <v>10417</v>
      </c>
      <c r="G104" s="53">
        <f t="shared" si="26"/>
        <v>10547</v>
      </c>
      <c r="H104" s="53">
        <f t="shared" si="26"/>
        <v>10660</v>
      </c>
      <c r="I104" s="53">
        <f t="shared" si="26"/>
        <v>10743</v>
      </c>
      <c r="J104" s="53">
        <f t="shared" si="26"/>
        <v>10863</v>
      </c>
      <c r="K104" s="53">
        <f t="shared" si="26"/>
        <v>10982</v>
      </c>
      <c r="L104" s="53">
        <f t="shared" si="26"/>
        <v>11095</v>
      </c>
      <c r="M104" s="53">
        <f t="shared" si="26"/>
        <v>0</v>
      </c>
      <c r="N104" s="53">
        <f t="shared" si="26"/>
        <v>0</v>
      </c>
      <c r="O104" s="53">
        <f t="shared" si="26"/>
        <v>0</v>
      </c>
      <c r="P104" s="53">
        <f t="shared" si="26"/>
        <v>0</v>
      </c>
    </row>
    <row r="105" spans="1:17" x14ac:dyDescent="0.35">
      <c r="A105" s="41">
        <f>Dashboard!A109</f>
        <v>4</v>
      </c>
      <c r="B105" s="41" t="str">
        <f>Dashboard!B109</f>
        <v>TOTAL SEWER ACTIVE CONNECTIONS</v>
      </c>
      <c r="C105" s="41" t="str">
        <f>Dashboard!C109</f>
        <v>No.</v>
      </c>
      <c r="D105" s="41">
        <v>1520</v>
      </c>
      <c r="E105" s="53">
        <f>E95+E99+E100</f>
        <v>1830</v>
      </c>
      <c r="F105" s="53">
        <f>F95+F99+F100</f>
        <v>1837</v>
      </c>
      <c r="G105" s="53">
        <f>G95+G99+G100</f>
        <v>1839</v>
      </c>
      <c r="H105" s="53">
        <f t="shared" ref="H105:P105" si="27">H95+H99+H100</f>
        <v>1835</v>
      </c>
      <c r="I105" s="53">
        <f>I95+I99+I100</f>
        <v>1836</v>
      </c>
      <c r="J105" s="53">
        <f t="shared" si="27"/>
        <v>1845</v>
      </c>
      <c r="K105" s="53">
        <f t="shared" si="27"/>
        <v>1851</v>
      </c>
      <c r="L105" s="53">
        <f t="shared" si="27"/>
        <v>1851</v>
      </c>
      <c r="M105" s="53">
        <f t="shared" si="27"/>
        <v>0</v>
      </c>
      <c r="N105" s="81">
        <f t="shared" si="27"/>
        <v>0</v>
      </c>
      <c r="O105" s="53">
        <f>O95+O99+O100</f>
        <v>0</v>
      </c>
      <c r="P105" s="81">
        <f t="shared" si="27"/>
        <v>0</v>
      </c>
    </row>
    <row r="106" spans="1:17" x14ac:dyDescent="0.35">
      <c r="A106" s="41" t="str">
        <f>Dashboard!A110</f>
        <v>x</v>
      </c>
      <c r="B106" s="41" t="str">
        <f>Dashboard!B110</f>
        <v>TOTAL NEW CONNECTION WATER</v>
      </c>
      <c r="C106" s="41" t="str">
        <f>Dashboard!C110</f>
        <v>No.</v>
      </c>
      <c r="E106" s="53">
        <f>E13+E18+E21</f>
        <v>137</v>
      </c>
      <c r="F106" s="53">
        <f t="shared" ref="F106:P106" si="28">F13+F18+F21</f>
        <v>154</v>
      </c>
      <c r="G106" s="53">
        <f t="shared" si="28"/>
        <v>130</v>
      </c>
      <c r="H106" s="53">
        <f t="shared" si="28"/>
        <v>149</v>
      </c>
      <c r="I106" s="53">
        <f t="shared" si="28"/>
        <v>96</v>
      </c>
      <c r="J106" s="53">
        <f t="shared" si="28"/>
        <v>134</v>
      </c>
      <c r="K106" s="53">
        <f t="shared" si="28"/>
        <v>154</v>
      </c>
      <c r="L106" s="53">
        <f t="shared" si="28"/>
        <v>75</v>
      </c>
      <c r="M106" s="53">
        <f t="shared" si="28"/>
        <v>0</v>
      </c>
      <c r="N106" s="53">
        <f t="shared" si="28"/>
        <v>0</v>
      </c>
      <c r="O106" s="53">
        <f t="shared" si="28"/>
        <v>0</v>
      </c>
      <c r="P106" s="53">
        <f t="shared" si="28"/>
        <v>0</v>
      </c>
    </row>
    <row r="107" spans="1:17" x14ac:dyDescent="0.35">
      <c r="A107" s="41" t="str">
        <f>Dashboard!A111</f>
        <v>y</v>
      </c>
      <c r="B107" s="41" t="str">
        <f>Dashboard!B111</f>
        <v>TOTAL NEW CONNECTIONS SEWER</v>
      </c>
      <c r="C107" s="41" t="str">
        <f>Dashboard!C111</f>
        <v>No.</v>
      </c>
      <c r="E107" s="53">
        <f>E36+E35+E31</f>
        <v>0</v>
      </c>
      <c r="F107" s="53">
        <f t="shared" ref="F107:P107" si="29">F36+F35+F31</f>
        <v>4</v>
      </c>
      <c r="G107" s="53">
        <f t="shared" si="29"/>
        <v>4</v>
      </c>
      <c r="H107" s="53">
        <f t="shared" si="29"/>
        <v>3</v>
      </c>
      <c r="I107" s="53">
        <f t="shared" si="29"/>
        <v>5</v>
      </c>
      <c r="J107" s="53">
        <f t="shared" si="29"/>
        <v>0</v>
      </c>
      <c r="K107" s="53">
        <f t="shared" si="29"/>
        <v>4</v>
      </c>
      <c r="L107" s="53">
        <f t="shared" si="29"/>
        <v>5</v>
      </c>
      <c r="M107" s="53">
        <f t="shared" si="29"/>
        <v>0</v>
      </c>
      <c r="N107" s="53">
        <f t="shared" si="29"/>
        <v>0</v>
      </c>
      <c r="O107" s="53">
        <f t="shared" si="29"/>
        <v>0</v>
      </c>
      <c r="P107" s="53">
        <f t="shared" si="29"/>
        <v>0</v>
      </c>
    </row>
    <row r="108" spans="1:17" x14ac:dyDescent="0.35">
      <c r="A108" s="41">
        <f>Dashboard!A112</f>
        <v>5</v>
      </c>
      <c r="B108" s="41" t="str">
        <f>Dashboard!B112</f>
        <v>% ACTIVE CONNECTIONS</v>
      </c>
      <c r="C108" s="41" t="str">
        <f>Dashboard!C112</f>
        <v>No.</v>
      </c>
      <c r="D108" s="41">
        <v>0.82494775759524197</v>
      </c>
      <c r="E108" s="54">
        <f>SUM(E104:E105)/SUM(E102:E103)</f>
        <v>0.8387698686938494</v>
      </c>
      <c r="F108" s="54">
        <f>SUM(F104:F105)/SUM(F102:F103)</f>
        <v>0.83770850423844678</v>
      </c>
      <c r="G108" s="54">
        <f t="shared" ref="G108:P108" si="30">SUM(G104:G105)/SUM(G102:G103)</f>
        <v>0.83927361431088221</v>
      </c>
      <c r="H108" s="54">
        <f t="shared" si="30"/>
        <v>0.83875948177485404</v>
      </c>
      <c r="I108" s="54">
        <f t="shared" si="30"/>
        <v>0.83899152938037747</v>
      </c>
      <c r="J108" s="54">
        <f t="shared" si="30"/>
        <v>0.84014280047600154</v>
      </c>
      <c r="K108" s="54">
        <f t="shared" si="30"/>
        <v>0.83980106014004319</v>
      </c>
      <c r="L108" s="54">
        <f t="shared" si="30"/>
        <v>0.84311299251058291</v>
      </c>
      <c r="M108" s="54" t="e">
        <f t="shared" si="30"/>
        <v>#DIV/0!</v>
      </c>
      <c r="N108" s="84" t="e">
        <f t="shared" si="30"/>
        <v>#DIV/0!</v>
      </c>
      <c r="O108" s="54" t="e">
        <f t="shared" si="30"/>
        <v>#DIV/0!</v>
      </c>
      <c r="P108" s="84" t="e">
        <f t="shared" si="30"/>
        <v>#DIV/0!</v>
      </c>
    </row>
    <row r="109" spans="1:17" s="40" customFormat="1" x14ac:dyDescent="0.35">
      <c r="A109" s="40" t="str">
        <f>Dashboard!A113</f>
        <v>TOTAL BILLING IN M3 - WATER</v>
      </c>
    </row>
    <row r="110" spans="1:17" x14ac:dyDescent="0.35">
      <c r="A110" s="41">
        <f>Dashboard!A114</f>
        <v>1</v>
      </c>
      <c r="B110" s="41" t="str">
        <f>Dashboard!B114</f>
        <v>CBD - WATER(M3)</v>
      </c>
      <c r="C110" s="41" t="str">
        <f>Dashboard!C114</f>
        <v>M3</v>
      </c>
      <c r="E110" s="79">
        <v>12992</v>
      </c>
      <c r="F110" s="79">
        <v>17788</v>
      </c>
      <c r="G110" s="79">
        <v>16452</v>
      </c>
      <c r="H110" s="79">
        <v>16186</v>
      </c>
      <c r="I110" s="79">
        <v>13605</v>
      </c>
      <c r="J110" s="79">
        <v>12217</v>
      </c>
      <c r="K110" s="79">
        <v>20906</v>
      </c>
      <c r="L110" s="79">
        <v>15811</v>
      </c>
      <c r="M110" s="50"/>
      <c r="N110" s="79"/>
      <c r="O110" s="79"/>
      <c r="P110" s="79"/>
      <c r="Q110" s="53"/>
    </row>
    <row r="111" spans="1:17" x14ac:dyDescent="0.35">
      <c r="A111" s="41">
        <f>Dashboard!A115</f>
        <v>2</v>
      </c>
      <c r="B111" s="41" t="str">
        <f>Dashboard!B115</f>
        <v>CCCR - WATER(M3)</v>
      </c>
      <c r="C111" s="41" t="str">
        <f>Dashboard!C115</f>
        <v>M3</v>
      </c>
      <c r="E111" s="79">
        <v>15991</v>
      </c>
      <c r="F111" s="79">
        <v>15410</v>
      </c>
      <c r="G111" s="79">
        <v>13572</v>
      </c>
      <c r="H111" s="79">
        <v>16565</v>
      </c>
      <c r="I111" s="79">
        <v>15215</v>
      </c>
      <c r="J111" s="79">
        <v>12683</v>
      </c>
      <c r="K111" s="79">
        <v>20921</v>
      </c>
      <c r="L111" s="79">
        <v>17374</v>
      </c>
      <c r="M111" s="79"/>
      <c r="N111" s="79"/>
      <c r="O111" s="79"/>
      <c r="P111" s="79"/>
      <c r="Q111" s="53"/>
    </row>
    <row r="112" spans="1:17" x14ac:dyDescent="0.35">
      <c r="A112" s="41">
        <f>Dashboard!A116</f>
        <v>3</v>
      </c>
      <c r="B112" s="41" t="str">
        <f>Dashboard!B116</f>
        <v>KABATI - WATER(M3)</v>
      </c>
      <c r="C112" s="41" t="str">
        <f>Dashboard!C116</f>
        <v>M3</v>
      </c>
      <c r="E112" s="79">
        <v>10344</v>
      </c>
      <c r="F112" s="79">
        <v>12199</v>
      </c>
      <c r="G112" s="79">
        <v>12554</v>
      </c>
      <c r="H112" s="79">
        <v>12843</v>
      </c>
      <c r="I112" s="79">
        <v>10930</v>
      </c>
      <c r="J112" s="79">
        <v>9805</v>
      </c>
      <c r="K112" s="79">
        <v>16301</v>
      </c>
      <c r="L112" s="79">
        <v>12061</v>
      </c>
      <c r="M112" s="79"/>
      <c r="N112" s="79"/>
      <c r="O112" s="79"/>
      <c r="P112" s="79"/>
      <c r="Q112" s="53"/>
    </row>
    <row r="113" spans="1:18" x14ac:dyDescent="0.35">
      <c r="A113" s="41">
        <f>Dashboard!A117</f>
        <v>4</v>
      </c>
      <c r="B113" s="41" t="str">
        <f>Dashboard!B117</f>
        <v>SITE - WATER(M3)</v>
      </c>
      <c r="C113" s="41" t="str">
        <f>Dashboard!C117</f>
        <v>M3</v>
      </c>
      <c r="E113" s="79">
        <v>9053</v>
      </c>
      <c r="F113" s="79">
        <v>10669</v>
      </c>
      <c r="G113" s="79">
        <v>10732</v>
      </c>
      <c r="H113" s="79">
        <v>11020</v>
      </c>
      <c r="I113" s="79">
        <v>9629</v>
      </c>
      <c r="J113" s="79">
        <v>7701</v>
      </c>
      <c r="K113" s="79">
        <v>13327</v>
      </c>
      <c r="L113" s="79">
        <v>10175</v>
      </c>
      <c r="M113" s="79"/>
      <c r="N113" s="79"/>
      <c r="O113" s="79"/>
      <c r="P113" s="79"/>
      <c r="Q113" s="53"/>
    </row>
    <row r="114" spans="1:18" x14ac:dyDescent="0.35">
      <c r="A114" s="41">
        <f>Dashboard!A118</f>
        <v>5</v>
      </c>
      <c r="B114" s="41" t="str">
        <f>Dashboard!B118</f>
        <v>KIHOTO - WATER(M3)</v>
      </c>
      <c r="C114" s="41" t="str">
        <f>Dashboard!C118</f>
        <v>M3</v>
      </c>
      <c r="E114" s="79">
        <v>1822</v>
      </c>
      <c r="F114" s="79">
        <v>1673</v>
      </c>
      <c r="G114" s="79">
        <v>1626</v>
      </c>
      <c r="H114" s="79">
        <v>1739</v>
      </c>
      <c r="I114" s="79">
        <v>652</v>
      </c>
      <c r="J114" s="79">
        <v>1172</v>
      </c>
      <c r="K114" s="79">
        <v>1766</v>
      </c>
      <c r="L114" s="79">
        <v>1575</v>
      </c>
      <c r="M114" s="79"/>
      <c r="N114" s="79"/>
      <c r="O114" s="79"/>
      <c r="P114" s="79"/>
      <c r="Q114" s="53"/>
    </row>
    <row r="115" spans="1:18" x14ac:dyDescent="0.35">
      <c r="A115" s="41">
        <f>Dashboard!A119</f>
        <v>6</v>
      </c>
      <c r="B115" s="41" t="str">
        <f>Dashboard!B119</f>
        <v>LAKEVIEW - WATER(M3)</v>
      </c>
      <c r="C115" s="41" t="str">
        <f>Dashboard!C119</f>
        <v>M3</v>
      </c>
      <c r="E115" s="79">
        <v>16861</v>
      </c>
      <c r="F115" s="79">
        <v>20788</v>
      </c>
      <c r="G115" s="79">
        <v>19143</v>
      </c>
      <c r="H115" s="79">
        <v>21669</v>
      </c>
      <c r="I115" s="79">
        <v>16926</v>
      </c>
      <c r="J115" s="79">
        <v>14915</v>
      </c>
      <c r="K115" s="79">
        <v>26099</v>
      </c>
      <c r="L115" s="79">
        <v>21183</v>
      </c>
      <c r="M115" s="79"/>
      <c r="N115" s="79"/>
      <c r="O115" s="79"/>
      <c r="P115" s="79"/>
      <c r="Q115" s="53"/>
    </row>
    <row r="116" spans="1:18" x14ac:dyDescent="0.35">
      <c r="A116" s="41">
        <f>Dashboard!A120</f>
        <v>7</v>
      </c>
      <c r="B116" s="41" t="str">
        <f>Dashboard!B120</f>
        <v>HOPEWELL - WATER(M3)</v>
      </c>
      <c r="C116" s="41" t="str">
        <f>Dashboard!C120</f>
        <v>M3</v>
      </c>
      <c r="E116" s="79">
        <v>5299</v>
      </c>
      <c r="F116" s="79">
        <v>6062</v>
      </c>
      <c r="G116" s="79">
        <v>5511</v>
      </c>
      <c r="H116" s="79">
        <v>6280</v>
      </c>
      <c r="I116" s="79">
        <v>4988</v>
      </c>
      <c r="J116" s="79">
        <v>4740</v>
      </c>
      <c r="K116" s="79">
        <v>6578</v>
      </c>
      <c r="L116" s="79">
        <v>5420</v>
      </c>
      <c r="M116" s="79"/>
      <c r="N116" s="79"/>
      <c r="O116" s="79"/>
      <c r="P116" s="79"/>
      <c r="Q116" s="53"/>
    </row>
    <row r="117" spans="1:18" s="40" customFormat="1" x14ac:dyDescent="0.35">
      <c r="A117" s="40">
        <f>Dashboard!A121</f>
        <v>0</v>
      </c>
      <c r="B117" s="40" t="str">
        <f>Dashboard!B121</f>
        <v>TOTAL  - WATER(M3) CENTRAL REGION</v>
      </c>
      <c r="C117" s="40" t="str">
        <f>Dashboard!C121</f>
        <v>M3</v>
      </c>
      <c r="E117" s="64">
        <f t="shared" ref="E117:J117" si="31">SUM(E110:E116)</f>
        <v>72362</v>
      </c>
      <c r="F117" s="64">
        <f t="shared" si="31"/>
        <v>84589</v>
      </c>
      <c r="G117" s="64">
        <f t="shared" si="31"/>
        <v>79590</v>
      </c>
      <c r="H117" s="64">
        <f t="shared" si="31"/>
        <v>86302</v>
      </c>
      <c r="I117" s="64">
        <f t="shared" si="31"/>
        <v>71945</v>
      </c>
      <c r="J117" s="64">
        <f t="shared" si="31"/>
        <v>63233</v>
      </c>
      <c r="K117" s="64">
        <f t="shared" ref="K117:P117" si="32">SUM(K110:K116)</f>
        <v>105898</v>
      </c>
      <c r="L117" s="64">
        <f t="shared" si="32"/>
        <v>83599</v>
      </c>
      <c r="M117" s="64">
        <f t="shared" si="32"/>
        <v>0</v>
      </c>
      <c r="N117" s="64">
        <f t="shared" si="32"/>
        <v>0</v>
      </c>
      <c r="O117" s="64">
        <f t="shared" si="32"/>
        <v>0</v>
      </c>
      <c r="P117" s="64">
        <f t="shared" si="32"/>
        <v>0</v>
      </c>
      <c r="Q117" s="53"/>
    </row>
    <row r="118" spans="1:18" x14ac:dyDescent="0.35">
      <c r="A118" s="41">
        <f>Dashboard!A122</f>
        <v>1</v>
      </c>
      <c r="B118" s="41" t="str">
        <f>Dashboard!B122</f>
        <v>HELLSGATE - WATER(M3)</v>
      </c>
      <c r="C118" s="41" t="str">
        <f>Dashboard!C122</f>
        <v>M3</v>
      </c>
      <c r="E118" s="79">
        <v>21124</v>
      </c>
      <c r="F118" s="79">
        <v>28413</v>
      </c>
      <c r="G118" s="79">
        <v>21139</v>
      </c>
      <c r="H118" s="79">
        <v>27997</v>
      </c>
      <c r="I118" s="79">
        <v>19635</v>
      </c>
      <c r="J118" s="79">
        <v>22759</v>
      </c>
      <c r="K118" s="79">
        <v>32803</v>
      </c>
      <c r="L118" s="79">
        <v>26800</v>
      </c>
      <c r="M118" s="79"/>
      <c r="N118" s="79"/>
      <c r="O118" s="79"/>
      <c r="P118" s="79"/>
      <c r="Q118" s="53"/>
    </row>
    <row r="119" spans="1:18" x14ac:dyDescent="0.35">
      <c r="A119" s="41">
        <f>Dashboard!A123</f>
        <v>2</v>
      </c>
      <c r="B119" s="41" t="str">
        <f>Dashboard!B123</f>
        <v>KAMERE - WATER(M3)</v>
      </c>
      <c r="C119" s="41" t="str">
        <f>Dashboard!C123</f>
        <v>M3</v>
      </c>
      <c r="E119" s="79">
        <v>5788</v>
      </c>
      <c r="F119" s="79">
        <v>6705</v>
      </c>
      <c r="G119" s="79">
        <v>4755</v>
      </c>
      <c r="H119" s="79">
        <v>6241</v>
      </c>
      <c r="I119" s="79">
        <v>5183</v>
      </c>
      <c r="J119" s="79">
        <v>6161</v>
      </c>
      <c r="K119" s="79">
        <v>8813</v>
      </c>
      <c r="L119" s="79">
        <v>7181</v>
      </c>
      <c r="M119" s="79"/>
      <c r="N119" s="79"/>
      <c r="O119" s="79"/>
      <c r="P119" s="79"/>
      <c r="Q119" s="53"/>
      <c r="R119" s="53"/>
    </row>
    <row r="120" spans="1:18" x14ac:dyDescent="0.35">
      <c r="A120" s="41">
        <f>Dashboard!A124</f>
        <v>3</v>
      </c>
      <c r="B120" s="41" t="str">
        <f>Dashboard!B124</f>
        <v>MAI-MAHIU - WATER(M3)</v>
      </c>
      <c r="C120" s="41" t="str">
        <f>Dashboard!C124</f>
        <v>M3</v>
      </c>
      <c r="E120" s="79">
        <v>11947</v>
      </c>
      <c r="F120" s="79">
        <v>17946</v>
      </c>
      <c r="G120" s="79">
        <v>11179</v>
      </c>
      <c r="H120" s="79">
        <v>15724</v>
      </c>
      <c r="I120" s="79">
        <v>10947</v>
      </c>
      <c r="J120" s="79">
        <v>8396</v>
      </c>
      <c r="K120" s="79">
        <v>14935</v>
      </c>
      <c r="L120" s="79">
        <v>15292</v>
      </c>
      <c r="M120" s="79"/>
      <c r="N120" s="79"/>
      <c r="O120" s="79"/>
      <c r="P120" s="79"/>
      <c r="Q120" s="53"/>
    </row>
    <row r="121" spans="1:18" x14ac:dyDescent="0.35">
      <c r="A121" s="41">
        <f>Dashboard!A125</f>
        <v>4</v>
      </c>
      <c r="B121" s="41" t="str">
        <f>Dashboard!B125</f>
        <v>LONGONOT - WATER(M3)</v>
      </c>
      <c r="C121" s="41" t="str">
        <f>Dashboard!C125</f>
        <v>M3</v>
      </c>
      <c r="E121" s="79">
        <v>3647</v>
      </c>
      <c r="F121" s="79">
        <v>5246</v>
      </c>
      <c r="G121" s="79">
        <v>3082</v>
      </c>
      <c r="H121" s="79">
        <v>6072</v>
      </c>
      <c r="I121" s="79">
        <v>2456</v>
      </c>
      <c r="J121" s="79">
        <v>4265</v>
      </c>
      <c r="K121" s="79">
        <v>6868</v>
      </c>
      <c r="L121" s="79">
        <v>5749</v>
      </c>
      <c r="M121" s="79"/>
      <c r="N121" s="79"/>
      <c r="O121" s="79"/>
      <c r="P121" s="79"/>
      <c r="Q121" s="53"/>
    </row>
    <row r="122" spans="1:18" s="40" customFormat="1" x14ac:dyDescent="0.35">
      <c r="A122" s="40">
        <f>Dashboard!A126</f>
        <v>0</v>
      </c>
      <c r="B122" s="40" t="str">
        <f>Dashboard!B126</f>
        <v>TOTAL  WATER(M3) SOUTHERN REGION</v>
      </c>
      <c r="C122" s="40" t="str">
        <f>Dashboard!C126</f>
        <v>M3</v>
      </c>
      <c r="E122" s="64">
        <f>SUM(E118:E121)</f>
        <v>42506</v>
      </c>
      <c r="F122" s="64">
        <f t="shared" ref="F122:P122" si="33">SUM(F118:F121)</f>
        <v>58310</v>
      </c>
      <c r="G122" s="64">
        <f t="shared" si="33"/>
        <v>40155</v>
      </c>
      <c r="H122" s="64">
        <f t="shared" si="33"/>
        <v>56034</v>
      </c>
      <c r="I122" s="64">
        <f t="shared" si="33"/>
        <v>38221</v>
      </c>
      <c r="J122" s="64">
        <f t="shared" si="33"/>
        <v>41581</v>
      </c>
      <c r="K122" s="64">
        <f t="shared" si="33"/>
        <v>63419</v>
      </c>
      <c r="L122" s="64">
        <f t="shared" si="33"/>
        <v>55022</v>
      </c>
      <c r="M122" s="64">
        <f t="shared" si="33"/>
        <v>0</v>
      </c>
      <c r="N122" s="64">
        <f t="shared" si="33"/>
        <v>0</v>
      </c>
      <c r="O122" s="64">
        <f t="shared" si="33"/>
        <v>0</v>
      </c>
      <c r="P122" s="64">
        <f t="shared" si="33"/>
        <v>0</v>
      </c>
      <c r="Q122" s="53"/>
    </row>
    <row r="123" spans="1:18" x14ac:dyDescent="0.35">
      <c r="A123" s="41">
        <f>Dashboard!A128</f>
        <v>1</v>
      </c>
      <c r="B123" s="41" t="str">
        <f>Dashboard!B128</f>
        <v>KAYOLE - WATER(M3)</v>
      </c>
      <c r="C123" s="41" t="str">
        <f>Dashboard!C128</f>
        <v>M3</v>
      </c>
      <c r="E123" s="79">
        <v>31495</v>
      </c>
      <c r="F123" s="79">
        <v>30262</v>
      </c>
      <c r="G123" s="79">
        <v>26105</v>
      </c>
      <c r="H123" s="79">
        <v>28789</v>
      </c>
      <c r="I123" s="79">
        <v>24965</v>
      </c>
      <c r="J123" s="79">
        <v>26090</v>
      </c>
      <c r="K123" s="79">
        <v>30971</v>
      </c>
      <c r="L123" s="79">
        <v>33445</v>
      </c>
      <c r="M123" s="79"/>
      <c r="N123" s="79"/>
      <c r="O123" s="79"/>
      <c r="P123" s="87"/>
      <c r="Q123" s="53"/>
    </row>
    <row r="124" spans="1:18" x14ac:dyDescent="0.35">
      <c r="A124" s="41">
        <f>Dashboard!A129</f>
        <v>2</v>
      </c>
      <c r="B124" s="41" t="str">
        <f>Dashboard!B129</f>
        <v>IHINDU- WATER(M3)</v>
      </c>
      <c r="C124" s="41" t="str">
        <f>Dashboard!C129</f>
        <v>M3</v>
      </c>
      <c r="E124" s="79">
        <v>72</v>
      </c>
      <c r="F124" s="79">
        <v>134</v>
      </c>
      <c r="G124" s="79">
        <v>138</v>
      </c>
      <c r="H124" s="50">
        <v>0</v>
      </c>
      <c r="I124" s="79">
        <v>1</v>
      </c>
      <c r="J124" s="79">
        <v>132</v>
      </c>
      <c r="K124" s="79">
        <v>282</v>
      </c>
      <c r="L124" s="79">
        <v>199</v>
      </c>
      <c r="M124" s="79"/>
      <c r="N124" s="79"/>
      <c r="O124" s="79"/>
      <c r="P124" s="380"/>
      <c r="Q124" s="53"/>
    </row>
    <row r="125" spans="1:18" x14ac:dyDescent="0.35">
      <c r="A125" s="41">
        <f>Dashboard!A130</f>
        <v>0</v>
      </c>
      <c r="B125" s="41" t="str">
        <f>Dashboard!B130</f>
        <v>TOTAL  WATER(M3) EASTERN REGION</v>
      </c>
      <c r="C125" s="41" t="str">
        <f>Dashboard!C130</f>
        <v>M3</v>
      </c>
      <c r="E125" s="50">
        <f>E123+E124</f>
        <v>31567</v>
      </c>
      <c r="F125" s="50">
        <f t="shared" ref="F125:P125" si="34">F123+F124</f>
        <v>30396</v>
      </c>
      <c r="G125" s="50">
        <f t="shared" si="34"/>
        <v>26243</v>
      </c>
      <c r="H125" s="50">
        <f t="shared" si="34"/>
        <v>28789</v>
      </c>
      <c r="I125" s="50">
        <f t="shared" si="34"/>
        <v>24966</v>
      </c>
      <c r="J125" s="50">
        <f t="shared" si="34"/>
        <v>26222</v>
      </c>
      <c r="K125" s="50">
        <f t="shared" si="34"/>
        <v>31253</v>
      </c>
      <c r="L125" s="50">
        <f t="shared" si="34"/>
        <v>33644</v>
      </c>
      <c r="M125" s="50">
        <f t="shared" si="34"/>
        <v>0</v>
      </c>
      <c r="N125" s="50">
        <f t="shared" si="34"/>
        <v>0</v>
      </c>
      <c r="O125" s="50">
        <f t="shared" si="34"/>
        <v>0</v>
      </c>
      <c r="P125" s="50">
        <f t="shared" si="34"/>
        <v>0</v>
      </c>
      <c r="Q125" s="53"/>
    </row>
    <row r="126" spans="1:18" s="40" customFormat="1" x14ac:dyDescent="0.35">
      <c r="A126" s="40" t="str">
        <f>Dashboard!A131</f>
        <v>TOTAL BILLING IN KSH - WATER</v>
      </c>
      <c r="N126" s="65"/>
    </row>
    <row r="127" spans="1:18" x14ac:dyDescent="0.35">
      <c r="A127" s="41">
        <f>Dashboard!A132</f>
        <v>1</v>
      </c>
      <c r="B127" s="41" t="str">
        <f>Dashboard!B132</f>
        <v>CBD - WATER(KES)</v>
      </c>
      <c r="C127" s="41" t="str">
        <f>Dashboard!C132</f>
        <v>Ksh</v>
      </c>
      <c r="E127" s="79">
        <v>1698200</v>
      </c>
      <c r="F127" s="79">
        <v>2372360</v>
      </c>
      <c r="G127">
        <v>2175500</v>
      </c>
      <c r="H127" s="79">
        <v>2141510</v>
      </c>
      <c r="I127" s="79">
        <v>1794540</v>
      </c>
      <c r="J127" s="79">
        <v>1607470</v>
      </c>
      <c r="K127" s="79">
        <v>2825780</v>
      </c>
      <c r="L127" s="79">
        <v>2094940</v>
      </c>
      <c r="M127" s="79"/>
      <c r="N127" s="79"/>
      <c r="O127" s="79"/>
      <c r="P127" s="79"/>
      <c r="Q127" s="50"/>
    </row>
    <row r="128" spans="1:18" x14ac:dyDescent="0.35">
      <c r="A128" s="41">
        <f>Dashboard!A133</f>
        <v>2</v>
      </c>
      <c r="B128" s="41" t="str">
        <f>Dashboard!B133</f>
        <v>CCCR - WATER(KES)</v>
      </c>
      <c r="C128" s="41" t="str">
        <f>Dashboard!C133</f>
        <v>Ksh</v>
      </c>
      <c r="E128" s="79">
        <v>2129980</v>
      </c>
      <c r="F128" s="79">
        <v>2042080</v>
      </c>
      <c r="G128">
        <v>1745610</v>
      </c>
      <c r="H128" s="79">
        <v>2179260</v>
      </c>
      <c r="I128" s="79">
        <v>2007170</v>
      </c>
      <c r="J128" s="79">
        <v>1665490</v>
      </c>
      <c r="K128" s="79">
        <v>2790210</v>
      </c>
      <c r="L128" s="79">
        <v>2304200</v>
      </c>
      <c r="M128" s="79"/>
      <c r="N128" s="79"/>
      <c r="O128" s="79"/>
      <c r="P128" s="79"/>
      <c r="Q128" s="50"/>
    </row>
    <row r="129" spans="1:17" x14ac:dyDescent="0.35">
      <c r="A129" s="41">
        <f>Dashboard!A134</f>
        <v>3</v>
      </c>
      <c r="B129" s="41" t="str">
        <f>Dashboard!B134</f>
        <v>KABATI - WATER(KES)</v>
      </c>
      <c r="C129" s="41" t="str">
        <f>Dashboard!C134</f>
        <v>Ksh</v>
      </c>
      <c r="E129" s="79">
        <v>1280450</v>
      </c>
      <c r="F129" s="79">
        <v>1521880</v>
      </c>
      <c r="G129">
        <v>1571080</v>
      </c>
      <c r="H129" s="79">
        <v>1604850</v>
      </c>
      <c r="I129" s="79">
        <v>1361310</v>
      </c>
      <c r="J129" s="79">
        <v>1217340</v>
      </c>
      <c r="K129" s="79">
        <v>2060930</v>
      </c>
      <c r="L129" s="79">
        <v>1507410</v>
      </c>
      <c r="M129" s="79"/>
      <c r="N129" s="79"/>
      <c r="O129" s="79"/>
      <c r="P129" s="79"/>
      <c r="Q129" s="50"/>
    </row>
    <row r="130" spans="1:17" x14ac:dyDescent="0.35">
      <c r="A130" s="41">
        <f>Dashboard!A135</f>
        <v>4</v>
      </c>
      <c r="B130" s="41" t="str">
        <f>Dashboard!B135</f>
        <v>SITE - WATER(KES)</v>
      </c>
      <c r="C130" s="41" t="str">
        <f>Dashboard!C135</f>
        <v>Ksh</v>
      </c>
      <c r="E130" s="79">
        <v>1103030</v>
      </c>
      <c r="F130" s="79">
        <v>1314980</v>
      </c>
      <c r="G130">
        <v>1318450</v>
      </c>
      <c r="H130" s="79">
        <v>1353420</v>
      </c>
      <c r="I130" s="79">
        <v>1181460</v>
      </c>
      <c r="J130" s="79">
        <v>939470</v>
      </c>
      <c r="K130" s="79">
        <v>1641050</v>
      </c>
      <c r="L130" s="79">
        <v>1234420</v>
      </c>
      <c r="M130" s="79"/>
      <c r="N130" s="79"/>
      <c r="O130" s="79"/>
      <c r="P130" s="79"/>
      <c r="Q130" s="50"/>
    </row>
    <row r="131" spans="1:17" x14ac:dyDescent="0.35">
      <c r="A131" s="41">
        <f>Dashboard!A136</f>
        <v>5</v>
      </c>
      <c r="B131" s="41" t="str">
        <f>Dashboard!B136</f>
        <v>KIHOTO - WATER(KES)</v>
      </c>
      <c r="C131" s="41" t="str">
        <f>Dashboard!C136</f>
        <v>Ksh</v>
      </c>
      <c r="E131" s="79">
        <v>221630</v>
      </c>
      <c r="F131" s="79">
        <v>204780</v>
      </c>
      <c r="G131" s="79">
        <v>199690</v>
      </c>
      <c r="H131" s="79">
        <v>215690</v>
      </c>
      <c r="I131" s="79">
        <v>79090</v>
      </c>
      <c r="J131" s="79">
        <v>145220</v>
      </c>
      <c r="K131" s="79">
        <v>220770</v>
      </c>
      <c r="L131" s="79">
        <v>198680</v>
      </c>
      <c r="M131" s="79"/>
      <c r="N131" s="79"/>
      <c r="O131" s="79"/>
      <c r="P131" s="79"/>
      <c r="Q131" s="50"/>
    </row>
    <row r="132" spans="1:17" x14ac:dyDescent="0.35">
      <c r="A132" s="41">
        <f>Dashboard!A137</f>
        <v>6</v>
      </c>
      <c r="B132" s="41" t="str">
        <f>Dashboard!B137</f>
        <v>LAKEVIEW - WATER(KES)</v>
      </c>
      <c r="C132" s="41" t="str">
        <f>Dashboard!C137</f>
        <v>Ksh</v>
      </c>
      <c r="E132" s="79">
        <v>2100540</v>
      </c>
      <c r="F132" s="79">
        <v>2638290</v>
      </c>
      <c r="G132">
        <v>2433710</v>
      </c>
      <c r="H132" s="79">
        <v>2753510</v>
      </c>
      <c r="I132" s="79">
        <v>2127270</v>
      </c>
      <c r="J132" s="79">
        <v>1864290</v>
      </c>
      <c r="K132" s="79">
        <v>3346670</v>
      </c>
      <c r="L132" s="79">
        <v>2690770</v>
      </c>
      <c r="M132" s="79"/>
      <c r="N132" s="79"/>
      <c r="O132" s="79"/>
      <c r="P132" s="79"/>
      <c r="Q132" s="50"/>
    </row>
    <row r="133" spans="1:17" x14ac:dyDescent="0.35">
      <c r="A133" s="41">
        <f>Dashboard!A138</f>
        <v>7</v>
      </c>
      <c r="B133" s="41" t="str">
        <f>Dashboard!B138</f>
        <v>HOPEWELL - WATER(KES)</v>
      </c>
      <c r="C133" s="41" t="str">
        <f>Dashboard!C138</f>
        <v>Ksh</v>
      </c>
      <c r="E133" s="79">
        <v>676970</v>
      </c>
      <c r="F133" s="79">
        <v>776690</v>
      </c>
      <c r="G133">
        <v>706040</v>
      </c>
      <c r="H133" s="79">
        <v>810770</v>
      </c>
      <c r="I133" s="79">
        <v>637850</v>
      </c>
      <c r="J133" s="79">
        <v>604280</v>
      </c>
      <c r="K133" s="79">
        <v>852920</v>
      </c>
      <c r="L133" s="79">
        <v>690130</v>
      </c>
      <c r="M133" s="79"/>
      <c r="N133" s="79"/>
      <c r="O133" s="79"/>
      <c r="P133" s="79"/>
      <c r="Q133" s="50"/>
    </row>
    <row r="134" spans="1:17" x14ac:dyDescent="0.35">
      <c r="A134" s="41">
        <f>Dashboard!A139</f>
        <v>0</v>
      </c>
      <c r="B134" s="41" t="str">
        <f>Dashboard!B139</f>
        <v>TOTAL - WATER(KES)CENTRAL REGION</v>
      </c>
      <c r="C134" s="41" t="str">
        <f>Dashboard!C139</f>
        <v>Ksh</v>
      </c>
      <c r="E134" s="51">
        <f t="shared" ref="E134:J134" si="35">SUM(E127:E133)</f>
        <v>9210800</v>
      </c>
      <c r="F134" s="51">
        <f t="shared" si="35"/>
        <v>10871060</v>
      </c>
      <c r="G134" s="51">
        <f t="shared" si="35"/>
        <v>10150080</v>
      </c>
      <c r="H134" s="51">
        <f t="shared" si="35"/>
        <v>11059010</v>
      </c>
      <c r="I134" s="51">
        <f t="shared" si="35"/>
        <v>9188690</v>
      </c>
      <c r="J134" s="51">
        <f t="shared" si="35"/>
        <v>8043560</v>
      </c>
      <c r="K134" s="51">
        <f t="shared" ref="K134:P134" si="36">SUM(K127:K133)</f>
        <v>13738330</v>
      </c>
      <c r="L134" s="51">
        <f t="shared" si="36"/>
        <v>10720550</v>
      </c>
      <c r="M134" s="51">
        <f t="shared" si="36"/>
        <v>0</v>
      </c>
      <c r="N134" s="83">
        <f t="shared" si="36"/>
        <v>0</v>
      </c>
      <c r="O134" s="51">
        <f t="shared" si="36"/>
        <v>0</v>
      </c>
      <c r="P134" s="83">
        <f t="shared" si="36"/>
        <v>0</v>
      </c>
    </row>
    <row r="135" spans="1:17" x14ac:dyDescent="0.35">
      <c r="A135" s="41">
        <f>Dashboard!A140</f>
        <v>1</v>
      </c>
      <c r="B135" s="41" t="str">
        <f>Dashboard!B140</f>
        <v>HELLSGATE - WATER(KES)</v>
      </c>
      <c r="C135" s="41" t="str">
        <f>Dashboard!C140</f>
        <v>Ksh</v>
      </c>
      <c r="E135" s="79">
        <v>2570510</v>
      </c>
      <c r="F135" s="79">
        <v>3596170</v>
      </c>
      <c r="G135">
        <v>2612160</v>
      </c>
      <c r="H135" s="79">
        <v>3498390</v>
      </c>
      <c r="I135" s="79">
        <v>2420620</v>
      </c>
      <c r="J135" s="79">
        <v>2797250</v>
      </c>
      <c r="K135" s="79">
        <v>4115890</v>
      </c>
      <c r="L135" s="79">
        <v>3339680</v>
      </c>
      <c r="M135" s="79"/>
      <c r="N135" s="79"/>
      <c r="O135" s="79"/>
      <c r="P135" s="79"/>
    </row>
    <row r="136" spans="1:17" x14ac:dyDescent="0.35">
      <c r="A136" s="41">
        <f>Dashboard!A141</f>
        <v>2</v>
      </c>
      <c r="B136" s="41" t="str">
        <f>Dashboard!B141</f>
        <v>KAMERE - WATER(KES)</v>
      </c>
      <c r="C136" s="41" t="str">
        <f>Dashboard!C141</f>
        <v>Ksh</v>
      </c>
      <c r="E136" s="79">
        <v>706180</v>
      </c>
      <c r="F136" s="79">
        <v>829150</v>
      </c>
      <c r="G136">
        <v>584980</v>
      </c>
      <c r="H136" s="79">
        <v>768260</v>
      </c>
      <c r="I136" s="79">
        <v>636320</v>
      </c>
      <c r="J136" s="79">
        <v>749170</v>
      </c>
      <c r="K136" s="79">
        <v>1094700</v>
      </c>
      <c r="L136" s="79">
        <v>891950</v>
      </c>
      <c r="M136" s="79"/>
      <c r="N136" s="79"/>
      <c r="O136" s="79"/>
      <c r="P136" s="79"/>
    </row>
    <row r="137" spans="1:17" x14ac:dyDescent="0.35">
      <c r="A137" s="41">
        <f>Dashboard!A142</f>
        <v>3</v>
      </c>
      <c r="B137" s="41" t="str">
        <f>Dashboard!B142</f>
        <v>MAI-MAHIU - WATER(KES)</v>
      </c>
      <c r="C137" s="41" t="str">
        <f>Dashboard!C142</f>
        <v>Ksh</v>
      </c>
      <c r="E137" s="79">
        <v>1547420</v>
      </c>
      <c r="F137" s="79">
        <v>2391500</v>
      </c>
      <c r="G137">
        <v>1468400</v>
      </c>
      <c r="H137" s="79">
        <v>2056530</v>
      </c>
      <c r="I137" s="79">
        <v>1434160</v>
      </c>
      <c r="J137" s="79">
        <v>1107120</v>
      </c>
      <c r="K137" s="79">
        <v>1974000</v>
      </c>
      <c r="L137" s="79">
        <v>2038300</v>
      </c>
      <c r="M137" s="79"/>
      <c r="N137" s="79"/>
      <c r="O137" s="79"/>
      <c r="P137" s="79"/>
    </row>
    <row r="138" spans="1:17" x14ac:dyDescent="0.35">
      <c r="A138" s="41">
        <f>Dashboard!A143</f>
        <v>4</v>
      </c>
      <c r="B138" s="41" t="str">
        <f>Dashboard!B143</f>
        <v>LONGONOT - WATER(KES)</v>
      </c>
      <c r="C138" s="41" t="str">
        <f>Dashboard!C143</f>
        <v>Ksh</v>
      </c>
      <c r="E138" s="79">
        <v>448260</v>
      </c>
      <c r="F138" s="79">
        <v>649010</v>
      </c>
      <c r="G138">
        <v>373890</v>
      </c>
      <c r="H138" s="79">
        <v>753270</v>
      </c>
      <c r="I138" s="79">
        <v>299920</v>
      </c>
      <c r="J138" s="79">
        <v>526310</v>
      </c>
      <c r="K138" s="79">
        <v>859870</v>
      </c>
      <c r="L138" s="79">
        <v>716900</v>
      </c>
      <c r="M138" s="79"/>
      <c r="N138" s="79"/>
      <c r="O138" s="79"/>
      <c r="P138" s="79"/>
    </row>
    <row r="139" spans="1:17" x14ac:dyDescent="0.35">
      <c r="A139" s="41">
        <f>Dashboard!A144</f>
        <v>0</v>
      </c>
      <c r="B139" s="41" t="str">
        <f>Dashboard!B144</f>
        <v>TOTAL  - WATER(KES) SOUTHERN REGION</v>
      </c>
      <c r="C139" s="41" t="str">
        <f>Dashboard!C144</f>
        <v>Ksh</v>
      </c>
      <c r="E139" s="51">
        <f t="shared" ref="E139:J139" si="37">SUM(E135:E138)</f>
        <v>5272370</v>
      </c>
      <c r="F139" s="51">
        <f t="shared" si="37"/>
        <v>7465830</v>
      </c>
      <c r="G139" s="51">
        <f t="shared" si="37"/>
        <v>5039430</v>
      </c>
      <c r="H139" s="51">
        <f t="shared" si="37"/>
        <v>7076450</v>
      </c>
      <c r="I139" s="51">
        <f t="shared" si="37"/>
        <v>4791020</v>
      </c>
      <c r="J139" s="51">
        <f t="shared" si="37"/>
        <v>5179850</v>
      </c>
      <c r="K139" s="51">
        <f t="shared" ref="K139:P139" si="38">SUM(K135:K138)</f>
        <v>8044460</v>
      </c>
      <c r="L139" s="51">
        <f t="shared" si="38"/>
        <v>6986830</v>
      </c>
      <c r="M139" s="51">
        <f t="shared" si="38"/>
        <v>0</v>
      </c>
      <c r="N139" s="83">
        <f t="shared" si="38"/>
        <v>0</v>
      </c>
      <c r="O139" s="51">
        <f t="shared" si="38"/>
        <v>0</v>
      </c>
      <c r="P139" s="83">
        <f t="shared" si="38"/>
        <v>0</v>
      </c>
    </row>
    <row r="140" spans="1:17" x14ac:dyDescent="0.35">
      <c r="A140" s="41">
        <f>Dashboard!A146</f>
        <v>1</v>
      </c>
      <c r="B140" s="41" t="str">
        <f>Dashboard!B146</f>
        <v>KAYOLE - WATER(KES)</v>
      </c>
      <c r="C140" s="41" t="str">
        <f>Dashboard!C146</f>
        <v>Ksh</v>
      </c>
      <c r="E140" s="79">
        <v>3898650</v>
      </c>
      <c r="F140" s="79">
        <v>3719620</v>
      </c>
      <c r="G140" s="79">
        <v>3193940</v>
      </c>
      <c r="H140" s="79">
        <v>3548620</v>
      </c>
      <c r="I140" s="79">
        <v>3056970</v>
      </c>
      <c r="J140" s="79">
        <v>3204540</v>
      </c>
      <c r="K140" s="79">
        <v>3796270</v>
      </c>
      <c r="L140" s="79">
        <v>4103260</v>
      </c>
      <c r="M140" s="381"/>
      <c r="N140" s="381"/>
      <c r="O140" s="381"/>
      <c r="P140" s="381"/>
    </row>
    <row r="141" spans="1:17" x14ac:dyDescent="0.35">
      <c r="A141" s="41">
        <f>Dashboard!A147</f>
        <v>2</v>
      </c>
      <c r="B141" s="41" t="str">
        <f>Dashboard!B147</f>
        <v>IHINDU- WATER(KES)</v>
      </c>
      <c r="C141" s="41" t="str">
        <f>Dashboard!C147</f>
        <v>Ksh</v>
      </c>
      <c r="E141" s="79">
        <v>7250</v>
      </c>
      <c r="F141" s="79">
        <v>13550</v>
      </c>
      <c r="G141">
        <v>14080</v>
      </c>
      <c r="H141" s="50">
        <v>0</v>
      </c>
      <c r="I141" s="79">
        <v>100</v>
      </c>
      <c r="J141" s="79">
        <v>13360</v>
      </c>
      <c r="K141" s="79">
        <v>29010</v>
      </c>
      <c r="L141" s="79">
        <v>20510</v>
      </c>
      <c r="M141" s="79"/>
      <c r="N141" s="79"/>
      <c r="O141" s="79"/>
      <c r="P141" s="63"/>
    </row>
    <row r="142" spans="1:17" x14ac:dyDescent="0.35">
      <c r="A142" s="41">
        <f>Dashboard!A148</f>
        <v>0</v>
      </c>
      <c r="B142" s="41" t="str">
        <f>Dashboard!B148</f>
        <v>TOTAL  - WATER(KES) EASTERN REGION</v>
      </c>
      <c r="C142" s="41" t="str">
        <f>Dashboard!C148</f>
        <v>Ksh</v>
      </c>
      <c r="E142" s="380">
        <f>E140+E141</f>
        <v>3905900</v>
      </c>
      <c r="F142" s="380">
        <f t="shared" ref="F142:P142" si="39">F140+F141</f>
        <v>3733170</v>
      </c>
      <c r="G142" s="380">
        <f t="shared" si="39"/>
        <v>3208020</v>
      </c>
      <c r="H142" s="380">
        <f t="shared" si="39"/>
        <v>3548620</v>
      </c>
      <c r="I142" s="380">
        <f t="shared" si="39"/>
        <v>3057070</v>
      </c>
      <c r="J142" s="380">
        <f t="shared" si="39"/>
        <v>3217900</v>
      </c>
      <c r="K142" s="380">
        <f t="shared" si="39"/>
        <v>3825280</v>
      </c>
      <c r="L142" s="380">
        <f t="shared" si="39"/>
        <v>4123770</v>
      </c>
      <c r="M142" s="380">
        <f t="shared" si="39"/>
        <v>0</v>
      </c>
      <c r="N142" s="380">
        <f t="shared" si="39"/>
        <v>0</v>
      </c>
      <c r="O142" s="380">
        <f t="shared" si="39"/>
        <v>0</v>
      </c>
      <c r="P142" s="380">
        <f t="shared" si="39"/>
        <v>0</v>
      </c>
    </row>
    <row r="143" spans="1:17" s="40" customFormat="1" x14ac:dyDescent="0.35">
      <c r="A143" s="40" t="str">
        <f>Dashboard!A149</f>
        <v>AVG TARIFF- WATER KSH/M3</v>
      </c>
      <c r="E143" s="40" t="e">
        <f t="shared" ref="E143:E157" si="40">E126/E109</f>
        <v>#DIV/0!</v>
      </c>
      <c r="G143" s="40" t="e">
        <f t="shared" ref="G143:P143" si="41">G126/G109</f>
        <v>#DIV/0!</v>
      </c>
      <c r="H143" s="40" t="e">
        <f t="shared" si="41"/>
        <v>#DIV/0!</v>
      </c>
      <c r="I143" s="40" t="e">
        <f t="shared" si="41"/>
        <v>#DIV/0!</v>
      </c>
      <c r="J143" s="40" t="e">
        <f t="shared" si="41"/>
        <v>#DIV/0!</v>
      </c>
      <c r="K143" s="40" t="e">
        <f t="shared" si="41"/>
        <v>#DIV/0!</v>
      </c>
      <c r="L143" s="40" t="e">
        <f t="shared" si="41"/>
        <v>#DIV/0!</v>
      </c>
      <c r="M143" s="40" t="e">
        <f t="shared" si="41"/>
        <v>#DIV/0!</v>
      </c>
      <c r="N143" s="40" t="e">
        <f t="shared" si="41"/>
        <v>#DIV/0!</v>
      </c>
      <c r="O143" s="40" t="e">
        <f t="shared" si="41"/>
        <v>#DIV/0!</v>
      </c>
      <c r="P143" s="40" t="e">
        <f t="shared" si="41"/>
        <v>#DIV/0!</v>
      </c>
    </row>
    <row r="144" spans="1:17" x14ac:dyDescent="0.35">
      <c r="A144" s="41">
        <f>Dashboard!A150</f>
        <v>1</v>
      </c>
      <c r="B144" s="41" t="str">
        <f>Dashboard!B150</f>
        <v>CBD - KSH/M3</v>
      </c>
      <c r="C144" s="41" t="str">
        <f>Dashboard!C150</f>
        <v>Ksh/M3</v>
      </c>
      <c r="E144" s="52">
        <f t="shared" si="40"/>
        <v>130.71120689655172</v>
      </c>
      <c r="F144" s="52">
        <f t="shared" ref="F144:F157" si="42">F127/F110</f>
        <v>133.36856307623117</v>
      </c>
      <c r="G144" s="52">
        <f t="shared" ref="G144:P144" si="43">G127/G110</f>
        <v>132.23316314125941</v>
      </c>
      <c r="H144" s="52">
        <f t="shared" si="43"/>
        <v>132.30631409860374</v>
      </c>
      <c r="I144" s="52">
        <f t="shared" si="43"/>
        <v>131.90297684674752</v>
      </c>
      <c r="J144" s="52">
        <f t="shared" si="43"/>
        <v>131.57649177375788</v>
      </c>
      <c r="K144" s="52">
        <f t="shared" si="43"/>
        <v>135.16598105806946</v>
      </c>
      <c r="L144" s="52">
        <f t="shared" si="43"/>
        <v>132.49889317563722</v>
      </c>
      <c r="M144" s="52" t="e">
        <f t="shared" si="43"/>
        <v>#DIV/0!</v>
      </c>
      <c r="N144" s="85" t="e">
        <f t="shared" si="43"/>
        <v>#DIV/0!</v>
      </c>
      <c r="O144" s="52" t="e">
        <f t="shared" si="43"/>
        <v>#DIV/0!</v>
      </c>
      <c r="P144" s="85" t="e">
        <f t="shared" si="43"/>
        <v>#DIV/0!</v>
      </c>
    </row>
    <row r="145" spans="1:16" x14ac:dyDescent="0.35">
      <c r="A145" s="41">
        <f>Dashboard!A151</f>
        <v>2</v>
      </c>
      <c r="B145" s="41" t="str">
        <f>Dashboard!B151</f>
        <v>CCCR - KSH/M3</v>
      </c>
      <c r="C145" s="41" t="str">
        <f>Dashboard!C151</f>
        <v>Ksh/M3</v>
      </c>
      <c r="E145" s="52">
        <f t="shared" si="40"/>
        <v>133.19867425426801</v>
      </c>
      <c r="F145" s="52">
        <f t="shared" si="42"/>
        <v>132.5165476963011</v>
      </c>
      <c r="G145" s="52">
        <f t="shared" ref="G145:P145" si="44">G128/G111</f>
        <v>128.61847922192749</v>
      </c>
      <c r="H145" s="52">
        <f t="shared" si="44"/>
        <v>131.55810443706611</v>
      </c>
      <c r="I145" s="52">
        <f t="shared" si="44"/>
        <v>131.92047321721984</v>
      </c>
      <c r="J145" s="52">
        <f t="shared" si="44"/>
        <v>131.31672317275093</v>
      </c>
      <c r="K145" s="52">
        <f t="shared" si="44"/>
        <v>133.36886382104106</v>
      </c>
      <c r="L145" s="52">
        <f t="shared" si="44"/>
        <v>132.62346034304133</v>
      </c>
      <c r="M145" s="52" t="e">
        <f t="shared" si="44"/>
        <v>#DIV/0!</v>
      </c>
      <c r="N145" s="85" t="e">
        <f t="shared" si="44"/>
        <v>#DIV/0!</v>
      </c>
      <c r="O145" s="52" t="e">
        <f t="shared" si="44"/>
        <v>#DIV/0!</v>
      </c>
      <c r="P145" s="85" t="e">
        <f t="shared" si="44"/>
        <v>#DIV/0!</v>
      </c>
    </row>
    <row r="146" spans="1:16" x14ac:dyDescent="0.35">
      <c r="A146" s="41">
        <f>Dashboard!A152</f>
        <v>3</v>
      </c>
      <c r="B146" s="41" t="str">
        <f>Dashboard!B152</f>
        <v>KABATI - KSH/M3</v>
      </c>
      <c r="C146" s="41" t="str">
        <f>Dashboard!C152</f>
        <v>Ksh/M3</v>
      </c>
      <c r="E146" s="52">
        <f t="shared" si="40"/>
        <v>123.78673627223512</v>
      </c>
      <c r="F146" s="52">
        <f t="shared" si="42"/>
        <v>124.75448807279285</v>
      </c>
      <c r="G146" s="52">
        <f t="shared" ref="G146:P146" si="45">G129/G112</f>
        <v>125.14577027242314</v>
      </c>
      <c r="H146" s="52">
        <f t="shared" si="45"/>
        <v>124.95912170053725</v>
      </c>
      <c r="I146" s="52">
        <f t="shared" si="45"/>
        <v>124.548032936871</v>
      </c>
      <c r="J146" s="52">
        <f t="shared" si="45"/>
        <v>124.15502294747577</v>
      </c>
      <c r="K146" s="52">
        <f t="shared" si="45"/>
        <v>126.42966689160174</v>
      </c>
      <c r="L146" s="52">
        <f t="shared" si="45"/>
        <v>124.98217394909211</v>
      </c>
      <c r="M146" s="52" t="e">
        <f t="shared" si="45"/>
        <v>#DIV/0!</v>
      </c>
      <c r="N146" s="85" t="e">
        <f t="shared" si="45"/>
        <v>#DIV/0!</v>
      </c>
      <c r="O146" s="52" t="e">
        <f t="shared" si="45"/>
        <v>#DIV/0!</v>
      </c>
      <c r="P146" s="85" t="e">
        <f t="shared" si="45"/>
        <v>#DIV/0!</v>
      </c>
    </row>
    <row r="147" spans="1:16" x14ac:dyDescent="0.35">
      <c r="A147" s="41">
        <f>Dashboard!A153</f>
        <v>4</v>
      </c>
      <c r="B147" s="41" t="str">
        <f>Dashboard!B153</f>
        <v>SITE - KSH/M3</v>
      </c>
      <c r="C147" s="41" t="str">
        <f>Dashboard!C153</f>
        <v>Ksh/M3</v>
      </c>
      <c r="E147" s="52">
        <f t="shared" si="40"/>
        <v>121.84137854854744</v>
      </c>
      <c r="F147" s="52">
        <f t="shared" si="42"/>
        <v>123.25241353453931</v>
      </c>
      <c r="G147" s="52">
        <f t="shared" ref="G147:P147" si="46">G130/G113</f>
        <v>122.85221766679091</v>
      </c>
      <c r="H147" s="52">
        <f t="shared" si="46"/>
        <v>122.81488203266788</v>
      </c>
      <c r="I147" s="52">
        <f t="shared" si="46"/>
        <v>122.69809949112057</v>
      </c>
      <c r="J147" s="52">
        <f t="shared" si="46"/>
        <v>121.9932476301779</v>
      </c>
      <c r="K147" s="52">
        <f t="shared" si="46"/>
        <v>123.13724018908982</v>
      </c>
      <c r="L147" s="52">
        <f t="shared" si="46"/>
        <v>121.31891891891892</v>
      </c>
      <c r="M147" s="52" t="e">
        <f t="shared" si="46"/>
        <v>#DIV/0!</v>
      </c>
      <c r="N147" s="85" t="e">
        <f t="shared" si="46"/>
        <v>#DIV/0!</v>
      </c>
      <c r="O147" s="52" t="e">
        <f t="shared" si="46"/>
        <v>#DIV/0!</v>
      </c>
      <c r="P147" s="85" t="e">
        <f t="shared" si="46"/>
        <v>#DIV/0!</v>
      </c>
    </row>
    <row r="148" spans="1:16" x14ac:dyDescent="0.35">
      <c r="A148" s="41">
        <f>Dashboard!A154</f>
        <v>5</v>
      </c>
      <c r="B148" s="41" t="str">
        <f>Dashboard!B154</f>
        <v>KIHOTO - KSH/M3</v>
      </c>
      <c r="C148" s="41" t="str">
        <f>Dashboard!C154</f>
        <v>Ksh/M3</v>
      </c>
      <c r="E148" s="52">
        <f t="shared" si="40"/>
        <v>121.6410537870472</v>
      </c>
      <c r="F148" s="52">
        <f t="shared" si="42"/>
        <v>122.40286909742977</v>
      </c>
      <c r="G148" s="52">
        <f t="shared" ref="G148:P148" si="47">G131/G114</f>
        <v>122.81057810578106</v>
      </c>
      <c r="H148" s="52">
        <f t="shared" si="47"/>
        <v>124.03105232892467</v>
      </c>
      <c r="I148" s="52">
        <f t="shared" si="47"/>
        <v>121.30368098159509</v>
      </c>
      <c r="J148" s="52">
        <f t="shared" si="47"/>
        <v>123.90784982935153</v>
      </c>
      <c r="K148" s="52">
        <f t="shared" si="47"/>
        <v>125.01132502831257</v>
      </c>
      <c r="L148" s="52">
        <f t="shared" si="47"/>
        <v>126.14603174603175</v>
      </c>
      <c r="M148" s="52" t="e">
        <f t="shared" si="47"/>
        <v>#DIV/0!</v>
      </c>
      <c r="N148" s="85" t="e">
        <f t="shared" si="47"/>
        <v>#DIV/0!</v>
      </c>
      <c r="O148" s="52" t="e">
        <f t="shared" si="47"/>
        <v>#DIV/0!</v>
      </c>
      <c r="P148" s="85" t="e">
        <f t="shared" si="47"/>
        <v>#DIV/0!</v>
      </c>
    </row>
    <row r="149" spans="1:16" x14ac:dyDescent="0.35">
      <c r="A149" s="41">
        <f>Dashboard!A155</f>
        <v>6</v>
      </c>
      <c r="B149" s="41" t="str">
        <f>Dashboard!B155</f>
        <v>LAKEVIEW - KSH/M3</v>
      </c>
      <c r="C149" s="41" t="str">
        <f>Dashboard!C155</f>
        <v>Ksh/M3</v>
      </c>
      <c r="E149" s="52">
        <f t="shared" si="40"/>
        <v>124.57979953739398</v>
      </c>
      <c r="F149" s="52">
        <f t="shared" si="42"/>
        <v>126.91408504906677</v>
      </c>
      <c r="G149" s="52">
        <f t="shared" ref="G149:P149" si="48">G132/G115</f>
        <v>127.13315572271848</v>
      </c>
      <c r="H149" s="52">
        <f t="shared" si="48"/>
        <v>127.07139231159721</v>
      </c>
      <c r="I149" s="52">
        <f t="shared" si="48"/>
        <v>125.68060971286778</v>
      </c>
      <c r="J149" s="52">
        <f t="shared" si="48"/>
        <v>124.99430103922226</v>
      </c>
      <c r="K149" s="52">
        <f t="shared" si="48"/>
        <v>128.22981723437681</v>
      </c>
      <c r="L149" s="52">
        <f t="shared" si="48"/>
        <v>127.02497285559174</v>
      </c>
      <c r="M149" s="52" t="e">
        <f t="shared" si="48"/>
        <v>#DIV/0!</v>
      </c>
      <c r="N149" s="85" t="e">
        <f t="shared" si="48"/>
        <v>#DIV/0!</v>
      </c>
      <c r="O149" s="52" t="e">
        <f t="shared" si="48"/>
        <v>#DIV/0!</v>
      </c>
      <c r="P149" s="85" t="e">
        <f t="shared" si="48"/>
        <v>#DIV/0!</v>
      </c>
    </row>
    <row r="150" spans="1:16" x14ac:dyDescent="0.35">
      <c r="A150" s="41">
        <f>Dashboard!A156</f>
        <v>7</v>
      </c>
      <c r="B150" s="41" t="str">
        <f>Dashboard!B156</f>
        <v>HOPEWELL - KSH/M3</v>
      </c>
      <c r="C150" s="41" t="str">
        <f>Dashboard!C156</f>
        <v>Ksh/M3</v>
      </c>
      <c r="E150" s="52">
        <f t="shared" si="40"/>
        <v>127.75429326287978</v>
      </c>
      <c r="F150" s="52">
        <f t="shared" si="42"/>
        <v>128.12438139227979</v>
      </c>
      <c r="G150" s="52">
        <f t="shared" ref="G150:P150" si="49">G133/G116</f>
        <v>128.11467973144619</v>
      </c>
      <c r="H150" s="52">
        <f t="shared" si="49"/>
        <v>129.10350318471339</v>
      </c>
      <c r="I150" s="52">
        <f t="shared" si="49"/>
        <v>127.87690457097032</v>
      </c>
      <c r="J150" s="52">
        <f t="shared" si="49"/>
        <v>127.48523206751055</v>
      </c>
      <c r="K150" s="52">
        <f t="shared" si="49"/>
        <v>129.66251140164184</v>
      </c>
      <c r="L150" s="52">
        <f t="shared" si="49"/>
        <v>127.33025830258302</v>
      </c>
      <c r="M150" s="52" t="e">
        <f t="shared" si="49"/>
        <v>#DIV/0!</v>
      </c>
      <c r="N150" s="52" t="e">
        <f t="shared" si="49"/>
        <v>#DIV/0!</v>
      </c>
      <c r="O150" s="52" t="e">
        <f t="shared" si="49"/>
        <v>#DIV/0!</v>
      </c>
      <c r="P150" s="52" t="e">
        <f t="shared" si="49"/>
        <v>#DIV/0!</v>
      </c>
    </row>
    <row r="151" spans="1:16" x14ac:dyDescent="0.35">
      <c r="A151" s="41">
        <f>Dashboard!A157</f>
        <v>0</v>
      </c>
      <c r="B151" s="41" t="str">
        <f>Dashboard!B157</f>
        <v xml:space="preserve"> - KSH/M3 CENTRAL REGION</v>
      </c>
      <c r="C151" s="41" t="str">
        <f>Dashboard!C157</f>
        <v>Ksh/M3</v>
      </c>
      <c r="E151" s="52">
        <f t="shared" si="40"/>
        <v>127.28780299051989</v>
      </c>
      <c r="F151" s="52">
        <f t="shared" si="42"/>
        <v>128.5162373358238</v>
      </c>
      <c r="G151" s="52">
        <f t="shared" ref="G151:P151" si="50">G134/G117</f>
        <v>127.52958914436488</v>
      </c>
      <c r="H151" s="52">
        <f t="shared" si="50"/>
        <v>128.14314847859842</v>
      </c>
      <c r="I151" s="52">
        <f t="shared" si="50"/>
        <v>127.71825700187644</v>
      </c>
      <c r="J151" s="52">
        <f t="shared" si="50"/>
        <v>127.20509860357724</v>
      </c>
      <c r="K151" s="52">
        <f t="shared" si="50"/>
        <v>129.73172297871537</v>
      </c>
      <c r="L151" s="52">
        <f t="shared" si="50"/>
        <v>128.23777796385124</v>
      </c>
      <c r="M151" s="52" t="e">
        <f t="shared" si="50"/>
        <v>#DIV/0!</v>
      </c>
      <c r="N151" s="85" t="e">
        <f t="shared" si="50"/>
        <v>#DIV/0!</v>
      </c>
      <c r="O151" s="52" t="e">
        <f t="shared" si="50"/>
        <v>#DIV/0!</v>
      </c>
      <c r="P151" s="85" t="e">
        <f t="shared" si="50"/>
        <v>#DIV/0!</v>
      </c>
    </row>
    <row r="152" spans="1:16" x14ac:dyDescent="0.35">
      <c r="A152" s="41">
        <f>Dashboard!A158</f>
        <v>1</v>
      </c>
      <c r="B152" s="41" t="str">
        <f>Dashboard!B158</f>
        <v>HELLSGATE - KSH/M3</v>
      </c>
      <c r="C152" s="41" t="str">
        <f>Dashboard!C158</f>
        <v>Ksh/M3</v>
      </c>
      <c r="E152" s="52">
        <f t="shared" si="40"/>
        <v>121.68670706305623</v>
      </c>
      <c r="F152" s="52">
        <f t="shared" si="42"/>
        <v>126.56776827508534</v>
      </c>
      <c r="G152" s="52">
        <f t="shared" ref="G152:P152" si="51">G135/G118</f>
        <v>123.57065140262075</v>
      </c>
      <c r="H152" s="52">
        <f t="shared" si="51"/>
        <v>124.95588813087116</v>
      </c>
      <c r="I152" s="52">
        <f t="shared" si="51"/>
        <v>123.28087598675835</v>
      </c>
      <c r="J152" s="52">
        <f t="shared" si="51"/>
        <v>122.90742123994903</v>
      </c>
      <c r="K152" s="52">
        <f t="shared" si="51"/>
        <v>125.47297503277139</v>
      </c>
      <c r="L152" s="52">
        <f t="shared" si="51"/>
        <v>124.61492537313433</v>
      </c>
      <c r="M152" s="52" t="e">
        <f t="shared" si="51"/>
        <v>#DIV/0!</v>
      </c>
      <c r="N152" s="85" t="e">
        <f t="shared" si="51"/>
        <v>#DIV/0!</v>
      </c>
      <c r="O152" s="52" t="e">
        <f t="shared" si="51"/>
        <v>#DIV/0!</v>
      </c>
      <c r="P152" s="85" t="e">
        <f t="shared" si="51"/>
        <v>#DIV/0!</v>
      </c>
    </row>
    <row r="153" spans="1:16" x14ac:dyDescent="0.35">
      <c r="A153" s="41">
        <f>Dashboard!A159</f>
        <v>2</v>
      </c>
      <c r="B153" s="41" t="str">
        <f>Dashboard!B159</f>
        <v>KAMERE - KSH/M3</v>
      </c>
      <c r="C153" s="41" t="str">
        <f>Dashboard!C159</f>
        <v>Ksh/M3</v>
      </c>
      <c r="E153" s="52">
        <f t="shared" si="40"/>
        <v>122.00760193503801</v>
      </c>
      <c r="F153" s="52">
        <f t="shared" si="42"/>
        <v>123.66144668158091</v>
      </c>
      <c r="G153" s="52">
        <f t="shared" ref="G153:P153" si="52">G136/G119</f>
        <v>123.02418506834911</v>
      </c>
      <c r="H153" s="52">
        <f t="shared" si="52"/>
        <v>123.098862361801</v>
      </c>
      <c r="I153" s="52">
        <f t="shared" si="52"/>
        <v>122.77059617981864</v>
      </c>
      <c r="J153" s="52">
        <f t="shared" si="52"/>
        <v>121.59876643402045</v>
      </c>
      <c r="K153" s="52">
        <f t="shared" si="52"/>
        <v>124.21422897991603</v>
      </c>
      <c r="L153" s="52">
        <f t="shared" si="52"/>
        <v>124.20972009469433</v>
      </c>
      <c r="M153" s="52" t="e">
        <f t="shared" si="52"/>
        <v>#DIV/0!</v>
      </c>
      <c r="N153" s="85" t="e">
        <f t="shared" si="52"/>
        <v>#DIV/0!</v>
      </c>
      <c r="O153" s="52" t="e">
        <f t="shared" si="52"/>
        <v>#DIV/0!</v>
      </c>
      <c r="P153" s="85" t="e">
        <f t="shared" si="52"/>
        <v>#DIV/0!</v>
      </c>
    </row>
    <row r="154" spans="1:16" x14ac:dyDescent="0.35">
      <c r="A154" s="41">
        <f>Dashboard!A160</f>
        <v>3</v>
      </c>
      <c r="B154" s="41" t="str">
        <f>Dashboard!B160</f>
        <v>MAI-MAHIU - KSH/M3</v>
      </c>
      <c r="C154" s="41" t="str">
        <f>Dashboard!C160</f>
        <v>Ksh/M3</v>
      </c>
      <c r="E154" s="52">
        <f t="shared" si="40"/>
        <v>129.52372980664603</v>
      </c>
      <c r="F154" s="52">
        <f t="shared" si="42"/>
        <v>133.26089379248859</v>
      </c>
      <c r="G154" s="52">
        <f t="shared" ref="G154:P154" si="53">G137/G120</f>
        <v>131.35343053940423</v>
      </c>
      <c r="H154" s="52">
        <f t="shared" si="53"/>
        <v>130.78923937929281</v>
      </c>
      <c r="I154" s="52">
        <f t="shared" si="53"/>
        <v>131.00940897049421</v>
      </c>
      <c r="J154" s="52">
        <f t="shared" si="53"/>
        <v>131.86279180562173</v>
      </c>
      <c r="K154" s="52">
        <f t="shared" si="53"/>
        <v>132.17274857716774</v>
      </c>
      <c r="L154" s="52">
        <f t="shared" si="53"/>
        <v>133.29191734240126</v>
      </c>
      <c r="M154" s="52" t="e">
        <f t="shared" si="53"/>
        <v>#DIV/0!</v>
      </c>
      <c r="N154" s="85" t="e">
        <f t="shared" si="53"/>
        <v>#DIV/0!</v>
      </c>
      <c r="O154" s="52" t="e">
        <f t="shared" si="53"/>
        <v>#DIV/0!</v>
      </c>
      <c r="P154" s="85" t="e">
        <f t="shared" si="53"/>
        <v>#DIV/0!</v>
      </c>
    </row>
    <row r="155" spans="1:16" x14ac:dyDescent="0.35">
      <c r="A155" s="41">
        <f>Dashboard!A161</f>
        <v>4</v>
      </c>
      <c r="B155" s="41" t="str">
        <f>Dashboard!B161</f>
        <v>LONGONOT - KSH/M3</v>
      </c>
      <c r="C155" s="41" t="str">
        <f>Dashboard!C161</f>
        <v>Ksh/M3</v>
      </c>
      <c r="E155" s="52">
        <f t="shared" si="40"/>
        <v>122.91198245132986</v>
      </c>
      <c r="F155" s="52">
        <f t="shared" si="42"/>
        <v>123.7152115897827</v>
      </c>
      <c r="G155" s="52">
        <f t="shared" ref="G155:P155" si="54">G138/G121</f>
        <v>121.31408176508761</v>
      </c>
      <c r="H155" s="52">
        <f t="shared" si="54"/>
        <v>124.05632411067194</v>
      </c>
      <c r="I155" s="52">
        <f t="shared" si="54"/>
        <v>122.1172638436482</v>
      </c>
      <c r="J155" s="52">
        <f t="shared" si="54"/>
        <v>123.4021101992966</v>
      </c>
      <c r="K155" s="52">
        <f t="shared" si="54"/>
        <v>125.19947582993593</v>
      </c>
      <c r="L155" s="52">
        <f t="shared" si="54"/>
        <v>124.69994781701165</v>
      </c>
      <c r="M155" s="52" t="e">
        <f t="shared" si="54"/>
        <v>#DIV/0!</v>
      </c>
      <c r="N155" s="85" t="e">
        <f t="shared" si="54"/>
        <v>#DIV/0!</v>
      </c>
      <c r="O155" s="52" t="e">
        <f t="shared" si="54"/>
        <v>#DIV/0!</v>
      </c>
      <c r="P155" s="85" t="e">
        <f t="shared" si="54"/>
        <v>#DIV/0!</v>
      </c>
    </row>
    <row r="156" spans="1:16" x14ac:dyDescent="0.35">
      <c r="A156" s="41">
        <f>Dashboard!A162</f>
        <v>0</v>
      </c>
      <c r="B156" s="41" t="str">
        <f>Dashboard!B162</f>
        <v xml:space="preserve"> - KSH/M3 SOUTHERN REGION</v>
      </c>
      <c r="C156" s="41" t="str">
        <f>Dashboard!C162</f>
        <v>Ksh/M3</v>
      </c>
      <c r="E156" s="52">
        <f t="shared" si="40"/>
        <v>124.03825342304616</v>
      </c>
      <c r="F156" s="52">
        <f t="shared" si="42"/>
        <v>128.0368718916138</v>
      </c>
      <c r="G156" s="52">
        <f t="shared" ref="G156:P156" si="55">G139/G122</f>
        <v>125.49943967127382</v>
      </c>
      <c r="H156" s="52">
        <f t="shared" si="55"/>
        <v>126.28850340864476</v>
      </c>
      <c r="I156" s="52">
        <f t="shared" si="55"/>
        <v>125.35046178802229</v>
      </c>
      <c r="J156" s="52">
        <f t="shared" si="55"/>
        <v>124.57252110338857</v>
      </c>
      <c r="K156" s="52">
        <f t="shared" si="55"/>
        <v>126.84621327993189</v>
      </c>
      <c r="L156" s="52">
        <f t="shared" si="55"/>
        <v>126.98247973537858</v>
      </c>
      <c r="M156" s="52" t="e">
        <f t="shared" si="55"/>
        <v>#DIV/0!</v>
      </c>
      <c r="N156" s="85" t="e">
        <f t="shared" si="55"/>
        <v>#DIV/0!</v>
      </c>
      <c r="O156" s="52" t="e">
        <f t="shared" si="55"/>
        <v>#DIV/0!</v>
      </c>
      <c r="P156" s="85" t="e">
        <f t="shared" si="55"/>
        <v>#DIV/0!</v>
      </c>
    </row>
    <row r="157" spans="1:16" x14ac:dyDescent="0.35">
      <c r="A157" s="41">
        <f>Dashboard!A164</f>
        <v>1</v>
      </c>
      <c r="B157" s="41" t="str">
        <f>Dashboard!B164</f>
        <v>KAYOLE - KSH/M3</v>
      </c>
      <c r="C157" s="41" t="str">
        <f>Dashboard!C164</f>
        <v>Ksh/M3</v>
      </c>
      <c r="E157" s="52">
        <f t="shared" si="40"/>
        <v>123.78631528814097</v>
      </c>
      <c r="F157" s="52">
        <f t="shared" si="42"/>
        <v>122.91388540083273</v>
      </c>
      <c r="G157" s="52">
        <f t="shared" ref="G157:P157" si="56">G140/G123</f>
        <v>122.34974142884505</v>
      </c>
      <c r="H157" s="52">
        <f t="shared" si="56"/>
        <v>123.26305186008545</v>
      </c>
      <c r="I157" s="52">
        <f t="shared" si="56"/>
        <v>122.45023032245143</v>
      </c>
      <c r="J157" s="52">
        <f t="shared" si="56"/>
        <v>122.82637025680337</v>
      </c>
      <c r="K157" s="52">
        <f t="shared" si="56"/>
        <v>122.57498950631236</v>
      </c>
      <c r="L157" s="52">
        <f t="shared" si="56"/>
        <v>122.68679922260428</v>
      </c>
      <c r="M157" s="52" t="e">
        <f t="shared" si="56"/>
        <v>#DIV/0!</v>
      </c>
      <c r="N157" s="85" t="e">
        <f t="shared" si="56"/>
        <v>#DIV/0!</v>
      </c>
      <c r="O157" s="52" t="e">
        <f t="shared" si="56"/>
        <v>#DIV/0!</v>
      </c>
      <c r="P157" s="85" t="e">
        <f t="shared" si="56"/>
        <v>#DIV/0!</v>
      </c>
    </row>
    <row r="158" spans="1:16" x14ac:dyDescent="0.35">
      <c r="A158" s="41">
        <f>Dashboard!A165</f>
        <v>2</v>
      </c>
      <c r="B158" s="41" t="str">
        <f>Dashboard!B165</f>
        <v>IHINDU - KSH/M3</v>
      </c>
      <c r="C158" s="41" t="str">
        <f>Dashboard!C165</f>
        <v>Ksh/M3</v>
      </c>
      <c r="E158" s="52">
        <f t="shared" ref="E158:P159" si="57">E141/E124</f>
        <v>100.69444444444444</v>
      </c>
      <c r="F158" s="52">
        <f t="shared" si="57"/>
        <v>101.11940298507463</v>
      </c>
      <c r="G158" s="52">
        <f t="shared" si="57"/>
        <v>102.02898550724638</v>
      </c>
      <c r="H158" s="52" t="e">
        <f t="shared" si="57"/>
        <v>#DIV/0!</v>
      </c>
      <c r="I158" s="52">
        <f t="shared" si="57"/>
        <v>100</v>
      </c>
      <c r="J158" s="52">
        <f t="shared" si="57"/>
        <v>101.21212121212122</v>
      </c>
      <c r="K158" s="52">
        <f t="shared" si="57"/>
        <v>102.87234042553192</v>
      </c>
      <c r="L158" s="52">
        <f t="shared" si="57"/>
        <v>103.06532663316582</v>
      </c>
      <c r="M158" s="52" t="e">
        <f t="shared" si="57"/>
        <v>#DIV/0!</v>
      </c>
      <c r="N158" s="52" t="e">
        <f t="shared" si="57"/>
        <v>#DIV/0!</v>
      </c>
      <c r="O158" s="52" t="e">
        <f t="shared" si="57"/>
        <v>#DIV/0!</v>
      </c>
      <c r="P158" s="52" t="e">
        <f t="shared" si="57"/>
        <v>#DIV/0!</v>
      </c>
    </row>
    <row r="159" spans="1:16" x14ac:dyDescent="0.35">
      <c r="A159" s="41">
        <f>Dashboard!A166</f>
        <v>0</v>
      </c>
      <c r="B159" s="41" t="str">
        <f>Dashboard!B166</f>
        <v xml:space="preserve"> - KSH/M3 EASTERN REGION</v>
      </c>
      <c r="C159" s="41" t="str">
        <f>Dashboard!C166</f>
        <v>Ksh/M3</v>
      </c>
      <c r="E159" s="52">
        <f t="shared" si="57"/>
        <v>123.73364589603067</v>
      </c>
      <c r="F159" s="52">
        <f t="shared" si="57"/>
        <v>122.81780497433873</v>
      </c>
      <c r="G159" s="52">
        <f t="shared" si="57"/>
        <v>122.24288381663682</v>
      </c>
      <c r="H159" s="52">
        <f t="shared" si="57"/>
        <v>123.26305186008545</v>
      </c>
      <c r="I159" s="52">
        <f t="shared" si="57"/>
        <v>122.44933109028278</v>
      </c>
      <c r="J159" s="52">
        <f t="shared" si="57"/>
        <v>122.71756540309664</v>
      </c>
      <c r="K159" s="52">
        <f t="shared" si="57"/>
        <v>122.39720986785268</v>
      </c>
      <c r="L159" s="52">
        <f t="shared" si="57"/>
        <v>122.57074069670669</v>
      </c>
      <c r="M159" s="52" t="e">
        <f t="shared" si="57"/>
        <v>#DIV/0!</v>
      </c>
      <c r="N159" s="52" t="e">
        <f t="shared" si="57"/>
        <v>#DIV/0!</v>
      </c>
      <c r="O159" s="52" t="e">
        <f t="shared" si="57"/>
        <v>#DIV/0!</v>
      </c>
      <c r="P159" s="52" t="e">
        <f t="shared" si="57"/>
        <v>#DIV/0!</v>
      </c>
    </row>
    <row r="160" spans="1:16" s="40" customFormat="1" x14ac:dyDescent="0.35">
      <c r="A160" s="40" t="str">
        <f>Dashboard!A167</f>
        <v>TOTAL SALES SEWER - KSH.</v>
      </c>
    </row>
    <row r="161" spans="1:17" x14ac:dyDescent="0.35">
      <c r="A161" s="41">
        <f>Dashboard!A168</f>
        <v>1</v>
      </c>
      <c r="B161" s="41" t="str">
        <f>Dashboard!B168</f>
        <v>CBD - SEWER(KES)</v>
      </c>
      <c r="C161" s="41" t="str">
        <f>Dashboard!C168</f>
        <v>Ksh</v>
      </c>
      <c r="E161" s="79">
        <v>1879087.7</v>
      </c>
      <c r="F161" s="79">
        <v>2186275.2000000002</v>
      </c>
      <c r="G161" s="79">
        <v>2055082.7</v>
      </c>
      <c r="H161" s="79">
        <v>2107947.7000000002</v>
      </c>
      <c r="I161" s="79">
        <v>1855425.2</v>
      </c>
      <c r="J161" s="79">
        <v>1700500.5</v>
      </c>
      <c r="K161" s="79">
        <v>2758407.7</v>
      </c>
      <c r="L161" s="79">
        <v>2163125.2000000002</v>
      </c>
      <c r="M161" s="79"/>
      <c r="N161" s="79"/>
      <c r="O161" s="79"/>
      <c r="P161" s="79"/>
    </row>
    <row r="162" spans="1:17" x14ac:dyDescent="0.35">
      <c r="A162" s="41">
        <f>Dashboard!A169</f>
        <v>2</v>
      </c>
      <c r="B162" s="41" t="str">
        <f>Dashboard!B169</f>
        <v>CCCR- SEWER(KES)</v>
      </c>
      <c r="C162" s="41" t="str">
        <f>Dashboard!C169</f>
        <v>Ksh</v>
      </c>
      <c r="E162" s="79">
        <v>2298467.6</v>
      </c>
      <c r="F162" s="79">
        <v>2188802.6</v>
      </c>
      <c r="G162" s="79">
        <v>1957705.1</v>
      </c>
      <c r="H162" s="79">
        <v>2053492.6</v>
      </c>
      <c r="I162" s="79">
        <v>2035522.6</v>
      </c>
      <c r="J162" s="79">
        <v>1905857.6</v>
      </c>
      <c r="K162" s="79">
        <v>2170877.6</v>
      </c>
      <c r="L162" s="79">
        <v>2014342.6</v>
      </c>
      <c r="M162" s="79"/>
      <c r="N162" s="79"/>
      <c r="O162" s="79"/>
      <c r="P162" s="79"/>
    </row>
    <row r="163" spans="1:17" x14ac:dyDescent="0.35">
      <c r="A163" s="41">
        <f>Dashboard!A170</f>
        <v>3</v>
      </c>
      <c r="B163" s="41" t="str">
        <f>Dashboard!B170</f>
        <v>KABATI- SEWER(KES)</v>
      </c>
      <c r="C163" s="41" t="str">
        <f>Dashboard!C170</f>
        <v>Ksh</v>
      </c>
      <c r="E163" s="79">
        <v>410922.5</v>
      </c>
      <c r="F163" s="79">
        <v>498605</v>
      </c>
      <c r="G163" s="79">
        <v>519187.5</v>
      </c>
      <c r="H163" s="79">
        <v>506627.5</v>
      </c>
      <c r="I163" s="79">
        <v>451342.5</v>
      </c>
      <c r="J163" s="79">
        <v>407750</v>
      </c>
      <c r="K163" s="79">
        <v>628212.5</v>
      </c>
      <c r="L163" s="79">
        <v>496112.5</v>
      </c>
      <c r="M163" s="79"/>
      <c r="N163" s="79"/>
      <c r="O163" s="79"/>
      <c r="P163" s="79"/>
    </row>
    <row r="164" spans="1:17" x14ac:dyDescent="0.35">
      <c r="A164" s="41">
        <f>Dashboard!A171</f>
        <v>4</v>
      </c>
      <c r="B164" s="41" t="str">
        <f>Dashboard!B171</f>
        <v>SITE- SEWER(KES)</v>
      </c>
      <c r="C164" s="41" t="str">
        <f>Dashboard!C171</f>
        <v>Ksh</v>
      </c>
      <c r="E164" s="79">
        <v>514120.7</v>
      </c>
      <c r="F164" s="79">
        <v>573548.19999999995</v>
      </c>
      <c r="G164" s="79">
        <v>603948.19999999995</v>
      </c>
      <c r="H164" s="79">
        <v>602835.69999999995</v>
      </c>
      <c r="I164" s="79">
        <v>528985.69999999995</v>
      </c>
      <c r="J164" s="79">
        <v>450343.2</v>
      </c>
      <c r="K164" s="79">
        <v>694193.2</v>
      </c>
      <c r="L164" s="79">
        <v>555623.19999999995</v>
      </c>
      <c r="M164" s="79"/>
      <c r="N164" s="79"/>
      <c r="O164" s="79"/>
      <c r="P164" s="79"/>
    </row>
    <row r="165" spans="1:17" x14ac:dyDescent="0.35">
      <c r="A165" s="41">
        <f>Dashboard!A172</f>
        <v>5</v>
      </c>
      <c r="B165" s="41" t="str">
        <f>Dashboard!B172</f>
        <v>KIHOTO- SEWER(KES)</v>
      </c>
      <c r="C165" s="41" t="str">
        <f>Dashboard!C172</f>
        <v>Ksh</v>
      </c>
      <c r="E165" s="50">
        <v>0</v>
      </c>
      <c r="F165" s="50">
        <v>0</v>
      </c>
      <c r="G165" s="50">
        <v>0</v>
      </c>
      <c r="H165" s="50">
        <v>0</v>
      </c>
      <c r="I165" s="50">
        <v>0</v>
      </c>
      <c r="J165" s="50">
        <v>0</v>
      </c>
      <c r="K165" s="50">
        <v>0</v>
      </c>
      <c r="L165" s="50">
        <v>0</v>
      </c>
      <c r="M165" s="50"/>
      <c r="N165" s="63"/>
      <c r="O165" s="50"/>
      <c r="P165" s="63"/>
    </row>
    <row r="166" spans="1:17" x14ac:dyDescent="0.35">
      <c r="A166" s="41">
        <f>Dashboard!A173</f>
        <v>6</v>
      </c>
      <c r="B166" s="41" t="str">
        <f>Dashboard!B173</f>
        <v>LAKEVIEW- SEWER(KES)</v>
      </c>
      <c r="C166" s="41" t="str">
        <f>Dashboard!C173</f>
        <v>Ksh</v>
      </c>
      <c r="E166" s="79">
        <v>457647.5</v>
      </c>
      <c r="F166" s="79">
        <v>470207.5</v>
      </c>
      <c r="G166" s="79">
        <v>472407.5</v>
      </c>
      <c r="H166" s="79">
        <v>449707.5</v>
      </c>
      <c r="I166" s="79">
        <v>371902.5</v>
      </c>
      <c r="J166" s="79">
        <v>322980</v>
      </c>
      <c r="K166" s="79">
        <v>572035</v>
      </c>
      <c r="L166" s="79">
        <v>463900</v>
      </c>
      <c r="M166" s="79"/>
      <c r="N166" s="79"/>
      <c r="O166" s="79"/>
      <c r="P166" s="79"/>
    </row>
    <row r="167" spans="1:17" x14ac:dyDescent="0.35">
      <c r="A167" s="41">
        <f>Dashboard!A174</f>
        <v>7</v>
      </c>
      <c r="B167" s="41" t="str">
        <f>Dashboard!B174</f>
        <v>HOPEWELL- SEWER(KES)</v>
      </c>
      <c r="C167" s="41" t="str">
        <f>Dashboard!C174</f>
        <v>Ksh</v>
      </c>
      <c r="E167" s="79">
        <v>700</v>
      </c>
      <c r="F167" s="79">
        <v>700</v>
      </c>
      <c r="G167" s="79">
        <v>700</v>
      </c>
      <c r="H167" s="79">
        <v>700</v>
      </c>
      <c r="I167" s="79">
        <v>700</v>
      </c>
      <c r="J167" s="79">
        <v>700</v>
      </c>
      <c r="K167" s="79">
        <v>700</v>
      </c>
      <c r="L167" s="79">
        <v>700</v>
      </c>
      <c r="M167" s="79"/>
      <c r="N167" s="79"/>
      <c r="O167" s="79"/>
      <c r="P167" s="82"/>
    </row>
    <row r="168" spans="1:17" s="40" customFormat="1" x14ac:dyDescent="0.35">
      <c r="A168" s="40">
        <f>Dashboard!A175</f>
        <v>0</v>
      </c>
      <c r="B168" s="40" t="str">
        <f>Dashboard!B175</f>
        <v>TOTAL SEWER SALES-CENTRAL</v>
      </c>
      <c r="C168" s="40" t="str">
        <f>Dashboard!C175</f>
        <v>Ksh</v>
      </c>
      <c r="E168" s="64">
        <f>SUM(E161:E167)</f>
        <v>5560946</v>
      </c>
      <c r="F168" s="64">
        <f t="shared" ref="F168:P168" si="58">SUM(F161:F167)</f>
        <v>5918138.5000000009</v>
      </c>
      <c r="G168" s="64">
        <f t="shared" si="58"/>
        <v>5609031</v>
      </c>
      <c r="H168" s="64">
        <f t="shared" si="58"/>
        <v>5721311.0000000009</v>
      </c>
      <c r="I168" s="64">
        <f t="shared" si="58"/>
        <v>5243878.5</v>
      </c>
      <c r="J168" s="64">
        <f t="shared" si="58"/>
        <v>4788131.3</v>
      </c>
      <c r="K168" s="64">
        <f t="shared" si="58"/>
        <v>6824426.0000000009</v>
      </c>
      <c r="L168" s="64">
        <f t="shared" si="58"/>
        <v>5693803.5000000009</v>
      </c>
      <c r="M168" s="64">
        <f t="shared" si="58"/>
        <v>0</v>
      </c>
      <c r="N168" s="64">
        <f t="shared" si="58"/>
        <v>0</v>
      </c>
      <c r="O168" s="64">
        <f t="shared" si="58"/>
        <v>0</v>
      </c>
      <c r="P168" s="64">
        <f t="shared" si="58"/>
        <v>0</v>
      </c>
    </row>
    <row r="169" spans="1:17" x14ac:dyDescent="0.35">
      <c r="A169" s="41">
        <f>Dashboard!A176</f>
        <v>1</v>
      </c>
      <c r="B169" s="41" t="str">
        <f>Dashboard!B176</f>
        <v>HELLSGATE- SEWER(KES)</v>
      </c>
      <c r="C169" s="41" t="str">
        <f>Dashboard!C176</f>
        <v>Ksh</v>
      </c>
      <c r="E169" s="50">
        <v>0</v>
      </c>
      <c r="F169" s="50">
        <v>0</v>
      </c>
      <c r="G169" s="50">
        <v>0</v>
      </c>
      <c r="H169" s="50">
        <v>0</v>
      </c>
      <c r="I169" s="50">
        <v>0</v>
      </c>
      <c r="J169" s="50">
        <v>0</v>
      </c>
      <c r="K169" s="50">
        <v>0</v>
      </c>
      <c r="L169" s="50">
        <v>0</v>
      </c>
      <c r="M169" s="50">
        <v>0</v>
      </c>
      <c r="N169" s="63">
        <v>0</v>
      </c>
      <c r="O169" s="50">
        <v>0</v>
      </c>
      <c r="P169" s="63">
        <v>0</v>
      </c>
    </row>
    <row r="170" spans="1:17" x14ac:dyDescent="0.35">
      <c r="A170" s="41">
        <f>Dashboard!A177</f>
        <v>2</v>
      </c>
      <c r="B170" s="41" t="str">
        <f>Dashboard!B177</f>
        <v>KAMERE- SEWER(KES)</v>
      </c>
      <c r="C170" s="41" t="str">
        <f>Dashboard!C177</f>
        <v>Ksh</v>
      </c>
      <c r="E170" s="50">
        <v>0</v>
      </c>
      <c r="F170" s="50">
        <v>0</v>
      </c>
      <c r="G170" s="50">
        <v>0</v>
      </c>
      <c r="H170" s="50">
        <v>0</v>
      </c>
      <c r="I170" s="50">
        <v>0</v>
      </c>
      <c r="J170" s="50">
        <v>0</v>
      </c>
      <c r="K170" s="50">
        <v>0</v>
      </c>
      <c r="L170" s="50">
        <v>0</v>
      </c>
      <c r="M170" s="50">
        <v>0</v>
      </c>
      <c r="N170" s="63">
        <v>0</v>
      </c>
      <c r="O170" s="50">
        <v>0</v>
      </c>
      <c r="P170" s="63">
        <v>0</v>
      </c>
    </row>
    <row r="171" spans="1:17" x14ac:dyDescent="0.35">
      <c r="A171" s="41">
        <f>Dashboard!A178</f>
        <v>3</v>
      </c>
      <c r="B171" s="41" t="str">
        <f>Dashboard!B178</f>
        <v>MAI-MAHIU- SEWER(KES)</v>
      </c>
      <c r="C171" s="41" t="str">
        <f>Dashboard!C178</f>
        <v>Ksh</v>
      </c>
      <c r="E171" s="50">
        <v>0</v>
      </c>
      <c r="F171" s="50">
        <v>0</v>
      </c>
      <c r="G171" s="50">
        <v>0</v>
      </c>
      <c r="H171" s="50">
        <v>0</v>
      </c>
      <c r="I171" s="50">
        <v>0</v>
      </c>
      <c r="J171" s="50">
        <v>0</v>
      </c>
      <c r="K171" s="50">
        <v>0</v>
      </c>
      <c r="L171" s="50">
        <v>0</v>
      </c>
      <c r="M171" s="50">
        <v>0</v>
      </c>
      <c r="N171" s="63">
        <v>0</v>
      </c>
      <c r="O171" s="50">
        <v>0</v>
      </c>
      <c r="P171" s="63">
        <v>0</v>
      </c>
    </row>
    <row r="172" spans="1:17" s="40" customFormat="1" x14ac:dyDescent="0.35">
      <c r="A172" s="40">
        <f>Dashboard!A179</f>
        <v>0</v>
      </c>
      <c r="B172" s="40" t="str">
        <f>Dashboard!B179</f>
        <v>TOTAL SEWER SALES-SOUTHERN</v>
      </c>
      <c r="C172" s="40" t="str">
        <f>Dashboard!C179</f>
        <v>Ksh</v>
      </c>
      <c r="D172" s="40">
        <v>0</v>
      </c>
      <c r="E172" s="64">
        <f t="shared" ref="E172:P172" si="59">SUM(E169:E171)</f>
        <v>0</v>
      </c>
      <c r="F172" s="64">
        <f t="shared" si="59"/>
        <v>0</v>
      </c>
      <c r="G172" s="64">
        <f t="shared" si="59"/>
        <v>0</v>
      </c>
      <c r="H172" s="64">
        <f t="shared" si="59"/>
        <v>0</v>
      </c>
      <c r="I172" s="64">
        <f t="shared" si="59"/>
        <v>0</v>
      </c>
      <c r="J172" s="64">
        <f t="shared" si="59"/>
        <v>0</v>
      </c>
      <c r="K172" s="64">
        <f t="shared" si="59"/>
        <v>0</v>
      </c>
      <c r="L172" s="64">
        <f t="shared" si="59"/>
        <v>0</v>
      </c>
      <c r="M172" s="64">
        <f t="shared" si="59"/>
        <v>0</v>
      </c>
      <c r="N172" s="64">
        <f t="shared" si="59"/>
        <v>0</v>
      </c>
      <c r="O172" s="64">
        <f t="shared" si="59"/>
        <v>0</v>
      </c>
      <c r="P172" s="64">
        <f t="shared" si="59"/>
        <v>0</v>
      </c>
    </row>
    <row r="173" spans="1:17" x14ac:dyDescent="0.35">
      <c r="A173" s="41">
        <f>Dashboard!A181</f>
        <v>1</v>
      </c>
      <c r="B173" s="41" t="str">
        <f>Dashboard!B181</f>
        <v>KAYOLE- SEWER(KES)</v>
      </c>
      <c r="C173" s="41" t="str">
        <f>Dashboard!C181</f>
        <v>Ksh</v>
      </c>
      <c r="E173" s="79">
        <v>142375</v>
      </c>
      <c r="F173" s="79">
        <v>128227.5</v>
      </c>
      <c r="G173" s="79">
        <v>111505</v>
      </c>
      <c r="H173" s="79">
        <v>110110</v>
      </c>
      <c r="I173" s="79">
        <v>99255</v>
      </c>
      <c r="J173" s="79">
        <v>117272.5</v>
      </c>
      <c r="K173" s="79">
        <v>133717.5</v>
      </c>
      <c r="L173" s="79">
        <v>132787.5</v>
      </c>
      <c r="M173" s="79"/>
      <c r="N173" s="79"/>
      <c r="O173" s="79"/>
      <c r="P173" s="79"/>
    </row>
    <row r="174" spans="1:17" s="40" customFormat="1" x14ac:dyDescent="0.35">
      <c r="A174" s="40" t="str">
        <f>Dashboard!A182</f>
        <v>SUMMARY SALES</v>
      </c>
    </row>
    <row r="175" spans="1:17" x14ac:dyDescent="0.35">
      <c r="A175" s="41">
        <f>Dashboard!A183</f>
        <v>1</v>
      </c>
      <c r="B175" s="41" t="str">
        <f>Dashboard!B183</f>
        <v>TOTAL VOLUME BILLED</v>
      </c>
      <c r="C175" s="41" t="str">
        <f>Dashboard!C183</f>
        <v>M3</v>
      </c>
      <c r="E175" s="53">
        <f>E117+E122+E125</f>
        <v>146435</v>
      </c>
      <c r="F175" s="53">
        <f t="shared" ref="F175:P175" si="60">F117+F122+F125</f>
        <v>173295</v>
      </c>
      <c r="G175" s="53">
        <f t="shared" si="60"/>
        <v>145988</v>
      </c>
      <c r="H175" s="53">
        <f t="shared" si="60"/>
        <v>171125</v>
      </c>
      <c r="I175" s="53">
        <f t="shared" si="60"/>
        <v>135132</v>
      </c>
      <c r="J175" s="53">
        <f t="shared" si="60"/>
        <v>131036</v>
      </c>
      <c r="K175" s="53">
        <f t="shared" si="60"/>
        <v>200570</v>
      </c>
      <c r="L175" s="53">
        <f t="shared" si="60"/>
        <v>172265</v>
      </c>
      <c r="M175" s="53">
        <f t="shared" si="60"/>
        <v>0</v>
      </c>
      <c r="N175" s="53">
        <f t="shared" si="60"/>
        <v>0</v>
      </c>
      <c r="O175" s="53">
        <f t="shared" si="60"/>
        <v>0</v>
      </c>
      <c r="P175" s="53">
        <f t="shared" si="60"/>
        <v>0</v>
      </c>
      <c r="Q175" s="53"/>
    </row>
    <row r="176" spans="1:17" x14ac:dyDescent="0.35">
      <c r="A176" s="41">
        <f>Dashboard!A184</f>
        <v>2</v>
      </c>
      <c r="B176" s="41" t="str">
        <f>Dashboard!B184</f>
        <v>TOTAL WATER SALES</v>
      </c>
      <c r="C176" s="41" t="str">
        <f>Dashboard!C184</f>
        <v>Ksh</v>
      </c>
      <c r="E176" s="53">
        <f>E134+E139+E142</f>
        <v>18389070</v>
      </c>
      <c r="F176" s="53">
        <f t="shared" ref="F176:P176" si="61">F134+F139+F142</f>
        <v>22070060</v>
      </c>
      <c r="G176" s="53">
        <f t="shared" si="61"/>
        <v>18397530</v>
      </c>
      <c r="H176" s="53">
        <f t="shared" si="61"/>
        <v>21684080</v>
      </c>
      <c r="I176" s="53">
        <f t="shared" si="61"/>
        <v>17036780</v>
      </c>
      <c r="J176" s="53">
        <f t="shared" si="61"/>
        <v>16441310</v>
      </c>
      <c r="K176" s="53">
        <f t="shared" si="61"/>
        <v>25608070</v>
      </c>
      <c r="L176" s="53">
        <f t="shared" si="61"/>
        <v>21831150</v>
      </c>
      <c r="M176" s="53">
        <f t="shared" si="61"/>
        <v>0</v>
      </c>
      <c r="N176" s="53">
        <f t="shared" si="61"/>
        <v>0</v>
      </c>
      <c r="O176" s="53">
        <f t="shared" si="61"/>
        <v>0</v>
      </c>
      <c r="P176" s="53">
        <f t="shared" si="61"/>
        <v>0</v>
      </c>
      <c r="Q176" s="53"/>
    </row>
    <row r="177" spans="1:17" x14ac:dyDescent="0.35">
      <c r="A177" s="41">
        <f>Dashboard!A185</f>
        <v>3</v>
      </c>
      <c r="B177" s="41" t="str">
        <f>Dashboard!B185</f>
        <v>TOTAL SEWER SALES</v>
      </c>
      <c r="C177" s="41" t="str">
        <f>Dashboard!C185</f>
        <v>Ksh</v>
      </c>
      <c r="E177" s="53">
        <f>E168+E172+E173</f>
        <v>5703321</v>
      </c>
      <c r="F177" s="53">
        <f>F168+F172+F173</f>
        <v>6046366.0000000009</v>
      </c>
      <c r="G177" s="53">
        <f t="shared" ref="G177:P177" si="62">G168+G172+G173</f>
        <v>5720536</v>
      </c>
      <c r="H177" s="53">
        <f t="shared" si="62"/>
        <v>5831421.0000000009</v>
      </c>
      <c r="I177" s="53">
        <f t="shared" si="62"/>
        <v>5343133.5</v>
      </c>
      <c r="J177" s="53">
        <f t="shared" si="62"/>
        <v>4905403.8</v>
      </c>
      <c r="K177" s="53">
        <f t="shared" si="62"/>
        <v>6958143.5000000009</v>
      </c>
      <c r="L177" s="53">
        <f t="shared" si="62"/>
        <v>5826591.0000000009</v>
      </c>
      <c r="M177" s="53">
        <f t="shared" si="62"/>
        <v>0</v>
      </c>
      <c r="N177" s="81">
        <f t="shared" si="62"/>
        <v>0</v>
      </c>
      <c r="O177" s="53">
        <f t="shared" si="62"/>
        <v>0</v>
      </c>
      <c r="P177" s="81">
        <f t="shared" si="62"/>
        <v>0</v>
      </c>
      <c r="Q177" s="53"/>
    </row>
    <row r="178" spans="1:17" x14ac:dyDescent="0.35">
      <c r="B178" s="41" t="str">
        <f>Dashboard!B186</f>
        <v>TOTAL WATER &amp; SEWER SALES</v>
      </c>
      <c r="D178" s="41">
        <f>D176+D177</f>
        <v>0</v>
      </c>
      <c r="E178" s="41">
        <f t="shared" ref="E178:P178" si="63">E176+E177</f>
        <v>24092391</v>
      </c>
      <c r="F178" s="41">
        <f t="shared" si="63"/>
        <v>28116426</v>
      </c>
      <c r="G178" s="41">
        <f t="shared" si="63"/>
        <v>24118066</v>
      </c>
      <c r="H178" s="41">
        <f t="shared" si="63"/>
        <v>27515501</v>
      </c>
      <c r="I178" s="41">
        <f t="shared" si="63"/>
        <v>22379913.5</v>
      </c>
      <c r="J178" s="41">
        <f t="shared" si="63"/>
        <v>21346713.800000001</v>
      </c>
      <c r="K178" s="41">
        <f t="shared" si="63"/>
        <v>32566213.5</v>
      </c>
      <c r="L178" s="41">
        <f t="shared" si="63"/>
        <v>27657741</v>
      </c>
      <c r="M178" s="41">
        <f t="shared" si="63"/>
        <v>0</v>
      </c>
      <c r="N178" s="80">
        <f t="shared" si="63"/>
        <v>0</v>
      </c>
      <c r="O178" s="41">
        <f t="shared" si="63"/>
        <v>0</v>
      </c>
      <c r="P178" s="80">
        <f t="shared" si="63"/>
        <v>0</v>
      </c>
      <c r="Q178" s="53"/>
    </row>
    <row r="179" spans="1:17" x14ac:dyDescent="0.35">
      <c r="A179" s="41">
        <f>Dashboard!A187</f>
        <v>4</v>
      </c>
      <c r="B179" s="41" t="str">
        <f>Dashboard!B187</f>
        <v>AVG TARIFF WATER (KSH/M3)</v>
      </c>
      <c r="C179" s="41" t="str">
        <f>Dashboard!C187</f>
        <v>Ksh/M3</v>
      </c>
      <c r="E179" s="52">
        <f>E176/E175</f>
        <v>125.57837948577867</v>
      </c>
      <c r="F179" s="52">
        <f>F176/F175</f>
        <v>127.35543437490983</v>
      </c>
      <c r="G179" s="52">
        <f t="shared" ref="G179:P179" si="64">G176/G175</f>
        <v>126.02083732909554</v>
      </c>
      <c r="H179" s="52">
        <f t="shared" si="64"/>
        <v>126.71485756026297</v>
      </c>
      <c r="I179" s="52">
        <f t="shared" si="64"/>
        <v>126.07509694224906</v>
      </c>
      <c r="J179" s="52">
        <f t="shared" si="64"/>
        <v>125.4717024329192</v>
      </c>
      <c r="K179" s="52">
        <f t="shared" si="64"/>
        <v>127.67647205464426</v>
      </c>
      <c r="L179" s="52">
        <f t="shared" si="64"/>
        <v>126.73003802281369</v>
      </c>
      <c r="M179" s="52" t="e">
        <f t="shared" si="64"/>
        <v>#DIV/0!</v>
      </c>
      <c r="N179" s="85" t="e">
        <f t="shared" si="64"/>
        <v>#DIV/0!</v>
      </c>
      <c r="O179" s="52" t="e">
        <f t="shared" si="64"/>
        <v>#DIV/0!</v>
      </c>
      <c r="P179" s="85" t="e">
        <f t="shared" si="64"/>
        <v>#DIV/0!</v>
      </c>
      <c r="Q179" s="53"/>
    </row>
    <row r="180" spans="1:17" x14ac:dyDescent="0.35">
      <c r="A180" s="41">
        <f>Dashboard!A188</f>
        <v>5</v>
      </c>
      <c r="B180" s="41" t="str">
        <f>Dashboard!B188</f>
        <v>AVG TARIFF SEWER (KSH/NO.)</v>
      </c>
      <c r="C180" s="41" t="str">
        <f>Dashboard!C188</f>
        <v>ksh/No</v>
      </c>
      <c r="E180" s="52">
        <f t="shared" ref="E180:P180" si="65">E177/E105</f>
        <v>3116.5688524590164</v>
      </c>
      <c r="F180" s="52">
        <f t="shared" si="65"/>
        <v>3291.4349482852481</v>
      </c>
      <c r="G180" s="52">
        <f t="shared" si="65"/>
        <v>3110.6775421424686</v>
      </c>
      <c r="H180" s="52">
        <f t="shared" si="65"/>
        <v>3177.8861035422347</v>
      </c>
      <c r="I180" s="52">
        <f t="shared" si="65"/>
        <v>2910.2034313725489</v>
      </c>
      <c r="J180" s="52">
        <f t="shared" si="65"/>
        <v>2658.7554471544713</v>
      </c>
      <c r="K180" s="52">
        <f t="shared" si="65"/>
        <v>3759.1266882766076</v>
      </c>
      <c r="L180" s="52">
        <f t="shared" si="65"/>
        <v>3147.8071312803895</v>
      </c>
      <c r="M180" s="52" t="e">
        <f t="shared" si="65"/>
        <v>#DIV/0!</v>
      </c>
      <c r="N180" s="85" t="e">
        <f t="shared" si="65"/>
        <v>#DIV/0!</v>
      </c>
      <c r="O180" s="52" t="e">
        <f t="shared" si="65"/>
        <v>#DIV/0!</v>
      </c>
      <c r="P180" s="85" t="e">
        <f t="shared" si="65"/>
        <v>#DIV/0!</v>
      </c>
      <c r="Q180" s="53"/>
    </row>
    <row r="181" spans="1:17" x14ac:dyDescent="0.35">
      <c r="A181" s="41" t="str">
        <f>Dashboard!A189</f>
        <v>METER READING EFFICIENCY</v>
      </c>
      <c r="C181" s="41">
        <f>Dashboard!C189</f>
        <v>0</v>
      </c>
      <c r="E181" s="52"/>
      <c r="F181" s="52"/>
      <c r="G181" s="52"/>
      <c r="H181" s="52"/>
      <c r="I181" s="52"/>
      <c r="J181" s="52"/>
      <c r="K181" s="52"/>
      <c r="L181" s="52"/>
      <c r="M181" s="52"/>
      <c r="N181" s="85"/>
      <c r="O181" s="52"/>
      <c r="P181" s="85"/>
      <c r="Q181" s="53"/>
    </row>
    <row r="182" spans="1:17" x14ac:dyDescent="0.35">
      <c r="A182" s="41">
        <f>Dashboard!A190</f>
        <v>1</v>
      </c>
      <c r="B182" s="41" t="str">
        <f>Dashboard!B190</f>
        <v>Meters Read</v>
      </c>
      <c r="C182" s="41" t="str">
        <f>Dashboard!C190</f>
        <v>No.</v>
      </c>
      <c r="E182" s="358">
        <v>10244</v>
      </c>
      <c r="F182" s="358">
        <v>10292</v>
      </c>
      <c r="G182" s="358">
        <v>10460</v>
      </c>
      <c r="H182" s="358">
        <v>10599</v>
      </c>
      <c r="I182" s="358">
        <v>10672</v>
      </c>
      <c r="J182" s="358">
        <v>10742</v>
      </c>
      <c r="K182" s="358">
        <v>10867</v>
      </c>
      <c r="L182" s="358">
        <v>10971</v>
      </c>
      <c r="M182" s="358"/>
      <c r="N182" s="358"/>
      <c r="O182" s="358"/>
      <c r="P182" s="358"/>
      <c r="Q182" s="53"/>
    </row>
    <row r="183" spans="1:17" x14ac:dyDescent="0.35">
      <c r="A183" s="41">
        <f>Dashboard!A191</f>
        <v>2</v>
      </c>
      <c r="B183" s="41" t="str">
        <f>Dashboard!B191</f>
        <v>Meter Reading Efficiency (%)</v>
      </c>
      <c r="C183" s="41" t="str">
        <f>Dashboard!C191</f>
        <v>%</v>
      </c>
      <c r="E183" s="357">
        <f t="shared" ref="E183:P183" si="66">E182/E104</f>
        <v>0.99388764917046668</v>
      </c>
      <c r="F183" s="357">
        <f t="shared" si="66"/>
        <v>0.98800038398771239</v>
      </c>
      <c r="G183" s="357">
        <f t="shared" si="66"/>
        <v>0.99175120887456147</v>
      </c>
      <c r="H183" s="357">
        <f t="shared" si="66"/>
        <v>0.99427767354596619</v>
      </c>
      <c r="I183" s="357">
        <f t="shared" si="66"/>
        <v>0.99339104533184397</v>
      </c>
      <c r="J183" s="357">
        <f t="shared" si="66"/>
        <v>0.98886127220841391</v>
      </c>
      <c r="K183" s="357">
        <f t="shared" si="66"/>
        <v>0.98952831906756511</v>
      </c>
      <c r="L183" s="357">
        <f t="shared" si="66"/>
        <v>0.98882379450202795</v>
      </c>
      <c r="M183" s="52" t="e">
        <f t="shared" si="66"/>
        <v>#DIV/0!</v>
      </c>
      <c r="N183" s="52" t="e">
        <f t="shared" si="66"/>
        <v>#DIV/0!</v>
      </c>
      <c r="O183" s="52" t="e">
        <f t="shared" si="66"/>
        <v>#DIV/0!</v>
      </c>
      <c r="P183" s="52" t="e">
        <f t="shared" si="66"/>
        <v>#DIV/0!</v>
      </c>
      <c r="Q183" s="53"/>
    </row>
    <row r="184" spans="1:17" x14ac:dyDescent="0.35">
      <c r="A184" s="41" t="str">
        <f>Dashboard!A192</f>
        <v>BILLING EFFICIENCY</v>
      </c>
      <c r="B184" s="41">
        <f>Dashboard!B192</f>
        <v>0</v>
      </c>
      <c r="C184" s="41">
        <f>Dashboard!C192</f>
        <v>0</v>
      </c>
      <c r="E184" s="52"/>
      <c r="F184" s="52"/>
      <c r="G184" s="52"/>
      <c r="H184" s="52"/>
      <c r="I184" s="52"/>
      <c r="J184" s="52"/>
      <c r="K184" s="52"/>
      <c r="L184" s="52"/>
      <c r="M184" s="52"/>
      <c r="N184" s="85"/>
      <c r="O184" s="52"/>
      <c r="P184" s="85"/>
      <c r="Q184" s="53"/>
    </row>
    <row r="185" spans="1:17" x14ac:dyDescent="0.35">
      <c r="A185" s="41">
        <f>Dashboard!A193</f>
        <v>1</v>
      </c>
      <c r="B185" s="41" t="s">
        <v>439</v>
      </c>
      <c r="C185" s="41" t="s">
        <v>439</v>
      </c>
      <c r="E185" s="52">
        <v>10450</v>
      </c>
      <c r="F185" s="52">
        <v>10560</v>
      </c>
      <c r="G185" s="52">
        <v>10690</v>
      </c>
      <c r="H185" s="52">
        <v>10800</v>
      </c>
      <c r="I185" s="52">
        <v>10882</v>
      </c>
      <c r="J185" s="52">
        <v>11001</v>
      </c>
      <c r="K185" s="52">
        <v>11123</v>
      </c>
      <c r="L185" s="52">
        <v>11234</v>
      </c>
      <c r="M185" s="52"/>
      <c r="N185" s="85"/>
      <c r="O185" s="52"/>
      <c r="P185" s="85"/>
      <c r="Q185" s="53"/>
    </row>
    <row r="186" spans="1:17" x14ac:dyDescent="0.35">
      <c r="A186" s="41">
        <f>Dashboard!A194</f>
        <v>1</v>
      </c>
      <c r="B186" s="41" t="str">
        <f>Dashboard!B194</f>
        <v>Accounts Billed</v>
      </c>
      <c r="C186" s="41" t="str">
        <f>Dashboard!C194</f>
        <v>No.</v>
      </c>
      <c r="E186" s="358">
        <v>10387</v>
      </c>
      <c r="F186" s="358">
        <v>10434</v>
      </c>
      <c r="G186" s="358">
        <v>10603</v>
      </c>
      <c r="H186" s="358">
        <v>10739</v>
      </c>
      <c r="I186" s="358">
        <v>10811</v>
      </c>
      <c r="J186" s="358">
        <v>10880</v>
      </c>
      <c r="K186" s="358">
        <v>11008</v>
      </c>
      <c r="L186" s="358">
        <v>11110</v>
      </c>
      <c r="M186" s="358"/>
      <c r="N186" s="359"/>
      <c r="O186" s="358"/>
      <c r="P186" s="359"/>
      <c r="Q186" s="53"/>
    </row>
    <row r="187" spans="1:17" x14ac:dyDescent="0.35">
      <c r="A187" s="41">
        <f>Dashboard!A195</f>
        <v>2</v>
      </c>
      <c r="B187" s="41" t="str">
        <f>Dashboard!B195</f>
        <v>Billing Efficiency (%)</v>
      </c>
      <c r="C187" s="41" t="str">
        <f>Dashboard!C195</f>
        <v>%</v>
      </c>
      <c r="E187" s="357">
        <f>E186/E185</f>
        <v>0.99397129186602873</v>
      </c>
      <c r="F187" s="357">
        <f t="shared" ref="F187:P187" si="67">F186/F185</f>
        <v>0.98806818181818179</v>
      </c>
      <c r="G187" s="357">
        <f t="shared" si="67"/>
        <v>0.99186155285313382</v>
      </c>
      <c r="H187" s="357">
        <f t="shared" si="67"/>
        <v>0.99435185185185182</v>
      </c>
      <c r="I187" s="357">
        <f t="shared" si="67"/>
        <v>0.99347546406910492</v>
      </c>
      <c r="J187" s="357">
        <f t="shared" si="67"/>
        <v>0.98900099990909918</v>
      </c>
      <c r="K187" s="357">
        <f t="shared" si="67"/>
        <v>0.98966106266295062</v>
      </c>
      <c r="L187" s="357">
        <f t="shared" si="67"/>
        <v>0.98896207940181591</v>
      </c>
      <c r="M187" s="357" t="e">
        <f t="shared" si="67"/>
        <v>#DIV/0!</v>
      </c>
      <c r="N187" s="357" t="e">
        <f t="shared" si="67"/>
        <v>#DIV/0!</v>
      </c>
      <c r="O187" s="357" t="e">
        <f t="shared" si="67"/>
        <v>#DIV/0!</v>
      </c>
      <c r="P187" s="357" t="e">
        <f t="shared" si="67"/>
        <v>#DIV/0!</v>
      </c>
      <c r="Q187" s="53"/>
    </row>
    <row r="188" spans="1:17" x14ac:dyDescent="0.35">
      <c r="A188" s="41" t="str">
        <f>Dashboard!A196</f>
        <v>METER READING TAT</v>
      </c>
      <c r="E188" s="52"/>
      <c r="F188" s="52"/>
      <c r="G188" s="52"/>
      <c r="H188" s="52"/>
      <c r="I188" s="52"/>
      <c r="J188" s="52"/>
      <c r="K188" s="52"/>
      <c r="L188" s="52"/>
      <c r="M188" s="52"/>
      <c r="N188" s="52"/>
      <c r="O188" s="52"/>
      <c r="P188" s="52"/>
      <c r="Q188" s="53"/>
    </row>
    <row r="189" spans="1:17" x14ac:dyDescent="0.35">
      <c r="A189" s="41">
        <f>Dashboard!A197</f>
        <v>1</v>
      </c>
      <c r="B189" s="41" t="str">
        <f>Dashboard!B197</f>
        <v>Eastern</v>
      </c>
      <c r="C189" s="41" t="str">
        <f>Dashboard!C197</f>
        <v>Date</v>
      </c>
      <c r="E189" s="362" t="s">
        <v>459</v>
      </c>
      <c r="F189" s="358" t="s">
        <v>467</v>
      </c>
      <c r="G189" s="358" t="s">
        <v>435</v>
      </c>
      <c r="H189" s="358" t="s">
        <v>521</v>
      </c>
      <c r="I189" s="358" t="s">
        <v>525</v>
      </c>
      <c r="J189" s="358" t="s">
        <v>529</v>
      </c>
      <c r="K189" s="358" t="s">
        <v>533</v>
      </c>
      <c r="L189" s="358" t="s">
        <v>537</v>
      </c>
      <c r="M189" s="358"/>
      <c r="N189" s="358"/>
      <c r="O189" s="358"/>
      <c r="P189" s="358"/>
      <c r="Q189" s="53"/>
    </row>
    <row r="190" spans="1:17" x14ac:dyDescent="0.35">
      <c r="A190" s="41">
        <f>Dashboard!A198</f>
        <v>2</v>
      </c>
      <c r="B190" s="41" t="str">
        <f>Dashboard!B198</f>
        <v>Southern</v>
      </c>
      <c r="C190" s="41" t="str">
        <f>Dashboard!C198</f>
        <v>Date</v>
      </c>
      <c r="E190" s="358" t="s">
        <v>514</v>
      </c>
      <c r="F190" s="358" t="s">
        <v>515</v>
      </c>
      <c r="G190" s="358" t="s">
        <v>518</v>
      </c>
      <c r="H190" s="358" t="s">
        <v>522</v>
      </c>
      <c r="I190" s="358" t="s">
        <v>526</v>
      </c>
      <c r="J190" s="358" t="s">
        <v>530</v>
      </c>
      <c r="K190" s="358" t="s">
        <v>534</v>
      </c>
      <c r="L190" s="358" t="s">
        <v>538</v>
      </c>
      <c r="M190" s="358"/>
      <c r="N190" s="358"/>
      <c r="O190" s="358"/>
      <c r="P190" s="358"/>
      <c r="Q190" s="53"/>
    </row>
    <row r="191" spans="1:17" x14ac:dyDescent="0.35">
      <c r="A191" s="41">
        <f>Dashboard!A199</f>
        <v>3</v>
      </c>
      <c r="B191" s="41" t="str">
        <f>Dashboard!B199</f>
        <v>Lakeview</v>
      </c>
      <c r="C191" s="41" t="str">
        <f>Dashboard!C199</f>
        <v>Date</v>
      </c>
      <c r="E191" s="358" t="s">
        <v>465</v>
      </c>
      <c r="F191" s="358" t="s">
        <v>516</v>
      </c>
      <c r="G191" s="358" t="s">
        <v>483</v>
      </c>
      <c r="H191" s="358" t="s">
        <v>523</v>
      </c>
      <c r="I191" s="358" t="s">
        <v>527</v>
      </c>
      <c r="J191" s="358" t="s">
        <v>531</v>
      </c>
      <c r="K191" s="358" t="s">
        <v>535</v>
      </c>
      <c r="L191" s="358" t="s">
        <v>539</v>
      </c>
      <c r="M191" s="358"/>
      <c r="N191" s="358"/>
      <c r="O191" s="358"/>
      <c r="P191" s="358"/>
      <c r="Q191" s="53"/>
    </row>
    <row r="192" spans="1:17" x14ac:dyDescent="0.35">
      <c r="A192" s="41">
        <f>Dashboard!A200</f>
        <v>4</v>
      </c>
      <c r="B192" s="41" t="str">
        <f>Dashboard!B200</f>
        <v>Central</v>
      </c>
      <c r="C192" s="41" t="str">
        <f>Dashboard!C200</f>
        <v>Date</v>
      </c>
      <c r="E192" s="358" t="s">
        <v>487</v>
      </c>
      <c r="F192" s="358" t="s">
        <v>517</v>
      </c>
      <c r="G192" s="358" t="s">
        <v>519</v>
      </c>
      <c r="H192" s="358" t="s">
        <v>524</v>
      </c>
      <c r="I192" s="358" t="s">
        <v>528</v>
      </c>
      <c r="J192" s="358" t="s">
        <v>532</v>
      </c>
      <c r="K192" s="358" t="s">
        <v>536</v>
      </c>
      <c r="L192" s="358" t="s">
        <v>540</v>
      </c>
      <c r="M192" s="358"/>
      <c r="N192" s="358"/>
      <c r="O192" s="358"/>
      <c r="P192" s="358"/>
      <c r="Q192" s="53"/>
    </row>
    <row r="193" spans="1:17" s="40" customFormat="1" x14ac:dyDescent="0.35">
      <c r="A193" s="40" t="str">
        <f>Dashboard!A201</f>
        <v>TOTAL EXHAUSTER SALES</v>
      </c>
    </row>
    <row r="194" spans="1:17" hidden="1" x14ac:dyDescent="0.35">
      <c r="A194" s="41">
        <f>Dashboard!A202</f>
        <v>1</v>
      </c>
      <c r="B194" s="41" t="str">
        <f>Dashboard!B202</f>
        <v>CBD- EXHAUSTER SALES</v>
      </c>
      <c r="C194" s="41" t="str">
        <f>Dashboard!C202</f>
        <v>Ksh</v>
      </c>
      <c r="D194" s="41">
        <v>90000</v>
      </c>
      <c r="E194" s="50">
        <v>0</v>
      </c>
      <c r="F194" s="50">
        <v>0</v>
      </c>
      <c r="G194" s="50">
        <v>0</v>
      </c>
      <c r="H194" s="50">
        <v>0</v>
      </c>
      <c r="I194" s="50">
        <v>0</v>
      </c>
      <c r="J194" s="50">
        <v>0</v>
      </c>
      <c r="K194" s="50">
        <v>0</v>
      </c>
      <c r="L194" s="50">
        <v>0</v>
      </c>
      <c r="M194" s="50">
        <v>0</v>
      </c>
      <c r="N194" s="50">
        <v>0</v>
      </c>
      <c r="O194" s="50">
        <v>0</v>
      </c>
      <c r="P194" s="63">
        <v>0</v>
      </c>
    </row>
    <row r="195" spans="1:17" hidden="1" x14ac:dyDescent="0.35">
      <c r="A195" s="41">
        <f>Dashboard!A203</f>
        <v>2</v>
      </c>
      <c r="B195" s="41" t="str">
        <f>Dashboard!B203</f>
        <v>CCCR- EXHAUSTER SALES</v>
      </c>
      <c r="C195" s="41" t="str">
        <f>Dashboard!C203</f>
        <v>Ksh</v>
      </c>
      <c r="D195" s="41">
        <v>7500</v>
      </c>
      <c r="E195" s="50">
        <v>0</v>
      </c>
      <c r="F195" s="50">
        <v>0</v>
      </c>
      <c r="G195" s="50">
        <v>0</v>
      </c>
      <c r="H195" s="50">
        <v>0</v>
      </c>
      <c r="I195" s="50">
        <v>0</v>
      </c>
      <c r="J195" s="50">
        <v>0</v>
      </c>
      <c r="K195" s="50">
        <v>0</v>
      </c>
      <c r="L195" s="50">
        <v>0</v>
      </c>
      <c r="M195" s="50">
        <v>0</v>
      </c>
      <c r="N195" s="50">
        <v>0</v>
      </c>
      <c r="O195" s="50">
        <v>0</v>
      </c>
      <c r="P195" s="63">
        <v>0</v>
      </c>
    </row>
    <row r="196" spans="1:17" hidden="1" x14ac:dyDescent="0.35">
      <c r="A196" s="41">
        <f>Dashboard!A204</f>
        <v>3</v>
      </c>
      <c r="B196" s="41" t="str">
        <f>Dashboard!B204</f>
        <v>KABATI- EXHAUSTER SALES</v>
      </c>
      <c r="C196" s="41" t="str">
        <f>Dashboard!C204</f>
        <v>Ksh</v>
      </c>
      <c r="E196" s="50">
        <v>0</v>
      </c>
      <c r="F196" s="50">
        <v>0</v>
      </c>
      <c r="G196" s="50">
        <v>0</v>
      </c>
      <c r="H196" s="50">
        <v>0</v>
      </c>
      <c r="I196" s="50">
        <v>0</v>
      </c>
      <c r="J196" s="50">
        <v>0</v>
      </c>
      <c r="K196" s="50">
        <v>0</v>
      </c>
      <c r="L196" s="50">
        <v>0</v>
      </c>
      <c r="M196" s="50">
        <v>0</v>
      </c>
      <c r="N196" s="50">
        <v>0</v>
      </c>
      <c r="O196" s="50">
        <v>0</v>
      </c>
      <c r="P196" s="63">
        <v>0</v>
      </c>
    </row>
    <row r="197" spans="1:17" hidden="1" x14ac:dyDescent="0.35">
      <c r="A197" s="41">
        <f>Dashboard!A205</f>
        <v>4</v>
      </c>
      <c r="B197" s="41" t="str">
        <f>Dashboard!B205</f>
        <v>SITE- EXHAUSTER SALES</v>
      </c>
      <c r="C197" s="41" t="str">
        <f>Dashboard!C205</f>
        <v>Ksh</v>
      </c>
      <c r="E197" s="50">
        <v>0</v>
      </c>
      <c r="F197" s="50">
        <v>0</v>
      </c>
      <c r="G197" s="50">
        <v>0</v>
      </c>
      <c r="H197" s="50">
        <v>0</v>
      </c>
      <c r="I197" s="50">
        <v>0</v>
      </c>
      <c r="J197" s="50">
        <v>0</v>
      </c>
      <c r="K197" s="50">
        <v>0</v>
      </c>
      <c r="L197" s="50">
        <v>0</v>
      </c>
      <c r="M197" s="50">
        <v>0</v>
      </c>
      <c r="N197" s="50">
        <v>0</v>
      </c>
      <c r="O197" s="50">
        <v>0</v>
      </c>
      <c r="P197" s="63">
        <v>0</v>
      </c>
    </row>
    <row r="198" spans="1:17" hidden="1" x14ac:dyDescent="0.35">
      <c r="A198" s="41">
        <f>Dashboard!A206</f>
        <v>5</v>
      </c>
      <c r="B198" s="41" t="str">
        <f>Dashboard!B206</f>
        <v>KIHOTO- EXHAUSTER SALES</v>
      </c>
      <c r="C198" s="41" t="str">
        <f>Dashboard!C206</f>
        <v>Ksh</v>
      </c>
      <c r="E198" s="50">
        <v>0</v>
      </c>
      <c r="F198" s="50">
        <v>0</v>
      </c>
      <c r="G198" s="50">
        <v>0</v>
      </c>
      <c r="H198" s="50">
        <v>0</v>
      </c>
      <c r="I198" s="50">
        <v>0</v>
      </c>
      <c r="J198" s="50">
        <v>0</v>
      </c>
      <c r="K198" s="50">
        <v>0</v>
      </c>
      <c r="L198" s="50">
        <v>0</v>
      </c>
      <c r="M198" s="50">
        <v>0</v>
      </c>
      <c r="N198" s="50">
        <v>0</v>
      </c>
      <c r="O198" s="50">
        <v>0</v>
      </c>
      <c r="P198" s="63">
        <v>0</v>
      </c>
    </row>
    <row r="199" spans="1:17" hidden="1" x14ac:dyDescent="0.35">
      <c r="A199" s="41">
        <f>Dashboard!A207</f>
        <v>6</v>
      </c>
      <c r="B199" s="41" t="str">
        <f>Dashboard!B207</f>
        <v>LAKEVIEW- EXHAUSTER SALES</v>
      </c>
      <c r="C199" s="41" t="str">
        <f>Dashboard!C207</f>
        <v>Ksh</v>
      </c>
      <c r="E199" s="50">
        <v>0</v>
      </c>
      <c r="F199" s="50">
        <v>0</v>
      </c>
      <c r="G199" s="50">
        <v>0</v>
      </c>
      <c r="H199" s="50">
        <v>0</v>
      </c>
      <c r="I199" s="50">
        <v>0</v>
      </c>
      <c r="J199" s="50">
        <v>0</v>
      </c>
      <c r="K199" s="50">
        <v>0</v>
      </c>
      <c r="L199" s="50">
        <v>0</v>
      </c>
      <c r="M199" s="50">
        <v>0</v>
      </c>
      <c r="N199" s="50">
        <v>0</v>
      </c>
      <c r="O199" s="50">
        <v>0</v>
      </c>
      <c r="P199" s="63">
        <v>0</v>
      </c>
    </row>
    <row r="200" spans="1:17" hidden="1" x14ac:dyDescent="0.35">
      <c r="A200" s="41">
        <f>Dashboard!A208</f>
        <v>0</v>
      </c>
      <c r="B200" s="41" t="str">
        <f>Dashboard!B208</f>
        <v>TOTAL EXHAUSTER SALES-CENTRAL</v>
      </c>
      <c r="C200" s="41" t="str">
        <f>Dashboard!C208</f>
        <v>Ksh</v>
      </c>
      <c r="D200" s="41">
        <v>97500</v>
      </c>
      <c r="E200" s="51">
        <f>SUM(E194:E199)</f>
        <v>0</v>
      </c>
      <c r="F200" s="51">
        <f>SUM(F194:F199)</f>
        <v>0</v>
      </c>
      <c r="G200" s="51">
        <f t="shared" ref="G200:P200" si="68">SUM(G194:G199)</f>
        <v>0</v>
      </c>
      <c r="H200" s="51">
        <f t="shared" si="68"/>
        <v>0</v>
      </c>
      <c r="I200" s="51">
        <f t="shared" si="68"/>
        <v>0</v>
      </c>
      <c r="J200" s="51">
        <f t="shared" si="68"/>
        <v>0</v>
      </c>
      <c r="K200" s="51">
        <f>SUM(K194:K199)</f>
        <v>0</v>
      </c>
      <c r="L200" s="51">
        <f t="shared" si="68"/>
        <v>0</v>
      </c>
      <c r="M200" s="51">
        <f t="shared" si="68"/>
        <v>0</v>
      </c>
      <c r="N200" s="83">
        <f t="shared" si="68"/>
        <v>0</v>
      </c>
      <c r="O200" s="51">
        <f t="shared" si="68"/>
        <v>0</v>
      </c>
      <c r="P200" s="83">
        <f t="shared" si="68"/>
        <v>0</v>
      </c>
    </row>
    <row r="201" spans="1:17" hidden="1" x14ac:dyDescent="0.35">
      <c r="A201" s="41">
        <f>Dashboard!A209</f>
        <v>1</v>
      </c>
      <c r="B201" s="41" t="str">
        <f>Dashboard!B209</f>
        <v>HELLSGATE- EXHAUSTER SALES</v>
      </c>
      <c r="C201" s="41" t="str">
        <f>Dashboard!C209</f>
        <v>Ksh</v>
      </c>
      <c r="D201" s="41">
        <v>57500</v>
      </c>
      <c r="E201" s="50">
        <v>0</v>
      </c>
      <c r="F201" s="50">
        <v>0</v>
      </c>
      <c r="G201" s="50">
        <v>0</v>
      </c>
      <c r="H201" s="50">
        <v>0</v>
      </c>
      <c r="I201" s="50">
        <v>0</v>
      </c>
      <c r="J201" s="50">
        <v>0</v>
      </c>
      <c r="K201" s="50">
        <v>0</v>
      </c>
      <c r="L201" s="50">
        <v>0</v>
      </c>
      <c r="M201" s="50">
        <v>0</v>
      </c>
      <c r="N201" s="50">
        <v>0</v>
      </c>
      <c r="O201" s="50">
        <v>0</v>
      </c>
      <c r="P201" s="50">
        <v>0</v>
      </c>
    </row>
    <row r="202" spans="1:17" hidden="1" x14ac:dyDescent="0.35">
      <c r="A202" s="41">
        <f>Dashboard!A210</f>
        <v>2</v>
      </c>
      <c r="B202" s="41" t="str">
        <f>Dashboard!B210</f>
        <v>KAMERE- EXHAUSTER SALES</v>
      </c>
      <c r="C202" s="41" t="str">
        <f>Dashboard!C210</f>
        <v>Ksh</v>
      </c>
      <c r="E202" s="50">
        <v>0</v>
      </c>
      <c r="F202" s="50">
        <v>0</v>
      </c>
      <c r="G202" s="50">
        <v>0</v>
      </c>
      <c r="H202" s="50">
        <v>0</v>
      </c>
      <c r="I202" s="50">
        <v>0</v>
      </c>
      <c r="J202" s="50">
        <v>0</v>
      </c>
      <c r="K202" s="50">
        <v>0</v>
      </c>
      <c r="L202" s="50">
        <v>0</v>
      </c>
      <c r="M202" s="50">
        <v>0</v>
      </c>
      <c r="N202" s="50">
        <v>0</v>
      </c>
      <c r="O202" s="50">
        <v>0</v>
      </c>
      <c r="P202" s="50">
        <v>0</v>
      </c>
    </row>
    <row r="203" spans="1:17" hidden="1" x14ac:dyDescent="0.35">
      <c r="A203" s="41">
        <f>Dashboard!A214</f>
        <v>2</v>
      </c>
      <c r="B203" s="41" t="str">
        <f>Dashboard!B214</f>
        <v>OTHER- EXHAUSTER SALES</v>
      </c>
      <c r="C203" s="41" t="str">
        <f>Dashboard!C214</f>
        <v>Ksh</v>
      </c>
      <c r="E203" s="50">
        <v>0</v>
      </c>
      <c r="F203" s="50">
        <v>0</v>
      </c>
      <c r="G203" s="50">
        <v>0</v>
      </c>
      <c r="H203" s="50">
        <v>0</v>
      </c>
      <c r="I203" s="50">
        <v>0</v>
      </c>
      <c r="J203" s="50">
        <v>0</v>
      </c>
      <c r="K203" s="50">
        <v>0</v>
      </c>
      <c r="L203" s="50">
        <v>0</v>
      </c>
      <c r="M203" s="50">
        <v>0</v>
      </c>
      <c r="N203" s="50">
        <v>0</v>
      </c>
      <c r="O203" s="50">
        <v>0</v>
      </c>
      <c r="P203" s="50">
        <v>0</v>
      </c>
    </row>
    <row r="204" spans="1:17" hidden="1" x14ac:dyDescent="0.35">
      <c r="A204" s="41">
        <f>Dashboard!A211</f>
        <v>0</v>
      </c>
      <c r="B204" s="41" t="str">
        <f>Dashboard!B211</f>
        <v>TOTAL EXHAUSTER SALES-SOUTHERN</v>
      </c>
      <c r="C204" s="41" t="str">
        <f>Dashboard!C211</f>
        <v>Ksh</v>
      </c>
      <c r="D204" s="41">
        <v>57500</v>
      </c>
      <c r="E204" s="51">
        <f>SUM(E201:E203)</f>
        <v>0</v>
      </c>
      <c r="F204" s="51">
        <f>SUM(F201:F203)</f>
        <v>0</v>
      </c>
      <c r="G204" s="51">
        <f t="shared" ref="G204:P204" si="69">SUM(G201:G203)</f>
        <v>0</v>
      </c>
      <c r="H204" s="51">
        <f t="shared" si="69"/>
        <v>0</v>
      </c>
      <c r="I204" s="51">
        <f t="shared" si="69"/>
        <v>0</v>
      </c>
      <c r="J204" s="51">
        <f t="shared" si="69"/>
        <v>0</v>
      </c>
      <c r="K204" s="51">
        <f t="shared" si="69"/>
        <v>0</v>
      </c>
      <c r="L204" s="51">
        <f t="shared" si="69"/>
        <v>0</v>
      </c>
      <c r="M204" s="51">
        <f t="shared" si="69"/>
        <v>0</v>
      </c>
      <c r="N204" s="83">
        <f t="shared" si="69"/>
        <v>0</v>
      </c>
      <c r="O204" s="51">
        <f t="shared" si="69"/>
        <v>0</v>
      </c>
      <c r="P204" s="83">
        <f t="shared" si="69"/>
        <v>0</v>
      </c>
    </row>
    <row r="205" spans="1:17" hidden="1" x14ac:dyDescent="0.35">
      <c r="A205" s="41">
        <f>Dashboard!A213</f>
        <v>1</v>
      </c>
      <c r="B205" s="41" t="str">
        <f>Dashboard!B213</f>
        <v>KAYOLE- EXHAUSTER SALES</v>
      </c>
      <c r="C205" s="41" t="str">
        <f>Dashboard!C213</f>
        <v>Ksh</v>
      </c>
      <c r="D205" s="41">
        <v>38500</v>
      </c>
      <c r="E205" s="50">
        <v>0</v>
      </c>
      <c r="F205" s="50">
        <v>0</v>
      </c>
      <c r="G205" s="50">
        <v>0</v>
      </c>
      <c r="H205" s="50">
        <v>0</v>
      </c>
      <c r="I205" s="50">
        <v>0</v>
      </c>
      <c r="J205" s="50">
        <v>0</v>
      </c>
      <c r="K205" s="50">
        <v>0</v>
      </c>
      <c r="L205" s="50">
        <v>0</v>
      </c>
      <c r="M205" s="50">
        <v>0</v>
      </c>
      <c r="N205" s="50">
        <v>0</v>
      </c>
      <c r="O205" s="50">
        <v>0</v>
      </c>
      <c r="P205" s="50">
        <v>0</v>
      </c>
    </row>
    <row r="206" spans="1:17" hidden="1" x14ac:dyDescent="0.35">
      <c r="A206" s="41" t="str">
        <f>Dashboard!A215</f>
        <v>SUMMARY EXHAUSTER SALES</v>
      </c>
      <c r="E206" s="53"/>
      <c r="F206" s="53"/>
      <c r="G206" s="53"/>
      <c r="H206" s="53"/>
      <c r="I206" s="53"/>
      <c r="J206" s="53"/>
      <c r="K206" s="53"/>
      <c r="L206" s="53"/>
      <c r="M206" s="53"/>
      <c r="N206" s="81"/>
      <c r="O206" s="53"/>
      <c r="P206" s="81"/>
    </row>
    <row r="207" spans="1:17" ht="15" hidden="1" thickBot="1" x14ac:dyDescent="0.4">
      <c r="A207" s="41">
        <f>Dashboard!A216</f>
        <v>1</v>
      </c>
      <c r="B207" s="41" t="str">
        <f>Dashboard!B216</f>
        <v>EXHAUSTER SALES</v>
      </c>
      <c r="C207" s="41" t="str">
        <f>Dashboard!C216</f>
        <v>Ksh</v>
      </c>
      <c r="D207" s="41">
        <v>193500</v>
      </c>
      <c r="E207" s="57">
        <f>E205+E204+E200</f>
        <v>0</v>
      </c>
      <c r="F207" s="57">
        <f>F205+F204+F200</f>
        <v>0</v>
      </c>
      <c r="G207" s="57">
        <f t="shared" ref="G207:P207" si="70">G205+G204+G200</f>
        <v>0</v>
      </c>
      <c r="H207" s="57">
        <f t="shared" si="70"/>
        <v>0</v>
      </c>
      <c r="I207" s="57">
        <f t="shared" si="70"/>
        <v>0</v>
      </c>
      <c r="J207" s="57">
        <f t="shared" si="70"/>
        <v>0</v>
      </c>
      <c r="K207" s="57">
        <f t="shared" si="70"/>
        <v>0</v>
      </c>
      <c r="L207" s="57">
        <f t="shared" si="70"/>
        <v>0</v>
      </c>
      <c r="M207" s="57">
        <f t="shared" si="70"/>
        <v>0</v>
      </c>
      <c r="N207" s="57">
        <f t="shared" si="70"/>
        <v>0</v>
      </c>
      <c r="O207" s="57">
        <f t="shared" si="70"/>
        <v>0</v>
      </c>
      <c r="P207" s="57">
        <f t="shared" si="70"/>
        <v>0</v>
      </c>
      <c r="Q207" s="53"/>
    </row>
    <row r="208" spans="1:17" hidden="1" x14ac:dyDescent="0.35">
      <c r="A208" s="41" t="str">
        <f>Dashboard!A217</f>
        <v xml:space="preserve">COMPLAINTS </v>
      </c>
    </row>
    <row r="209" spans="1:16" hidden="1" x14ac:dyDescent="0.35">
      <c r="A209" s="41">
        <f>Dashboard!A218</f>
        <v>1</v>
      </c>
      <c r="B209" s="41" t="str">
        <f>Dashboard!B218</f>
        <v>NO. COMPLAINTS BOOKED</v>
      </c>
      <c r="C209" s="41" t="str">
        <f>Dashboard!C218</f>
        <v>No.</v>
      </c>
      <c r="E209">
        <v>411</v>
      </c>
      <c r="F209"/>
      <c r="G209"/>
      <c r="H209"/>
      <c r="I209"/>
      <c r="J209"/>
      <c r="K209"/>
      <c r="L209"/>
      <c r="M209"/>
      <c r="N209" s="86"/>
      <c r="O209"/>
      <c r="P209" s="86"/>
    </row>
    <row r="210" spans="1:16" hidden="1" x14ac:dyDescent="0.35">
      <c r="A210" s="41">
        <f>Dashboard!A219</f>
        <v>2</v>
      </c>
      <c r="B210" s="41" t="str">
        <f>Dashboard!B219</f>
        <v>NO. COMPLAINTS SOLVED</v>
      </c>
      <c r="C210" s="41" t="str">
        <f>Dashboard!C219</f>
        <v>No.</v>
      </c>
      <c r="E210">
        <v>383</v>
      </c>
      <c r="F210"/>
      <c r="G210"/>
      <c r="H210"/>
      <c r="I210"/>
      <c r="J210"/>
      <c r="K210"/>
      <c r="L210"/>
      <c r="M210"/>
      <c r="N210" s="86"/>
      <c r="O210"/>
      <c r="P210" s="86"/>
    </row>
    <row r="211" spans="1:16" hidden="1" x14ac:dyDescent="0.35">
      <c r="A211" s="41">
        <f>Dashboard!A220</f>
        <v>3</v>
      </c>
      <c r="B211" s="41" t="str">
        <f>Dashboard!B220</f>
        <v>% RESOLUTION</v>
      </c>
      <c r="C211" s="41" t="str">
        <f>Dashboard!C220</f>
        <v>%</v>
      </c>
      <c r="E211" s="58">
        <f>E210/E209</f>
        <v>0.93187347931873477</v>
      </c>
      <c r="F211" s="58"/>
      <c r="G211" s="58" t="e">
        <f t="shared" ref="G211:P211" si="71">G210/G209</f>
        <v>#DIV/0!</v>
      </c>
      <c r="H211" s="58" t="e">
        <f t="shared" si="71"/>
        <v>#DIV/0!</v>
      </c>
      <c r="I211" s="58" t="e">
        <f t="shared" si="71"/>
        <v>#DIV/0!</v>
      </c>
      <c r="J211" s="58" t="e">
        <f t="shared" si="71"/>
        <v>#DIV/0!</v>
      </c>
      <c r="K211" s="58" t="e">
        <f t="shared" si="71"/>
        <v>#DIV/0!</v>
      </c>
      <c r="L211" s="58" t="e">
        <f t="shared" si="71"/>
        <v>#DIV/0!</v>
      </c>
      <c r="M211" s="58" t="e">
        <f t="shared" si="71"/>
        <v>#DIV/0!</v>
      </c>
      <c r="N211" s="58" t="e">
        <f t="shared" si="71"/>
        <v>#DIV/0!</v>
      </c>
      <c r="O211" s="58" t="e">
        <f t="shared" si="71"/>
        <v>#DIV/0!</v>
      </c>
      <c r="P211" s="58" t="e">
        <f t="shared" si="71"/>
        <v>#DIV/0!</v>
      </c>
    </row>
    <row r="212" spans="1:16" hidden="1" x14ac:dyDescent="0.35">
      <c r="A212" s="41" t="str">
        <f>Dashboard!A221</f>
        <v>METER READING EFFICIENCY</v>
      </c>
    </row>
    <row r="213" spans="1:16" hidden="1" x14ac:dyDescent="0.35">
      <c r="A213" s="41">
        <f>Dashboard!A222</f>
        <v>1</v>
      </c>
      <c r="B213" s="41" t="str">
        <f>Dashboard!B222</f>
        <v>AVG METERS READ PER METER READER</v>
      </c>
      <c r="C213" s="41" t="str">
        <f>Dashboard!C222</f>
        <v>No.</v>
      </c>
      <c r="E213" s="50">
        <v>1868</v>
      </c>
      <c r="F213" s="50"/>
      <c r="G213" s="50">
        <v>1367</v>
      </c>
      <c r="H213" s="50"/>
      <c r="I213" s="50"/>
      <c r="J213" s="50"/>
      <c r="K213" s="50"/>
      <c r="L213" s="50"/>
      <c r="M213" s="50"/>
      <c r="N213" s="63"/>
      <c r="O213" s="50"/>
      <c r="P213" s="63"/>
    </row>
    <row r="214" spans="1:16" hidden="1" x14ac:dyDescent="0.35">
      <c r="A214" s="41">
        <f>Dashboard!A223</f>
        <v>2</v>
      </c>
      <c r="B214" s="41" t="str">
        <f>Dashboard!B223</f>
        <v>NO DAYS TAKEN METER READING DTI</v>
      </c>
      <c r="C214" s="41" t="str">
        <f>Dashboard!C223</f>
        <v>No.</v>
      </c>
      <c r="E214" s="50">
        <v>9</v>
      </c>
      <c r="F214" s="50"/>
      <c r="G214" s="50"/>
      <c r="H214" s="50"/>
      <c r="I214" s="50"/>
      <c r="J214" s="50"/>
      <c r="K214" s="50"/>
      <c r="L214" s="50"/>
      <c r="M214" s="50"/>
      <c r="N214" s="63"/>
      <c r="O214" s="50"/>
      <c r="P214" s="63"/>
    </row>
    <row r="215" spans="1:16" hidden="1" x14ac:dyDescent="0.35">
      <c r="A215" s="41">
        <f>Dashboard!A224</f>
        <v>3</v>
      </c>
      <c r="B215" s="41" t="str">
        <f>Dashboard!B224</f>
        <v>NO DAYS TAKEN METER READING KARATI</v>
      </c>
      <c r="C215" s="41" t="str">
        <f>Dashboard!C224</f>
        <v>No.</v>
      </c>
      <c r="E215" s="50">
        <v>19</v>
      </c>
      <c r="F215" s="50"/>
      <c r="G215" s="50"/>
      <c r="H215" s="50"/>
      <c r="I215" s="50"/>
      <c r="J215" s="50"/>
      <c r="K215" s="50"/>
      <c r="L215" s="50"/>
      <c r="M215" s="50"/>
      <c r="N215" s="63"/>
      <c r="O215" s="50"/>
      <c r="P215" s="63"/>
    </row>
    <row r="216" spans="1:16" hidden="1" x14ac:dyDescent="0.35"/>
    <row r="217" spans="1:16" hidden="1" x14ac:dyDescent="0.35">
      <c r="E217" s="53"/>
      <c r="M217" s="53"/>
    </row>
    <row r="218" spans="1:16" hidden="1" x14ac:dyDescent="0.35"/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205"/>
  <sheetViews>
    <sheetView zoomScale="80" zoomScaleNormal="80" workbookViewId="0">
      <pane xSplit="4" ySplit="5" topLeftCell="H122" activePane="bottomRight" state="frozen"/>
      <selection pane="topRight" activeCell="E1" sqref="E1"/>
      <selection pane="bottomLeft" activeCell="A6" sqref="A6"/>
      <selection pane="bottomRight" activeCell="Q133" sqref="Q133"/>
    </sheetView>
  </sheetViews>
  <sheetFormatPr defaultColWidth="9.1796875" defaultRowHeight="14.5" x14ac:dyDescent="0.35"/>
  <cols>
    <col min="1" max="1" width="6.7265625" style="41" customWidth="1"/>
    <col min="2" max="2" width="36.26953125" style="41" customWidth="1"/>
    <col min="3" max="3" width="5.54296875" style="41" customWidth="1"/>
    <col min="4" max="4" width="10.26953125" style="41" customWidth="1"/>
    <col min="5" max="5" width="11.7265625" style="41" customWidth="1"/>
    <col min="6" max="6" width="11.81640625" style="41" customWidth="1"/>
    <col min="7" max="7" width="11.54296875" style="41" customWidth="1"/>
    <col min="8" max="8" width="10.54296875" style="41" customWidth="1"/>
    <col min="9" max="9" width="11.1796875" style="41" bestFit="1" customWidth="1"/>
    <col min="10" max="12" width="12.1796875" style="41" bestFit="1" customWidth="1"/>
    <col min="13" max="13" width="13.54296875" style="41" customWidth="1"/>
    <col min="14" max="14" width="16" style="80" customWidth="1"/>
    <col min="15" max="15" width="13.54296875" style="41" customWidth="1"/>
    <col min="16" max="16" width="15.1796875" style="80" customWidth="1"/>
    <col min="17" max="17" width="17.1796875" style="41" customWidth="1"/>
    <col min="18" max="16384" width="9.1796875" style="41"/>
  </cols>
  <sheetData>
    <row r="1" spans="1:16" s="42" customFormat="1" x14ac:dyDescent="0.35">
      <c r="A1" s="42" t="str">
        <f>Dashboard!A1</f>
        <v>SALES &amp; CC DASHBOARD</v>
      </c>
      <c r="E1" s="61">
        <f t="shared" ref="E1" si="0">E13+E18+E19</f>
        <v>78</v>
      </c>
      <c r="F1" s="61"/>
      <c r="G1" s="61">
        <f>G13+G18+G19</f>
        <v>26</v>
      </c>
      <c r="H1" s="61">
        <f t="shared" ref="H1:J1" si="1">H13+H18+H19</f>
        <v>10</v>
      </c>
      <c r="I1" s="61">
        <f t="shared" si="1"/>
        <v>39</v>
      </c>
      <c r="J1" s="61">
        <f t="shared" si="1"/>
        <v>56</v>
      </c>
      <c r="N1" s="40"/>
      <c r="P1" s="40"/>
    </row>
    <row r="2" spans="1:16" x14ac:dyDescent="0.35">
      <c r="E2" s="53">
        <f>E29+E33+E34</f>
        <v>3</v>
      </c>
      <c r="F2" s="53"/>
      <c r="G2" s="53">
        <f>G29+G33+G34</f>
        <v>3</v>
      </c>
      <c r="H2" s="53">
        <f>H29+H33+H34</f>
        <v>2</v>
      </c>
      <c r="I2" s="53">
        <f>I29+I33+I34</f>
        <v>0</v>
      </c>
      <c r="J2" s="53">
        <f>J29+J33+J34</f>
        <v>4</v>
      </c>
    </row>
    <row r="4" spans="1:16" x14ac:dyDescent="0.35">
      <c r="B4" s="41" t="s">
        <v>28</v>
      </c>
      <c r="C4" s="41" t="s">
        <v>29</v>
      </c>
      <c r="E4" s="48" t="s">
        <v>30</v>
      </c>
      <c r="F4" s="48" t="s">
        <v>31</v>
      </c>
      <c r="G4" s="48" t="s">
        <v>32</v>
      </c>
      <c r="H4" s="48" t="s">
        <v>33</v>
      </c>
      <c r="I4" s="48" t="s">
        <v>34</v>
      </c>
      <c r="J4" s="48" t="s">
        <v>35</v>
      </c>
      <c r="K4" s="48" t="s">
        <v>36</v>
      </c>
      <c r="L4" s="48" t="s">
        <v>37</v>
      </c>
      <c r="M4" s="48" t="s">
        <v>38</v>
      </c>
      <c r="N4" s="47" t="s">
        <v>39</v>
      </c>
      <c r="O4" s="48" t="s">
        <v>40</v>
      </c>
      <c r="P4" s="47" t="s">
        <v>41</v>
      </c>
    </row>
    <row r="5" spans="1:16" x14ac:dyDescent="0.35">
      <c r="A5" s="41" t="str">
        <f>Dashboard!A5</f>
        <v>NEW CONNECTIONS WATER</v>
      </c>
    </row>
    <row r="6" spans="1:16" x14ac:dyDescent="0.35">
      <c r="A6" s="41">
        <f>Dashboard!A6</f>
        <v>1</v>
      </c>
      <c r="B6" s="41" t="str">
        <f>Dashboard!B6</f>
        <v>CBD - NEW WATER</v>
      </c>
      <c r="C6" s="41" t="str">
        <f>Dashboard!C6</f>
        <v>No.</v>
      </c>
      <c r="D6" s="41">
        <v>8</v>
      </c>
      <c r="E6" s="50">
        <v>1</v>
      </c>
      <c r="F6" s="50">
        <v>1</v>
      </c>
      <c r="G6" s="50">
        <v>2</v>
      </c>
      <c r="H6" s="50">
        <v>0</v>
      </c>
      <c r="I6" s="50">
        <v>0</v>
      </c>
      <c r="J6" s="50">
        <v>0</v>
      </c>
      <c r="K6" s="50">
        <v>0</v>
      </c>
      <c r="L6" s="50">
        <v>0</v>
      </c>
      <c r="M6" s="50">
        <v>0</v>
      </c>
      <c r="N6" s="63">
        <v>1</v>
      </c>
      <c r="O6" s="50">
        <v>2</v>
      </c>
      <c r="P6" s="63">
        <v>2</v>
      </c>
    </row>
    <row r="7" spans="1:16" x14ac:dyDescent="0.35">
      <c r="A7" s="41">
        <f>Dashboard!A7</f>
        <v>2</v>
      </c>
      <c r="B7" s="41" t="str">
        <f>Dashboard!B7</f>
        <v>CCCR- NEW WATER</v>
      </c>
      <c r="C7" s="41" t="str">
        <f>Dashboard!C7</f>
        <v>No.</v>
      </c>
      <c r="D7" s="41">
        <v>14</v>
      </c>
      <c r="E7" s="50">
        <v>6</v>
      </c>
      <c r="F7" s="50">
        <v>1</v>
      </c>
      <c r="G7" s="50">
        <v>3</v>
      </c>
      <c r="H7" s="50">
        <v>0</v>
      </c>
      <c r="I7" s="50">
        <v>0</v>
      </c>
      <c r="J7" s="50">
        <v>0</v>
      </c>
      <c r="K7" s="50">
        <v>7</v>
      </c>
      <c r="L7" s="50">
        <v>2</v>
      </c>
      <c r="M7" s="50">
        <v>1</v>
      </c>
      <c r="N7" s="63">
        <v>3</v>
      </c>
      <c r="O7" s="50">
        <v>2</v>
      </c>
      <c r="P7" s="63">
        <v>4</v>
      </c>
    </row>
    <row r="8" spans="1:16" x14ac:dyDescent="0.35">
      <c r="A8" s="41">
        <f>Dashboard!A8</f>
        <v>3</v>
      </c>
      <c r="B8" s="41" t="str">
        <f>Dashboard!B8</f>
        <v>KABATI- NEW WATER</v>
      </c>
      <c r="C8" s="41" t="str">
        <f>Dashboard!C8</f>
        <v>No.</v>
      </c>
      <c r="D8" s="41">
        <v>4</v>
      </c>
      <c r="E8" s="50">
        <v>1</v>
      </c>
      <c r="F8" s="50">
        <v>4</v>
      </c>
      <c r="G8" s="50">
        <v>5</v>
      </c>
      <c r="H8" s="50">
        <v>0</v>
      </c>
      <c r="I8" s="50">
        <v>3</v>
      </c>
      <c r="J8" s="50">
        <v>0</v>
      </c>
      <c r="K8" s="50">
        <v>1</v>
      </c>
      <c r="L8" s="50">
        <v>4</v>
      </c>
      <c r="M8" s="50">
        <v>0</v>
      </c>
      <c r="N8" s="63">
        <v>2</v>
      </c>
      <c r="O8" s="50">
        <v>2</v>
      </c>
      <c r="P8" s="63">
        <v>0</v>
      </c>
    </row>
    <row r="9" spans="1:16" x14ac:dyDescent="0.35">
      <c r="A9" s="41">
        <f>Dashboard!A9</f>
        <v>4</v>
      </c>
      <c r="B9" s="41" t="str">
        <f>Dashboard!B9</f>
        <v>SITE- NEW WATER</v>
      </c>
      <c r="C9" s="41" t="str">
        <f>Dashboard!C9</f>
        <v>No.</v>
      </c>
      <c r="D9" s="41">
        <v>2</v>
      </c>
      <c r="E9" s="50">
        <v>1</v>
      </c>
      <c r="F9" s="50">
        <v>0</v>
      </c>
      <c r="G9" s="50">
        <v>0</v>
      </c>
      <c r="H9" s="50">
        <v>0</v>
      </c>
      <c r="I9" s="50">
        <v>0</v>
      </c>
      <c r="J9" s="50">
        <v>0</v>
      </c>
      <c r="K9" s="50">
        <v>1</v>
      </c>
      <c r="L9" s="50">
        <v>0</v>
      </c>
      <c r="M9" s="50">
        <v>0</v>
      </c>
      <c r="N9" s="63">
        <v>0</v>
      </c>
      <c r="O9" s="50">
        <v>0</v>
      </c>
      <c r="P9" s="63">
        <v>2</v>
      </c>
    </row>
    <row r="10" spans="1:16" x14ac:dyDescent="0.35">
      <c r="A10" s="41">
        <f>Dashboard!A10</f>
        <v>5</v>
      </c>
      <c r="B10" s="41" t="str">
        <f>Dashboard!B10</f>
        <v>KIHOTO- NEW WATER</v>
      </c>
      <c r="C10" s="41" t="str">
        <f>Dashboard!C10</f>
        <v>No.</v>
      </c>
      <c r="D10" s="41">
        <v>5</v>
      </c>
      <c r="E10" s="50">
        <v>0</v>
      </c>
      <c r="F10" s="50">
        <v>0</v>
      </c>
      <c r="G10" s="50">
        <v>0</v>
      </c>
      <c r="H10" s="50">
        <v>0</v>
      </c>
      <c r="I10" s="50">
        <v>0</v>
      </c>
      <c r="J10" s="50">
        <v>0</v>
      </c>
      <c r="K10" s="50">
        <v>1</v>
      </c>
      <c r="L10" s="50">
        <v>0</v>
      </c>
      <c r="M10" s="50">
        <v>0</v>
      </c>
      <c r="N10" s="63">
        <v>0</v>
      </c>
      <c r="O10" s="50">
        <v>0</v>
      </c>
      <c r="P10" s="63">
        <v>1</v>
      </c>
    </row>
    <row r="11" spans="1:16" x14ac:dyDescent="0.35">
      <c r="A11" s="41">
        <f>Dashboard!A11</f>
        <v>6</v>
      </c>
      <c r="B11" s="41" t="str">
        <f>Dashboard!B11</f>
        <v>LAKEVIEW- NEW WATER</v>
      </c>
      <c r="C11" s="41" t="str">
        <f>Dashboard!C11</f>
        <v>No.</v>
      </c>
      <c r="D11" s="41">
        <v>7</v>
      </c>
      <c r="E11" s="50">
        <v>7</v>
      </c>
      <c r="F11" s="50">
        <v>5</v>
      </c>
      <c r="G11" s="50">
        <v>0</v>
      </c>
      <c r="H11" s="50">
        <v>2</v>
      </c>
      <c r="I11" s="50">
        <v>0</v>
      </c>
      <c r="J11" s="50">
        <v>0</v>
      </c>
      <c r="K11" s="50">
        <v>2</v>
      </c>
      <c r="L11" s="50">
        <v>4</v>
      </c>
      <c r="M11" s="50">
        <v>2</v>
      </c>
      <c r="N11" s="63">
        <v>1</v>
      </c>
      <c r="O11" s="50">
        <v>2</v>
      </c>
      <c r="P11" s="63">
        <v>1</v>
      </c>
    </row>
    <row r="12" spans="1:16" x14ac:dyDescent="0.35">
      <c r="A12" s="41">
        <f>Dashboard!A12</f>
        <v>7</v>
      </c>
      <c r="B12" s="41" t="str">
        <f>Dashboard!B12</f>
        <v>HOPEWELL- NEW WATER</v>
      </c>
      <c r="C12" s="41" t="str">
        <f>Dashboard!C12</f>
        <v>No.</v>
      </c>
      <c r="D12" s="41" t="str">
        <f>Dashboard!D12</f>
        <v>l</v>
      </c>
      <c r="E12" s="50">
        <v>0</v>
      </c>
      <c r="F12" s="50">
        <v>0</v>
      </c>
      <c r="G12" s="50">
        <v>0</v>
      </c>
      <c r="H12" s="50">
        <v>0</v>
      </c>
      <c r="I12" s="50">
        <v>0</v>
      </c>
      <c r="J12" s="50">
        <v>0</v>
      </c>
      <c r="K12" s="50">
        <v>4</v>
      </c>
      <c r="L12" s="50">
        <v>0</v>
      </c>
      <c r="M12" s="50">
        <v>2</v>
      </c>
      <c r="N12" s="63">
        <v>0</v>
      </c>
      <c r="O12" s="50">
        <v>1</v>
      </c>
      <c r="P12" s="63">
        <v>2</v>
      </c>
    </row>
    <row r="13" spans="1:16" s="40" customFormat="1" x14ac:dyDescent="0.35">
      <c r="A13" s="40">
        <f>Dashboard!A13</f>
        <v>0</v>
      </c>
      <c r="B13" s="40" t="str">
        <f>Dashboard!B13</f>
        <v>TOTAL NEW WATER CONNECTIONS CENTRAL REGION</v>
      </c>
      <c r="C13" s="40" t="str">
        <f>Dashboard!C13</f>
        <v>No.</v>
      </c>
      <c r="D13" s="40">
        <v>40</v>
      </c>
      <c r="E13" s="64">
        <f t="shared" ref="E13:J13" si="2">SUM(E6:E12)</f>
        <v>16</v>
      </c>
      <c r="F13" s="64">
        <f t="shared" si="2"/>
        <v>11</v>
      </c>
      <c r="G13" s="64">
        <f t="shared" si="2"/>
        <v>10</v>
      </c>
      <c r="H13" s="64">
        <f t="shared" si="2"/>
        <v>2</v>
      </c>
      <c r="I13" s="64">
        <f t="shared" si="2"/>
        <v>3</v>
      </c>
      <c r="J13" s="64">
        <f t="shared" si="2"/>
        <v>0</v>
      </c>
      <c r="K13" s="64">
        <f t="shared" ref="K13:P13" si="3">SUM(K6:K12)</f>
        <v>16</v>
      </c>
      <c r="L13" s="64">
        <f t="shared" si="3"/>
        <v>10</v>
      </c>
      <c r="M13" s="64">
        <f t="shared" si="3"/>
        <v>5</v>
      </c>
      <c r="N13" s="64">
        <f t="shared" si="3"/>
        <v>7</v>
      </c>
      <c r="O13" s="64">
        <f t="shared" si="3"/>
        <v>9</v>
      </c>
      <c r="P13" s="64">
        <f t="shared" si="3"/>
        <v>12</v>
      </c>
    </row>
    <row r="14" spans="1:16" x14ac:dyDescent="0.35">
      <c r="A14" s="41">
        <f>Dashboard!A14</f>
        <v>1</v>
      </c>
      <c r="B14" s="41" t="str">
        <f>Dashboard!B14</f>
        <v>HELLSGATE- NEW WATER</v>
      </c>
      <c r="C14" s="41" t="str">
        <f>Dashboard!C14</f>
        <v>No.</v>
      </c>
      <c r="D14" s="41">
        <v>24</v>
      </c>
      <c r="E14" s="50">
        <v>13</v>
      </c>
      <c r="F14" s="50">
        <v>8</v>
      </c>
      <c r="G14" s="50">
        <v>-1</v>
      </c>
      <c r="H14" s="50">
        <v>0</v>
      </c>
      <c r="I14" s="50">
        <v>1</v>
      </c>
      <c r="J14" s="50">
        <v>1</v>
      </c>
      <c r="K14" s="50">
        <v>13</v>
      </c>
      <c r="L14" s="50">
        <v>12</v>
      </c>
      <c r="M14" s="50">
        <v>16</v>
      </c>
      <c r="N14" s="63">
        <v>16</v>
      </c>
      <c r="O14" s="50">
        <v>17</v>
      </c>
      <c r="P14" s="63">
        <v>16</v>
      </c>
    </row>
    <row r="15" spans="1:16" x14ac:dyDescent="0.35">
      <c r="A15" s="41">
        <f>Dashboard!A15</f>
        <v>2</v>
      </c>
      <c r="B15" s="41" t="str">
        <f>Dashboard!B15</f>
        <v>KAMERE- NEW WATER</v>
      </c>
      <c r="C15" s="41" t="str">
        <f>Dashboard!C15</f>
        <v>No.</v>
      </c>
      <c r="D15" s="41">
        <v>0</v>
      </c>
      <c r="E15" s="50">
        <v>4</v>
      </c>
      <c r="F15" s="50">
        <v>1</v>
      </c>
      <c r="G15" s="50">
        <v>0</v>
      </c>
      <c r="H15" s="50">
        <v>0</v>
      </c>
      <c r="I15" s="50">
        <v>0</v>
      </c>
      <c r="J15" s="50">
        <v>1</v>
      </c>
      <c r="K15" s="50">
        <v>1</v>
      </c>
      <c r="L15" s="50">
        <v>4</v>
      </c>
      <c r="M15" s="50">
        <v>0</v>
      </c>
      <c r="N15" s="63">
        <v>1</v>
      </c>
      <c r="O15" s="50">
        <v>1</v>
      </c>
      <c r="P15" s="63">
        <v>0</v>
      </c>
    </row>
    <row r="16" spans="1:16" x14ac:dyDescent="0.35">
      <c r="A16" s="41">
        <f>Dashboard!A16</f>
        <v>3</v>
      </c>
      <c r="B16" s="41" t="str">
        <f>Dashboard!B16</f>
        <v>MAI-MAHIU- NEW WATER</v>
      </c>
      <c r="C16" s="41" t="str">
        <f>Dashboard!C16</f>
        <v>No.</v>
      </c>
      <c r="D16" s="41">
        <v>24</v>
      </c>
      <c r="E16" s="76">
        <v>14</v>
      </c>
      <c r="F16" s="50">
        <v>22</v>
      </c>
      <c r="G16" s="50">
        <v>12</v>
      </c>
      <c r="H16" s="50">
        <v>2</v>
      </c>
      <c r="I16" s="50">
        <v>13</v>
      </c>
      <c r="J16" s="50">
        <v>53</v>
      </c>
      <c r="K16" s="50">
        <v>87</v>
      </c>
      <c r="L16" s="50">
        <v>17</v>
      </c>
      <c r="M16" s="50">
        <v>16</v>
      </c>
      <c r="N16" s="63">
        <v>75</v>
      </c>
      <c r="O16" s="50">
        <v>11</v>
      </c>
      <c r="P16" s="63">
        <v>24</v>
      </c>
    </row>
    <row r="17" spans="1:17" x14ac:dyDescent="0.35">
      <c r="A17" s="41">
        <f>Dashboard!A17</f>
        <v>4</v>
      </c>
      <c r="B17" s="41" t="str">
        <f>Dashboard!B17</f>
        <v>LONGONOT- NEW WATER</v>
      </c>
      <c r="C17" s="41" t="str">
        <f>Dashboard!C17</f>
        <v>No.</v>
      </c>
      <c r="D17" s="41">
        <v>24</v>
      </c>
      <c r="E17" s="76">
        <v>0</v>
      </c>
      <c r="F17" s="50">
        <v>0</v>
      </c>
      <c r="G17" s="50">
        <v>3</v>
      </c>
      <c r="H17" s="50">
        <v>0</v>
      </c>
      <c r="I17" s="50">
        <v>0</v>
      </c>
      <c r="J17" s="50">
        <v>1</v>
      </c>
      <c r="K17" s="50">
        <v>5</v>
      </c>
      <c r="L17" s="50">
        <v>6</v>
      </c>
      <c r="M17" s="50">
        <v>6</v>
      </c>
      <c r="N17" s="63">
        <v>5</v>
      </c>
      <c r="O17" s="50">
        <v>9</v>
      </c>
      <c r="P17" s="63">
        <v>10</v>
      </c>
    </row>
    <row r="18" spans="1:17" s="40" customFormat="1" x14ac:dyDescent="0.35">
      <c r="A18" s="40">
        <f>Dashboard!A18</f>
        <v>0</v>
      </c>
      <c r="B18" s="40" t="str">
        <f>Dashboard!B18</f>
        <v>TOTAL NEW WATER CONNECTION SOUTHERN REGION</v>
      </c>
      <c r="C18" s="40" t="str">
        <f>Dashboard!C18</f>
        <v>No.</v>
      </c>
      <c r="D18" s="40">
        <v>48</v>
      </c>
      <c r="E18" s="64">
        <f t="shared" ref="E18:J18" si="4">SUM(E14:E17)</f>
        <v>31</v>
      </c>
      <c r="F18" s="64">
        <f t="shared" si="4"/>
        <v>31</v>
      </c>
      <c r="G18" s="64">
        <f t="shared" si="4"/>
        <v>14</v>
      </c>
      <c r="H18" s="64">
        <f t="shared" si="4"/>
        <v>2</v>
      </c>
      <c r="I18" s="64">
        <f t="shared" si="4"/>
        <v>14</v>
      </c>
      <c r="J18" s="64">
        <f t="shared" si="4"/>
        <v>56</v>
      </c>
      <c r="K18" s="64">
        <f t="shared" ref="K18:P18" si="5">SUM(K14:K17)</f>
        <v>106</v>
      </c>
      <c r="L18" s="64">
        <f t="shared" si="5"/>
        <v>39</v>
      </c>
      <c r="M18" s="64">
        <f t="shared" si="5"/>
        <v>38</v>
      </c>
      <c r="N18" s="64">
        <f t="shared" si="5"/>
        <v>97</v>
      </c>
      <c r="O18" s="64">
        <f t="shared" si="5"/>
        <v>38</v>
      </c>
      <c r="P18" s="64">
        <f t="shared" si="5"/>
        <v>50</v>
      </c>
    </row>
    <row r="19" spans="1:17" x14ac:dyDescent="0.35">
      <c r="A19" s="41">
        <f>Dashboard!A20</f>
        <v>1</v>
      </c>
      <c r="B19" s="41" t="str">
        <f>Dashboard!B20</f>
        <v>KAYOLE- NEW WATER</v>
      </c>
      <c r="C19" s="41" t="str">
        <f>Dashboard!C20</f>
        <v>No.</v>
      </c>
      <c r="D19" s="41">
        <v>25</v>
      </c>
      <c r="E19" s="50">
        <v>31</v>
      </c>
      <c r="F19" s="50">
        <v>9</v>
      </c>
      <c r="G19" s="50">
        <v>2</v>
      </c>
      <c r="H19" s="50">
        <v>6</v>
      </c>
      <c r="I19" s="50">
        <v>22</v>
      </c>
      <c r="J19" s="50">
        <v>0</v>
      </c>
      <c r="K19" s="50">
        <v>7</v>
      </c>
      <c r="L19" s="50">
        <v>37</v>
      </c>
      <c r="M19" s="50">
        <v>47</v>
      </c>
      <c r="N19" s="63">
        <v>55</v>
      </c>
      <c r="O19" s="50">
        <v>12</v>
      </c>
      <c r="P19" s="63">
        <v>25</v>
      </c>
    </row>
    <row r="20" spans="1:17" s="40" customFormat="1" x14ac:dyDescent="0.35">
      <c r="B20" s="40" t="s">
        <v>218</v>
      </c>
      <c r="D20" s="40">
        <v>113</v>
      </c>
      <c r="E20" s="62">
        <f>E19+E18+E13</f>
        <v>78</v>
      </c>
      <c r="F20" s="62">
        <f>F19+F18+F13</f>
        <v>51</v>
      </c>
      <c r="G20" s="62">
        <f>G19+G18+G13</f>
        <v>26</v>
      </c>
      <c r="H20" s="62">
        <f t="shared" ref="H20:P20" si="6">H19+H18+H13</f>
        <v>10</v>
      </c>
      <c r="I20" s="62">
        <f t="shared" si="6"/>
        <v>39</v>
      </c>
      <c r="J20" s="62">
        <f t="shared" si="6"/>
        <v>56</v>
      </c>
      <c r="K20" s="62">
        <f t="shared" si="6"/>
        <v>129</v>
      </c>
      <c r="L20" s="62">
        <f t="shared" si="6"/>
        <v>86</v>
      </c>
      <c r="M20" s="62">
        <f t="shared" si="6"/>
        <v>90</v>
      </c>
      <c r="N20" s="62">
        <f t="shared" si="6"/>
        <v>159</v>
      </c>
      <c r="O20" s="62">
        <f t="shared" si="6"/>
        <v>59</v>
      </c>
      <c r="P20" s="62">
        <f t="shared" si="6"/>
        <v>87</v>
      </c>
      <c r="Q20" s="62"/>
    </row>
    <row r="21" spans="1:17" x14ac:dyDescent="0.35">
      <c r="A21" s="41" t="str">
        <f>Dashboard!A23</f>
        <v>NEW CONNECTIONS SEWER</v>
      </c>
      <c r="E21" s="53"/>
      <c r="F21" s="53"/>
      <c r="G21" s="53"/>
      <c r="H21" s="53"/>
      <c r="I21" s="53"/>
      <c r="J21" s="53"/>
      <c r="K21" s="53"/>
      <c r="L21" s="53"/>
      <c r="M21" s="53"/>
      <c r="N21" s="81"/>
      <c r="O21" s="53"/>
      <c r="P21" s="81"/>
    </row>
    <row r="22" spans="1:17" x14ac:dyDescent="0.35">
      <c r="A22" s="41">
        <f>Dashboard!A24</f>
        <v>1</v>
      </c>
      <c r="B22" s="41" t="str">
        <f>Dashboard!B24</f>
        <v>CBD- NEW SEWER</v>
      </c>
      <c r="C22" s="41" t="str">
        <f>Dashboard!C24</f>
        <v>No.</v>
      </c>
      <c r="D22" s="41">
        <v>0</v>
      </c>
      <c r="E22" s="50">
        <v>0</v>
      </c>
      <c r="F22" s="50">
        <v>1</v>
      </c>
      <c r="G22" s="50">
        <v>0</v>
      </c>
      <c r="H22" s="50">
        <v>0</v>
      </c>
      <c r="I22" s="50">
        <v>0</v>
      </c>
      <c r="J22" s="50">
        <v>1</v>
      </c>
      <c r="K22" s="50">
        <v>1</v>
      </c>
      <c r="L22" s="50">
        <v>0</v>
      </c>
      <c r="M22" s="50">
        <v>0</v>
      </c>
      <c r="N22" s="63">
        <v>0</v>
      </c>
      <c r="O22" s="50">
        <v>0</v>
      </c>
      <c r="P22" s="63">
        <v>1</v>
      </c>
    </row>
    <row r="23" spans="1:17" x14ac:dyDescent="0.35">
      <c r="A23" s="41">
        <f>Dashboard!A25</f>
        <v>2</v>
      </c>
      <c r="B23" s="41" t="str">
        <f>Dashboard!B25</f>
        <v>CCCR- NEW SEWER</v>
      </c>
      <c r="C23" s="41" t="str">
        <f>Dashboard!C25</f>
        <v>No.</v>
      </c>
      <c r="D23" s="41">
        <v>0</v>
      </c>
      <c r="E23" s="50">
        <v>1</v>
      </c>
      <c r="F23" s="50">
        <v>2</v>
      </c>
      <c r="G23" s="50">
        <v>-2</v>
      </c>
      <c r="H23" s="50">
        <v>0</v>
      </c>
      <c r="I23" s="50">
        <v>0</v>
      </c>
      <c r="J23" s="50">
        <v>0</v>
      </c>
      <c r="K23" s="50">
        <v>0</v>
      </c>
      <c r="L23" s="50">
        <v>0</v>
      </c>
      <c r="M23" s="50">
        <v>1</v>
      </c>
      <c r="N23" s="63">
        <v>1</v>
      </c>
      <c r="O23" s="50">
        <v>0</v>
      </c>
      <c r="P23" s="63">
        <v>0</v>
      </c>
    </row>
    <row r="24" spans="1:17" x14ac:dyDescent="0.35">
      <c r="A24" s="41">
        <f>Dashboard!A26</f>
        <v>3</v>
      </c>
      <c r="B24" s="41" t="str">
        <f>Dashboard!B26</f>
        <v>KABATI- NEW SEWER</v>
      </c>
      <c r="C24" s="41" t="str">
        <f>Dashboard!C26</f>
        <v>No.</v>
      </c>
      <c r="D24" s="41">
        <v>0</v>
      </c>
      <c r="E24" s="50">
        <v>0</v>
      </c>
      <c r="F24" s="50">
        <v>4</v>
      </c>
      <c r="G24" s="50">
        <v>0</v>
      </c>
      <c r="H24" s="50">
        <v>0</v>
      </c>
      <c r="I24" s="50">
        <v>0</v>
      </c>
      <c r="J24" s="50">
        <v>2</v>
      </c>
      <c r="K24" s="50">
        <v>0</v>
      </c>
      <c r="L24" s="50">
        <v>2</v>
      </c>
      <c r="M24" s="50">
        <v>0</v>
      </c>
      <c r="N24" s="63">
        <v>1</v>
      </c>
      <c r="O24" s="50">
        <v>0</v>
      </c>
      <c r="P24" s="63">
        <v>1</v>
      </c>
    </row>
    <row r="25" spans="1:17" x14ac:dyDescent="0.35">
      <c r="A25" s="41">
        <f>Dashboard!A27</f>
        <v>4</v>
      </c>
      <c r="B25" s="41" t="str">
        <f>Dashboard!B27</f>
        <v>SITE- NEW SEWER</v>
      </c>
      <c r="C25" s="41" t="str">
        <f>Dashboard!C27</f>
        <v>No.</v>
      </c>
      <c r="D25" s="41">
        <v>0</v>
      </c>
      <c r="E25" s="50">
        <v>1</v>
      </c>
      <c r="F25" s="50">
        <v>3</v>
      </c>
      <c r="G25" s="50">
        <v>1</v>
      </c>
      <c r="H25" s="50">
        <v>0</v>
      </c>
      <c r="I25" s="50">
        <v>0</v>
      </c>
      <c r="J25" s="50">
        <v>0</v>
      </c>
      <c r="K25" s="50">
        <v>0</v>
      </c>
      <c r="L25" s="50">
        <v>1</v>
      </c>
      <c r="M25" s="50">
        <v>0</v>
      </c>
      <c r="N25" s="63">
        <v>0</v>
      </c>
      <c r="O25" s="50">
        <v>0</v>
      </c>
      <c r="P25" s="63">
        <v>0</v>
      </c>
    </row>
    <row r="26" spans="1:17" x14ac:dyDescent="0.35">
      <c r="A26" s="41">
        <f>Dashboard!A28</f>
        <v>5</v>
      </c>
      <c r="B26" s="41" t="str">
        <f>Dashboard!B28</f>
        <v>KIHOTO- NEW SEWER</v>
      </c>
      <c r="C26" s="41" t="str">
        <f>Dashboard!C28</f>
        <v>No.</v>
      </c>
      <c r="D26" s="41">
        <v>0</v>
      </c>
      <c r="E26" s="50">
        <v>0</v>
      </c>
      <c r="F26" s="50">
        <v>0</v>
      </c>
      <c r="G26" s="50">
        <v>0</v>
      </c>
      <c r="H26" s="50">
        <v>0</v>
      </c>
      <c r="I26" s="50">
        <v>0</v>
      </c>
      <c r="J26" s="50">
        <v>0</v>
      </c>
      <c r="K26" s="50">
        <v>0</v>
      </c>
      <c r="L26" s="50">
        <v>0</v>
      </c>
      <c r="M26" s="50">
        <v>0</v>
      </c>
      <c r="N26" s="63">
        <v>0</v>
      </c>
      <c r="O26" s="50">
        <v>0</v>
      </c>
      <c r="P26" s="63">
        <v>0</v>
      </c>
    </row>
    <row r="27" spans="1:17" x14ac:dyDescent="0.35">
      <c r="A27" s="41">
        <f>Dashboard!A29</f>
        <v>6</v>
      </c>
      <c r="B27" s="41" t="str">
        <f>Dashboard!B29</f>
        <v>LAKEVIEW- NEW SEWER</v>
      </c>
      <c r="C27" s="41" t="str">
        <f>Dashboard!C29</f>
        <v>No.</v>
      </c>
      <c r="D27" s="41">
        <v>2</v>
      </c>
      <c r="E27" s="50">
        <v>0</v>
      </c>
      <c r="F27" s="50">
        <v>0</v>
      </c>
      <c r="G27" s="50">
        <v>2</v>
      </c>
      <c r="H27" s="50">
        <v>1</v>
      </c>
      <c r="I27" s="50">
        <v>0</v>
      </c>
      <c r="J27" s="50">
        <v>0</v>
      </c>
      <c r="K27" s="50">
        <v>0</v>
      </c>
      <c r="L27" s="50">
        <v>1</v>
      </c>
      <c r="M27" s="50">
        <v>1</v>
      </c>
      <c r="N27" s="63">
        <v>0</v>
      </c>
      <c r="O27" s="50">
        <v>0</v>
      </c>
      <c r="P27" s="63">
        <v>0</v>
      </c>
    </row>
    <row r="28" spans="1:17" x14ac:dyDescent="0.35">
      <c r="A28" s="41">
        <f>Dashboard!A30</f>
        <v>7</v>
      </c>
      <c r="B28" s="41" t="str">
        <f>Dashboard!B30</f>
        <v>HOPEWELL- NEW SEWER</v>
      </c>
      <c r="C28" s="41" t="str">
        <f>Dashboard!C30</f>
        <v>No.</v>
      </c>
      <c r="D28" s="41">
        <v>2</v>
      </c>
      <c r="E28" s="50">
        <v>0</v>
      </c>
      <c r="F28" s="50">
        <v>0</v>
      </c>
      <c r="G28" s="50">
        <v>0</v>
      </c>
      <c r="H28" s="50">
        <v>0</v>
      </c>
      <c r="I28" s="50">
        <v>0</v>
      </c>
      <c r="J28" s="50">
        <v>0</v>
      </c>
      <c r="K28" s="50">
        <v>0</v>
      </c>
      <c r="L28" s="50">
        <v>0</v>
      </c>
      <c r="M28" s="50">
        <v>0</v>
      </c>
      <c r="N28" s="63">
        <v>0</v>
      </c>
      <c r="O28" s="50">
        <v>0</v>
      </c>
      <c r="P28" s="63">
        <v>0</v>
      </c>
    </row>
    <row r="29" spans="1:17" s="40" customFormat="1" x14ac:dyDescent="0.35">
      <c r="A29" s="40">
        <f>Dashboard!A31</f>
        <v>0</v>
      </c>
      <c r="B29" s="40" t="str">
        <f>Dashboard!B31</f>
        <v>TOTAL NEW SEWER CONNECTIONS CENTRAL REGION</v>
      </c>
      <c r="C29" s="40" t="str">
        <f>Dashboard!C31</f>
        <v>No.</v>
      </c>
      <c r="D29" s="40">
        <v>2</v>
      </c>
      <c r="E29" s="64">
        <f t="shared" ref="E29:J29" si="7">SUM(E22:E28)</f>
        <v>2</v>
      </c>
      <c r="F29" s="64">
        <f t="shared" si="7"/>
        <v>10</v>
      </c>
      <c r="G29" s="64">
        <f t="shared" si="7"/>
        <v>1</v>
      </c>
      <c r="H29" s="64">
        <f t="shared" si="7"/>
        <v>1</v>
      </c>
      <c r="I29" s="64">
        <f t="shared" si="7"/>
        <v>0</v>
      </c>
      <c r="J29" s="64">
        <f t="shared" si="7"/>
        <v>3</v>
      </c>
      <c r="K29" s="64">
        <f t="shared" ref="K29:P29" si="8">SUM(K22:K28)</f>
        <v>1</v>
      </c>
      <c r="L29" s="64">
        <f t="shared" si="8"/>
        <v>4</v>
      </c>
      <c r="M29" s="64">
        <f t="shared" si="8"/>
        <v>2</v>
      </c>
      <c r="N29" s="64">
        <f t="shared" si="8"/>
        <v>2</v>
      </c>
      <c r="O29" s="64">
        <f t="shared" si="8"/>
        <v>0</v>
      </c>
      <c r="P29" s="64">
        <f t="shared" si="8"/>
        <v>2</v>
      </c>
    </row>
    <row r="30" spans="1:17" x14ac:dyDescent="0.35">
      <c r="A30" s="41">
        <f>Dashboard!A32</f>
        <v>1</v>
      </c>
      <c r="B30" s="41" t="str">
        <f>Dashboard!B32</f>
        <v>HELLSGATE- NEW SEWER</v>
      </c>
      <c r="C30" s="41" t="str">
        <f>Dashboard!C32</f>
        <v>No.</v>
      </c>
      <c r="E30" s="50">
        <v>0</v>
      </c>
      <c r="F30" s="50">
        <f>F60-E60</f>
        <v>0</v>
      </c>
      <c r="G30" s="50">
        <f t="shared" ref="G30:H30" si="9">G60-F60</f>
        <v>0</v>
      </c>
      <c r="H30" s="50">
        <f t="shared" si="9"/>
        <v>0</v>
      </c>
      <c r="I30" s="50">
        <f t="shared" ref="I30:P30" si="10">I60-H60</f>
        <v>0</v>
      </c>
      <c r="J30" s="50">
        <f t="shared" si="10"/>
        <v>0</v>
      </c>
      <c r="K30" s="50">
        <f t="shared" si="10"/>
        <v>0</v>
      </c>
      <c r="L30" s="50">
        <f t="shared" si="10"/>
        <v>0</v>
      </c>
      <c r="M30" s="50">
        <f t="shared" si="10"/>
        <v>0</v>
      </c>
      <c r="N30" s="63">
        <f t="shared" si="10"/>
        <v>0</v>
      </c>
      <c r="O30" s="50">
        <f t="shared" si="10"/>
        <v>0</v>
      </c>
      <c r="P30" s="63">
        <f t="shared" si="10"/>
        <v>0</v>
      </c>
    </row>
    <row r="31" spans="1:17" x14ac:dyDescent="0.35">
      <c r="A31" s="41">
        <f>Dashboard!A33</f>
        <v>2</v>
      </c>
      <c r="B31" s="41" t="str">
        <f>Dashboard!B33</f>
        <v>KAMERE- NEW SEWER</v>
      </c>
      <c r="C31" s="41" t="str">
        <f>Dashboard!C33</f>
        <v>No.</v>
      </c>
      <c r="E31" s="50">
        <v>0</v>
      </c>
      <c r="F31" s="50">
        <f t="shared" ref="F31:G32" si="11">F61-E61</f>
        <v>0</v>
      </c>
      <c r="G31" s="50">
        <f t="shared" si="11"/>
        <v>0</v>
      </c>
      <c r="H31" s="50">
        <f t="shared" ref="H31:P31" si="12">H61-G61</f>
        <v>0</v>
      </c>
      <c r="I31" s="50">
        <f t="shared" si="12"/>
        <v>0</v>
      </c>
      <c r="J31" s="50">
        <f t="shared" si="12"/>
        <v>0</v>
      </c>
      <c r="K31" s="50">
        <f t="shared" si="12"/>
        <v>0</v>
      </c>
      <c r="L31" s="50">
        <f t="shared" si="12"/>
        <v>0</v>
      </c>
      <c r="M31" s="50">
        <f t="shared" si="12"/>
        <v>0</v>
      </c>
      <c r="N31" s="63">
        <f t="shared" si="12"/>
        <v>0</v>
      </c>
      <c r="O31" s="50">
        <f t="shared" si="12"/>
        <v>0</v>
      </c>
      <c r="P31" s="63">
        <f t="shared" si="12"/>
        <v>0</v>
      </c>
    </row>
    <row r="32" spans="1:17" x14ac:dyDescent="0.35">
      <c r="A32" s="41">
        <f>Dashboard!A34</f>
        <v>3</v>
      </c>
      <c r="B32" s="41" t="str">
        <f>Dashboard!B34</f>
        <v>MAI-MAHIU- NEW SEWER</v>
      </c>
      <c r="C32" s="41" t="str">
        <f>Dashboard!C34</f>
        <v>No.</v>
      </c>
      <c r="E32" s="50">
        <v>0</v>
      </c>
      <c r="F32" s="50">
        <f t="shared" si="11"/>
        <v>0</v>
      </c>
      <c r="G32" s="50">
        <f t="shared" si="11"/>
        <v>0</v>
      </c>
      <c r="H32" s="50">
        <f t="shared" ref="H32:P32" si="13">H62-G62</f>
        <v>0</v>
      </c>
      <c r="I32" s="50">
        <f t="shared" si="13"/>
        <v>0</v>
      </c>
      <c r="J32" s="50">
        <f t="shared" si="13"/>
        <v>0</v>
      </c>
      <c r="K32" s="50">
        <f t="shared" si="13"/>
        <v>0</v>
      </c>
      <c r="L32" s="50">
        <f t="shared" si="13"/>
        <v>0</v>
      </c>
      <c r="M32" s="50">
        <f t="shared" si="13"/>
        <v>0</v>
      </c>
      <c r="N32" s="63">
        <f t="shared" si="13"/>
        <v>0</v>
      </c>
      <c r="O32" s="50">
        <f t="shared" si="13"/>
        <v>0</v>
      </c>
      <c r="P32" s="63">
        <f t="shared" si="13"/>
        <v>0</v>
      </c>
    </row>
    <row r="33" spans="1:17" s="40" customFormat="1" x14ac:dyDescent="0.35">
      <c r="A33" s="40">
        <f>Dashboard!A35</f>
        <v>0</v>
      </c>
      <c r="B33" s="40" t="str">
        <f>Dashboard!B35</f>
        <v>TOTAL NEW S CONNECTION SOUTHERN REGION</v>
      </c>
      <c r="C33" s="40" t="str">
        <f>Dashboard!C35</f>
        <v>No.</v>
      </c>
      <c r="D33" s="40">
        <v>0</v>
      </c>
      <c r="E33" s="64">
        <f t="shared" ref="E33:P33" si="14">SUM(E30:E32)</f>
        <v>0</v>
      </c>
      <c r="F33" s="64">
        <f t="shared" si="14"/>
        <v>0</v>
      </c>
      <c r="G33" s="64">
        <f t="shared" si="14"/>
        <v>0</v>
      </c>
      <c r="H33" s="64">
        <f t="shared" si="14"/>
        <v>0</v>
      </c>
      <c r="I33" s="64">
        <f t="shared" si="14"/>
        <v>0</v>
      </c>
      <c r="J33" s="64">
        <f t="shared" si="14"/>
        <v>0</v>
      </c>
      <c r="K33" s="64">
        <f t="shared" si="14"/>
        <v>0</v>
      </c>
      <c r="L33" s="64">
        <f t="shared" si="14"/>
        <v>0</v>
      </c>
      <c r="M33" s="64">
        <f t="shared" si="14"/>
        <v>0</v>
      </c>
      <c r="N33" s="64">
        <f t="shared" si="14"/>
        <v>0</v>
      </c>
      <c r="O33" s="64">
        <f t="shared" si="14"/>
        <v>0</v>
      </c>
      <c r="P33" s="64">
        <f t="shared" si="14"/>
        <v>0</v>
      </c>
    </row>
    <row r="34" spans="1:17" x14ac:dyDescent="0.35">
      <c r="A34" s="41">
        <f>Dashboard!A37</f>
        <v>1</v>
      </c>
      <c r="B34" s="41" t="str">
        <f>Dashboard!B37</f>
        <v>KAYOLE- NEW SEWER</v>
      </c>
      <c r="C34" s="41" t="str">
        <f>Dashboard!C37</f>
        <v>No.</v>
      </c>
      <c r="D34" s="41">
        <v>6</v>
      </c>
      <c r="E34" s="50">
        <v>1</v>
      </c>
      <c r="F34" s="50">
        <v>0</v>
      </c>
      <c r="G34" s="50">
        <v>2</v>
      </c>
      <c r="H34" s="50">
        <v>1</v>
      </c>
      <c r="I34" s="50">
        <v>0</v>
      </c>
      <c r="J34" s="50">
        <v>1</v>
      </c>
      <c r="K34" s="50">
        <v>0</v>
      </c>
      <c r="L34" s="50">
        <v>2</v>
      </c>
      <c r="M34" s="50">
        <v>2</v>
      </c>
      <c r="N34" s="63">
        <v>1</v>
      </c>
      <c r="O34" s="50">
        <v>0</v>
      </c>
      <c r="P34" s="63">
        <v>1</v>
      </c>
    </row>
    <row r="35" spans="1:17" s="40" customFormat="1" x14ac:dyDescent="0.35">
      <c r="B35" s="40" t="s">
        <v>219</v>
      </c>
      <c r="D35" s="40">
        <v>8</v>
      </c>
      <c r="E35" s="62">
        <f t="shared" ref="E35:P35" si="15">E34+E29</f>
        <v>3</v>
      </c>
      <c r="F35" s="62">
        <f t="shared" si="15"/>
        <v>10</v>
      </c>
      <c r="G35" s="62">
        <f t="shared" si="15"/>
        <v>3</v>
      </c>
      <c r="H35" s="62">
        <f t="shared" si="15"/>
        <v>2</v>
      </c>
      <c r="I35" s="62">
        <f t="shared" si="15"/>
        <v>0</v>
      </c>
      <c r="J35" s="62">
        <f t="shared" si="15"/>
        <v>4</v>
      </c>
      <c r="K35" s="62">
        <f t="shared" si="15"/>
        <v>1</v>
      </c>
      <c r="L35" s="62">
        <f t="shared" si="15"/>
        <v>6</v>
      </c>
      <c r="M35" s="62">
        <f t="shared" si="15"/>
        <v>4</v>
      </c>
      <c r="N35" s="62">
        <f t="shared" si="15"/>
        <v>3</v>
      </c>
      <c r="O35" s="62">
        <f t="shared" si="15"/>
        <v>0</v>
      </c>
      <c r="P35" s="62">
        <f t="shared" si="15"/>
        <v>3</v>
      </c>
    </row>
    <row r="36" spans="1:17" x14ac:dyDescent="0.35">
      <c r="A36" s="41" t="str">
        <f>Dashboard!A38</f>
        <v>TOTAL CONNECTIONS-WATER</v>
      </c>
      <c r="E36" s="53"/>
      <c r="F36" s="53"/>
      <c r="G36" s="53"/>
      <c r="H36" s="53"/>
      <c r="I36" s="53"/>
      <c r="J36" s="53"/>
      <c r="K36" s="53"/>
      <c r="L36" s="53"/>
      <c r="M36" s="53"/>
      <c r="N36" s="81"/>
      <c r="O36" s="53"/>
      <c r="P36" s="81"/>
    </row>
    <row r="37" spans="1:17" x14ac:dyDescent="0.35">
      <c r="A37" s="41">
        <f>Dashboard!A39</f>
        <v>1</v>
      </c>
      <c r="B37" s="41" t="str">
        <f>Dashboard!B39</f>
        <v>CBD-  WATER</v>
      </c>
      <c r="C37" s="41" t="str">
        <f>Dashboard!C39</f>
        <v>No.</v>
      </c>
      <c r="D37" s="41">
        <v>773</v>
      </c>
      <c r="E37" s="50">
        <v>782</v>
      </c>
      <c r="F37" s="50">
        <v>783</v>
      </c>
      <c r="G37" s="50">
        <v>785</v>
      </c>
      <c r="H37" s="50">
        <v>786</v>
      </c>
      <c r="I37" s="50">
        <v>785</v>
      </c>
      <c r="J37" s="50">
        <v>786</v>
      </c>
      <c r="K37" s="50">
        <v>785</v>
      </c>
      <c r="L37" s="50">
        <v>785</v>
      </c>
      <c r="M37" s="79">
        <v>785</v>
      </c>
      <c r="N37" s="79">
        <v>786</v>
      </c>
      <c r="O37" s="50">
        <v>788</v>
      </c>
      <c r="P37" s="63">
        <v>790</v>
      </c>
      <c r="Q37" s="53"/>
    </row>
    <row r="38" spans="1:17" x14ac:dyDescent="0.35">
      <c r="A38" s="41">
        <f>Dashboard!A40</f>
        <v>2</v>
      </c>
      <c r="B38" s="41" t="str">
        <f>Dashboard!B40</f>
        <v>CCCR-  WATER</v>
      </c>
      <c r="C38" s="41" t="str">
        <f>Dashboard!C40</f>
        <v>No.</v>
      </c>
      <c r="D38" s="41">
        <v>779</v>
      </c>
      <c r="E38" s="50">
        <v>857</v>
      </c>
      <c r="F38" s="50">
        <v>858</v>
      </c>
      <c r="G38" s="50">
        <v>861</v>
      </c>
      <c r="H38" s="50">
        <v>859</v>
      </c>
      <c r="I38" s="86">
        <v>861</v>
      </c>
      <c r="J38" s="50">
        <v>861</v>
      </c>
      <c r="K38" s="50">
        <v>869</v>
      </c>
      <c r="L38" s="50">
        <v>872</v>
      </c>
      <c r="M38" s="79">
        <v>873</v>
      </c>
      <c r="N38" s="79">
        <v>875</v>
      </c>
      <c r="O38" s="79">
        <v>876</v>
      </c>
      <c r="P38" s="63">
        <v>880</v>
      </c>
      <c r="Q38" s="53"/>
    </row>
    <row r="39" spans="1:17" x14ac:dyDescent="0.35">
      <c r="A39" s="41">
        <f>Dashboard!A41</f>
        <v>3</v>
      </c>
      <c r="B39" s="41" t="str">
        <f>Dashboard!B41</f>
        <v>KABATI- WATER</v>
      </c>
      <c r="C39" s="41" t="str">
        <f>Dashboard!C41</f>
        <v>No.</v>
      </c>
      <c r="D39" s="41">
        <v>908</v>
      </c>
      <c r="E39" s="50">
        <v>935</v>
      </c>
      <c r="F39" s="50">
        <v>939</v>
      </c>
      <c r="G39" s="50">
        <v>944</v>
      </c>
      <c r="H39" s="50">
        <v>944</v>
      </c>
      <c r="I39" s="50">
        <v>946</v>
      </c>
      <c r="J39" s="50">
        <v>945</v>
      </c>
      <c r="K39" s="50">
        <v>946</v>
      </c>
      <c r="L39" s="50">
        <v>950</v>
      </c>
      <c r="M39" s="79">
        <v>950</v>
      </c>
      <c r="N39" s="79">
        <v>951</v>
      </c>
      <c r="O39" s="50">
        <v>953</v>
      </c>
      <c r="P39" s="63">
        <v>953</v>
      </c>
      <c r="Q39" s="53"/>
    </row>
    <row r="40" spans="1:17" x14ac:dyDescent="0.35">
      <c r="A40" s="41">
        <f>Dashboard!A42</f>
        <v>4</v>
      </c>
      <c r="B40" s="41" t="str">
        <f>Dashboard!B42</f>
        <v>SITE- WATER</v>
      </c>
      <c r="C40" s="41" t="str">
        <f>Dashboard!C42</f>
        <v>No.</v>
      </c>
      <c r="D40" s="41">
        <v>921</v>
      </c>
      <c r="E40" s="50">
        <v>935</v>
      </c>
      <c r="F40" s="50">
        <v>935</v>
      </c>
      <c r="G40" s="50">
        <v>935</v>
      </c>
      <c r="H40" s="50">
        <v>935</v>
      </c>
      <c r="I40" s="50">
        <v>935</v>
      </c>
      <c r="J40" s="50">
        <v>935</v>
      </c>
      <c r="K40" s="50">
        <v>936</v>
      </c>
      <c r="L40" s="50">
        <v>937</v>
      </c>
      <c r="M40" s="79">
        <v>937</v>
      </c>
      <c r="N40" s="79">
        <v>937</v>
      </c>
      <c r="O40" s="50">
        <v>937</v>
      </c>
      <c r="P40" s="63">
        <v>939</v>
      </c>
      <c r="Q40" s="53"/>
    </row>
    <row r="41" spans="1:17" x14ac:dyDescent="0.35">
      <c r="A41" s="41">
        <f>Dashboard!A43</f>
        <v>5</v>
      </c>
      <c r="B41" s="41" t="str">
        <f>Dashboard!B43</f>
        <v>KIHOTO- WATER</v>
      </c>
      <c r="C41" s="41" t="str">
        <f>Dashboard!C43</f>
        <v>No.</v>
      </c>
      <c r="D41" s="41">
        <v>207</v>
      </c>
      <c r="E41" s="50">
        <v>217</v>
      </c>
      <c r="F41" s="50">
        <v>217</v>
      </c>
      <c r="G41" s="50">
        <v>217</v>
      </c>
      <c r="H41" s="50">
        <v>217</v>
      </c>
      <c r="I41" s="50">
        <v>217</v>
      </c>
      <c r="J41" s="50">
        <v>217</v>
      </c>
      <c r="K41" s="50">
        <v>218</v>
      </c>
      <c r="L41" s="50">
        <v>218</v>
      </c>
      <c r="M41" s="79">
        <v>218</v>
      </c>
      <c r="N41" s="79">
        <v>218</v>
      </c>
      <c r="O41" s="50">
        <v>218</v>
      </c>
      <c r="P41" s="63">
        <v>219</v>
      </c>
      <c r="Q41" s="53"/>
    </row>
    <row r="42" spans="1:17" x14ac:dyDescent="0.35">
      <c r="A42" s="41">
        <f>Dashboard!A44</f>
        <v>6</v>
      </c>
      <c r="B42" s="41" t="str">
        <f>Dashboard!B44</f>
        <v>LAKEVIEW- WATER</v>
      </c>
      <c r="C42" s="41" t="str">
        <f>Dashboard!C44</f>
        <v>No.</v>
      </c>
      <c r="D42" s="41">
        <v>1413</v>
      </c>
      <c r="E42" s="50">
        <f>1491-E43</f>
        <v>1226</v>
      </c>
      <c r="F42" s="50">
        <v>1231</v>
      </c>
      <c r="G42" s="50">
        <v>1138</v>
      </c>
      <c r="H42" s="50">
        <v>1139</v>
      </c>
      <c r="I42" s="50">
        <v>1140</v>
      </c>
      <c r="J42" s="50">
        <v>1141</v>
      </c>
      <c r="K42" s="50">
        <v>1143</v>
      </c>
      <c r="L42" s="50">
        <v>1147</v>
      </c>
      <c r="M42" s="79">
        <v>1148</v>
      </c>
      <c r="N42" s="79">
        <v>1149</v>
      </c>
      <c r="O42" s="50">
        <v>1151</v>
      </c>
      <c r="P42" s="63">
        <v>1152</v>
      </c>
      <c r="Q42" s="53"/>
    </row>
    <row r="43" spans="1:17" x14ac:dyDescent="0.35">
      <c r="A43" s="41">
        <f>Dashboard!A45</f>
        <v>7</v>
      </c>
      <c r="B43" s="41" t="str">
        <f>Dashboard!B45</f>
        <v>HOPEWELL- WATER</v>
      </c>
      <c r="C43" s="41" t="str">
        <f>Dashboard!C45</f>
        <v>No.</v>
      </c>
      <c r="D43" s="41">
        <v>1413</v>
      </c>
      <c r="E43" s="50">
        <v>265</v>
      </c>
      <c r="F43" s="50">
        <v>265</v>
      </c>
      <c r="G43" s="50">
        <v>358</v>
      </c>
      <c r="H43" s="50">
        <v>358</v>
      </c>
      <c r="I43" s="50">
        <v>358</v>
      </c>
      <c r="J43" s="50">
        <v>358</v>
      </c>
      <c r="K43" s="50">
        <v>361</v>
      </c>
      <c r="L43" s="50">
        <v>359</v>
      </c>
      <c r="M43" s="79">
        <v>361</v>
      </c>
      <c r="N43" s="79">
        <v>361</v>
      </c>
      <c r="O43" s="50">
        <v>363</v>
      </c>
      <c r="P43" s="63">
        <v>365</v>
      </c>
      <c r="Q43" s="53"/>
    </row>
    <row r="44" spans="1:17" s="40" customFormat="1" x14ac:dyDescent="0.35">
      <c r="A44" s="40">
        <f>Dashboard!A46</f>
        <v>0</v>
      </c>
      <c r="B44" s="40" t="str">
        <f>Dashboard!B46</f>
        <v>TOTALWATER CONNECTION CENTRAL REGION</v>
      </c>
      <c r="C44" s="40" t="str">
        <f>Dashboard!C46</f>
        <v>No.</v>
      </c>
      <c r="D44" s="40">
        <v>5001</v>
      </c>
      <c r="E44" s="64">
        <f>SUM(E37:E43)</f>
        <v>5217</v>
      </c>
      <c r="F44" s="64">
        <f t="shared" ref="F44:P44" si="16">SUM(F37:F43)</f>
        <v>5228</v>
      </c>
      <c r="G44" s="64">
        <f t="shared" si="16"/>
        <v>5238</v>
      </c>
      <c r="H44" s="64">
        <f t="shared" si="16"/>
        <v>5238</v>
      </c>
      <c r="I44" s="64">
        <f t="shared" si="16"/>
        <v>5242</v>
      </c>
      <c r="J44" s="64">
        <f t="shared" si="16"/>
        <v>5243</v>
      </c>
      <c r="K44" s="64">
        <f t="shared" si="16"/>
        <v>5258</v>
      </c>
      <c r="L44" s="64">
        <f t="shared" si="16"/>
        <v>5268</v>
      </c>
      <c r="M44" s="64">
        <f t="shared" si="16"/>
        <v>5272</v>
      </c>
      <c r="N44" s="64">
        <f t="shared" si="16"/>
        <v>5277</v>
      </c>
      <c r="O44" s="64">
        <f t="shared" si="16"/>
        <v>5286</v>
      </c>
      <c r="P44" s="64">
        <f t="shared" si="16"/>
        <v>5298</v>
      </c>
      <c r="Q44" s="53"/>
    </row>
    <row r="45" spans="1:17" x14ac:dyDescent="0.35">
      <c r="A45" s="41">
        <f>Dashboard!A47</f>
        <v>1</v>
      </c>
      <c r="B45" s="41" t="str">
        <f>Dashboard!B47</f>
        <v>HELLSGATE-  WATER</v>
      </c>
      <c r="C45" s="41" t="str">
        <f>Dashboard!C47</f>
        <v>No.</v>
      </c>
      <c r="D45" s="41">
        <v>1607</v>
      </c>
      <c r="E45" s="50">
        <v>1740</v>
      </c>
      <c r="F45" s="50">
        <v>1748</v>
      </c>
      <c r="G45" s="50">
        <v>1747</v>
      </c>
      <c r="H45" s="50">
        <v>1748</v>
      </c>
      <c r="I45" s="50">
        <v>1749</v>
      </c>
      <c r="J45" s="50">
        <v>1749</v>
      </c>
      <c r="K45" s="50">
        <v>1762</v>
      </c>
      <c r="L45" s="50">
        <v>1774</v>
      </c>
      <c r="M45" s="79">
        <v>1789</v>
      </c>
      <c r="N45" s="79">
        <v>1804</v>
      </c>
      <c r="O45" s="50">
        <v>1821</v>
      </c>
      <c r="P45" s="63">
        <v>1835</v>
      </c>
      <c r="Q45" s="53"/>
    </row>
    <row r="46" spans="1:17" x14ac:dyDescent="0.35">
      <c r="A46" s="41">
        <f>Dashboard!A48</f>
        <v>2</v>
      </c>
      <c r="B46" s="41" t="str">
        <f>Dashboard!B48</f>
        <v>KAMERE- WATER</v>
      </c>
      <c r="C46" s="41" t="str">
        <f>Dashboard!C48</f>
        <v>No.</v>
      </c>
      <c r="D46" s="41">
        <v>343</v>
      </c>
      <c r="E46" s="50">
        <v>356</v>
      </c>
      <c r="F46" s="50">
        <v>357</v>
      </c>
      <c r="G46" s="50">
        <v>357</v>
      </c>
      <c r="H46" s="50">
        <v>358</v>
      </c>
      <c r="I46" s="50">
        <v>358</v>
      </c>
      <c r="J46" s="50">
        <v>359</v>
      </c>
      <c r="K46" s="50">
        <v>360</v>
      </c>
      <c r="L46" s="50">
        <v>364</v>
      </c>
      <c r="M46" s="79">
        <v>364</v>
      </c>
      <c r="N46" s="79">
        <v>364</v>
      </c>
      <c r="O46" s="50">
        <v>365</v>
      </c>
      <c r="P46" s="63">
        <v>365</v>
      </c>
      <c r="Q46" s="53"/>
    </row>
    <row r="47" spans="1:17" x14ac:dyDescent="0.35">
      <c r="A47" s="41">
        <f>Dashboard!A49</f>
        <v>3</v>
      </c>
      <c r="B47" s="41" t="str">
        <f>Dashboard!B49</f>
        <v>MAI-MAHIU- WATER</v>
      </c>
      <c r="C47" s="41" t="str">
        <f>Dashboard!C49</f>
        <v>No.</v>
      </c>
      <c r="D47" s="41">
        <v>1194</v>
      </c>
      <c r="E47" s="50">
        <v>834</v>
      </c>
      <c r="F47" s="50">
        <v>856</v>
      </c>
      <c r="G47" s="50">
        <v>868</v>
      </c>
      <c r="H47" s="50">
        <v>869</v>
      </c>
      <c r="I47" s="50">
        <v>880</v>
      </c>
      <c r="J47" s="50">
        <v>933</v>
      </c>
      <c r="K47" s="50">
        <v>1019</v>
      </c>
      <c r="L47" s="50">
        <v>1032</v>
      </c>
      <c r="M47" s="79">
        <v>1044</v>
      </c>
      <c r="N47" s="79">
        <v>1118</v>
      </c>
      <c r="O47" s="50">
        <v>1123</v>
      </c>
      <c r="P47" s="63">
        <v>1146</v>
      </c>
      <c r="Q47" s="53"/>
    </row>
    <row r="48" spans="1:17" x14ac:dyDescent="0.35">
      <c r="A48" s="41">
        <f>Dashboard!A50</f>
        <v>4</v>
      </c>
      <c r="B48" s="41" t="str">
        <f>Dashboard!B50</f>
        <v>LONGONOT- WATER</v>
      </c>
      <c r="C48" s="41" t="str">
        <f>Dashboard!C50</f>
        <v>No.</v>
      </c>
      <c r="D48" s="41" t="str">
        <f>Dashboard!D50</f>
        <v>l</v>
      </c>
      <c r="E48" s="50">
        <v>562</v>
      </c>
      <c r="F48" s="50">
        <v>562</v>
      </c>
      <c r="G48" s="50">
        <v>565</v>
      </c>
      <c r="H48" s="50">
        <v>565</v>
      </c>
      <c r="I48" s="50">
        <v>568</v>
      </c>
      <c r="J48" s="50">
        <v>567</v>
      </c>
      <c r="K48" s="50">
        <v>572</v>
      </c>
      <c r="L48" s="50">
        <v>579</v>
      </c>
      <c r="M48" s="79">
        <v>588</v>
      </c>
      <c r="N48" s="79">
        <v>593</v>
      </c>
      <c r="O48" s="50">
        <v>608</v>
      </c>
      <c r="P48" s="63">
        <v>618</v>
      </c>
      <c r="Q48" s="53"/>
    </row>
    <row r="49" spans="1:17" s="40" customFormat="1" x14ac:dyDescent="0.35">
      <c r="A49" s="40">
        <f>Dashboard!A51</f>
        <v>0</v>
      </c>
      <c r="B49" s="40" t="str">
        <f>Dashboard!B51</f>
        <v>TOTAL WATER CONNECTION SOUTHERN REGION</v>
      </c>
      <c r="C49" s="40" t="str">
        <f>Dashboard!C51</f>
        <v>No.</v>
      </c>
      <c r="D49" s="40">
        <v>3144</v>
      </c>
      <c r="E49" s="64">
        <f t="shared" ref="E49:J49" si="17">SUM(E45:E48)</f>
        <v>3492</v>
      </c>
      <c r="F49" s="64">
        <f t="shared" si="17"/>
        <v>3523</v>
      </c>
      <c r="G49" s="64">
        <f t="shared" si="17"/>
        <v>3537</v>
      </c>
      <c r="H49" s="64">
        <f t="shared" si="17"/>
        <v>3540</v>
      </c>
      <c r="I49" s="64">
        <f t="shared" si="17"/>
        <v>3555</v>
      </c>
      <c r="J49" s="64">
        <f t="shared" si="17"/>
        <v>3608</v>
      </c>
      <c r="K49" s="64">
        <f t="shared" ref="K49:P49" si="18">SUM(K45:K48)</f>
        <v>3713</v>
      </c>
      <c r="L49" s="64">
        <f t="shared" si="18"/>
        <v>3749</v>
      </c>
      <c r="M49" s="64">
        <f t="shared" si="18"/>
        <v>3785</v>
      </c>
      <c r="N49" s="64">
        <f t="shared" si="18"/>
        <v>3879</v>
      </c>
      <c r="O49" s="64">
        <f t="shared" si="18"/>
        <v>3917</v>
      </c>
      <c r="P49" s="64">
        <f t="shared" si="18"/>
        <v>3964</v>
      </c>
      <c r="Q49" s="53"/>
    </row>
    <row r="50" spans="1:17" x14ac:dyDescent="0.35">
      <c r="A50" s="41">
        <f>Dashboard!A53</f>
        <v>1</v>
      </c>
      <c r="B50" s="41" t="str">
        <f>Dashboard!B53</f>
        <v>KAYOLE-WATER</v>
      </c>
      <c r="C50" s="41" t="str">
        <f>Dashboard!C53</f>
        <v>No.</v>
      </c>
      <c r="D50" s="41">
        <v>2457</v>
      </c>
      <c r="E50" s="50">
        <v>2701</v>
      </c>
      <c r="F50" s="50">
        <v>2710</v>
      </c>
      <c r="G50" s="50">
        <v>2712</v>
      </c>
      <c r="H50" s="50">
        <v>2716</v>
      </c>
      <c r="I50" s="50">
        <v>2737</v>
      </c>
      <c r="J50" s="50">
        <v>2737</v>
      </c>
      <c r="K50" s="50">
        <v>2743</v>
      </c>
      <c r="L50" s="50">
        <v>2779</v>
      </c>
      <c r="M50" s="50">
        <v>2827</v>
      </c>
      <c r="N50" s="63">
        <v>2882</v>
      </c>
      <c r="O50" s="50">
        <v>2894</v>
      </c>
      <c r="P50" s="63">
        <v>2919</v>
      </c>
      <c r="Q50" s="53"/>
    </row>
    <row r="51" spans="1:17" x14ac:dyDescent="0.35">
      <c r="A51" s="41" t="str">
        <f>Dashboard!A56</f>
        <v>TOTAL  CONNECTIONS-SEWER</v>
      </c>
      <c r="E51" s="53"/>
      <c r="F51" s="53"/>
      <c r="G51" s="53"/>
      <c r="H51" s="53"/>
      <c r="I51" s="53"/>
      <c r="J51" s="53"/>
      <c r="K51" s="53"/>
      <c r="L51" s="53"/>
      <c r="M51" s="53"/>
      <c r="N51" s="81"/>
      <c r="O51" s="53"/>
      <c r="P51" s="81"/>
      <c r="Q51" s="53"/>
    </row>
    <row r="52" spans="1:17" x14ac:dyDescent="0.35">
      <c r="A52" s="41">
        <f>Dashboard!A57</f>
        <v>1</v>
      </c>
      <c r="B52" s="41" t="str">
        <f>Dashboard!B57</f>
        <v>CBD- SEWER</v>
      </c>
      <c r="C52" s="41" t="str">
        <f>Dashboard!C57</f>
        <v>No.</v>
      </c>
      <c r="D52" s="41">
        <v>439</v>
      </c>
      <c r="E52" s="50">
        <v>476</v>
      </c>
      <c r="F52" s="50">
        <v>477</v>
      </c>
      <c r="G52" s="50">
        <v>477</v>
      </c>
      <c r="H52" s="50">
        <v>477</v>
      </c>
      <c r="I52" s="50">
        <v>477</v>
      </c>
      <c r="J52" s="50">
        <v>478</v>
      </c>
      <c r="K52" s="50">
        <v>478</v>
      </c>
      <c r="L52" s="50">
        <v>478</v>
      </c>
      <c r="M52" s="79">
        <v>479</v>
      </c>
      <c r="N52" s="79">
        <v>479</v>
      </c>
      <c r="O52" s="50">
        <v>480</v>
      </c>
      <c r="P52" s="63">
        <v>480</v>
      </c>
      <c r="Q52" s="53"/>
    </row>
    <row r="53" spans="1:17" x14ac:dyDescent="0.35">
      <c r="A53" s="41">
        <f>Dashboard!A58</f>
        <v>2</v>
      </c>
      <c r="B53" s="41" t="str">
        <f>Dashboard!B58</f>
        <v>CCCR-SEWER</v>
      </c>
      <c r="C53" s="41" t="str">
        <f>Dashboard!C58</f>
        <v>No.</v>
      </c>
      <c r="D53" s="41">
        <v>358</v>
      </c>
      <c r="E53" s="50">
        <v>447</v>
      </c>
      <c r="F53" s="50">
        <v>449</v>
      </c>
      <c r="G53" s="50">
        <v>447</v>
      </c>
      <c r="H53" s="50">
        <v>447</v>
      </c>
      <c r="I53" s="50">
        <v>446</v>
      </c>
      <c r="J53" s="50">
        <v>446</v>
      </c>
      <c r="K53" s="50">
        <v>446</v>
      </c>
      <c r="L53" s="50">
        <v>451</v>
      </c>
      <c r="M53" s="79">
        <v>454</v>
      </c>
      <c r="N53" s="79">
        <v>454</v>
      </c>
      <c r="O53" s="50">
        <v>453</v>
      </c>
      <c r="P53" s="63">
        <v>453</v>
      </c>
      <c r="Q53" s="53"/>
    </row>
    <row r="54" spans="1:17" x14ac:dyDescent="0.35">
      <c r="A54" s="41">
        <f>Dashboard!A59</f>
        <v>3</v>
      </c>
      <c r="B54" s="41" t="str">
        <f>Dashboard!B59</f>
        <v>KABATI-SEWER</v>
      </c>
      <c r="C54" s="41" t="str">
        <f>Dashboard!C59</f>
        <v>No.</v>
      </c>
      <c r="D54" s="41">
        <v>326</v>
      </c>
      <c r="E54" s="50">
        <v>362</v>
      </c>
      <c r="F54" s="50">
        <v>366</v>
      </c>
      <c r="G54" s="50">
        <v>366</v>
      </c>
      <c r="H54" s="50">
        <v>366</v>
      </c>
      <c r="I54" s="50">
        <v>374</v>
      </c>
      <c r="J54" s="50">
        <v>374</v>
      </c>
      <c r="K54" s="50">
        <v>377</v>
      </c>
      <c r="L54" s="50">
        <v>379</v>
      </c>
      <c r="M54" s="79">
        <v>382</v>
      </c>
      <c r="N54" s="79">
        <v>383</v>
      </c>
      <c r="O54" s="50">
        <v>382</v>
      </c>
      <c r="P54" s="63">
        <v>382</v>
      </c>
      <c r="Q54" s="53"/>
    </row>
    <row r="55" spans="1:17" x14ac:dyDescent="0.35">
      <c r="A55" s="41">
        <f>Dashboard!A60</f>
        <v>4</v>
      </c>
      <c r="B55" s="41" t="str">
        <f>Dashboard!B60</f>
        <v>SITE- SEWER</v>
      </c>
      <c r="C55" s="41" t="str">
        <f>Dashboard!C60</f>
        <v>No.</v>
      </c>
      <c r="D55" s="41">
        <v>530</v>
      </c>
      <c r="E55" s="50">
        <v>591</v>
      </c>
      <c r="F55" s="50">
        <v>594</v>
      </c>
      <c r="G55" s="50">
        <v>595</v>
      </c>
      <c r="H55" s="50">
        <v>595</v>
      </c>
      <c r="I55" s="50">
        <v>595</v>
      </c>
      <c r="J55" s="50">
        <v>595</v>
      </c>
      <c r="K55" s="50">
        <v>600</v>
      </c>
      <c r="L55" s="50">
        <v>603</v>
      </c>
      <c r="M55" s="79">
        <v>603</v>
      </c>
      <c r="N55" s="79">
        <v>604</v>
      </c>
      <c r="O55" s="50">
        <v>604</v>
      </c>
      <c r="P55" s="63">
        <v>605</v>
      </c>
      <c r="Q55" s="53"/>
    </row>
    <row r="56" spans="1:17" x14ac:dyDescent="0.35">
      <c r="A56" s="41">
        <f>Dashboard!A61</f>
        <v>5</v>
      </c>
      <c r="B56" s="41" t="str">
        <f>Dashboard!B61</f>
        <v>KIHOTO- SEWER</v>
      </c>
      <c r="C56" s="41" t="str">
        <f>Dashboard!C61</f>
        <v>No.</v>
      </c>
      <c r="D56" s="41">
        <v>0</v>
      </c>
      <c r="E56" s="50">
        <v>0</v>
      </c>
      <c r="F56" s="50">
        <v>0</v>
      </c>
      <c r="G56" s="50">
        <v>0</v>
      </c>
      <c r="H56" s="50">
        <v>0</v>
      </c>
      <c r="I56" s="50">
        <v>0</v>
      </c>
      <c r="J56" s="50">
        <v>0</v>
      </c>
      <c r="K56" s="50">
        <f t="shared" ref="K56" si="19">J56-I56</f>
        <v>0</v>
      </c>
      <c r="L56" s="50">
        <v>0</v>
      </c>
      <c r="M56" s="50">
        <v>0</v>
      </c>
      <c r="N56" s="63">
        <v>0</v>
      </c>
      <c r="O56" s="50">
        <v>0</v>
      </c>
      <c r="P56" s="63">
        <v>0</v>
      </c>
      <c r="Q56" s="53"/>
    </row>
    <row r="57" spans="1:17" x14ac:dyDescent="0.35">
      <c r="A57" s="41">
        <f>Dashboard!A62</f>
        <v>6</v>
      </c>
      <c r="B57" s="41" t="str">
        <f>Dashboard!B62</f>
        <v>LAKEVIEW- SEWER</v>
      </c>
      <c r="C57" s="41" t="str">
        <f>Dashboard!C62</f>
        <v>No.</v>
      </c>
      <c r="D57" s="41">
        <v>166</v>
      </c>
      <c r="E57" s="50">
        <v>184</v>
      </c>
      <c r="F57" s="50">
        <v>177</v>
      </c>
      <c r="G57" s="50">
        <v>179</v>
      </c>
      <c r="H57" s="50">
        <v>179</v>
      </c>
      <c r="I57" s="50">
        <v>179</v>
      </c>
      <c r="J57" s="50">
        <v>178</v>
      </c>
      <c r="K57" s="50">
        <v>178</v>
      </c>
      <c r="L57" s="50">
        <v>178</v>
      </c>
      <c r="M57" s="79">
        <v>180</v>
      </c>
      <c r="N57" s="79">
        <v>180</v>
      </c>
      <c r="O57" s="50">
        <v>180</v>
      </c>
      <c r="P57" s="63">
        <v>180</v>
      </c>
      <c r="Q57" s="53"/>
    </row>
    <row r="58" spans="1:17" x14ac:dyDescent="0.35">
      <c r="A58" s="41">
        <f>Dashboard!A63</f>
        <v>7</v>
      </c>
      <c r="B58" s="41" t="str">
        <f>Dashboard!B63</f>
        <v>HOPEWELL- SEWER</v>
      </c>
      <c r="C58" s="41" t="str">
        <f>Dashboard!C63</f>
        <v>No.</v>
      </c>
      <c r="D58" s="41">
        <v>166</v>
      </c>
      <c r="E58" s="50">
        <v>0</v>
      </c>
      <c r="F58" s="50">
        <v>7</v>
      </c>
      <c r="G58" s="50">
        <v>7</v>
      </c>
      <c r="H58" s="50">
        <v>7</v>
      </c>
      <c r="I58" s="50">
        <v>7</v>
      </c>
      <c r="J58" s="50">
        <v>7</v>
      </c>
      <c r="K58" s="50">
        <v>7</v>
      </c>
      <c r="L58" s="50">
        <v>2</v>
      </c>
      <c r="M58" s="79">
        <v>2</v>
      </c>
      <c r="N58" s="79">
        <v>2</v>
      </c>
      <c r="O58" s="50">
        <v>2</v>
      </c>
      <c r="P58" s="63">
        <v>2</v>
      </c>
      <c r="Q58" s="53"/>
    </row>
    <row r="59" spans="1:17" s="40" customFormat="1" x14ac:dyDescent="0.35">
      <c r="A59" s="40">
        <f>Dashboard!A64</f>
        <v>0</v>
      </c>
      <c r="B59" s="40" t="str">
        <f>Dashboard!B64</f>
        <v>TOTAL SEWER CONNECTION CENTRAL REGION</v>
      </c>
      <c r="C59" s="40" t="str">
        <f>Dashboard!C64</f>
        <v>No.</v>
      </c>
      <c r="D59" s="40">
        <v>1819</v>
      </c>
      <c r="E59" s="64">
        <f>SUM(E52:E58)</f>
        <v>2060</v>
      </c>
      <c r="F59" s="64">
        <f t="shared" ref="F59:P59" si="20">SUM(F52:F58)</f>
        <v>2070</v>
      </c>
      <c r="G59" s="64">
        <f t="shared" si="20"/>
        <v>2071</v>
      </c>
      <c r="H59" s="64">
        <f t="shared" si="20"/>
        <v>2071</v>
      </c>
      <c r="I59" s="64">
        <f t="shared" si="20"/>
        <v>2078</v>
      </c>
      <c r="J59" s="64">
        <f t="shared" si="20"/>
        <v>2078</v>
      </c>
      <c r="K59" s="64">
        <f t="shared" si="20"/>
        <v>2086</v>
      </c>
      <c r="L59" s="64">
        <f t="shared" si="20"/>
        <v>2091</v>
      </c>
      <c r="M59" s="64">
        <f t="shared" si="20"/>
        <v>2100</v>
      </c>
      <c r="N59" s="64">
        <f t="shared" si="20"/>
        <v>2102</v>
      </c>
      <c r="O59" s="64">
        <f t="shared" si="20"/>
        <v>2101</v>
      </c>
      <c r="P59" s="64">
        <f t="shared" si="20"/>
        <v>2102</v>
      </c>
      <c r="Q59" s="53"/>
    </row>
    <row r="60" spans="1:17" x14ac:dyDescent="0.35">
      <c r="A60" s="41">
        <f>Dashboard!A66</f>
        <v>1</v>
      </c>
      <c r="B60" s="41" t="str">
        <f>Dashboard!B66</f>
        <v>HELLSGATE-SEWER</v>
      </c>
      <c r="C60" s="41" t="str">
        <f>Dashboard!C66</f>
        <v>No.</v>
      </c>
      <c r="D60" s="41">
        <v>0</v>
      </c>
      <c r="E60" s="50">
        <v>0</v>
      </c>
      <c r="F60" s="50">
        <v>0</v>
      </c>
      <c r="G60" s="50">
        <v>0</v>
      </c>
      <c r="H60" s="50">
        <v>0</v>
      </c>
      <c r="I60" s="50">
        <v>0</v>
      </c>
      <c r="J60" s="50">
        <v>0</v>
      </c>
      <c r="K60" s="50">
        <v>0</v>
      </c>
      <c r="L60" s="50">
        <v>0</v>
      </c>
      <c r="M60" s="50">
        <v>0</v>
      </c>
      <c r="N60" s="63">
        <v>0</v>
      </c>
      <c r="O60" s="50">
        <v>0</v>
      </c>
      <c r="P60" s="63">
        <v>0</v>
      </c>
      <c r="Q60" s="53"/>
    </row>
    <row r="61" spans="1:17" x14ac:dyDescent="0.35">
      <c r="A61" s="41">
        <f>Dashboard!A67</f>
        <v>2</v>
      </c>
      <c r="B61" s="41" t="str">
        <f>Dashboard!B67</f>
        <v>KAMERE-  SEWER</v>
      </c>
      <c r="C61" s="41" t="str">
        <f>Dashboard!C67</f>
        <v>No.</v>
      </c>
      <c r="D61" s="41">
        <v>0</v>
      </c>
      <c r="E61" s="50">
        <v>0</v>
      </c>
      <c r="F61" s="50">
        <v>0</v>
      </c>
      <c r="G61" s="50">
        <v>0</v>
      </c>
      <c r="H61" s="50">
        <v>0</v>
      </c>
      <c r="I61" s="50">
        <v>0</v>
      </c>
      <c r="J61" s="50">
        <v>0</v>
      </c>
      <c r="K61" s="50">
        <v>0</v>
      </c>
      <c r="L61" s="50">
        <v>0</v>
      </c>
      <c r="M61" s="50">
        <v>0</v>
      </c>
      <c r="N61" s="63">
        <v>0</v>
      </c>
      <c r="O61" s="50">
        <v>0</v>
      </c>
      <c r="P61" s="63">
        <v>0</v>
      </c>
      <c r="Q61" s="53"/>
    </row>
    <row r="62" spans="1:17" x14ac:dyDescent="0.35">
      <c r="A62" s="41">
        <f>Dashboard!A68</f>
        <v>3</v>
      </c>
      <c r="B62" s="41" t="str">
        <f>Dashboard!B68</f>
        <v>MAI-MAHIU-SEWER</v>
      </c>
      <c r="C62" s="41" t="str">
        <f>Dashboard!C68</f>
        <v>No.</v>
      </c>
      <c r="D62" s="41">
        <v>0</v>
      </c>
      <c r="E62" s="50">
        <v>0</v>
      </c>
      <c r="F62" s="50">
        <v>0</v>
      </c>
      <c r="G62" s="50">
        <v>0</v>
      </c>
      <c r="H62" s="50">
        <v>0</v>
      </c>
      <c r="I62" s="50">
        <v>0</v>
      </c>
      <c r="J62" s="50">
        <v>0</v>
      </c>
      <c r="K62" s="50">
        <v>0</v>
      </c>
      <c r="L62" s="50">
        <v>0</v>
      </c>
      <c r="M62" s="50">
        <v>0</v>
      </c>
      <c r="N62" s="63">
        <v>0</v>
      </c>
      <c r="O62" s="50">
        <v>0</v>
      </c>
      <c r="P62" s="63">
        <v>0</v>
      </c>
      <c r="Q62" s="53"/>
    </row>
    <row r="63" spans="1:17" s="40" customFormat="1" x14ac:dyDescent="0.35">
      <c r="A63" s="40">
        <f>Dashboard!A69</f>
        <v>0</v>
      </c>
      <c r="B63" s="40" t="str">
        <f>Dashboard!B69</f>
        <v>TOTAL SEWER CONNECTION SOUTHERNREGION</v>
      </c>
      <c r="C63" s="40" t="str">
        <f>Dashboard!C69</f>
        <v>No.</v>
      </c>
      <c r="D63" s="40">
        <v>0</v>
      </c>
      <c r="E63" s="64">
        <f>SUM(E60:E62)</f>
        <v>0</v>
      </c>
      <c r="F63" s="64">
        <f>SUM(F60:F62)</f>
        <v>0</v>
      </c>
      <c r="G63" s="64">
        <f t="shared" ref="G63:P63" si="21">SUM(G60:G62)</f>
        <v>0</v>
      </c>
      <c r="H63" s="64">
        <f t="shared" si="21"/>
        <v>0</v>
      </c>
      <c r="I63" s="64">
        <f t="shared" si="21"/>
        <v>0</v>
      </c>
      <c r="J63" s="64">
        <f t="shared" si="21"/>
        <v>0</v>
      </c>
      <c r="K63" s="64">
        <f t="shared" si="21"/>
        <v>0</v>
      </c>
      <c r="L63" s="64">
        <f t="shared" si="21"/>
        <v>0</v>
      </c>
      <c r="M63" s="64">
        <f t="shared" si="21"/>
        <v>0</v>
      </c>
      <c r="N63" s="64">
        <f t="shared" si="21"/>
        <v>0</v>
      </c>
      <c r="O63" s="64">
        <f t="shared" si="21"/>
        <v>0</v>
      </c>
      <c r="P63" s="64">
        <f t="shared" si="21"/>
        <v>0</v>
      </c>
      <c r="Q63" s="53"/>
    </row>
    <row r="64" spans="1:17" x14ac:dyDescent="0.35">
      <c r="A64" s="41">
        <f>Dashboard!A71</f>
        <v>1</v>
      </c>
      <c r="B64" s="41" t="str">
        <f>Dashboard!B71</f>
        <v>KAYOLE-SEWER</v>
      </c>
      <c r="C64" s="41" t="str">
        <f>Dashboard!C71</f>
        <v>No.</v>
      </c>
      <c r="D64" s="41">
        <v>21</v>
      </c>
      <c r="E64" s="50">
        <v>44</v>
      </c>
      <c r="F64" s="50">
        <v>44</v>
      </c>
      <c r="G64" s="50">
        <v>46</v>
      </c>
      <c r="H64" s="50">
        <v>47</v>
      </c>
      <c r="I64" s="50">
        <v>47</v>
      </c>
      <c r="J64" s="50">
        <v>47</v>
      </c>
      <c r="K64" s="50">
        <v>47</v>
      </c>
      <c r="L64" s="50">
        <v>50</v>
      </c>
      <c r="M64" s="79">
        <v>52</v>
      </c>
      <c r="N64" s="79">
        <v>52</v>
      </c>
      <c r="O64" s="50">
        <v>52</v>
      </c>
      <c r="P64" s="63">
        <v>52</v>
      </c>
      <c r="Q64" s="53"/>
    </row>
    <row r="65" spans="1:16" x14ac:dyDescent="0.35">
      <c r="A65" s="41" t="str">
        <f>Dashboard!A72</f>
        <v>TOTAL ACTIVE CONNECTIONS-WATER</v>
      </c>
      <c r="E65" s="53"/>
      <c r="F65" s="53"/>
      <c r="G65" s="53"/>
      <c r="H65" s="53"/>
      <c r="I65" s="53"/>
      <c r="J65" s="53"/>
      <c r="K65" s="53"/>
      <c r="L65" s="53"/>
      <c r="M65" s="53"/>
      <c r="N65" s="81"/>
      <c r="O65" s="53"/>
      <c r="P65" s="81"/>
    </row>
    <row r="66" spans="1:16" x14ac:dyDescent="0.35">
      <c r="A66" s="41">
        <f>Dashboard!A73</f>
        <v>1</v>
      </c>
      <c r="B66" s="41" t="str">
        <f>Dashboard!B73</f>
        <v>CBD- ACTIVE WATER</v>
      </c>
      <c r="C66" s="41" t="str">
        <f>Dashboard!C73</f>
        <v>No.</v>
      </c>
      <c r="D66" s="41">
        <v>583</v>
      </c>
      <c r="E66" s="50">
        <v>596</v>
      </c>
      <c r="F66" s="50">
        <v>598</v>
      </c>
      <c r="G66" s="50">
        <v>599</v>
      </c>
      <c r="H66" s="50">
        <v>600</v>
      </c>
      <c r="I66" s="50">
        <v>598</v>
      </c>
      <c r="J66" s="50">
        <v>598</v>
      </c>
      <c r="K66" s="50">
        <v>598</v>
      </c>
      <c r="L66" s="50">
        <v>599</v>
      </c>
      <c r="M66" s="79">
        <v>598</v>
      </c>
      <c r="N66" s="79">
        <v>598</v>
      </c>
      <c r="O66" s="50">
        <v>597</v>
      </c>
      <c r="P66" s="63">
        <v>596</v>
      </c>
    </row>
    <row r="67" spans="1:16" x14ac:dyDescent="0.35">
      <c r="A67" s="41">
        <f>Dashboard!A74</f>
        <v>2</v>
      </c>
      <c r="B67" s="41" t="str">
        <f>Dashboard!B74</f>
        <v>CCCR- ACTIVE WATER</v>
      </c>
      <c r="C67" s="41" t="str">
        <f>Dashboard!C74</f>
        <v>No.</v>
      </c>
      <c r="D67" s="41">
        <v>593</v>
      </c>
      <c r="E67" s="50">
        <v>676</v>
      </c>
      <c r="F67" s="50">
        <v>676</v>
      </c>
      <c r="G67" s="50">
        <v>681</v>
      </c>
      <c r="H67" s="50">
        <v>680</v>
      </c>
      <c r="I67" s="50">
        <v>683</v>
      </c>
      <c r="J67" s="50">
        <v>683</v>
      </c>
      <c r="K67" s="50">
        <v>687</v>
      </c>
      <c r="L67" s="50">
        <v>692</v>
      </c>
      <c r="M67" s="79">
        <v>697</v>
      </c>
      <c r="N67" s="79">
        <v>697</v>
      </c>
      <c r="O67" s="50">
        <v>696</v>
      </c>
      <c r="P67" s="63">
        <v>700</v>
      </c>
    </row>
    <row r="68" spans="1:16" x14ac:dyDescent="0.35">
      <c r="A68" s="41">
        <f>Dashboard!A75</f>
        <v>3</v>
      </c>
      <c r="B68" s="41" t="str">
        <f>Dashboard!B75</f>
        <v>KABATI- ACTIVE WATER</v>
      </c>
      <c r="C68" s="41" t="str">
        <f>Dashboard!C75</f>
        <v>No.</v>
      </c>
      <c r="D68" s="41">
        <v>811</v>
      </c>
      <c r="E68" s="50">
        <v>844</v>
      </c>
      <c r="F68" s="50">
        <v>847</v>
      </c>
      <c r="G68" s="50">
        <v>851</v>
      </c>
      <c r="H68" s="50">
        <v>851</v>
      </c>
      <c r="I68" s="50">
        <v>853</v>
      </c>
      <c r="J68" s="50">
        <v>852</v>
      </c>
      <c r="K68" s="50">
        <v>852</v>
      </c>
      <c r="L68" s="50">
        <v>856</v>
      </c>
      <c r="M68" s="50">
        <v>859</v>
      </c>
      <c r="N68" s="79">
        <v>860</v>
      </c>
      <c r="O68" s="50">
        <v>862</v>
      </c>
      <c r="P68" s="63">
        <v>862</v>
      </c>
    </row>
    <row r="69" spans="1:16" x14ac:dyDescent="0.35">
      <c r="A69" s="41">
        <f>Dashboard!A76</f>
        <v>4</v>
      </c>
      <c r="B69" s="41" t="str">
        <f>Dashboard!B76</f>
        <v>SITE- ACTIVE WATER</v>
      </c>
      <c r="C69" s="41" t="str">
        <f>Dashboard!C76</f>
        <v>No.</v>
      </c>
      <c r="D69" s="41">
        <v>811</v>
      </c>
      <c r="E69" s="50">
        <v>830</v>
      </c>
      <c r="F69" s="50">
        <v>830</v>
      </c>
      <c r="G69" s="50">
        <v>831</v>
      </c>
      <c r="H69" s="50">
        <v>831</v>
      </c>
      <c r="I69" s="50">
        <v>831</v>
      </c>
      <c r="J69" s="50">
        <v>831</v>
      </c>
      <c r="K69" s="50">
        <v>831</v>
      </c>
      <c r="L69" s="50">
        <v>833</v>
      </c>
      <c r="M69" s="79">
        <v>834</v>
      </c>
      <c r="N69" s="79">
        <v>834</v>
      </c>
      <c r="O69" s="50">
        <v>834</v>
      </c>
      <c r="P69" s="63">
        <v>836</v>
      </c>
    </row>
    <row r="70" spans="1:16" x14ac:dyDescent="0.35">
      <c r="A70" s="41">
        <f>Dashboard!A77</f>
        <v>5</v>
      </c>
      <c r="B70" s="41" t="str">
        <f>Dashboard!B77</f>
        <v>KIHOTO-ACTIVE WATER</v>
      </c>
      <c r="C70" s="41" t="str">
        <f>Dashboard!C77</f>
        <v>No.</v>
      </c>
      <c r="D70" s="41">
        <v>157</v>
      </c>
      <c r="E70" s="50">
        <v>171</v>
      </c>
      <c r="F70" s="50">
        <v>172</v>
      </c>
      <c r="G70" s="50">
        <v>173</v>
      </c>
      <c r="H70" s="50">
        <v>172</v>
      </c>
      <c r="I70" s="50">
        <v>172</v>
      </c>
      <c r="J70" s="50">
        <v>172</v>
      </c>
      <c r="K70" s="50">
        <v>172</v>
      </c>
      <c r="L70" s="50">
        <v>172</v>
      </c>
      <c r="M70" s="79">
        <v>173</v>
      </c>
      <c r="N70" s="79">
        <v>173</v>
      </c>
      <c r="O70" s="50">
        <v>173</v>
      </c>
      <c r="P70" s="63">
        <v>175</v>
      </c>
    </row>
    <row r="71" spans="1:16" x14ac:dyDescent="0.35">
      <c r="A71" s="41">
        <f>Dashboard!A78</f>
        <v>6</v>
      </c>
      <c r="B71" s="41" t="str">
        <f>Dashboard!B78</f>
        <v>LAKEVIEW- ACTIVE WATER</v>
      </c>
      <c r="C71" s="41" t="str">
        <f>Dashboard!C78</f>
        <v>No.</v>
      </c>
      <c r="D71" s="41">
        <v>1180</v>
      </c>
      <c r="E71" s="50">
        <f>1250-E72</f>
        <v>1032</v>
      </c>
      <c r="F71" s="50">
        <v>1034</v>
      </c>
      <c r="G71" s="50">
        <v>966</v>
      </c>
      <c r="H71" s="50">
        <v>969</v>
      </c>
      <c r="I71" s="50">
        <v>970</v>
      </c>
      <c r="J71" s="50">
        <v>971</v>
      </c>
      <c r="K71" s="50">
        <v>972</v>
      </c>
      <c r="L71" s="79">
        <v>977</v>
      </c>
      <c r="M71" s="79">
        <v>978</v>
      </c>
      <c r="N71" s="79">
        <v>981</v>
      </c>
      <c r="O71" s="50">
        <v>980</v>
      </c>
      <c r="P71" s="63">
        <v>981</v>
      </c>
    </row>
    <row r="72" spans="1:16" x14ac:dyDescent="0.35">
      <c r="A72" s="41">
        <f>Dashboard!A79</f>
        <v>7</v>
      </c>
      <c r="B72" s="41" t="str">
        <f>Dashboard!B79</f>
        <v>HOPEWELL- ACTIVE WATER</v>
      </c>
      <c r="C72" s="41" t="str">
        <f>Dashboard!C79</f>
        <v>No.</v>
      </c>
      <c r="D72" s="41" t="str">
        <f>Dashboard!D79</f>
        <v>l</v>
      </c>
      <c r="E72" s="50">
        <v>218</v>
      </c>
      <c r="F72" s="50">
        <v>218</v>
      </c>
      <c r="G72" s="50">
        <v>287</v>
      </c>
      <c r="H72" s="50">
        <v>287</v>
      </c>
      <c r="I72" s="50">
        <v>288</v>
      </c>
      <c r="J72" s="50">
        <v>288</v>
      </c>
      <c r="K72" s="50">
        <v>289</v>
      </c>
      <c r="L72" s="79">
        <v>289</v>
      </c>
      <c r="M72" s="79">
        <v>292</v>
      </c>
      <c r="N72" s="79">
        <v>294</v>
      </c>
      <c r="O72" s="50">
        <v>295</v>
      </c>
      <c r="P72" s="63">
        <v>295</v>
      </c>
    </row>
    <row r="73" spans="1:16" s="40" customFormat="1" x14ac:dyDescent="0.35">
      <c r="A73" s="40">
        <f>Dashboard!A80</f>
        <v>0</v>
      </c>
      <c r="B73" s="40" t="str">
        <f>Dashboard!B80</f>
        <v>TOTAL ACTIVE WATER CONNECTION CENTRAL REGION</v>
      </c>
      <c r="C73" s="40" t="str">
        <f>Dashboard!C80</f>
        <v>No.</v>
      </c>
      <c r="D73" s="40">
        <v>4135</v>
      </c>
      <c r="E73" s="64">
        <f t="shared" ref="E73:J73" si="22">SUM(E66:E72)</f>
        <v>4367</v>
      </c>
      <c r="F73" s="64">
        <f t="shared" si="22"/>
        <v>4375</v>
      </c>
      <c r="G73" s="64">
        <f t="shared" si="22"/>
        <v>4388</v>
      </c>
      <c r="H73" s="64">
        <f t="shared" si="22"/>
        <v>4390</v>
      </c>
      <c r="I73" s="64">
        <f t="shared" si="22"/>
        <v>4395</v>
      </c>
      <c r="J73" s="64">
        <f t="shared" si="22"/>
        <v>4395</v>
      </c>
      <c r="K73" s="64">
        <f t="shared" ref="K73:P73" si="23">SUM(K66:K72)</f>
        <v>4401</v>
      </c>
      <c r="L73" s="64">
        <f t="shared" si="23"/>
        <v>4418</v>
      </c>
      <c r="M73" s="64">
        <f t="shared" si="23"/>
        <v>4431</v>
      </c>
      <c r="N73" s="64">
        <f t="shared" si="23"/>
        <v>4437</v>
      </c>
      <c r="O73" s="64">
        <f t="shared" si="23"/>
        <v>4437</v>
      </c>
      <c r="P73" s="64">
        <f t="shared" si="23"/>
        <v>4445</v>
      </c>
    </row>
    <row r="74" spans="1:16" x14ac:dyDescent="0.35">
      <c r="A74" s="41">
        <f>Dashboard!A81</f>
        <v>1</v>
      </c>
      <c r="B74" s="41" t="str">
        <f>Dashboard!B81</f>
        <v>HELLSGATE- ACTIVE WATER</v>
      </c>
      <c r="C74" s="41" t="str">
        <f>Dashboard!C81</f>
        <v>No.</v>
      </c>
      <c r="D74" s="41">
        <v>1390</v>
      </c>
      <c r="E74" s="50">
        <v>1522</v>
      </c>
      <c r="F74" s="50">
        <v>1530</v>
      </c>
      <c r="G74" s="50">
        <v>1532</v>
      </c>
      <c r="H74" s="50">
        <v>1533</v>
      </c>
      <c r="I74" s="50">
        <v>1535</v>
      </c>
      <c r="J74" s="50">
        <v>1536</v>
      </c>
      <c r="K74" s="50">
        <v>1538</v>
      </c>
      <c r="L74" s="79">
        <v>1554</v>
      </c>
      <c r="M74" s="79">
        <v>1559</v>
      </c>
      <c r="N74" s="79">
        <v>1567</v>
      </c>
      <c r="O74" s="50">
        <v>1580</v>
      </c>
      <c r="P74" s="63">
        <v>1583</v>
      </c>
    </row>
    <row r="75" spans="1:16" x14ac:dyDescent="0.35">
      <c r="A75" s="41">
        <f>Dashboard!A82</f>
        <v>2</v>
      </c>
      <c r="B75" s="41" t="str">
        <f>Dashboard!B82</f>
        <v>KAMERE- ACTIVE WATER</v>
      </c>
      <c r="C75" s="41" t="str">
        <f>Dashboard!C82</f>
        <v>No.</v>
      </c>
      <c r="D75" s="41">
        <v>243</v>
      </c>
      <c r="E75" s="50">
        <v>252</v>
      </c>
      <c r="F75" s="50">
        <v>254</v>
      </c>
      <c r="G75" s="50">
        <v>254</v>
      </c>
      <c r="H75" s="50">
        <v>255</v>
      </c>
      <c r="I75" s="50">
        <v>255</v>
      </c>
      <c r="J75" s="50">
        <v>255</v>
      </c>
      <c r="K75" s="50">
        <v>256</v>
      </c>
      <c r="L75" s="79">
        <v>256</v>
      </c>
      <c r="M75" s="79">
        <v>259</v>
      </c>
      <c r="N75" s="79">
        <v>260</v>
      </c>
      <c r="O75" s="50">
        <v>263</v>
      </c>
      <c r="P75" s="63">
        <v>264</v>
      </c>
    </row>
    <row r="76" spans="1:16" x14ac:dyDescent="0.35">
      <c r="A76" s="41">
        <f>Dashboard!A83</f>
        <v>3</v>
      </c>
      <c r="B76" s="41" t="str">
        <f>Dashboard!B83</f>
        <v>MAI-MAHIU- ACTIVE WATER</v>
      </c>
      <c r="C76" s="41" t="str">
        <f>Dashboard!C83</f>
        <v>No.</v>
      </c>
      <c r="D76" s="41">
        <v>682</v>
      </c>
      <c r="E76" s="50">
        <v>459</v>
      </c>
      <c r="F76" s="50">
        <v>466</v>
      </c>
      <c r="G76" s="50">
        <v>487</v>
      </c>
      <c r="H76" s="50">
        <v>489</v>
      </c>
      <c r="I76" s="50">
        <v>517</v>
      </c>
      <c r="J76" s="50">
        <v>550</v>
      </c>
      <c r="K76" s="50">
        <v>555</v>
      </c>
      <c r="L76" s="79">
        <v>593</v>
      </c>
      <c r="M76" s="79">
        <v>613</v>
      </c>
      <c r="N76" s="79">
        <v>641</v>
      </c>
      <c r="O76" s="50">
        <v>658</v>
      </c>
      <c r="P76" s="63">
        <v>681</v>
      </c>
    </row>
    <row r="77" spans="1:16" x14ac:dyDescent="0.35">
      <c r="A77" s="41">
        <f>Dashboard!A84</f>
        <v>4</v>
      </c>
      <c r="B77" s="41" t="str">
        <f>Dashboard!B84</f>
        <v>LONGONOT- ACTIVE WATER</v>
      </c>
      <c r="C77" s="41" t="str">
        <f>Dashboard!C84</f>
        <v>No.</v>
      </c>
      <c r="D77" s="41">
        <v>682</v>
      </c>
      <c r="E77" s="50">
        <v>475</v>
      </c>
      <c r="F77" s="50">
        <v>474</v>
      </c>
      <c r="G77" s="50">
        <v>477</v>
      </c>
      <c r="H77" s="50">
        <v>478</v>
      </c>
      <c r="I77" s="50">
        <v>485</v>
      </c>
      <c r="J77" s="50">
        <v>483</v>
      </c>
      <c r="K77" s="50">
        <v>483</v>
      </c>
      <c r="L77" s="79">
        <v>489</v>
      </c>
      <c r="M77" s="79">
        <v>499</v>
      </c>
      <c r="N77" s="79">
        <v>501</v>
      </c>
      <c r="O77" s="50">
        <v>514</v>
      </c>
      <c r="P77" s="63">
        <v>519</v>
      </c>
    </row>
    <row r="78" spans="1:16" s="40" customFormat="1" x14ac:dyDescent="0.35">
      <c r="A78" s="40">
        <f>Dashboard!A85</f>
        <v>0</v>
      </c>
      <c r="B78" s="40" t="str">
        <f>Dashboard!B85</f>
        <v>TOTAL ACTIVE WATER CONNECTION SOUTHERN REGION</v>
      </c>
      <c r="C78" s="40" t="str">
        <f>Dashboard!C85</f>
        <v>No.</v>
      </c>
      <c r="D78" s="40">
        <v>2315</v>
      </c>
      <c r="E78" s="64">
        <f>SUM(E74:E77)</f>
        <v>2708</v>
      </c>
      <c r="F78" s="64">
        <f t="shared" ref="F78:P78" si="24">SUM(F74:F77)</f>
        <v>2724</v>
      </c>
      <c r="G78" s="64">
        <f t="shared" si="24"/>
        <v>2750</v>
      </c>
      <c r="H78" s="64">
        <f t="shared" si="24"/>
        <v>2755</v>
      </c>
      <c r="I78" s="64">
        <f t="shared" si="24"/>
        <v>2792</v>
      </c>
      <c r="J78" s="64">
        <f t="shared" si="24"/>
        <v>2824</v>
      </c>
      <c r="K78" s="64">
        <f t="shared" si="24"/>
        <v>2832</v>
      </c>
      <c r="L78" s="64">
        <f t="shared" si="24"/>
        <v>2892</v>
      </c>
      <c r="M78" s="64">
        <f t="shared" si="24"/>
        <v>2930</v>
      </c>
      <c r="N78" s="64">
        <f t="shared" si="24"/>
        <v>2969</v>
      </c>
      <c r="O78" s="64">
        <f t="shared" si="24"/>
        <v>3015</v>
      </c>
      <c r="P78" s="64">
        <f t="shared" si="24"/>
        <v>3047</v>
      </c>
    </row>
    <row r="79" spans="1:16" x14ac:dyDescent="0.35">
      <c r="A79" s="41">
        <f>Dashboard!A87</f>
        <v>1</v>
      </c>
      <c r="B79" s="41" t="str">
        <f>Dashboard!B87</f>
        <v>KAYOLE- ACTIVE WATER</v>
      </c>
      <c r="C79" s="41" t="str">
        <f>Dashboard!C87</f>
        <v>No.</v>
      </c>
      <c r="D79" s="41">
        <v>2294</v>
      </c>
      <c r="E79" s="50">
        <v>2545</v>
      </c>
      <c r="F79" s="50">
        <v>2557</v>
      </c>
      <c r="G79" s="50">
        <v>2564</v>
      </c>
      <c r="H79" s="50">
        <v>2564</v>
      </c>
      <c r="I79" s="50">
        <v>2569</v>
      </c>
      <c r="J79" s="50">
        <v>2569</v>
      </c>
      <c r="K79" s="50">
        <v>2571</v>
      </c>
      <c r="L79" s="50">
        <v>2590</v>
      </c>
      <c r="M79" s="50">
        <v>2608</v>
      </c>
      <c r="N79" s="63">
        <v>2647</v>
      </c>
      <c r="O79" s="50">
        <v>2686</v>
      </c>
      <c r="P79" s="63">
        <v>2703</v>
      </c>
    </row>
    <row r="80" spans="1:16" s="40" customFormat="1" x14ac:dyDescent="0.35">
      <c r="A80" s="40" t="str">
        <f>Dashboard!A90</f>
        <v>TOTAL ACTIVE CONNECTIONS-SEWER</v>
      </c>
      <c r="E80" s="65"/>
      <c r="F80" s="65"/>
      <c r="G80" s="65"/>
      <c r="H80" s="65"/>
      <c r="I80" s="65"/>
      <c r="J80" s="65"/>
      <c r="K80" s="65"/>
      <c r="L80" s="65"/>
      <c r="M80" s="65"/>
      <c r="N80" s="65"/>
      <c r="O80" s="65"/>
      <c r="P80" s="65"/>
    </row>
    <row r="81" spans="1:16" x14ac:dyDescent="0.35">
      <c r="A81" s="41">
        <f>Dashboard!A91</f>
        <v>1</v>
      </c>
      <c r="B81" s="41" t="str">
        <f>Dashboard!B91</f>
        <v>CBD- ACTIVE SEWER</v>
      </c>
      <c r="C81" s="41" t="str">
        <f>Dashboard!C91</f>
        <v>No.</v>
      </c>
      <c r="D81" s="41">
        <v>352</v>
      </c>
      <c r="E81" s="50">
        <v>389</v>
      </c>
      <c r="F81" s="50">
        <v>390</v>
      </c>
      <c r="G81" s="50">
        <v>389</v>
      </c>
      <c r="H81" s="50">
        <v>389</v>
      </c>
      <c r="I81" s="50">
        <v>389</v>
      </c>
      <c r="J81" s="50">
        <v>389</v>
      </c>
      <c r="K81" s="50">
        <v>388</v>
      </c>
      <c r="L81" s="50">
        <v>388</v>
      </c>
      <c r="M81" s="79">
        <v>387</v>
      </c>
      <c r="N81" s="79">
        <v>387</v>
      </c>
      <c r="O81" s="50">
        <v>388</v>
      </c>
      <c r="P81" s="63">
        <v>388</v>
      </c>
    </row>
    <row r="82" spans="1:16" x14ac:dyDescent="0.35">
      <c r="A82" s="41">
        <f>Dashboard!A92</f>
        <v>2</v>
      </c>
      <c r="B82" s="41" t="str">
        <f>Dashboard!B92</f>
        <v>CCCR- ACTIVE SEWER</v>
      </c>
      <c r="C82" s="41" t="str">
        <f>Dashboard!C92</f>
        <v>No.</v>
      </c>
      <c r="D82" s="41">
        <v>297</v>
      </c>
      <c r="E82" s="50">
        <v>386</v>
      </c>
      <c r="F82" s="50">
        <v>387</v>
      </c>
      <c r="G82" s="50">
        <v>386</v>
      </c>
      <c r="H82" s="50">
        <v>386</v>
      </c>
      <c r="I82" s="50">
        <v>385</v>
      </c>
      <c r="J82" s="50">
        <v>385</v>
      </c>
      <c r="K82" s="50">
        <v>385</v>
      </c>
      <c r="L82" s="79">
        <v>390</v>
      </c>
      <c r="M82" s="79">
        <v>393</v>
      </c>
      <c r="N82" s="79">
        <v>393</v>
      </c>
      <c r="O82" s="365">
        <v>391</v>
      </c>
      <c r="P82" s="63">
        <v>391</v>
      </c>
    </row>
    <row r="83" spans="1:16" x14ac:dyDescent="0.35">
      <c r="A83" s="41">
        <f>Dashboard!A93</f>
        <v>3</v>
      </c>
      <c r="B83" s="41" t="str">
        <f>Dashboard!B93</f>
        <v>KABATI- ACTIVE SEWER</v>
      </c>
      <c r="C83" s="41" t="str">
        <f>Dashboard!C93</f>
        <v>No.</v>
      </c>
      <c r="D83" s="41">
        <v>272</v>
      </c>
      <c r="E83" s="50">
        <v>307</v>
      </c>
      <c r="F83" s="50">
        <v>311</v>
      </c>
      <c r="G83" s="50">
        <v>311</v>
      </c>
      <c r="H83" s="50">
        <v>311</v>
      </c>
      <c r="I83" s="50">
        <v>319</v>
      </c>
      <c r="J83" s="50">
        <v>319</v>
      </c>
      <c r="K83" s="50">
        <v>322</v>
      </c>
      <c r="L83" s="79">
        <v>324</v>
      </c>
      <c r="M83" s="79">
        <v>327</v>
      </c>
      <c r="N83" s="79">
        <v>329</v>
      </c>
      <c r="O83" s="50">
        <v>328</v>
      </c>
      <c r="P83" s="63">
        <v>328</v>
      </c>
    </row>
    <row r="84" spans="1:16" x14ac:dyDescent="0.35">
      <c r="A84" s="41">
        <f>Dashboard!A94</f>
        <v>4</v>
      </c>
      <c r="B84" s="41" t="str">
        <f>Dashboard!B94</f>
        <v>SITE- ACTIVE SEWER</v>
      </c>
      <c r="C84" s="41" t="str">
        <f>Dashboard!C94</f>
        <v>No.</v>
      </c>
      <c r="D84" s="41">
        <v>441</v>
      </c>
      <c r="E84" s="50">
        <v>505</v>
      </c>
      <c r="F84" s="76">
        <v>508</v>
      </c>
      <c r="G84" s="50">
        <v>508</v>
      </c>
      <c r="H84" s="50">
        <v>508</v>
      </c>
      <c r="I84" s="50">
        <v>508</v>
      </c>
      <c r="J84" s="50">
        <v>508</v>
      </c>
      <c r="K84" s="50">
        <v>513</v>
      </c>
      <c r="L84" s="79">
        <v>516</v>
      </c>
      <c r="M84" s="79">
        <v>517</v>
      </c>
      <c r="N84" s="79">
        <v>518</v>
      </c>
      <c r="O84" s="50">
        <v>518</v>
      </c>
      <c r="P84" s="63">
        <v>519</v>
      </c>
    </row>
    <row r="85" spans="1:16" x14ac:dyDescent="0.35">
      <c r="A85" s="41">
        <f>Dashboard!A95</f>
        <v>5</v>
      </c>
      <c r="B85" s="41" t="str">
        <f>Dashboard!B95</f>
        <v>KIHOTO- ACTIVE SEWER</v>
      </c>
      <c r="C85" s="41" t="str">
        <f>Dashboard!C95</f>
        <v>No.</v>
      </c>
      <c r="D85" s="41">
        <v>0</v>
      </c>
      <c r="E85" s="50">
        <v>0</v>
      </c>
      <c r="F85" s="50">
        <v>0</v>
      </c>
      <c r="G85" s="50">
        <v>0</v>
      </c>
      <c r="H85" s="50">
        <v>0</v>
      </c>
      <c r="I85" s="50">
        <v>0</v>
      </c>
      <c r="J85" s="50">
        <v>0</v>
      </c>
      <c r="K85" s="50">
        <v>0</v>
      </c>
      <c r="L85" s="50">
        <v>0</v>
      </c>
      <c r="M85" s="50">
        <v>0</v>
      </c>
      <c r="N85" s="63">
        <v>0</v>
      </c>
      <c r="O85" s="50">
        <v>0</v>
      </c>
      <c r="P85" s="63">
        <v>0</v>
      </c>
    </row>
    <row r="86" spans="1:16" x14ac:dyDescent="0.35">
      <c r="A86" s="41">
        <f>Dashboard!A96</f>
        <v>6</v>
      </c>
      <c r="B86" s="41" t="str">
        <f>Dashboard!B96</f>
        <v>LAKEVIEW- ACTIVE SEWER</v>
      </c>
      <c r="C86" s="41" t="str">
        <f>Dashboard!C96</f>
        <v>No.</v>
      </c>
      <c r="D86" s="41">
        <v>138</v>
      </c>
      <c r="E86" s="50">
        <v>158</v>
      </c>
      <c r="F86" s="50">
        <v>152</v>
      </c>
      <c r="G86" s="50">
        <v>154</v>
      </c>
      <c r="H86" s="50">
        <v>154</v>
      </c>
      <c r="I86" s="50">
        <v>154</v>
      </c>
      <c r="J86" s="50">
        <v>153</v>
      </c>
      <c r="K86" s="50">
        <v>153</v>
      </c>
      <c r="L86" s="79">
        <v>153</v>
      </c>
      <c r="M86" s="79">
        <v>155</v>
      </c>
      <c r="N86" s="79">
        <v>156</v>
      </c>
      <c r="O86" s="50">
        <v>155</v>
      </c>
      <c r="P86" s="63">
        <v>155</v>
      </c>
    </row>
    <row r="87" spans="1:16" x14ac:dyDescent="0.35">
      <c r="A87" s="41">
        <f>Dashboard!A97</f>
        <v>7</v>
      </c>
      <c r="B87" s="41" t="str">
        <f>Dashboard!B97</f>
        <v>HOPEWELL- ACTIVE SEWER</v>
      </c>
      <c r="C87" s="41" t="str">
        <f>Dashboard!C97</f>
        <v>No.</v>
      </c>
      <c r="D87" s="41" t="str">
        <f>Dashboard!D97</f>
        <v>l</v>
      </c>
      <c r="E87" s="50">
        <v>0</v>
      </c>
      <c r="F87" s="50">
        <v>6</v>
      </c>
      <c r="G87" s="50">
        <v>6</v>
      </c>
      <c r="H87" s="50">
        <v>6</v>
      </c>
      <c r="I87" s="50">
        <v>6</v>
      </c>
      <c r="J87" s="50">
        <v>6</v>
      </c>
      <c r="K87" s="50">
        <v>6</v>
      </c>
      <c r="L87" s="50">
        <v>2</v>
      </c>
      <c r="M87" s="79">
        <v>2</v>
      </c>
      <c r="N87" s="63">
        <v>2</v>
      </c>
      <c r="O87" s="50">
        <v>2</v>
      </c>
      <c r="P87" s="63">
        <v>2</v>
      </c>
    </row>
    <row r="88" spans="1:16" s="40" customFormat="1" x14ac:dyDescent="0.35">
      <c r="A88" s="40">
        <f>Dashboard!A98</f>
        <v>0</v>
      </c>
      <c r="B88" s="40" t="str">
        <f>Dashboard!B98</f>
        <v>TOTAL ACTIVE SEWER CONNECTION CENTRAL REGION</v>
      </c>
      <c r="C88" s="40" t="str">
        <f>Dashboard!C98</f>
        <v>No.</v>
      </c>
      <c r="D88" s="40">
        <v>1500</v>
      </c>
      <c r="E88" s="64">
        <f t="shared" ref="E88:J88" si="25">SUM(E81:E87)</f>
        <v>1745</v>
      </c>
      <c r="F88" s="64">
        <f t="shared" si="25"/>
        <v>1754</v>
      </c>
      <c r="G88" s="64">
        <f t="shared" si="25"/>
        <v>1754</v>
      </c>
      <c r="H88" s="64">
        <f t="shared" si="25"/>
        <v>1754</v>
      </c>
      <c r="I88" s="64">
        <f t="shared" si="25"/>
        <v>1761</v>
      </c>
      <c r="J88" s="64">
        <f t="shared" si="25"/>
        <v>1760</v>
      </c>
      <c r="K88" s="64">
        <f t="shared" ref="K88:P88" si="26">SUM(K81:K87)</f>
        <v>1767</v>
      </c>
      <c r="L88" s="64">
        <f t="shared" si="26"/>
        <v>1773</v>
      </c>
      <c r="M88" s="64">
        <f t="shared" si="26"/>
        <v>1781</v>
      </c>
      <c r="N88" s="64">
        <f t="shared" si="26"/>
        <v>1785</v>
      </c>
      <c r="O88" s="64">
        <f t="shared" si="26"/>
        <v>1782</v>
      </c>
      <c r="P88" s="64">
        <f t="shared" si="26"/>
        <v>1783</v>
      </c>
    </row>
    <row r="89" spans="1:16" x14ac:dyDescent="0.35">
      <c r="A89" s="41">
        <f>Dashboard!A99</f>
        <v>1</v>
      </c>
      <c r="B89" s="41" t="str">
        <f>Dashboard!B99</f>
        <v>HELLSGATE- ACTIVE SEWER</v>
      </c>
      <c r="C89" s="41" t="str">
        <f>Dashboard!C99</f>
        <v>No.</v>
      </c>
      <c r="E89" s="50">
        <v>0</v>
      </c>
      <c r="F89" s="50">
        <v>0</v>
      </c>
      <c r="G89" s="50">
        <v>0</v>
      </c>
      <c r="H89" s="50">
        <v>0</v>
      </c>
      <c r="I89" s="50">
        <v>0</v>
      </c>
      <c r="J89" s="50">
        <v>0</v>
      </c>
      <c r="K89" s="50">
        <v>0</v>
      </c>
      <c r="L89" s="50">
        <v>0</v>
      </c>
      <c r="M89" s="50">
        <v>0</v>
      </c>
      <c r="N89" s="63">
        <v>0</v>
      </c>
      <c r="O89" s="50">
        <v>0</v>
      </c>
      <c r="P89" s="63">
        <v>0</v>
      </c>
    </row>
    <row r="90" spans="1:16" x14ac:dyDescent="0.35">
      <c r="A90" s="41">
        <f>Dashboard!A100</f>
        <v>2</v>
      </c>
      <c r="B90" s="41" t="str">
        <f>Dashboard!B100</f>
        <v>KAMERE- ACTIVE SEWER</v>
      </c>
      <c r="C90" s="41" t="str">
        <f>Dashboard!C100</f>
        <v>No.</v>
      </c>
      <c r="E90" s="50">
        <v>0</v>
      </c>
      <c r="F90" s="50">
        <v>0</v>
      </c>
      <c r="G90" s="50">
        <v>0</v>
      </c>
      <c r="H90" s="50">
        <v>0</v>
      </c>
      <c r="I90" s="50">
        <v>0</v>
      </c>
      <c r="J90" s="50">
        <v>0</v>
      </c>
      <c r="K90" s="50">
        <v>0</v>
      </c>
      <c r="L90" s="50">
        <v>0</v>
      </c>
      <c r="M90" s="50">
        <v>0</v>
      </c>
      <c r="N90" s="63">
        <v>0</v>
      </c>
      <c r="O90" s="50">
        <v>0</v>
      </c>
      <c r="P90" s="63">
        <v>0</v>
      </c>
    </row>
    <row r="91" spans="1:16" x14ac:dyDescent="0.35">
      <c r="A91" s="41">
        <f>Dashboard!A101</f>
        <v>3</v>
      </c>
      <c r="B91" s="41" t="str">
        <f>Dashboard!B101</f>
        <v>MAI-MAHIU- ACTIVE SEWER</v>
      </c>
      <c r="C91" s="41" t="str">
        <f>Dashboard!C101</f>
        <v>No.</v>
      </c>
      <c r="E91" s="50">
        <v>0</v>
      </c>
      <c r="F91" s="50">
        <v>0</v>
      </c>
      <c r="G91" s="50">
        <v>0</v>
      </c>
      <c r="H91" s="50">
        <v>0</v>
      </c>
      <c r="I91" s="50">
        <v>0</v>
      </c>
      <c r="J91" s="50">
        <v>0</v>
      </c>
      <c r="K91" s="50">
        <v>0</v>
      </c>
      <c r="L91" s="50">
        <v>0</v>
      </c>
      <c r="M91" s="50">
        <v>0</v>
      </c>
      <c r="N91" s="63">
        <v>0</v>
      </c>
      <c r="O91" s="50">
        <v>0</v>
      </c>
      <c r="P91" s="63">
        <v>0</v>
      </c>
    </row>
    <row r="92" spans="1:16" x14ac:dyDescent="0.35">
      <c r="A92" s="41">
        <f>Dashboard!A102</f>
        <v>0</v>
      </c>
      <c r="B92" s="41" t="str">
        <f>Dashboard!B102</f>
        <v>TOTAL ACTIVE SEWER CONNECTION SOUTHERN REGION</v>
      </c>
      <c r="C92" s="41" t="str">
        <f>Dashboard!C102</f>
        <v>No.</v>
      </c>
      <c r="D92" s="41">
        <v>0</v>
      </c>
      <c r="E92" s="51">
        <f>SUM(E89:E91)</f>
        <v>0</v>
      </c>
      <c r="F92" s="51">
        <f>SUM(F89:F91)</f>
        <v>0</v>
      </c>
      <c r="G92" s="51">
        <f t="shared" ref="G92:P92" si="27">SUM(G89:G91)</f>
        <v>0</v>
      </c>
      <c r="H92" s="51">
        <f t="shared" si="27"/>
        <v>0</v>
      </c>
      <c r="I92" s="51">
        <f t="shared" si="27"/>
        <v>0</v>
      </c>
      <c r="J92" s="51">
        <f t="shared" si="27"/>
        <v>0</v>
      </c>
      <c r="K92" s="51">
        <f t="shared" si="27"/>
        <v>0</v>
      </c>
      <c r="L92" s="51">
        <f t="shared" si="27"/>
        <v>0</v>
      </c>
      <c r="M92" s="51">
        <f t="shared" si="27"/>
        <v>0</v>
      </c>
      <c r="N92" s="83">
        <f t="shared" si="27"/>
        <v>0</v>
      </c>
      <c r="O92" s="51">
        <f t="shared" si="27"/>
        <v>0</v>
      </c>
      <c r="P92" s="83">
        <f t="shared" si="27"/>
        <v>0</v>
      </c>
    </row>
    <row r="93" spans="1:16" x14ac:dyDescent="0.35">
      <c r="A93" s="41">
        <f>Dashboard!A104</f>
        <v>1</v>
      </c>
      <c r="B93" s="41" t="str">
        <f>Dashboard!B104</f>
        <v>KAYOLE- ACTIVE SEWER</v>
      </c>
      <c r="C93" s="41" t="str">
        <f>Dashboard!C104</f>
        <v>No.</v>
      </c>
      <c r="D93" s="41">
        <v>20</v>
      </c>
      <c r="E93" s="50">
        <v>43</v>
      </c>
      <c r="F93" s="50">
        <v>43</v>
      </c>
      <c r="G93" s="50">
        <v>44</v>
      </c>
      <c r="H93" s="50">
        <v>45</v>
      </c>
      <c r="I93" s="50">
        <v>45</v>
      </c>
      <c r="J93" s="50">
        <v>45</v>
      </c>
      <c r="K93" s="50">
        <v>45</v>
      </c>
      <c r="L93" s="50">
        <v>48</v>
      </c>
      <c r="M93" s="79">
        <v>50</v>
      </c>
      <c r="N93" s="79">
        <v>50</v>
      </c>
      <c r="O93" s="50">
        <v>50</v>
      </c>
      <c r="P93" s="63">
        <v>50</v>
      </c>
    </row>
    <row r="94" spans="1:16" s="40" customFormat="1" x14ac:dyDescent="0.35">
      <c r="A94" s="40" t="str">
        <f>Dashboard!A105</f>
        <v>SUMMARY CONNECTIONS</v>
      </c>
      <c r="E94" s="65">
        <f>E61+E56+E62</f>
        <v>0</v>
      </c>
      <c r="F94" s="65"/>
      <c r="G94" s="65">
        <f t="shared" ref="G94:P94" si="28">G61+G56+G62</f>
        <v>0</v>
      </c>
      <c r="H94" s="65">
        <f t="shared" si="28"/>
        <v>0</v>
      </c>
      <c r="I94" s="65">
        <f t="shared" si="28"/>
        <v>0</v>
      </c>
      <c r="J94" s="65">
        <f t="shared" si="28"/>
        <v>0</v>
      </c>
      <c r="K94" s="65">
        <f t="shared" si="28"/>
        <v>0</v>
      </c>
      <c r="L94" s="65">
        <f t="shared" si="28"/>
        <v>0</v>
      </c>
      <c r="M94" s="65">
        <f t="shared" si="28"/>
        <v>0</v>
      </c>
      <c r="N94" s="65">
        <f t="shared" si="28"/>
        <v>0</v>
      </c>
      <c r="O94" s="65">
        <f t="shared" si="28"/>
        <v>0</v>
      </c>
      <c r="P94" s="65">
        <f t="shared" si="28"/>
        <v>0</v>
      </c>
    </row>
    <row r="95" spans="1:16" x14ac:dyDescent="0.35">
      <c r="A95" s="41">
        <f>Dashboard!A106</f>
        <v>1</v>
      </c>
      <c r="B95" s="41" t="str">
        <f>Dashboard!B106</f>
        <v>TOTAL WATER CONNECTIONS</v>
      </c>
      <c r="C95" s="41" t="str">
        <f>Dashboard!C106</f>
        <v>No.</v>
      </c>
      <c r="D95" s="41">
        <v>10602</v>
      </c>
      <c r="E95" s="53">
        <f>E50+E49+E44</f>
        <v>11410</v>
      </c>
      <c r="F95" s="53">
        <f>F50+F49+F44</f>
        <v>11461</v>
      </c>
      <c r="G95" s="53">
        <f t="shared" ref="G95:P95" si="29">G50+G49+G44</f>
        <v>11487</v>
      </c>
      <c r="H95" s="53">
        <f t="shared" si="29"/>
        <v>11494</v>
      </c>
      <c r="I95" s="53">
        <f t="shared" si="29"/>
        <v>11534</v>
      </c>
      <c r="J95" s="53">
        <f t="shared" si="29"/>
        <v>11588</v>
      </c>
      <c r="K95" s="53">
        <f t="shared" si="29"/>
        <v>11714</v>
      </c>
      <c r="L95" s="53">
        <f t="shared" si="29"/>
        <v>11796</v>
      </c>
      <c r="M95" s="53">
        <f t="shared" si="29"/>
        <v>11884</v>
      </c>
      <c r="N95" s="81">
        <f t="shared" si="29"/>
        <v>12038</v>
      </c>
      <c r="O95" s="53">
        <f t="shared" si="29"/>
        <v>12097</v>
      </c>
      <c r="P95" s="81">
        <f t="shared" si="29"/>
        <v>12181</v>
      </c>
    </row>
    <row r="96" spans="1:16" x14ac:dyDescent="0.35">
      <c r="A96" s="41">
        <f>Dashboard!A107</f>
        <v>2</v>
      </c>
      <c r="B96" s="41" t="str">
        <f>Dashboard!B107</f>
        <v xml:space="preserve">TOTAL SEWER CONNECTIONS </v>
      </c>
      <c r="C96" s="41" t="str">
        <f>Dashboard!C107</f>
        <v>No.</v>
      </c>
      <c r="D96" s="41">
        <v>1840</v>
      </c>
      <c r="E96" s="53">
        <f>E64+E59+E63</f>
        <v>2104</v>
      </c>
      <c r="F96" s="53">
        <f>F64+F59+F63</f>
        <v>2114</v>
      </c>
      <c r="G96" s="53">
        <f>G64+G59+G63</f>
        <v>2117</v>
      </c>
      <c r="H96" s="53">
        <f>H64+H59+H63</f>
        <v>2118</v>
      </c>
      <c r="I96" s="53">
        <f t="shared" ref="I96:P96" si="30">I64+I59+I63</f>
        <v>2125</v>
      </c>
      <c r="J96" s="53">
        <f t="shared" si="30"/>
        <v>2125</v>
      </c>
      <c r="K96" s="53">
        <f t="shared" si="30"/>
        <v>2133</v>
      </c>
      <c r="L96" s="53">
        <f t="shared" si="30"/>
        <v>2141</v>
      </c>
      <c r="M96" s="53">
        <f>M64+M59+M63</f>
        <v>2152</v>
      </c>
      <c r="N96" s="81">
        <f t="shared" si="30"/>
        <v>2154</v>
      </c>
      <c r="O96" s="53">
        <f t="shared" si="30"/>
        <v>2153</v>
      </c>
      <c r="P96" s="81">
        <f t="shared" si="30"/>
        <v>2154</v>
      </c>
    </row>
    <row r="97" spans="1:18" x14ac:dyDescent="0.35">
      <c r="A97" s="41">
        <f>Dashboard!A108</f>
        <v>3</v>
      </c>
      <c r="B97" s="41" t="str">
        <f>Dashboard!B108</f>
        <v>TOTAL ACTIVE WATER CONNECTIONS</v>
      </c>
      <c r="C97" s="41" t="str">
        <f>Dashboard!C108</f>
        <v>No.</v>
      </c>
      <c r="D97" s="41">
        <v>8744</v>
      </c>
      <c r="E97" s="53">
        <f>E79+E78+E73</f>
        <v>9620</v>
      </c>
      <c r="F97" s="53">
        <f>F79+F78+F73</f>
        <v>9656</v>
      </c>
      <c r="G97" s="53">
        <f>G79+G78+G73</f>
        <v>9702</v>
      </c>
      <c r="H97" s="53">
        <f t="shared" ref="H97:P97" si="31">H79+H78+H73</f>
        <v>9709</v>
      </c>
      <c r="I97" s="53">
        <f t="shared" si="31"/>
        <v>9756</v>
      </c>
      <c r="J97" s="53">
        <f t="shared" si="31"/>
        <v>9788</v>
      </c>
      <c r="K97" s="53">
        <f t="shared" si="31"/>
        <v>9804</v>
      </c>
      <c r="L97" s="53">
        <f t="shared" si="31"/>
        <v>9900</v>
      </c>
      <c r="M97" s="53">
        <f t="shared" si="31"/>
        <v>9969</v>
      </c>
      <c r="N97" s="81">
        <f t="shared" si="31"/>
        <v>10053</v>
      </c>
      <c r="O97" s="81">
        <f t="shared" si="31"/>
        <v>10138</v>
      </c>
      <c r="P97" s="81">
        <f t="shared" si="31"/>
        <v>10195</v>
      </c>
    </row>
    <row r="98" spans="1:18" x14ac:dyDescent="0.35">
      <c r="A98" s="41">
        <f>Dashboard!A109</f>
        <v>4</v>
      </c>
      <c r="B98" s="41" t="str">
        <f>Dashboard!B109</f>
        <v>TOTAL SEWER ACTIVE CONNECTIONS</v>
      </c>
      <c r="C98" s="41" t="str">
        <f>Dashboard!C109</f>
        <v>No.</v>
      </c>
      <c r="D98" s="41">
        <v>1520</v>
      </c>
      <c r="E98" s="53">
        <f>E88+E92+E93</f>
        <v>1788</v>
      </c>
      <c r="F98" s="53">
        <f>F88+F92+F93</f>
        <v>1797</v>
      </c>
      <c r="G98" s="53">
        <f>G88+G92+G93</f>
        <v>1798</v>
      </c>
      <c r="H98" s="53">
        <f t="shared" ref="H98:J98" si="32">H88+H92+H93</f>
        <v>1799</v>
      </c>
      <c r="I98" s="53">
        <f>I88+I92+I93</f>
        <v>1806</v>
      </c>
      <c r="J98" s="53">
        <f t="shared" si="32"/>
        <v>1805</v>
      </c>
      <c r="K98" s="53">
        <f t="shared" ref="K98:L98" si="33">K88+K92+K93</f>
        <v>1812</v>
      </c>
      <c r="L98" s="53">
        <f t="shared" si="33"/>
        <v>1821</v>
      </c>
      <c r="M98" s="53">
        <f t="shared" ref="M98:P98" si="34">M88+M92+M93</f>
        <v>1831</v>
      </c>
      <c r="N98" s="81">
        <f t="shared" si="34"/>
        <v>1835</v>
      </c>
      <c r="O98" s="53">
        <f>O88+O92+O93</f>
        <v>1832</v>
      </c>
      <c r="P98" s="81">
        <f t="shared" si="34"/>
        <v>1833</v>
      </c>
    </row>
    <row r="99" spans="1:18" x14ac:dyDescent="0.35">
      <c r="A99" s="41" t="str">
        <f>Dashboard!A110</f>
        <v>x</v>
      </c>
      <c r="B99" s="41" t="str">
        <f>Dashboard!B110</f>
        <v>TOTAL NEW CONNECTION WATER</v>
      </c>
      <c r="C99" s="41" t="str">
        <f>Dashboard!C110</f>
        <v>No.</v>
      </c>
      <c r="E99" s="53">
        <f t="shared" ref="E99:P99" si="35">E13+E18+E19</f>
        <v>78</v>
      </c>
      <c r="F99" s="53">
        <f t="shared" si="35"/>
        <v>51</v>
      </c>
      <c r="G99" s="53">
        <f t="shared" si="35"/>
        <v>26</v>
      </c>
      <c r="H99" s="53">
        <f t="shared" si="35"/>
        <v>10</v>
      </c>
      <c r="I99" s="53">
        <f t="shared" si="35"/>
        <v>39</v>
      </c>
      <c r="J99" s="53">
        <f t="shared" si="35"/>
        <v>56</v>
      </c>
      <c r="K99" s="53">
        <f t="shared" si="35"/>
        <v>129</v>
      </c>
      <c r="L99" s="53">
        <f t="shared" si="35"/>
        <v>86</v>
      </c>
      <c r="M99" s="53">
        <f t="shared" si="35"/>
        <v>90</v>
      </c>
      <c r="N99" s="81">
        <f t="shared" si="35"/>
        <v>159</v>
      </c>
      <c r="O99" s="53">
        <f t="shared" si="35"/>
        <v>59</v>
      </c>
      <c r="P99" s="81">
        <f t="shared" si="35"/>
        <v>87</v>
      </c>
    </row>
    <row r="100" spans="1:18" x14ac:dyDescent="0.35">
      <c r="A100" s="41" t="str">
        <f>Dashboard!A111</f>
        <v>y</v>
      </c>
      <c r="B100" s="41" t="str">
        <f>Dashboard!B111</f>
        <v>TOTAL NEW CONNECTIONS SEWER</v>
      </c>
      <c r="C100" s="41" t="str">
        <f>Dashboard!C111</f>
        <v>No.</v>
      </c>
      <c r="E100" s="53">
        <f>E35</f>
        <v>3</v>
      </c>
      <c r="F100" s="53">
        <f t="shared" ref="F100:P100" si="36">F35</f>
        <v>10</v>
      </c>
      <c r="G100" s="53">
        <f t="shared" si="36"/>
        <v>3</v>
      </c>
      <c r="H100" s="53">
        <f t="shared" si="36"/>
        <v>2</v>
      </c>
      <c r="I100" s="53">
        <f t="shared" si="36"/>
        <v>0</v>
      </c>
      <c r="J100" s="53">
        <f t="shared" si="36"/>
        <v>4</v>
      </c>
      <c r="K100" s="53">
        <f t="shared" si="36"/>
        <v>1</v>
      </c>
      <c r="L100" s="53">
        <f t="shared" si="36"/>
        <v>6</v>
      </c>
      <c r="M100" s="53">
        <f t="shared" si="36"/>
        <v>4</v>
      </c>
      <c r="N100" s="81">
        <f t="shared" si="36"/>
        <v>3</v>
      </c>
      <c r="O100" s="53">
        <f t="shared" si="36"/>
        <v>0</v>
      </c>
      <c r="P100" s="81">
        <f t="shared" si="36"/>
        <v>3</v>
      </c>
    </row>
    <row r="101" spans="1:18" x14ac:dyDescent="0.35">
      <c r="A101" s="41">
        <f>Dashboard!A112</f>
        <v>5</v>
      </c>
      <c r="B101" s="41" t="str">
        <f>Dashboard!B112</f>
        <v>% ACTIVE CONNECTIONS</v>
      </c>
      <c r="C101" s="41" t="str">
        <f>Dashboard!C112</f>
        <v>No.</v>
      </c>
      <c r="D101" s="41">
        <v>0.82494775759524197</v>
      </c>
      <c r="E101" s="54">
        <f>SUM(E97:E98)/SUM(E95:E96)</f>
        <v>0.8441616101820334</v>
      </c>
      <c r="F101" s="54">
        <f>SUM(F97:F98)/SUM(F95:F96)</f>
        <v>0.84368324125230199</v>
      </c>
      <c r="G101" s="54">
        <f t="shared" ref="G101:P101" si="37">SUM(G97:G98)/SUM(G95:G96)</f>
        <v>0.84533960599823577</v>
      </c>
      <c r="H101" s="54">
        <f t="shared" si="37"/>
        <v>0.84543050249779605</v>
      </c>
      <c r="I101" s="54">
        <f t="shared" si="37"/>
        <v>0.84647485174610149</v>
      </c>
      <c r="J101" s="54">
        <f t="shared" si="37"/>
        <v>0.84540217312039667</v>
      </c>
      <c r="K101" s="54">
        <f t="shared" si="37"/>
        <v>0.83888206831804724</v>
      </c>
      <c r="L101" s="54">
        <f t="shared" si="37"/>
        <v>0.84099878022529961</v>
      </c>
      <c r="M101" s="54">
        <f t="shared" si="37"/>
        <v>0.84069535480193791</v>
      </c>
      <c r="N101" s="84">
        <f t="shared" si="37"/>
        <v>0.83765501691093569</v>
      </c>
      <c r="O101" s="54">
        <f t="shared" si="37"/>
        <v>0.84</v>
      </c>
      <c r="P101" s="84">
        <f t="shared" si="37"/>
        <v>0.83906522497384028</v>
      </c>
    </row>
    <row r="102" spans="1:18" s="40" customFormat="1" x14ac:dyDescent="0.35">
      <c r="A102" s="40" t="str">
        <f>Dashboard!A113</f>
        <v>TOTAL BILLING IN M3 - WATER</v>
      </c>
    </row>
    <row r="103" spans="1:18" x14ac:dyDescent="0.35">
      <c r="A103" s="41">
        <f>Dashboard!A114</f>
        <v>1</v>
      </c>
      <c r="B103" s="41" t="str">
        <f>Dashboard!B114</f>
        <v>CBD - WATER(M3)</v>
      </c>
      <c r="C103" s="41" t="str">
        <f>Dashboard!C114</f>
        <v>M3</v>
      </c>
      <c r="D103" s="41">
        <v>15453</v>
      </c>
      <c r="E103" s="79">
        <v>15333</v>
      </c>
      <c r="F103" s="79">
        <v>18128</v>
      </c>
      <c r="G103" s="79">
        <v>15348</v>
      </c>
      <c r="H103" s="50">
        <v>17288</v>
      </c>
      <c r="I103" s="79">
        <v>16464</v>
      </c>
      <c r="J103" s="79">
        <v>11402</v>
      </c>
      <c r="K103" s="79">
        <v>21639</v>
      </c>
      <c r="L103" s="79">
        <v>16771</v>
      </c>
      <c r="M103" s="50">
        <v>16898</v>
      </c>
      <c r="N103" s="79">
        <v>14822</v>
      </c>
      <c r="O103" s="79">
        <v>15647</v>
      </c>
      <c r="P103" s="79">
        <v>15127</v>
      </c>
      <c r="Q103" s="53"/>
    </row>
    <row r="104" spans="1:18" x14ac:dyDescent="0.35">
      <c r="A104" s="41">
        <f>Dashboard!A115</f>
        <v>2</v>
      </c>
      <c r="B104" s="41" t="str">
        <f>Dashboard!B115</f>
        <v>CCCR - WATER(M3)</v>
      </c>
      <c r="C104" s="41" t="str">
        <f>Dashboard!C115</f>
        <v>M3</v>
      </c>
      <c r="D104" s="41">
        <v>21858</v>
      </c>
      <c r="E104" s="79">
        <v>13187</v>
      </c>
      <c r="F104" s="79">
        <v>19014</v>
      </c>
      <c r="G104" s="79">
        <v>14518</v>
      </c>
      <c r="H104" s="50">
        <v>15348</v>
      </c>
      <c r="I104" s="79">
        <v>15020</v>
      </c>
      <c r="J104" s="79">
        <v>11149</v>
      </c>
      <c r="K104" s="79">
        <v>18653</v>
      </c>
      <c r="L104" s="79">
        <v>16512</v>
      </c>
      <c r="M104" s="79">
        <v>16356</v>
      </c>
      <c r="N104" s="79">
        <v>14401</v>
      </c>
      <c r="O104" s="79">
        <v>18217</v>
      </c>
      <c r="P104" s="79">
        <v>18443</v>
      </c>
      <c r="Q104" s="53"/>
    </row>
    <row r="105" spans="1:18" x14ac:dyDescent="0.35">
      <c r="A105" s="41">
        <f>Dashboard!A116</f>
        <v>3</v>
      </c>
      <c r="B105" s="41" t="str">
        <f>Dashboard!B116</f>
        <v>KABATI - WATER(M3)</v>
      </c>
      <c r="C105" s="41" t="str">
        <f>Dashboard!C116</f>
        <v>M3</v>
      </c>
      <c r="D105" s="41">
        <v>11468</v>
      </c>
      <c r="E105" s="79">
        <v>10925</v>
      </c>
      <c r="F105" s="79">
        <v>14744</v>
      </c>
      <c r="G105" s="79">
        <v>12771</v>
      </c>
      <c r="H105" s="50">
        <v>12933</v>
      </c>
      <c r="I105" s="79">
        <v>14236</v>
      </c>
      <c r="J105" s="79">
        <v>9726</v>
      </c>
      <c r="K105" s="79">
        <v>16508</v>
      </c>
      <c r="L105" s="79">
        <v>13532</v>
      </c>
      <c r="M105" s="79">
        <v>15434</v>
      </c>
      <c r="N105" s="79">
        <v>11461</v>
      </c>
      <c r="O105" s="79">
        <v>12714</v>
      </c>
      <c r="P105" s="79">
        <v>13254</v>
      </c>
      <c r="Q105" s="53"/>
    </row>
    <row r="106" spans="1:18" x14ac:dyDescent="0.35">
      <c r="A106" s="41">
        <f>Dashboard!A117</f>
        <v>4</v>
      </c>
      <c r="B106" s="41" t="str">
        <f>Dashboard!B117</f>
        <v>SITE - WATER(M3)</v>
      </c>
      <c r="C106" s="41" t="str">
        <f>Dashboard!C117</f>
        <v>M3</v>
      </c>
      <c r="D106" s="41">
        <v>9404</v>
      </c>
      <c r="E106" s="79">
        <v>9865</v>
      </c>
      <c r="F106" s="79">
        <v>11182</v>
      </c>
      <c r="G106" s="79">
        <v>9917</v>
      </c>
      <c r="H106" s="50">
        <v>10893</v>
      </c>
      <c r="I106" s="79">
        <v>10729</v>
      </c>
      <c r="J106" s="79">
        <v>7857</v>
      </c>
      <c r="K106" s="79">
        <v>13498</v>
      </c>
      <c r="L106" s="79">
        <v>10409</v>
      </c>
      <c r="M106" s="79">
        <v>12309</v>
      </c>
      <c r="N106" s="79">
        <v>9620</v>
      </c>
      <c r="O106" s="79">
        <v>10093</v>
      </c>
      <c r="P106" s="79">
        <v>10844</v>
      </c>
      <c r="Q106" s="53"/>
    </row>
    <row r="107" spans="1:18" x14ac:dyDescent="0.35">
      <c r="A107" s="41">
        <f>Dashboard!A118</f>
        <v>5</v>
      </c>
      <c r="B107" s="41" t="str">
        <f>Dashboard!B118</f>
        <v>KIHOTO - WATER(M3)</v>
      </c>
      <c r="C107" s="41" t="str">
        <f>Dashboard!C118</f>
        <v>M3</v>
      </c>
      <c r="D107" s="41">
        <v>1692</v>
      </c>
      <c r="E107" s="79">
        <v>1669</v>
      </c>
      <c r="F107" s="79">
        <v>2107</v>
      </c>
      <c r="G107" s="79">
        <v>1833</v>
      </c>
      <c r="H107" s="50">
        <v>1662</v>
      </c>
      <c r="I107" s="79">
        <v>1795</v>
      </c>
      <c r="J107" s="79">
        <v>1023</v>
      </c>
      <c r="K107" s="79">
        <v>2526</v>
      </c>
      <c r="L107" s="79">
        <v>1808</v>
      </c>
      <c r="M107" s="79">
        <v>2118</v>
      </c>
      <c r="N107" s="79">
        <v>1486</v>
      </c>
      <c r="O107" s="79">
        <v>1589</v>
      </c>
      <c r="P107" s="79">
        <v>2031</v>
      </c>
      <c r="Q107" s="53"/>
    </row>
    <row r="108" spans="1:18" x14ac:dyDescent="0.35">
      <c r="A108" s="41">
        <f>Dashboard!A119</f>
        <v>6</v>
      </c>
      <c r="B108" s="41" t="str">
        <f>Dashboard!B119</f>
        <v>LAKEVIEW - WATER(M3)</v>
      </c>
      <c r="C108" s="41" t="str">
        <f>Dashboard!C119</f>
        <v>M3</v>
      </c>
      <c r="D108" s="41">
        <v>21299</v>
      </c>
      <c r="E108" s="79">
        <f>22322-E109</f>
        <v>17938</v>
      </c>
      <c r="F108" s="79">
        <v>22874</v>
      </c>
      <c r="G108" s="50">
        <v>20854</v>
      </c>
      <c r="H108" s="50">
        <v>19690</v>
      </c>
      <c r="I108" s="79">
        <v>22452</v>
      </c>
      <c r="J108" s="79">
        <v>13727</v>
      </c>
      <c r="K108" s="79">
        <v>22903</v>
      </c>
      <c r="L108" s="79">
        <v>22724</v>
      </c>
      <c r="M108" s="79">
        <v>23737</v>
      </c>
      <c r="N108" s="79">
        <v>14918</v>
      </c>
      <c r="O108" s="79">
        <v>19396</v>
      </c>
      <c r="P108" s="79">
        <v>20427</v>
      </c>
      <c r="Q108" s="53"/>
    </row>
    <row r="109" spans="1:18" x14ac:dyDescent="0.35">
      <c r="A109" s="41">
        <f>Dashboard!A120</f>
        <v>7</v>
      </c>
      <c r="B109" s="41" t="str">
        <f>Dashboard!B120</f>
        <v>HOPEWELL - WATER(M3)</v>
      </c>
      <c r="C109" s="41" t="str">
        <f>Dashboard!C120</f>
        <v>M3</v>
      </c>
      <c r="D109" s="41">
        <v>21299</v>
      </c>
      <c r="E109" s="79">
        <v>4384</v>
      </c>
      <c r="F109" s="79">
        <v>5621</v>
      </c>
      <c r="G109" s="50">
        <v>5975</v>
      </c>
      <c r="H109" s="50">
        <v>4906</v>
      </c>
      <c r="I109" s="79">
        <v>6607</v>
      </c>
      <c r="J109" s="79">
        <v>4156</v>
      </c>
      <c r="K109" s="79">
        <v>6448</v>
      </c>
      <c r="L109" s="79">
        <v>5728</v>
      </c>
      <c r="M109" s="79">
        <v>6684</v>
      </c>
      <c r="N109" s="79">
        <v>4887</v>
      </c>
      <c r="O109" s="79">
        <v>5510</v>
      </c>
      <c r="P109" s="79">
        <v>6078</v>
      </c>
      <c r="Q109" s="53"/>
    </row>
    <row r="110" spans="1:18" s="40" customFormat="1" x14ac:dyDescent="0.35">
      <c r="A110" s="40">
        <f>Dashboard!A121</f>
        <v>0</v>
      </c>
      <c r="B110" s="40" t="str">
        <f>Dashboard!B121</f>
        <v>TOTAL  - WATER(M3) CENTRAL REGION</v>
      </c>
      <c r="C110" s="40" t="str">
        <f>Dashboard!C121</f>
        <v>M3</v>
      </c>
      <c r="D110" s="40">
        <v>81174</v>
      </c>
      <c r="E110" s="64">
        <f t="shared" ref="E110:J110" si="38">SUM(E103:E109)</f>
        <v>73301</v>
      </c>
      <c r="F110" s="64">
        <f t="shared" si="38"/>
        <v>93670</v>
      </c>
      <c r="G110" s="64">
        <f t="shared" si="38"/>
        <v>81216</v>
      </c>
      <c r="H110" s="64">
        <f t="shared" si="38"/>
        <v>82720</v>
      </c>
      <c r="I110" s="64">
        <f t="shared" si="38"/>
        <v>87303</v>
      </c>
      <c r="J110" s="64">
        <f t="shared" si="38"/>
        <v>59040</v>
      </c>
      <c r="K110" s="64">
        <f t="shared" ref="K110:P110" si="39">SUM(K103:K109)</f>
        <v>102175</v>
      </c>
      <c r="L110" s="64">
        <f t="shared" si="39"/>
        <v>87484</v>
      </c>
      <c r="M110" s="64">
        <f t="shared" si="39"/>
        <v>93536</v>
      </c>
      <c r="N110" s="64">
        <f t="shared" si="39"/>
        <v>71595</v>
      </c>
      <c r="O110" s="64">
        <f t="shared" si="39"/>
        <v>83166</v>
      </c>
      <c r="P110" s="64">
        <f t="shared" si="39"/>
        <v>86204</v>
      </c>
      <c r="Q110" s="53"/>
    </row>
    <row r="111" spans="1:18" x14ac:dyDescent="0.35">
      <c r="A111" s="41">
        <f>Dashboard!A122</f>
        <v>1</v>
      </c>
      <c r="B111" s="41" t="str">
        <f>Dashboard!B122</f>
        <v>HELLSGATE - WATER(M3)</v>
      </c>
      <c r="C111" s="41" t="str">
        <f>Dashboard!C122</f>
        <v>M3</v>
      </c>
      <c r="D111" s="41">
        <v>22076</v>
      </c>
      <c r="E111" s="79">
        <v>26728</v>
      </c>
      <c r="F111" s="79">
        <v>24225</v>
      </c>
      <c r="G111" s="79">
        <v>27311</v>
      </c>
      <c r="H111" s="50">
        <v>26535</v>
      </c>
      <c r="I111" s="79">
        <v>30367</v>
      </c>
      <c r="J111" s="79">
        <v>18026</v>
      </c>
      <c r="K111" s="79">
        <v>31140</v>
      </c>
      <c r="L111" s="79">
        <v>28691</v>
      </c>
      <c r="M111" s="79">
        <v>26588</v>
      </c>
      <c r="N111" s="79">
        <v>22538</v>
      </c>
      <c r="O111" s="79">
        <v>23286</v>
      </c>
      <c r="P111" s="79">
        <v>28109</v>
      </c>
      <c r="Q111" s="53"/>
    </row>
    <row r="112" spans="1:18" x14ac:dyDescent="0.35">
      <c r="A112" s="41">
        <f>Dashboard!A123</f>
        <v>2</v>
      </c>
      <c r="B112" s="41" t="str">
        <f>Dashboard!B123</f>
        <v>KAMERE - WATER(M3)</v>
      </c>
      <c r="C112" s="41" t="str">
        <f>Dashboard!C123</f>
        <v>M3</v>
      </c>
      <c r="D112" s="41">
        <v>5937</v>
      </c>
      <c r="E112" s="79">
        <v>6588</v>
      </c>
      <c r="F112" s="79">
        <v>6870</v>
      </c>
      <c r="G112" s="50">
        <v>6726</v>
      </c>
      <c r="H112" s="50">
        <v>6973</v>
      </c>
      <c r="I112" s="79">
        <v>7456</v>
      </c>
      <c r="J112" s="79">
        <v>4906</v>
      </c>
      <c r="K112" s="79">
        <v>7952</v>
      </c>
      <c r="L112" s="79">
        <v>8379</v>
      </c>
      <c r="M112" s="79">
        <v>8691</v>
      </c>
      <c r="N112" s="79">
        <v>6181</v>
      </c>
      <c r="O112" s="79">
        <v>6833</v>
      </c>
      <c r="P112" s="79">
        <v>6893</v>
      </c>
      <c r="Q112" s="53"/>
      <c r="R112" s="53"/>
    </row>
    <row r="113" spans="1:17" x14ac:dyDescent="0.35">
      <c r="A113" s="41">
        <f>Dashboard!A124</f>
        <v>3</v>
      </c>
      <c r="B113" s="41" t="str">
        <f>Dashboard!B124</f>
        <v>MAI-MAHIU - WATER(M3)</v>
      </c>
      <c r="C113" s="41" t="str">
        <f>Dashboard!C124</f>
        <v>M3</v>
      </c>
      <c r="D113" s="41">
        <v>5452</v>
      </c>
      <c r="E113" s="79">
        <f>8302-E114</f>
        <v>4103</v>
      </c>
      <c r="F113" s="79">
        <v>8205</v>
      </c>
      <c r="G113" s="50">
        <v>10601</v>
      </c>
      <c r="H113" s="50">
        <v>9172</v>
      </c>
      <c r="I113" s="79">
        <v>17076</v>
      </c>
      <c r="J113" s="79">
        <v>7626</v>
      </c>
      <c r="K113" s="79">
        <v>10742</v>
      </c>
      <c r="L113" s="79">
        <v>9077</v>
      </c>
      <c r="M113" s="79">
        <v>12828</v>
      </c>
      <c r="N113" s="79">
        <v>6907</v>
      </c>
      <c r="O113" s="79">
        <v>10597</v>
      </c>
      <c r="P113" s="79">
        <v>9757</v>
      </c>
      <c r="Q113" s="53"/>
    </row>
    <row r="114" spans="1:17" x14ac:dyDescent="0.35">
      <c r="A114" s="41">
        <f>Dashboard!A125</f>
        <v>4</v>
      </c>
      <c r="B114" s="41" t="str">
        <f>Dashboard!B125</f>
        <v>LONGONOT - WATER(M3)</v>
      </c>
      <c r="C114" s="41" t="str">
        <f>Dashboard!C125</f>
        <v>M3</v>
      </c>
      <c r="D114" s="41">
        <v>5452</v>
      </c>
      <c r="E114" s="79">
        <v>4199</v>
      </c>
      <c r="F114" s="79">
        <v>5820</v>
      </c>
      <c r="G114" s="50">
        <v>5572</v>
      </c>
      <c r="H114" s="50">
        <v>5293</v>
      </c>
      <c r="I114" s="79">
        <v>5341</v>
      </c>
      <c r="J114" s="79">
        <v>2778</v>
      </c>
      <c r="K114" s="79">
        <v>3269</v>
      </c>
      <c r="L114" s="79">
        <v>3727</v>
      </c>
      <c r="M114" s="79">
        <v>4674</v>
      </c>
      <c r="N114" s="79">
        <v>1973</v>
      </c>
      <c r="O114" s="79">
        <v>1943</v>
      </c>
      <c r="P114" s="79">
        <v>3280</v>
      </c>
      <c r="Q114" s="53"/>
    </row>
    <row r="115" spans="1:17" s="40" customFormat="1" x14ac:dyDescent="0.35">
      <c r="A115" s="40">
        <f>Dashboard!A126</f>
        <v>0</v>
      </c>
      <c r="B115" s="40" t="str">
        <f>Dashboard!B126</f>
        <v>TOTAL  WATER(M3) SOUTHERN REGION</v>
      </c>
      <c r="C115" s="40" t="str">
        <f>Dashboard!C126</f>
        <v>M3</v>
      </c>
      <c r="D115" s="40">
        <v>33465</v>
      </c>
      <c r="E115" s="64">
        <f>SUM(E111:E114)</f>
        <v>41618</v>
      </c>
      <c r="F115" s="64">
        <f t="shared" ref="F115:P115" si="40">SUM(F111:F114)</f>
        <v>45120</v>
      </c>
      <c r="G115" s="64">
        <f t="shared" si="40"/>
        <v>50210</v>
      </c>
      <c r="H115" s="64">
        <f t="shared" si="40"/>
        <v>47973</v>
      </c>
      <c r="I115" s="64">
        <f t="shared" si="40"/>
        <v>60240</v>
      </c>
      <c r="J115" s="64">
        <f t="shared" si="40"/>
        <v>33336</v>
      </c>
      <c r="K115" s="64">
        <f t="shared" si="40"/>
        <v>53103</v>
      </c>
      <c r="L115" s="64">
        <f t="shared" si="40"/>
        <v>49874</v>
      </c>
      <c r="M115" s="64">
        <f t="shared" si="40"/>
        <v>52781</v>
      </c>
      <c r="N115" s="64">
        <f t="shared" si="40"/>
        <v>37599</v>
      </c>
      <c r="O115" s="64">
        <f t="shared" si="40"/>
        <v>42659</v>
      </c>
      <c r="P115" s="64">
        <f t="shared" si="40"/>
        <v>48039</v>
      </c>
      <c r="Q115" s="53"/>
    </row>
    <row r="116" spans="1:17" x14ac:dyDescent="0.35">
      <c r="A116" s="41">
        <f>Dashboard!A128</f>
        <v>1</v>
      </c>
      <c r="B116" s="41" t="str">
        <f>Dashboard!B128</f>
        <v>KAYOLE - WATER(M3)</v>
      </c>
      <c r="C116" s="41" t="str">
        <f>Dashboard!C128</f>
        <v>M3</v>
      </c>
      <c r="D116" s="41">
        <v>22371</v>
      </c>
      <c r="E116" s="50">
        <v>26497</v>
      </c>
      <c r="F116" s="50">
        <v>29718</v>
      </c>
      <c r="G116" s="50">
        <v>32242</v>
      </c>
      <c r="H116" s="50">
        <v>30200</v>
      </c>
      <c r="I116" s="50">
        <v>32349</v>
      </c>
      <c r="J116" s="50">
        <v>24184</v>
      </c>
      <c r="K116" s="79">
        <v>29173</v>
      </c>
      <c r="L116" s="79">
        <v>28120</v>
      </c>
      <c r="M116" s="79">
        <v>29681</v>
      </c>
      <c r="N116" s="79">
        <v>26294</v>
      </c>
      <c r="O116" s="79">
        <v>27869</v>
      </c>
      <c r="P116" s="87">
        <v>30668</v>
      </c>
      <c r="Q116" s="53"/>
    </row>
    <row r="117" spans="1:17" s="40" customFormat="1" x14ac:dyDescent="0.35">
      <c r="A117" s="40" t="str">
        <f>Dashboard!A131</f>
        <v>TOTAL BILLING IN KSH - WATER</v>
      </c>
      <c r="N117" s="65"/>
    </row>
    <row r="118" spans="1:17" x14ac:dyDescent="0.35">
      <c r="A118" s="41">
        <f>Dashboard!A132</f>
        <v>1</v>
      </c>
      <c r="B118" s="41" t="str">
        <f>Dashboard!B132</f>
        <v>CBD - WATER(KES)</v>
      </c>
      <c r="C118" s="41" t="str">
        <f>Dashboard!C132</f>
        <v>Ksh</v>
      </c>
      <c r="D118" s="41">
        <v>1361873</v>
      </c>
      <c r="E118" s="79">
        <v>1339524</v>
      </c>
      <c r="F118" s="363">
        <v>1619063</v>
      </c>
      <c r="G118" s="79">
        <v>1316585</v>
      </c>
      <c r="H118" s="79">
        <v>1520693</v>
      </c>
      <c r="I118" s="79">
        <v>1430127</v>
      </c>
      <c r="J118" s="79">
        <v>942800</v>
      </c>
      <c r="K118" s="79">
        <v>1962233</v>
      </c>
      <c r="L118" s="79">
        <v>1449396</v>
      </c>
      <c r="M118" s="79">
        <v>1472508</v>
      </c>
      <c r="N118" s="79">
        <v>1957640</v>
      </c>
      <c r="O118" s="79">
        <v>2066570</v>
      </c>
      <c r="P118" s="79">
        <v>2002180</v>
      </c>
      <c r="Q118" s="50"/>
    </row>
    <row r="119" spans="1:17" x14ac:dyDescent="0.35">
      <c r="A119" s="41">
        <f>Dashboard!A133</f>
        <v>2</v>
      </c>
      <c r="B119" s="41" t="str">
        <f>Dashboard!B133</f>
        <v>CCCR - WATER(KES)</v>
      </c>
      <c r="C119" s="41" t="str">
        <f>Dashboard!C133</f>
        <v>Ksh</v>
      </c>
      <c r="D119" s="41">
        <v>2422744</v>
      </c>
      <c r="E119" s="79">
        <v>1114108</v>
      </c>
      <c r="F119" s="363">
        <v>1869561</v>
      </c>
      <c r="G119" s="79">
        <v>1298593</v>
      </c>
      <c r="H119" s="79">
        <v>1287677</v>
      </c>
      <c r="I119" s="79">
        <v>1286819</v>
      </c>
      <c r="J119" s="79">
        <v>1014450</v>
      </c>
      <c r="K119" s="79">
        <v>1701580</v>
      </c>
      <c r="L119" s="79">
        <v>1456091</v>
      </c>
      <c r="M119" s="79">
        <v>1493201</v>
      </c>
      <c r="N119" s="79">
        <v>1903160</v>
      </c>
      <c r="O119" s="79">
        <v>2465470</v>
      </c>
      <c r="P119" s="79">
        <v>2483450</v>
      </c>
      <c r="Q119" s="50"/>
    </row>
    <row r="120" spans="1:17" x14ac:dyDescent="0.35">
      <c r="A120" s="41">
        <f>Dashboard!A134</f>
        <v>3</v>
      </c>
      <c r="B120" s="41" t="str">
        <f>Dashboard!B134</f>
        <v>KABATI - WATER(KES)</v>
      </c>
      <c r="C120" s="41" t="str">
        <f>Dashboard!C134</f>
        <v>Ksh</v>
      </c>
      <c r="D120" s="41">
        <v>847250</v>
      </c>
      <c r="E120" s="79">
        <v>805899</v>
      </c>
      <c r="F120" s="363">
        <v>1120045</v>
      </c>
      <c r="G120" s="79">
        <v>947174</v>
      </c>
      <c r="H120" s="79">
        <v>955648</v>
      </c>
      <c r="I120" s="79">
        <v>1063398</v>
      </c>
      <c r="J120" s="79">
        <v>702522</v>
      </c>
      <c r="K120" s="79">
        <v>1250369</v>
      </c>
      <c r="L120" s="79">
        <v>1017374</v>
      </c>
      <c r="M120" s="79">
        <v>1183196</v>
      </c>
      <c r="N120" s="79">
        <v>1435580</v>
      </c>
      <c r="O120" s="79">
        <v>1589320</v>
      </c>
      <c r="P120" s="79">
        <v>1653920</v>
      </c>
      <c r="Q120" s="50"/>
    </row>
    <row r="121" spans="1:17" x14ac:dyDescent="0.35">
      <c r="A121" s="41">
        <f>Dashboard!A135</f>
        <v>4</v>
      </c>
      <c r="B121" s="41" t="str">
        <f>Dashboard!B135</f>
        <v>SITE - WATER(KES)</v>
      </c>
      <c r="C121" s="41" t="str">
        <f>Dashboard!C135</f>
        <v>Ksh</v>
      </c>
      <c r="D121" s="41">
        <v>687641</v>
      </c>
      <c r="E121" s="79">
        <v>702788</v>
      </c>
      <c r="F121" s="364">
        <v>803765</v>
      </c>
      <c r="G121" s="79">
        <v>713204</v>
      </c>
      <c r="H121" s="79">
        <v>788260</v>
      </c>
      <c r="I121" s="79">
        <v>769000</v>
      </c>
      <c r="J121" s="79">
        <v>551820</v>
      </c>
      <c r="K121" s="79">
        <v>979832</v>
      </c>
      <c r="L121" s="79">
        <v>752782</v>
      </c>
      <c r="M121" s="79">
        <v>898811</v>
      </c>
      <c r="N121" s="79">
        <v>1159540</v>
      </c>
      <c r="O121" s="79">
        <v>1232510</v>
      </c>
      <c r="P121" s="79">
        <v>1327580</v>
      </c>
      <c r="Q121" s="50"/>
    </row>
    <row r="122" spans="1:17" x14ac:dyDescent="0.35">
      <c r="A122" s="41">
        <f>Dashboard!A136</f>
        <v>5</v>
      </c>
      <c r="B122" s="41" t="str">
        <f>Dashboard!B136</f>
        <v>KIHOTO - WATER(KES)</v>
      </c>
      <c r="C122" s="41" t="str">
        <f>Dashboard!C136</f>
        <v>Ksh</v>
      </c>
      <c r="D122" s="41">
        <v>119740</v>
      </c>
      <c r="E122" s="79">
        <v>118810</v>
      </c>
      <c r="F122" s="364">
        <v>151900</v>
      </c>
      <c r="G122" s="79">
        <v>130082</v>
      </c>
      <c r="H122" s="79">
        <v>118286</v>
      </c>
      <c r="I122" s="79">
        <v>128711</v>
      </c>
      <c r="J122" s="79">
        <v>69212</v>
      </c>
      <c r="K122" s="79">
        <v>192220</v>
      </c>
      <c r="L122" s="79">
        <v>130101</v>
      </c>
      <c r="M122" s="79">
        <v>158121</v>
      </c>
      <c r="N122" s="79">
        <v>184480</v>
      </c>
      <c r="O122" s="79">
        <v>195150</v>
      </c>
      <c r="P122" s="79">
        <v>251810</v>
      </c>
      <c r="Q122" s="50"/>
    </row>
    <row r="123" spans="1:17" x14ac:dyDescent="0.35">
      <c r="A123" s="41">
        <f>Dashboard!A137</f>
        <v>6</v>
      </c>
      <c r="B123" s="41" t="str">
        <f>Dashboard!B137</f>
        <v>LAKEVIEW - WATER(KES)</v>
      </c>
      <c r="C123" s="41" t="str">
        <f>Dashboard!C137</f>
        <v>Ksh</v>
      </c>
      <c r="D123" s="41">
        <v>1694119</v>
      </c>
      <c r="E123" s="79">
        <f>1761924-E124</f>
        <v>1408292</v>
      </c>
      <c r="F123" s="79">
        <v>1871622</v>
      </c>
      <c r="G123" s="50">
        <v>1667049</v>
      </c>
      <c r="H123" s="79">
        <v>1578946</v>
      </c>
      <c r="I123" s="79">
        <v>1826957</v>
      </c>
      <c r="J123" s="79">
        <v>1062212</v>
      </c>
      <c r="K123" s="79">
        <v>1900300</v>
      </c>
      <c r="L123" s="79">
        <v>1864157</v>
      </c>
      <c r="M123" s="79">
        <v>1966775</v>
      </c>
      <c r="N123" s="79">
        <v>1858820</v>
      </c>
      <c r="O123" s="79">
        <v>2451780</v>
      </c>
      <c r="P123" s="79">
        <v>2596980</v>
      </c>
      <c r="Q123" s="50"/>
    </row>
    <row r="124" spans="1:17" x14ac:dyDescent="0.35">
      <c r="A124" s="41">
        <f>Dashboard!A138</f>
        <v>7</v>
      </c>
      <c r="B124" s="41" t="str">
        <f>Dashboard!B138</f>
        <v>HOPEWELL - WATER(KES)</v>
      </c>
      <c r="C124" s="41" t="str">
        <f>Dashboard!C138</f>
        <v>Ksh</v>
      </c>
      <c r="D124" s="41">
        <v>1694119</v>
      </c>
      <c r="E124" s="79">
        <v>353632</v>
      </c>
      <c r="F124" s="364">
        <v>488873</v>
      </c>
      <c r="G124" s="50">
        <v>501899</v>
      </c>
      <c r="H124" s="79">
        <v>405347</v>
      </c>
      <c r="I124" s="79">
        <v>569177</v>
      </c>
      <c r="J124" s="79">
        <v>342441</v>
      </c>
      <c r="K124" s="79">
        <v>550410</v>
      </c>
      <c r="L124" s="79">
        <v>476164</v>
      </c>
      <c r="M124" s="79">
        <v>552285</v>
      </c>
      <c r="N124" s="79">
        <v>623850</v>
      </c>
      <c r="O124" s="79">
        <v>707250</v>
      </c>
      <c r="P124" s="79">
        <v>777850</v>
      </c>
      <c r="Q124" s="50"/>
    </row>
    <row r="125" spans="1:17" x14ac:dyDescent="0.35">
      <c r="A125" s="41">
        <f>Dashboard!A139</f>
        <v>0</v>
      </c>
      <c r="B125" s="41" t="str">
        <f>Dashboard!B139</f>
        <v>TOTAL - WATER(KES)CENTRAL REGION</v>
      </c>
      <c r="C125" s="41" t="str">
        <f>Dashboard!C139</f>
        <v>Ksh</v>
      </c>
      <c r="D125" s="41">
        <v>7133367</v>
      </c>
      <c r="E125" s="51">
        <f t="shared" ref="E125:J125" si="41">SUM(E118:E124)</f>
        <v>5843053</v>
      </c>
      <c r="F125" s="51">
        <f t="shared" si="41"/>
        <v>7924829</v>
      </c>
      <c r="G125" s="51">
        <f t="shared" si="41"/>
        <v>6574586</v>
      </c>
      <c r="H125" s="51">
        <f t="shared" si="41"/>
        <v>6654857</v>
      </c>
      <c r="I125" s="51">
        <f t="shared" si="41"/>
        <v>7074189</v>
      </c>
      <c r="J125" s="51">
        <f t="shared" si="41"/>
        <v>4685457</v>
      </c>
      <c r="K125" s="51">
        <f t="shared" ref="K125:P125" si="42">SUM(K118:K124)</f>
        <v>8536944</v>
      </c>
      <c r="L125" s="51">
        <f t="shared" si="42"/>
        <v>7146065</v>
      </c>
      <c r="M125" s="51">
        <f t="shared" si="42"/>
        <v>7724897</v>
      </c>
      <c r="N125" s="83">
        <f t="shared" si="42"/>
        <v>9123070</v>
      </c>
      <c r="O125" s="51">
        <f t="shared" si="42"/>
        <v>10708050</v>
      </c>
      <c r="P125" s="83">
        <f t="shared" si="42"/>
        <v>11093770</v>
      </c>
    </row>
    <row r="126" spans="1:17" x14ac:dyDescent="0.35">
      <c r="A126" s="41">
        <f>Dashboard!A140</f>
        <v>1</v>
      </c>
      <c r="B126" s="41" t="str">
        <f>Dashboard!B140</f>
        <v>HELLSGATE - WATER(KES)</v>
      </c>
      <c r="C126" s="41" t="str">
        <f>Dashboard!C140</f>
        <v>Ksh</v>
      </c>
      <c r="D126" s="41">
        <v>1588983</v>
      </c>
      <c r="E126" s="79">
        <v>2012524</v>
      </c>
      <c r="F126" s="364">
        <v>1783986</v>
      </c>
      <c r="G126" s="79">
        <v>2041020</v>
      </c>
      <c r="H126" s="79">
        <v>1972246</v>
      </c>
      <c r="I126" s="79">
        <v>2322298</v>
      </c>
      <c r="J126" s="79">
        <v>1310338</v>
      </c>
      <c r="K126" s="79">
        <v>2379301</v>
      </c>
      <c r="L126" s="79">
        <v>2157536</v>
      </c>
      <c r="M126" s="79">
        <v>1983195</v>
      </c>
      <c r="N126" s="79">
        <v>1700227</v>
      </c>
      <c r="O126" s="79">
        <v>2880970</v>
      </c>
      <c r="P126" s="79">
        <v>3480160</v>
      </c>
    </row>
    <row r="127" spans="1:17" x14ac:dyDescent="0.35">
      <c r="A127" s="41">
        <f>Dashboard!A141</f>
        <v>2</v>
      </c>
      <c r="B127" s="41" t="str">
        <f>Dashboard!B141</f>
        <v>KAMERE - WATER(KES)</v>
      </c>
      <c r="C127" s="41" t="str">
        <f>Dashboard!C141</f>
        <v>Ksh</v>
      </c>
      <c r="D127" s="41">
        <v>438974</v>
      </c>
      <c r="E127" s="79">
        <v>460986</v>
      </c>
      <c r="F127" s="364">
        <v>490051</v>
      </c>
      <c r="G127" s="50">
        <v>487474</v>
      </c>
      <c r="H127" s="79">
        <v>505046</v>
      </c>
      <c r="I127" s="79">
        <v>546053</v>
      </c>
      <c r="J127" s="79">
        <v>360214</v>
      </c>
      <c r="K127" s="79">
        <v>573645</v>
      </c>
      <c r="L127" s="79">
        <v>606588</v>
      </c>
      <c r="M127" s="79">
        <v>628054</v>
      </c>
      <c r="N127" s="79">
        <v>455096</v>
      </c>
      <c r="O127" s="79">
        <v>846340</v>
      </c>
      <c r="P127" s="79">
        <v>843290</v>
      </c>
    </row>
    <row r="128" spans="1:17" x14ac:dyDescent="0.35">
      <c r="A128" s="41">
        <f>Dashboard!A142</f>
        <v>3</v>
      </c>
      <c r="B128" s="41" t="str">
        <f>Dashboard!B142</f>
        <v>MAI-MAHIU - WATER(KES)</v>
      </c>
      <c r="C128" s="41" t="str">
        <f>Dashboard!C142</f>
        <v>Ksh</v>
      </c>
      <c r="D128" s="41">
        <v>726630</v>
      </c>
      <c r="E128" s="79">
        <f>735959-E129</f>
        <v>349307</v>
      </c>
      <c r="F128" s="364">
        <v>683754</v>
      </c>
      <c r="G128" s="77">
        <v>857267</v>
      </c>
      <c r="H128" s="79">
        <v>705444</v>
      </c>
      <c r="I128" s="79">
        <v>1374541</v>
      </c>
      <c r="J128" s="79">
        <v>607641</v>
      </c>
      <c r="K128" s="79">
        <v>889264</v>
      </c>
      <c r="L128" s="79">
        <v>806798</v>
      </c>
      <c r="M128" s="79">
        <v>1087868</v>
      </c>
      <c r="N128" s="79">
        <v>586528</v>
      </c>
      <c r="O128" s="79">
        <v>1385820</v>
      </c>
      <c r="P128" s="79">
        <v>1266970</v>
      </c>
    </row>
    <row r="129" spans="1:17" x14ac:dyDescent="0.35">
      <c r="A129" s="41">
        <f>Dashboard!A143</f>
        <v>4</v>
      </c>
      <c r="B129" s="41" t="str">
        <f>Dashboard!B143</f>
        <v>LONGONOT - WATER(KES)</v>
      </c>
      <c r="C129" s="41" t="str">
        <f>Dashboard!C143</f>
        <v>Ksh</v>
      </c>
      <c r="D129" s="41">
        <v>726630</v>
      </c>
      <c r="E129" s="79">
        <v>386652</v>
      </c>
      <c r="F129" s="75">
        <v>543556</v>
      </c>
      <c r="G129" s="77">
        <v>471275</v>
      </c>
      <c r="H129" s="79">
        <v>458411</v>
      </c>
      <c r="I129" s="79">
        <v>449768</v>
      </c>
      <c r="J129" s="79">
        <v>274677</v>
      </c>
      <c r="K129" s="79">
        <v>242389</v>
      </c>
      <c r="L129" s="79">
        <v>283306</v>
      </c>
      <c r="M129" s="79">
        <v>354468</v>
      </c>
      <c r="N129" s="79">
        <v>142426</v>
      </c>
      <c r="O129" s="79">
        <v>239530</v>
      </c>
      <c r="P129" s="79">
        <v>405940</v>
      </c>
    </row>
    <row r="130" spans="1:17" x14ac:dyDescent="0.35">
      <c r="A130" s="41">
        <f>Dashboard!A144</f>
        <v>0</v>
      </c>
      <c r="B130" s="41" t="str">
        <f>Dashboard!B144</f>
        <v>TOTAL  - WATER(KES) SOUTHERN REGION</v>
      </c>
      <c r="C130" s="41" t="str">
        <f>Dashboard!C144</f>
        <v>Ksh</v>
      </c>
      <c r="D130" s="41">
        <v>2754587</v>
      </c>
      <c r="E130" s="51">
        <f t="shared" ref="E130:J130" si="43">SUM(E126:E129)</f>
        <v>3209469</v>
      </c>
      <c r="F130" s="51">
        <f t="shared" si="43"/>
        <v>3501347</v>
      </c>
      <c r="G130" s="51">
        <f t="shared" si="43"/>
        <v>3857036</v>
      </c>
      <c r="H130" s="51">
        <f t="shared" si="43"/>
        <v>3641147</v>
      </c>
      <c r="I130" s="51">
        <f t="shared" si="43"/>
        <v>4692660</v>
      </c>
      <c r="J130" s="51">
        <f t="shared" si="43"/>
        <v>2552870</v>
      </c>
      <c r="K130" s="51">
        <f t="shared" ref="K130:P130" si="44">SUM(K126:K129)</f>
        <v>4084599</v>
      </c>
      <c r="L130" s="51">
        <f t="shared" si="44"/>
        <v>3854228</v>
      </c>
      <c r="M130" s="51">
        <f t="shared" si="44"/>
        <v>4053585</v>
      </c>
      <c r="N130" s="83">
        <f t="shared" si="44"/>
        <v>2884277</v>
      </c>
      <c r="O130" s="51">
        <f t="shared" si="44"/>
        <v>5352660</v>
      </c>
      <c r="P130" s="83">
        <f t="shared" si="44"/>
        <v>5996360</v>
      </c>
    </row>
    <row r="131" spans="1:17" x14ac:dyDescent="0.35">
      <c r="A131" s="41">
        <f>Dashboard!A146</f>
        <v>1</v>
      </c>
      <c r="B131" s="41" t="str">
        <f>Dashboard!B146</f>
        <v>KAYOLE - WATER(KES)</v>
      </c>
      <c r="C131" s="41" t="str">
        <f>Dashboard!C146</f>
        <v>Ksh</v>
      </c>
      <c r="D131" s="41">
        <v>1840557</v>
      </c>
      <c r="E131" s="87">
        <v>2130898</v>
      </c>
      <c r="F131" s="87">
        <v>2494851</v>
      </c>
      <c r="G131" s="50">
        <v>2586627</v>
      </c>
      <c r="H131" s="50">
        <v>2312515</v>
      </c>
      <c r="I131" s="50">
        <v>2408145</v>
      </c>
      <c r="J131" s="50">
        <v>1739352</v>
      </c>
      <c r="K131">
        <v>2146405</v>
      </c>
      <c r="L131" s="79">
        <v>2060613</v>
      </c>
      <c r="M131" s="79">
        <v>2172698</v>
      </c>
      <c r="N131" s="79">
        <v>1949510</v>
      </c>
      <c r="O131" s="79">
        <v>3454620</v>
      </c>
      <c r="P131" s="63">
        <v>3809030</v>
      </c>
    </row>
    <row r="132" spans="1:17" s="40" customFormat="1" x14ac:dyDescent="0.35">
      <c r="A132" s="40" t="str">
        <f>Dashboard!A149</f>
        <v>AVG TARIFF- WATER KSH/M3</v>
      </c>
      <c r="E132" s="40" t="e">
        <f t="shared" ref="E132:E146" si="45">E117/E102</f>
        <v>#DIV/0!</v>
      </c>
      <c r="G132" s="40" t="e">
        <f t="shared" ref="G132:P132" si="46">G117/G102</f>
        <v>#DIV/0!</v>
      </c>
      <c r="H132" s="40" t="e">
        <f t="shared" si="46"/>
        <v>#DIV/0!</v>
      </c>
      <c r="I132" s="40" t="e">
        <f t="shared" si="46"/>
        <v>#DIV/0!</v>
      </c>
      <c r="J132" s="40" t="e">
        <f t="shared" si="46"/>
        <v>#DIV/0!</v>
      </c>
      <c r="K132" s="40" t="e">
        <f t="shared" si="46"/>
        <v>#DIV/0!</v>
      </c>
      <c r="L132" s="40" t="e">
        <f t="shared" si="46"/>
        <v>#DIV/0!</v>
      </c>
      <c r="M132" s="40" t="e">
        <f t="shared" si="46"/>
        <v>#DIV/0!</v>
      </c>
      <c r="N132" s="40" t="e">
        <f t="shared" si="46"/>
        <v>#DIV/0!</v>
      </c>
      <c r="O132" s="40" t="e">
        <f t="shared" si="46"/>
        <v>#DIV/0!</v>
      </c>
      <c r="P132" s="40" t="e">
        <f t="shared" si="46"/>
        <v>#DIV/0!</v>
      </c>
    </row>
    <row r="133" spans="1:17" x14ac:dyDescent="0.35">
      <c r="A133" s="41">
        <f>Dashboard!A150</f>
        <v>1</v>
      </c>
      <c r="B133" s="41" t="str">
        <f>Dashboard!B150</f>
        <v>CBD - KSH/M3</v>
      </c>
      <c r="C133" s="41" t="str">
        <f>Dashboard!C150</f>
        <v>Ksh/M3</v>
      </c>
      <c r="D133" s="41">
        <v>88.13000711835889</v>
      </c>
      <c r="E133" s="52">
        <f t="shared" si="45"/>
        <v>87.362160046957541</v>
      </c>
      <c r="F133" s="52">
        <f t="shared" ref="F133" si="47">F118/F103</f>
        <v>89.31283097969991</v>
      </c>
      <c r="G133" s="52">
        <f t="shared" ref="G133:P133" si="48">G118/G103</f>
        <v>85.782186604117797</v>
      </c>
      <c r="H133" s="52">
        <f t="shared" si="48"/>
        <v>87.96234382230449</v>
      </c>
      <c r="I133" s="52">
        <f t="shared" si="48"/>
        <v>86.86388483965014</v>
      </c>
      <c r="J133" s="52">
        <f t="shared" si="48"/>
        <v>82.68724785125417</v>
      </c>
      <c r="K133" s="52">
        <f t="shared" si="48"/>
        <v>90.680391885022416</v>
      </c>
      <c r="L133" s="52">
        <f t="shared" si="48"/>
        <v>86.422753562697508</v>
      </c>
      <c r="M133" s="52">
        <f t="shared" si="48"/>
        <v>87.14096342762457</v>
      </c>
      <c r="N133" s="85">
        <f t="shared" si="48"/>
        <v>132.0766428282283</v>
      </c>
      <c r="O133" s="52">
        <f t="shared" si="48"/>
        <v>132.0745190771394</v>
      </c>
      <c r="P133" s="85">
        <f t="shared" si="48"/>
        <v>132.35803530111721</v>
      </c>
      <c r="Q133" s="52">
        <f>AVERAGE(O133:P133)</f>
        <v>132.21627718912831</v>
      </c>
    </row>
    <row r="134" spans="1:17" x14ac:dyDescent="0.35">
      <c r="A134" s="41">
        <f>Dashboard!A151</f>
        <v>2</v>
      </c>
      <c r="B134" s="41" t="str">
        <f>Dashboard!B151</f>
        <v>CCCR - KSH/M3</v>
      </c>
      <c r="C134" s="41" t="str">
        <f>Dashboard!C151</f>
        <v>Ksh/M3</v>
      </c>
      <c r="D134" s="41">
        <v>110.84015005947479</v>
      </c>
      <c r="E134" s="52">
        <f t="shared" si="45"/>
        <v>84.485326457875175</v>
      </c>
      <c r="F134" s="52">
        <f t="shared" ref="F134" si="49">F119/F104</f>
        <v>98.325497002208905</v>
      </c>
      <c r="G134" s="52">
        <f t="shared" ref="G134:P134" si="50">G119/G104</f>
        <v>89.44710015153602</v>
      </c>
      <c r="H134" s="52">
        <f t="shared" si="50"/>
        <v>83.898683867604902</v>
      </c>
      <c r="I134" s="52">
        <f t="shared" si="50"/>
        <v>85.673701731025304</v>
      </c>
      <c r="J134" s="52">
        <f t="shared" si="50"/>
        <v>90.990223338416001</v>
      </c>
      <c r="K134" s="52">
        <f t="shared" si="50"/>
        <v>91.222859593631057</v>
      </c>
      <c r="L134" s="52">
        <f t="shared" si="50"/>
        <v>88.18380571705427</v>
      </c>
      <c r="M134" s="52">
        <f t="shared" si="50"/>
        <v>91.293775984348258</v>
      </c>
      <c r="N134" s="85">
        <f t="shared" si="50"/>
        <v>132.15471147836956</v>
      </c>
      <c r="O134" s="52">
        <f t="shared" si="50"/>
        <v>135.33896909480157</v>
      </c>
      <c r="P134" s="85">
        <f t="shared" si="50"/>
        <v>134.65542482242586</v>
      </c>
      <c r="Q134" s="52">
        <f t="shared" ref="Q134:Q146" si="51">AVERAGE(O134:P134)</f>
        <v>134.9971969586137</v>
      </c>
    </row>
    <row r="135" spans="1:17" x14ac:dyDescent="0.35">
      <c r="A135" s="41">
        <f>Dashboard!A152</f>
        <v>3</v>
      </c>
      <c r="B135" s="41" t="str">
        <f>Dashboard!B152</f>
        <v>KABATI - KSH/M3</v>
      </c>
      <c r="C135" s="41" t="str">
        <f>Dashboard!C152</f>
        <v>Ksh/M3</v>
      </c>
      <c r="D135" s="41">
        <v>73.879490756888728</v>
      </c>
      <c r="E135" s="52">
        <f t="shared" si="45"/>
        <v>73.766498855835238</v>
      </c>
      <c r="F135" s="52">
        <f t="shared" ref="F135" si="52">F120/F105</f>
        <v>75.966155724362451</v>
      </c>
      <c r="G135" s="52">
        <f t="shared" ref="G135:P135" si="53">G120/G105</f>
        <v>74.166001096233657</v>
      </c>
      <c r="H135" s="52">
        <f t="shared" si="53"/>
        <v>73.892213716848374</v>
      </c>
      <c r="I135" s="52">
        <f t="shared" si="53"/>
        <v>74.697808373138528</v>
      </c>
      <c r="J135" s="52">
        <f t="shared" si="53"/>
        <v>72.23133867982726</v>
      </c>
      <c r="K135" s="52">
        <f t="shared" si="53"/>
        <v>75.743215410709965</v>
      </c>
      <c r="L135" s="52">
        <f t="shared" si="53"/>
        <v>75.182825894176773</v>
      </c>
      <c r="M135" s="52">
        <f t="shared" si="53"/>
        <v>76.661656083970456</v>
      </c>
      <c r="N135" s="85">
        <f t="shared" si="53"/>
        <v>125.25783090480761</v>
      </c>
      <c r="O135" s="52">
        <f t="shared" si="53"/>
        <v>125.00550574170207</v>
      </c>
      <c r="P135" s="85">
        <f t="shared" si="53"/>
        <v>124.78647955334239</v>
      </c>
      <c r="Q135" s="52">
        <f t="shared" si="51"/>
        <v>124.89599264752223</v>
      </c>
    </row>
    <row r="136" spans="1:17" x14ac:dyDescent="0.35">
      <c r="A136" s="41">
        <f>Dashboard!A153</f>
        <v>4</v>
      </c>
      <c r="B136" s="41" t="str">
        <f>Dashboard!B153</f>
        <v>SITE - KSH/M3</v>
      </c>
      <c r="C136" s="41" t="str">
        <f>Dashboard!C153</f>
        <v>Ksh/M3</v>
      </c>
      <c r="D136" s="41">
        <v>73.122182050191412</v>
      </c>
      <c r="E136" s="52">
        <f t="shared" si="45"/>
        <v>71.240547389761787</v>
      </c>
      <c r="F136" s="52">
        <f t="shared" ref="F136" si="54">F121/F106</f>
        <v>71.880253979610089</v>
      </c>
      <c r="G136" s="52">
        <f t="shared" ref="G136:P136" si="55">G121/G106</f>
        <v>71.917313703741044</v>
      </c>
      <c r="H136" s="52">
        <f t="shared" si="55"/>
        <v>72.363903424217384</v>
      </c>
      <c r="I136" s="52">
        <f t="shared" si="55"/>
        <v>71.674899804268804</v>
      </c>
      <c r="J136" s="52">
        <f t="shared" si="55"/>
        <v>70.232913325696828</v>
      </c>
      <c r="K136" s="52">
        <f t="shared" si="55"/>
        <v>72.590902355904575</v>
      </c>
      <c r="L136" s="52">
        <f t="shared" si="55"/>
        <v>72.320299740609087</v>
      </c>
      <c r="M136" s="52">
        <f t="shared" si="55"/>
        <v>73.02063530749858</v>
      </c>
      <c r="N136" s="85">
        <f t="shared" si="55"/>
        <v>120.53430353430353</v>
      </c>
      <c r="O136" s="52">
        <f t="shared" si="55"/>
        <v>122.11532745467156</v>
      </c>
      <c r="P136" s="85">
        <f t="shared" si="55"/>
        <v>122.42530431575065</v>
      </c>
      <c r="Q136" s="52">
        <f t="shared" si="51"/>
        <v>122.2703158852111</v>
      </c>
    </row>
    <row r="137" spans="1:17" x14ac:dyDescent="0.35">
      <c r="A137" s="41">
        <f>Dashboard!A154</f>
        <v>5</v>
      </c>
      <c r="B137" s="41" t="str">
        <f>Dashboard!B154</f>
        <v>KIHOTO - KSH/M3</v>
      </c>
      <c r="C137" s="41" t="str">
        <f>Dashboard!C154</f>
        <v>Ksh/M3</v>
      </c>
      <c r="D137" s="41">
        <v>70.768321513002363</v>
      </c>
      <c r="E137" s="52">
        <f t="shared" si="45"/>
        <v>71.186339125224691</v>
      </c>
      <c r="F137" s="52">
        <f t="shared" ref="F137" si="56">F122/F107</f>
        <v>72.093023255813947</v>
      </c>
      <c r="G137" s="52">
        <f t="shared" ref="G137:P137" si="57">G122/G107</f>
        <v>70.966721222040377</v>
      </c>
      <c r="H137" s="52">
        <f t="shared" si="57"/>
        <v>71.170878459687117</v>
      </c>
      <c r="I137" s="52">
        <f t="shared" si="57"/>
        <v>71.705292479108635</v>
      </c>
      <c r="J137" s="52">
        <f>J122/J107</f>
        <v>67.655913978494624</v>
      </c>
      <c r="K137" s="52">
        <f t="shared" si="57"/>
        <v>76.09659540775931</v>
      </c>
      <c r="L137" s="52">
        <f t="shared" si="57"/>
        <v>71.958517699115049</v>
      </c>
      <c r="M137" s="52">
        <f t="shared" si="57"/>
        <v>74.655807365439088</v>
      </c>
      <c r="N137" s="85">
        <f t="shared" si="57"/>
        <v>124.14535666218035</v>
      </c>
      <c r="O137" s="52">
        <f t="shared" si="57"/>
        <v>122.81308999370674</v>
      </c>
      <c r="P137" s="85">
        <f t="shared" si="57"/>
        <v>123.98325947808961</v>
      </c>
      <c r="Q137" s="52">
        <f t="shared" si="51"/>
        <v>123.39817473589818</v>
      </c>
    </row>
    <row r="138" spans="1:17" x14ac:dyDescent="0.35">
      <c r="A138" s="41">
        <f>Dashboard!A155</f>
        <v>6</v>
      </c>
      <c r="B138" s="41" t="str">
        <f>Dashboard!B155</f>
        <v>LAKEVIEW - KSH/M3</v>
      </c>
      <c r="C138" s="41" t="str">
        <f>Dashboard!C155</f>
        <v>Ksh/M3</v>
      </c>
      <c r="D138" s="41">
        <v>79.539837551058739</v>
      </c>
      <c r="E138" s="52">
        <f t="shared" si="45"/>
        <v>78.508863864421897</v>
      </c>
      <c r="F138" s="52">
        <f t="shared" ref="F138:P138" si="58">F123/F108</f>
        <v>81.823117950511502</v>
      </c>
      <c r="G138" s="52">
        <f t="shared" si="58"/>
        <v>79.939052459959726</v>
      </c>
      <c r="H138" s="52">
        <f t="shared" si="58"/>
        <v>80.190248857287969</v>
      </c>
      <c r="I138" s="52">
        <f t="shared" si="58"/>
        <v>81.371681810083729</v>
      </c>
      <c r="J138" s="52">
        <f>J123/J108</f>
        <v>77.381219494427043</v>
      </c>
      <c r="K138" s="52">
        <f t="shared" si="58"/>
        <v>82.971663100903811</v>
      </c>
      <c r="L138" s="52">
        <f t="shared" si="58"/>
        <v>82.034720999823975</v>
      </c>
      <c r="M138" s="52">
        <f t="shared" si="58"/>
        <v>82.856932215528502</v>
      </c>
      <c r="N138" s="85">
        <f t="shared" si="58"/>
        <v>124.60249363185413</v>
      </c>
      <c r="O138" s="52">
        <f t="shared" si="58"/>
        <v>126.40647556197155</v>
      </c>
      <c r="P138" s="85">
        <f t="shared" si="58"/>
        <v>127.13467469525628</v>
      </c>
      <c r="Q138" s="52">
        <f t="shared" si="51"/>
        <v>126.77057512861391</v>
      </c>
    </row>
    <row r="139" spans="1:17" x14ac:dyDescent="0.35">
      <c r="A139" s="41">
        <f>Dashboard!A156</f>
        <v>7</v>
      </c>
      <c r="B139" s="41" t="str">
        <f>Dashboard!B156</f>
        <v>HOPEWELL - KSH/M3</v>
      </c>
      <c r="C139" s="41" t="str">
        <f>Dashboard!C156</f>
        <v>Ksh/M3</v>
      </c>
      <c r="D139" s="41">
        <v>79.539837551058739</v>
      </c>
      <c r="E139" s="52">
        <f t="shared" si="45"/>
        <v>80.664233576642332</v>
      </c>
      <c r="F139" s="52">
        <f t="shared" ref="F139:P139" si="59">F124/F109</f>
        <v>86.972602739726028</v>
      </c>
      <c r="G139" s="52">
        <f t="shared" si="59"/>
        <v>83.999832635983267</v>
      </c>
      <c r="H139" s="52">
        <f t="shared" si="59"/>
        <v>82.62270688952303</v>
      </c>
      <c r="I139" s="52">
        <f t="shared" si="59"/>
        <v>86.147570758286662</v>
      </c>
      <c r="J139" s="52">
        <f t="shared" si="59"/>
        <v>82.396775745909522</v>
      </c>
      <c r="K139" s="52">
        <f t="shared" si="59"/>
        <v>85.361352357320101</v>
      </c>
      <c r="L139" s="52">
        <f t="shared" si="59"/>
        <v>83.129189944134083</v>
      </c>
      <c r="M139" s="52">
        <f t="shared" si="59"/>
        <v>82.627917414721722</v>
      </c>
      <c r="N139" s="52">
        <f t="shared" si="59"/>
        <v>127.65500306936771</v>
      </c>
      <c r="O139" s="52">
        <f t="shared" si="59"/>
        <v>128.35753176043556</v>
      </c>
      <c r="P139" s="52">
        <f t="shared" si="59"/>
        <v>127.97795327410333</v>
      </c>
      <c r="Q139" s="52">
        <f t="shared" si="51"/>
        <v>128.16774251726946</v>
      </c>
    </row>
    <row r="140" spans="1:17" x14ac:dyDescent="0.35">
      <c r="A140" s="41">
        <f>Dashboard!A157</f>
        <v>0</v>
      </c>
      <c r="B140" s="41" t="str">
        <f>Dashboard!B157</f>
        <v xml:space="preserve"> - KSH/M3 CENTRAL REGION</v>
      </c>
      <c r="C140" s="41" t="str">
        <f>Dashboard!C157</f>
        <v>Ksh/M3</v>
      </c>
      <c r="D140" s="41">
        <v>87.877485401729615</v>
      </c>
      <c r="E140" s="52">
        <f t="shared" si="45"/>
        <v>79.713141703387407</v>
      </c>
      <c r="F140" s="52">
        <f t="shared" ref="F140" si="60">F125/F110</f>
        <v>84.603704494501969</v>
      </c>
      <c r="G140" s="52">
        <f t="shared" ref="G140:P140" si="61">G125/G110</f>
        <v>80.951856776989757</v>
      </c>
      <c r="H140" s="52">
        <f t="shared" si="61"/>
        <v>80.450398936170217</v>
      </c>
      <c r="I140" s="52">
        <f t="shared" si="61"/>
        <v>81.030308236830351</v>
      </c>
      <c r="J140" s="52">
        <f t="shared" si="61"/>
        <v>79.360721544715446</v>
      </c>
      <c r="K140" s="52">
        <f t="shared" si="61"/>
        <v>83.552180083190606</v>
      </c>
      <c r="L140" s="52">
        <f t="shared" si="61"/>
        <v>81.684250834438302</v>
      </c>
      <c r="M140" s="52">
        <f t="shared" si="61"/>
        <v>82.587420886075947</v>
      </c>
      <c r="N140" s="85">
        <f t="shared" si="61"/>
        <v>127.42607724003072</v>
      </c>
      <c r="O140" s="52">
        <f t="shared" si="61"/>
        <v>128.75514032176611</v>
      </c>
      <c r="P140" s="85">
        <f t="shared" si="61"/>
        <v>128.69205605308338</v>
      </c>
      <c r="Q140" s="52">
        <f t="shared" si="51"/>
        <v>128.72359818742473</v>
      </c>
    </row>
    <row r="141" spans="1:17" x14ac:dyDescent="0.35">
      <c r="A141" s="41">
        <f>Dashboard!A158</f>
        <v>1</v>
      </c>
      <c r="B141" s="41" t="str">
        <f>Dashboard!B158</f>
        <v>HELLSGATE - KSH/M3</v>
      </c>
      <c r="C141" s="41" t="str">
        <f>Dashboard!C158</f>
        <v>Ksh/M3</v>
      </c>
      <c r="D141" s="41">
        <v>71.977849248052181</v>
      </c>
      <c r="E141" s="52">
        <f t="shared" si="45"/>
        <v>75.296468123316373</v>
      </c>
      <c r="F141" s="52">
        <f t="shared" ref="F141" si="62">F126/F111</f>
        <v>73.642352941176469</v>
      </c>
      <c r="G141" s="52">
        <f t="shared" ref="G141:P141" si="63">G126/G111</f>
        <v>74.732525356083627</v>
      </c>
      <c r="H141" s="52">
        <f t="shared" si="63"/>
        <v>74.326210665159223</v>
      </c>
      <c r="I141" s="52">
        <f t="shared" si="63"/>
        <v>76.474396548885309</v>
      </c>
      <c r="J141" s="52">
        <f t="shared" si="63"/>
        <v>72.691556640408294</v>
      </c>
      <c r="K141" s="52">
        <f t="shared" si="63"/>
        <v>76.406583172768137</v>
      </c>
      <c r="L141" s="52">
        <f t="shared" si="63"/>
        <v>75.199051967515942</v>
      </c>
      <c r="M141" s="52">
        <f t="shared" si="63"/>
        <v>74.589852565066948</v>
      </c>
      <c r="N141" s="85">
        <f t="shared" si="63"/>
        <v>75.438237643091668</v>
      </c>
      <c r="O141" s="52">
        <f t="shared" si="63"/>
        <v>123.72111998625783</v>
      </c>
      <c r="P141" s="85">
        <f t="shared" si="63"/>
        <v>123.80945604610623</v>
      </c>
      <c r="Q141" s="52">
        <f t="shared" si="51"/>
        <v>123.76528801618204</v>
      </c>
    </row>
    <row r="142" spans="1:17" x14ac:dyDescent="0.35">
      <c r="A142" s="41">
        <f>Dashboard!A159</f>
        <v>2</v>
      </c>
      <c r="B142" s="41" t="str">
        <f>Dashboard!B159</f>
        <v>KAMERE - KSH/M3</v>
      </c>
      <c r="C142" s="41" t="str">
        <f>Dashboard!C159</f>
        <v>Ksh/M3</v>
      </c>
      <c r="D142" s="41">
        <v>73.938689573858852</v>
      </c>
      <c r="E142" s="52">
        <f t="shared" si="45"/>
        <v>69.973588342440806</v>
      </c>
      <c r="F142" s="52">
        <f t="shared" ref="F142" si="64">F127/F112</f>
        <v>71.332023289665216</v>
      </c>
      <c r="G142" s="52">
        <f t="shared" ref="G142:P142" si="65">G127/G112</f>
        <v>72.476063038953313</v>
      </c>
      <c r="H142" s="52">
        <f t="shared" si="65"/>
        <v>72.428796787609343</v>
      </c>
      <c r="I142" s="52">
        <f t="shared" si="65"/>
        <v>73.236722103004297</v>
      </c>
      <c r="J142" s="52">
        <f t="shared" si="65"/>
        <v>73.423155320016306</v>
      </c>
      <c r="K142" s="52">
        <f t="shared" si="65"/>
        <v>72.138455734406435</v>
      </c>
      <c r="L142" s="52">
        <f t="shared" si="65"/>
        <v>72.39384174722521</v>
      </c>
      <c r="M142" s="52">
        <f t="shared" si="65"/>
        <v>72.264871706362911</v>
      </c>
      <c r="N142" s="85">
        <f t="shared" si="65"/>
        <v>73.628215499110183</v>
      </c>
      <c r="O142" s="52">
        <f t="shared" si="65"/>
        <v>123.86067613054296</v>
      </c>
      <c r="P142" s="85">
        <f t="shared" si="65"/>
        <v>122.34005512839113</v>
      </c>
      <c r="Q142" s="52">
        <f t="shared" si="51"/>
        <v>123.10036562946703</v>
      </c>
    </row>
    <row r="143" spans="1:17" x14ac:dyDescent="0.35">
      <c r="A143" s="41">
        <f>Dashboard!A160</f>
        <v>3</v>
      </c>
      <c r="B143" s="41" t="str">
        <f>Dashboard!B160</f>
        <v>MAI-MAHIU - KSH/M3</v>
      </c>
      <c r="C143" s="41" t="str">
        <f>Dashboard!C160</f>
        <v>Ksh/M3</v>
      </c>
      <c r="D143" s="41">
        <v>133.27769625825385</v>
      </c>
      <c r="E143" s="52">
        <f t="shared" si="45"/>
        <v>85.134535705581285</v>
      </c>
      <c r="F143" s="52">
        <f t="shared" ref="F143:F144" si="66">F128/F113</f>
        <v>83.333820840950636</v>
      </c>
      <c r="G143" s="52">
        <f t="shared" ref="G143:P144" si="67">G128/G113</f>
        <v>80.866616356947461</v>
      </c>
      <c r="H143" s="52">
        <f t="shared" si="67"/>
        <v>76.912778020061054</v>
      </c>
      <c r="I143" s="52">
        <f t="shared" si="67"/>
        <v>80.495490747247601</v>
      </c>
      <c r="J143" s="52">
        <f t="shared" si="67"/>
        <v>79.680173092053508</v>
      </c>
      <c r="K143" s="52">
        <f t="shared" si="67"/>
        <v>82.783839136101278</v>
      </c>
      <c r="L143" s="52">
        <f t="shared" si="67"/>
        <v>88.883772171422279</v>
      </c>
      <c r="M143" s="52">
        <f t="shared" si="67"/>
        <v>84.804178359837849</v>
      </c>
      <c r="N143" s="85">
        <f t="shared" si="67"/>
        <v>84.917909367308525</v>
      </c>
      <c r="O143" s="52">
        <f t="shared" si="67"/>
        <v>130.77474757006701</v>
      </c>
      <c r="P143" s="85">
        <f t="shared" si="67"/>
        <v>129.85241365173721</v>
      </c>
      <c r="Q143" s="52">
        <f t="shared" si="51"/>
        <v>130.31358061090211</v>
      </c>
    </row>
    <row r="144" spans="1:17" x14ac:dyDescent="0.35">
      <c r="A144" s="41">
        <f>Dashboard!A161</f>
        <v>4</v>
      </c>
      <c r="B144" s="41" t="str">
        <f>Dashboard!B161</f>
        <v>LONGONOT - KSH/M3</v>
      </c>
      <c r="C144" s="41" t="str">
        <f>Dashboard!C161</f>
        <v>Ksh/M3</v>
      </c>
      <c r="D144" s="41" t="str">
        <f>Dashboard!D161</f>
        <v>l</v>
      </c>
      <c r="E144" s="52">
        <f t="shared" si="45"/>
        <v>92.08192426768278</v>
      </c>
      <c r="F144" s="52">
        <f t="shared" si="66"/>
        <v>93.394501718213064</v>
      </c>
      <c r="G144" s="52">
        <f t="shared" si="67"/>
        <v>84.579145728643212</v>
      </c>
      <c r="H144" s="52">
        <f t="shared" ref="H144" si="68">H129/H114</f>
        <v>86.607028150387308</v>
      </c>
      <c r="I144" s="52">
        <f t="shared" si="67"/>
        <v>84.210447481744993</v>
      </c>
      <c r="J144" s="52">
        <f t="shared" ref="J144" si="69">J129/J114</f>
        <v>98.875809935205183</v>
      </c>
      <c r="K144" s="52">
        <f t="shared" si="67"/>
        <v>74.147751605995722</v>
      </c>
      <c r="L144" s="52">
        <f t="shared" si="67"/>
        <v>76.014488865038899</v>
      </c>
      <c r="M144" s="52">
        <f t="shared" si="67"/>
        <v>75.838254172015411</v>
      </c>
      <c r="N144" s="85">
        <f t="shared" si="67"/>
        <v>72.187531677648252</v>
      </c>
      <c r="O144" s="52">
        <f t="shared" si="67"/>
        <v>123.27843540916109</v>
      </c>
      <c r="P144" s="85">
        <f t="shared" si="67"/>
        <v>123.76219512195122</v>
      </c>
      <c r="Q144" s="52">
        <f t="shared" si="51"/>
        <v>123.52031526555615</v>
      </c>
    </row>
    <row r="145" spans="1:17" x14ac:dyDescent="0.35">
      <c r="A145" s="41">
        <f>Dashboard!A162</f>
        <v>0</v>
      </c>
      <c r="B145" s="41" t="str">
        <f>Dashboard!B162</f>
        <v xml:space="preserve"> - KSH/M3 SOUTHERN REGION</v>
      </c>
      <c r="C145" s="41" t="str">
        <f>Dashboard!C162</f>
        <v>Ksh/M3</v>
      </c>
      <c r="D145" s="41">
        <v>82.312475720902441</v>
      </c>
      <c r="E145" s="52">
        <f t="shared" si="45"/>
        <v>77.117329040319092</v>
      </c>
      <c r="F145" s="52">
        <f t="shared" ref="F145" si="70">F130/F115</f>
        <v>77.60077570921986</v>
      </c>
      <c r="G145" s="52">
        <f t="shared" ref="G145:P145" si="71">G130/G115</f>
        <v>76.818084047002586</v>
      </c>
      <c r="H145" s="52">
        <f t="shared" si="71"/>
        <v>75.89992287328289</v>
      </c>
      <c r="I145" s="52">
        <f t="shared" si="71"/>
        <v>77.89940239043824</v>
      </c>
      <c r="J145" s="52">
        <f t="shared" si="71"/>
        <v>76.579973602111835</v>
      </c>
      <c r="K145" s="52">
        <f t="shared" si="71"/>
        <v>76.918422687983735</v>
      </c>
      <c r="L145" s="52">
        <f t="shared" si="71"/>
        <v>77.279303845691146</v>
      </c>
      <c r="M145" s="52">
        <f t="shared" si="71"/>
        <v>76.800079574089168</v>
      </c>
      <c r="N145" s="85">
        <f t="shared" si="71"/>
        <v>76.711534881246848</v>
      </c>
      <c r="O145" s="52">
        <f t="shared" si="71"/>
        <v>125.47551513162522</v>
      </c>
      <c r="P145" s="85">
        <f t="shared" si="71"/>
        <v>124.82274818376736</v>
      </c>
      <c r="Q145" s="52">
        <f t="shared" si="51"/>
        <v>125.14913165769629</v>
      </c>
    </row>
    <row r="146" spans="1:17" x14ac:dyDescent="0.35">
      <c r="A146" s="41">
        <f>Dashboard!A164</f>
        <v>1</v>
      </c>
      <c r="B146" s="41" t="str">
        <f>Dashboard!B164</f>
        <v>KAYOLE - KSH/M3</v>
      </c>
      <c r="C146" s="41" t="str">
        <f>Dashboard!C164</f>
        <v>Ksh/M3</v>
      </c>
      <c r="D146" s="41">
        <v>82.274238970095212</v>
      </c>
      <c r="E146" s="52">
        <f t="shared" si="45"/>
        <v>80.420349473525306</v>
      </c>
      <c r="F146" s="52">
        <f t="shared" ref="F146" si="72">F131/F116</f>
        <v>83.950837876034726</v>
      </c>
      <c r="G146" s="52">
        <f t="shared" ref="G146:P146" si="73">G131/G116</f>
        <v>80.225389243843438</v>
      </c>
      <c r="H146" s="52">
        <f t="shared" si="73"/>
        <v>76.573344370860923</v>
      </c>
      <c r="I146" s="52">
        <f t="shared" si="73"/>
        <v>74.442641194472785</v>
      </c>
      <c r="J146" s="52">
        <f t="shared" si="73"/>
        <v>71.921601058551104</v>
      </c>
      <c r="K146" s="52">
        <f t="shared" si="73"/>
        <v>73.575052274363287</v>
      </c>
      <c r="L146" s="52">
        <f t="shared" si="73"/>
        <v>73.279267425320057</v>
      </c>
      <c r="M146" s="52">
        <f t="shared" si="73"/>
        <v>73.201644149455888</v>
      </c>
      <c r="N146" s="85">
        <f t="shared" si="73"/>
        <v>74.142770213736981</v>
      </c>
      <c r="O146" s="52">
        <f t="shared" si="73"/>
        <v>123.95923786285837</v>
      </c>
      <c r="P146" s="85">
        <f t="shared" si="73"/>
        <v>124.20209990869962</v>
      </c>
      <c r="Q146" s="52">
        <f t="shared" si="51"/>
        <v>124.080668885779</v>
      </c>
    </row>
    <row r="147" spans="1:17" s="40" customFormat="1" x14ac:dyDescent="0.35">
      <c r="A147" s="40" t="str">
        <f>Dashboard!A167</f>
        <v>TOTAL SALES SEWER - KSH.</v>
      </c>
    </row>
    <row r="148" spans="1:17" x14ac:dyDescent="0.35">
      <c r="A148" s="41">
        <f>Dashboard!A168</f>
        <v>1</v>
      </c>
      <c r="B148" s="41" t="str">
        <f>Dashboard!B168</f>
        <v>CBD - SEWER(KES)</v>
      </c>
      <c r="C148" s="41" t="str">
        <f>Dashboard!C168</f>
        <v>Ksh</v>
      </c>
      <c r="D148" s="41">
        <v>1599563.8</v>
      </c>
      <c r="E148" s="79">
        <v>1441805.75</v>
      </c>
      <c r="F148" s="79">
        <v>1717555.7499999998</v>
      </c>
      <c r="G148" s="79">
        <v>1411385.3</v>
      </c>
      <c r="H148" s="79">
        <v>1634794.55</v>
      </c>
      <c r="I148" s="79">
        <v>1605025.3</v>
      </c>
      <c r="J148" s="79">
        <v>1194815.05</v>
      </c>
      <c r="K148" s="79">
        <v>2190020.5499999998</v>
      </c>
      <c r="L148" s="79">
        <v>1715172.55</v>
      </c>
      <c r="M148" s="79">
        <v>1785029.05</v>
      </c>
      <c r="N148" s="79">
        <v>2082507.7</v>
      </c>
      <c r="O148" s="79">
        <v>2259747.7000000002</v>
      </c>
      <c r="P148" s="79">
        <v>2125200.2000000002</v>
      </c>
    </row>
    <row r="149" spans="1:17" x14ac:dyDescent="0.35">
      <c r="A149" s="41">
        <f>Dashboard!A169</f>
        <v>2</v>
      </c>
      <c r="B149" s="41" t="str">
        <f>Dashboard!B169</f>
        <v>CCCR- SEWER(KES)</v>
      </c>
      <c r="C149" s="41" t="str">
        <f>Dashboard!C169</f>
        <v>Ksh</v>
      </c>
      <c r="D149" s="41">
        <v>2620084.75</v>
      </c>
      <c r="E149" s="79">
        <v>1682437.2</v>
      </c>
      <c r="F149" s="79">
        <v>2133742.7000000002</v>
      </c>
      <c r="G149" s="79">
        <v>1789043.45</v>
      </c>
      <c r="H149" s="79">
        <v>1716374.95</v>
      </c>
      <c r="I149" s="79">
        <v>1712536.2</v>
      </c>
      <c r="J149" s="79">
        <v>1764648.7</v>
      </c>
      <c r="K149" s="79">
        <v>1955637.2</v>
      </c>
      <c r="L149" s="79">
        <v>1763817.85</v>
      </c>
      <c r="M149" s="79">
        <v>1874122.1</v>
      </c>
      <c r="N149" s="79">
        <v>2160182.6</v>
      </c>
      <c r="O149" s="79">
        <v>2178065.1</v>
      </c>
      <c r="P149" s="79">
        <v>2294902.6</v>
      </c>
    </row>
    <row r="150" spans="1:17" x14ac:dyDescent="0.35">
      <c r="A150" s="41">
        <f>Dashboard!A170</f>
        <v>3</v>
      </c>
      <c r="B150" s="41" t="str">
        <f>Dashboard!B170</f>
        <v>KABATI- SEWER(KES)</v>
      </c>
      <c r="C150" s="41" t="str">
        <f>Dashboard!C170</f>
        <v>Ksh</v>
      </c>
      <c r="D150" s="41">
        <v>266785.25</v>
      </c>
      <c r="E150" s="79">
        <v>276781.5</v>
      </c>
      <c r="F150" s="79">
        <v>367548.25</v>
      </c>
      <c r="G150" s="79">
        <v>313322.25</v>
      </c>
      <c r="H150" s="79">
        <v>304947.5</v>
      </c>
      <c r="I150" s="79">
        <v>352755.25</v>
      </c>
      <c r="J150" s="79">
        <v>254609</v>
      </c>
      <c r="K150" s="79">
        <v>399086</v>
      </c>
      <c r="L150" s="79">
        <v>364406.75</v>
      </c>
      <c r="M150" s="79">
        <v>389054.25</v>
      </c>
      <c r="N150" s="79">
        <v>479920</v>
      </c>
      <c r="O150" s="79">
        <v>512235</v>
      </c>
      <c r="P150" s="79">
        <v>527542.5</v>
      </c>
    </row>
    <row r="151" spans="1:17" x14ac:dyDescent="0.35">
      <c r="A151" s="41">
        <f>Dashboard!A171</f>
        <v>4</v>
      </c>
      <c r="B151" s="41" t="str">
        <f>Dashboard!B171</f>
        <v>SITE- SEWER(KES)</v>
      </c>
      <c r="C151" s="41" t="str">
        <f>Dashboard!C171</f>
        <v>Ksh</v>
      </c>
      <c r="D151" s="41">
        <v>318195.3</v>
      </c>
      <c r="E151" s="79">
        <v>349643.55</v>
      </c>
      <c r="F151" s="79">
        <v>363926.05</v>
      </c>
      <c r="G151" s="79">
        <v>345124.3</v>
      </c>
      <c r="H151" s="79">
        <v>358520.05</v>
      </c>
      <c r="I151" s="79">
        <v>352542.55</v>
      </c>
      <c r="J151" s="79">
        <v>288917.8</v>
      </c>
      <c r="K151" s="79">
        <v>434046.8</v>
      </c>
      <c r="L151" s="79">
        <v>348356.55</v>
      </c>
      <c r="M151" s="79">
        <v>408688.8</v>
      </c>
      <c r="N151" s="79">
        <v>553820.69999999995</v>
      </c>
      <c r="O151" s="79">
        <v>559153.19999999995</v>
      </c>
      <c r="P151" s="79">
        <v>589243.19999999995</v>
      </c>
    </row>
    <row r="152" spans="1:17" x14ac:dyDescent="0.35">
      <c r="A152" s="41">
        <f>Dashboard!A172</f>
        <v>5</v>
      </c>
      <c r="B152" s="41" t="str">
        <f>Dashboard!B172</f>
        <v>KIHOTO- SEWER(KES)</v>
      </c>
      <c r="C152" s="41" t="str">
        <f>Dashboard!C172</f>
        <v>Ksh</v>
      </c>
      <c r="D152" s="41">
        <v>0</v>
      </c>
      <c r="E152" s="50">
        <v>0</v>
      </c>
      <c r="F152" s="50">
        <v>0</v>
      </c>
      <c r="G152" s="50">
        <v>0</v>
      </c>
      <c r="H152" s="50">
        <v>0</v>
      </c>
      <c r="I152" s="50">
        <v>0</v>
      </c>
      <c r="J152" s="50">
        <v>0</v>
      </c>
      <c r="K152" s="50">
        <v>0</v>
      </c>
      <c r="L152" s="50">
        <v>0</v>
      </c>
      <c r="M152" s="50">
        <v>0</v>
      </c>
      <c r="N152" s="63">
        <v>0</v>
      </c>
      <c r="O152" s="50">
        <v>0</v>
      </c>
      <c r="P152" s="63">
        <v>0</v>
      </c>
    </row>
    <row r="153" spans="1:17" x14ac:dyDescent="0.35">
      <c r="A153" s="41">
        <f>Dashboard!A173</f>
        <v>6</v>
      </c>
      <c r="B153" s="41" t="str">
        <f>Dashboard!B173</f>
        <v>LAKEVIEW- SEWER(KES)</v>
      </c>
      <c r="C153" s="41" t="str">
        <f>Dashboard!C173</f>
        <v>Ksh</v>
      </c>
      <c r="D153" s="41">
        <v>302428.59999999998</v>
      </c>
      <c r="E153" s="79">
        <f>305854.9-E154</f>
        <v>295062.90000000002</v>
      </c>
      <c r="F153" s="79">
        <v>386582.75</v>
      </c>
      <c r="G153" s="79">
        <v>352413.75</v>
      </c>
      <c r="H153" s="79">
        <v>352298.75</v>
      </c>
      <c r="I153" s="79">
        <v>369135.5</v>
      </c>
      <c r="J153" s="79">
        <v>198469.5</v>
      </c>
      <c r="K153" s="79">
        <v>366123</v>
      </c>
      <c r="L153" s="79">
        <v>400295.25</v>
      </c>
      <c r="M153" s="79">
        <v>427482.75</v>
      </c>
      <c r="N153" s="79">
        <v>357912.5</v>
      </c>
      <c r="O153" s="79">
        <v>512857.5</v>
      </c>
      <c r="P153" s="79">
        <v>576622.5</v>
      </c>
    </row>
    <row r="154" spans="1:17" x14ac:dyDescent="0.35">
      <c r="A154" s="41">
        <f>Dashboard!A174</f>
        <v>7</v>
      </c>
      <c r="B154" s="41" t="str">
        <f>Dashboard!B174</f>
        <v>HOPEWELL- SEWER(KES)</v>
      </c>
      <c r="C154" s="41" t="str">
        <f>Dashboard!C174</f>
        <v>Ksh</v>
      </c>
      <c r="D154" s="41">
        <v>302428.59999999998</v>
      </c>
      <c r="E154" s="79">
        <v>10792</v>
      </c>
      <c r="F154" s="79">
        <v>11524.15</v>
      </c>
      <c r="G154" s="79">
        <v>11580.4</v>
      </c>
      <c r="H154" s="79">
        <v>11130.4</v>
      </c>
      <c r="I154" s="79">
        <v>21155.200000000001</v>
      </c>
      <c r="J154" s="79">
        <v>12749.15</v>
      </c>
      <c r="K154" s="79">
        <v>10949.15</v>
      </c>
      <c r="L154" s="79">
        <v>700</v>
      </c>
      <c r="M154" s="79">
        <v>700</v>
      </c>
      <c r="N154" s="79">
        <v>700</v>
      </c>
      <c r="O154" s="79">
        <v>700</v>
      </c>
      <c r="P154" s="82">
        <v>700</v>
      </c>
    </row>
    <row r="155" spans="1:17" s="40" customFormat="1" x14ac:dyDescent="0.35">
      <c r="A155" s="40">
        <f>Dashboard!A175</f>
        <v>0</v>
      </c>
      <c r="B155" s="40" t="str">
        <f>Dashboard!B175</f>
        <v>TOTAL SEWER SALES-CENTRAL</v>
      </c>
      <c r="C155" s="40" t="str">
        <f>Dashboard!C175</f>
        <v>Ksh</v>
      </c>
      <c r="D155" s="40">
        <v>5107057.6999999993</v>
      </c>
      <c r="E155" s="64">
        <f>SUM(E148:E154)</f>
        <v>4056522.9</v>
      </c>
      <c r="F155" s="64">
        <f t="shared" ref="F155:P155" si="74">SUM(F148:F154)</f>
        <v>4980879.6500000004</v>
      </c>
      <c r="G155" s="64">
        <f t="shared" si="74"/>
        <v>4222869.45</v>
      </c>
      <c r="H155" s="64">
        <f t="shared" si="74"/>
        <v>4378066.2</v>
      </c>
      <c r="I155" s="64">
        <f t="shared" si="74"/>
        <v>4413150</v>
      </c>
      <c r="J155" s="64">
        <f t="shared" si="74"/>
        <v>3714209.1999999997</v>
      </c>
      <c r="K155" s="64">
        <f t="shared" si="74"/>
        <v>5355862.7</v>
      </c>
      <c r="L155" s="64">
        <f t="shared" si="74"/>
        <v>4592748.95</v>
      </c>
      <c r="M155" s="64">
        <f t="shared" si="74"/>
        <v>4885076.95</v>
      </c>
      <c r="N155" s="64">
        <f t="shared" si="74"/>
        <v>5635043.5</v>
      </c>
      <c r="O155" s="64">
        <f t="shared" si="74"/>
        <v>6022758.5000000009</v>
      </c>
      <c r="P155" s="64">
        <f t="shared" si="74"/>
        <v>6114211.0000000009</v>
      </c>
    </row>
    <row r="156" spans="1:17" x14ac:dyDescent="0.35">
      <c r="A156" s="41">
        <f>Dashboard!A176</f>
        <v>1</v>
      </c>
      <c r="B156" s="41" t="str">
        <f>Dashboard!B176</f>
        <v>HELLSGATE- SEWER(KES)</v>
      </c>
      <c r="C156" s="41" t="str">
        <f>Dashboard!C176</f>
        <v>Ksh</v>
      </c>
      <c r="E156" s="50">
        <v>0</v>
      </c>
      <c r="F156" s="50">
        <v>0</v>
      </c>
      <c r="G156" s="50">
        <v>0</v>
      </c>
      <c r="H156" s="50">
        <v>0</v>
      </c>
      <c r="I156" s="50">
        <v>0</v>
      </c>
      <c r="J156" s="50">
        <v>0</v>
      </c>
      <c r="K156" s="50">
        <v>0</v>
      </c>
      <c r="L156" s="50">
        <v>0</v>
      </c>
      <c r="M156" s="50">
        <v>0</v>
      </c>
      <c r="N156" s="63">
        <v>0</v>
      </c>
      <c r="O156" s="50">
        <v>0</v>
      </c>
      <c r="P156" s="63">
        <v>0</v>
      </c>
    </row>
    <row r="157" spans="1:17" x14ac:dyDescent="0.35">
      <c r="A157" s="41">
        <f>Dashboard!A177</f>
        <v>2</v>
      </c>
      <c r="B157" s="41" t="str">
        <f>Dashboard!B177</f>
        <v>KAMERE- SEWER(KES)</v>
      </c>
      <c r="C157" s="41" t="str">
        <f>Dashboard!C177</f>
        <v>Ksh</v>
      </c>
      <c r="E157" s="50">
        <v>0</v>
      </c>
      <c r="F157" s="50">
        <v>0</v>
      </c>
      <c r="G157" s="50">
        <v>0</v>
      </c>
      <c r="H157" s="50">
        <v>0</v>
      </c>
      <c r="I157" s="50">
        <v>0</v>
      </c>
      <c r="J157" s="50">
        <v>0</v>
      </c>
      <c r="K157" s="50">
        <v>0</v>
      </c>
      <c r="L157" s="50">
        <v>0</v>
      </c>
      <c r="M157" s="50">
        <v>0</v>
      </c>
      <c r="N157" s="63">
        <v>0</v>
      </c>
      <c r="O157" s="50">
        <v>0</v>
      </c>
      <c r="P157" s="63">
        <v>0</v>
      </c>
    </row>
    <row r="158" spans="1:17" x14ac:dyDescent="0.35">
      <c r="A158" s="41">
        <f>Dashboard!A178</f>
        <v>3</v>
      </c>
      <c r="B158" s="41" t="str">
        <f>Dashboard!B178</f>
        <v>MAI-MAHIU- SEWER(KES)</v>
      </c>
      <c r="C158" s="41" t="str">
        <f>Dashboard!C178</f>
        <v>Ksh</v>
      </c>
      <c r="E158" s="50">
        <v>0</v>
      </c>
      <c r="F158" s="50">
        <v>0</v>
      </c>
      <c r="G158" s="50">
        <v>0</v>
      </c>
      <c r="H158" s="50">
        <v>0</v>
      </c>
      <c r="I158" s="50">
        <v>0</v>
      </c>
      <c r="J158" s="50">
        <v>0</v>
      </c>
      <c r="K158" s="50">
        <v>0</v>
      </c>
      <c r="L158" s="50">
        <v>0</v>
      </c>
      <c r="M158" s="50">
        <v>0</v>
      </c>
      <c r="N158" s="63">
        <v>0</v>
      </c>
      <c r="O158" s="50">
        <v>0</v>
      </c>
      <c r="P158" s="63">
        <v>0</v>
      </c>
    </row>
    <row r="159" spans="1:17" s="40" customFormat="1" x14ac:dyDescent="0.35">
      <c r="A159" s="40">
        <f>Dashboard!A179</f>
        <v>0</v>
      </c>
      <c r="B159" s="40" t="str">
        <f>Dashboard!B179</f>
        <v>TOTAL SEWER SALES-SOUTHERN</v>
      </c>
      <c r="C159" s="40" t="str">
        <f>Dashboard!C179</f>
        <v>Ksh</v>
      </c>
      <c r="D159" s="40">
        <v>0</v>
      </c>
      <c r="E159" s="64">
        <f t="shared" ref="E159:P159" si="75">SUM(E156:E158)</f>
        <v>0</v>
      </c>
      <c r="F159" s="64">
        <f t="shared" si="75"/>
        <v>0</v>
      </c>
      <c r="G159" s="64">
        <f t="shared" si="75"/>
        <v>0</v>
      </c>
      <c r="H159" s="64">
        <f t="shared" si="75"/>
        <v>0</v>
      </c>
      <c r="I159" s="64">
        <f t="shared" si="75"/>
        <v>0</v>
      </c>
      <c r="J159" s="64">
        <f t="shared" si="75"/>
        <v>0</v>
      </c>
      <c r="K159" s="64">
        <f t="shared" si="75"/>
        <v>0</v>
      </c>
      <c r="L159" s="64">
        <f t="shared" si="75"/>
        <v>0</v>
      </c>
      <c r="M159" s="64">
        <f t="shared" si="75"/>
        <v>0</v>
      </c>
      <c r="N159" s="64">
        <f t="shared" si="75"/>
        <v>0</v>
      </c>
      <c r="O159" s="64">
        <f t="shared" si="75"/>
        <v>0</v>
      </c>
      <c r="P159" s="64">
        <f t="shared" si="75"/>
        <v>0</v>
      </c>
    </row>
    <row r="160" spans="1:17" x14ac:dyDescent="0.35">
      <c r="A160" s="41">
        <f>Dashboard!A181</f>
        <v>1</v>
      </c>
      <c r="B160" s="41" t="str">
        <f>Dashboard!B181</f>
        <v>KAYOLE- SEWER(KES)</v>
      </c>
      <c r="C160" s="41" t="str">
        <f>Dashboard!C181</f>
        <v>Ksh</v>
      </c>
      <c r="D160" s="41">
        <v>34400.25</v>
      </c>
      <c r="E160" s="79">
        <v>52477.5</v>
      </c>
      <c r="F160" s="79">
        <v>64442.5</v>
      </c>
      <c r="G160" s="50">
        <v>60608.25</v>
      </c>
      <c r="H160" s="79">
        <v>59066.5</v>
      </c>
      <c r="I160" s="79">
        <v>69893.5</v>
      </c>
      <c r="J160" s="79">
        <v>49893.5</v>
      </c>
      <c r="K160" s="79">
        <v>68763.5</v>
      </c>
      <c r="L160" s="79">
        <v>74154.25</v>
      </c>
      <c r="M160" s="79">
        <v>78705.5</v>
      </c>
      <c r="N160" s="79">
        <v>75535.25</v>
      </c>
      <c r="O160" s="79">
        <v>110252.5</v>
      </c>
      <c r="P160" s="79">
        <v>110152.5</v>
      </c>
    </row>
    <row r="161" spans="1:17" s="40" customFormat="1" x14ac:dyDescent="0.35">
      <c r="A161" s="40" t="str">
        <f>Dashboard!A182</f>
        <v>SUMMARY SALES</v>
      </c>
    </row>
    <row r="162" spans="1:17" x14ac:dyDescent="0.35">
      <c r="A162" s="41">
        <f>Dashboard!A183</f>
        <v>1</v>
      </c>
      <c r="B162" s="41" t="str">
        <f>Dashboard!B183</f>
        <v>TOTAL VOLUME BILLED</v>
      </c>
      <c r="C162" s="41" t="str">
        <f>Dashboard!C183</f>
        <v>M3</v>
      </c>
      <c r="D162" s="41">
        <v>137010</v>
      </c>
      <c r="E162" s="53">
        <f>E110+E115+E116</f>
        <v>141416</v>
      </c>
      <c r="F162" s="53">
        <f>F110+F115+F116</f>
        <v>168508</v>
      </c>
      <c r="G162" s="53">
        <f>G110+G115+G116</f>
        <v>163668</v>
      </c>
      <c r="H162" s="53">
        <f t="shared" ref="H162:P162" si="76">H110+H115+H116</f>
        <v>160893</v>
      </c>
      <c r="I162" s="53">
        <f t="shared" si="76"/>
        <v>179892</v>
      </c>
      <c r="J162" s="53">
        <f t="shared" si="76"/>
        <v>116560</v>
      </c>
      <c r="K162" s="53">
        <f t="shared" si="76"/>
        <v>184451</v>
      </c>
      <c r="L162" s="53">
        <f t="shared" si="76"/>
        <v>165478</v>
      </c>
      <c r="M162" s="53">
        <f t="shared" si="76"/>
        <v>175998</v>
      </c>
      <c r="N162" s="81">
        <f t="shared" si="76"/>
        <v>135488</v>
      </c>
      <c r="O162" s="53">
        <f t="shared" si="76"/>
        <v>153694</v>
      </c>
      <c r="P162" s="81">
        <f t="shared" si="76"/>
        <v>164911</v>
      </c>
      <c r="Q162" s="53"/>
    </row>
    <row r="163" spans="1:17" x14ac:dyDescent="0.35">
      <c r="A163" s="41">
        <f>Dashboard!A184</f>
        <v>2</v>
      </c>
      <c r="B163" s="41" t="str">
        <f>Dashboard!B184</f>
        <v>TOTAL WATER SALES</v>
      </c>
      <c r="C163" s="41" t="str">
        <f>Dashboard!C184</f>
        <v>Ksh</v>
      </c>
      <c r="D163" s="41">
        <v>11728511</v>
      </c>
      <c r="E163" s="53">
        <f>E125+E130+E131</f>
        <v>11183420</v>
      </c>
      <c r="F163" s="53">
        <f>F125+F130+F131</f>
        <v>13921027</v>
      </c>
      <c r="G163" s="53">
        <f>G125+G130+G131</f>
        <v>13018249</v>
      </c>
      <c r="H163" s="53">
        <f t="shared" ref="H163:P163" si="77">H125+H130+H131</f>
        <v>12608519</v>
      </c>
      <c r="I163" s="53">
        <f t="shared" si="77"/>
        <v>14174994</v>
      </c>
      <c r="J163" s="53">
        <f t="shared" si="77"/>
        <v>8977679</v>
      </c>
      <c r="K163" s="53">
        <f t="shared" si="77"/>
        <v>14767948</v>
      </c>
      <c r="L163" s="53">
        <f t="shared" si="77"/>
        <v>13060906</v>
      </c>
      <c r="M163" s="53">
        <f t="shared" si="77"/>
        <v>13951180</v>
      </c>
      <c r="N163" s="81">
        <f t="shared" si="77"/>
        <v>13956857</v>
      </c>
      <c r="O163" s="53">
        <f t="shared" si="77"/>
        <v>19515330</v>
      </c>
      <c r="P163" s="81">
        <f t="shared" si="77"/>
        <v>20899160</v>
      </c>
      <c r="Q163" s="53"/>
    </row>
    <row r="164" spans="1:17" x14ac:dyDescent="0.35">
      <c r="A164" s="41">
        <f>Dashboard!A185</f>
        <v>3</v>
      </c>
      <c r="B164" s="41" t="str">
        <f>Dashboard!B185</f>
        <v>TOTAL SEWER SALES</v>
      </c>
      <c r="C164" s="41" t="str">
        <f>Dashboard!C185</f>
        <v>Ksh</v>
      </c>
      <c r="D164" s="41">
        <v>5141457.9499999993</v>
      </c>
      <c r="E164" s="53">
        <f>E155+E159+E160</f>
        <v>4109000.4</v>
      </c>
      <c r="F164" s="53">
        <f>F155+F159+F160</f>
        <v>5045322.1500000004</v>
      </c>
      <c r="G164" s="53">
        <f t="shared" ref="G164:P164" si="78">G155+G159+G160</f>
        <v>4283477.7</v>
      </c>
      <c r="H164" s="53">
        <f t="shared" si="78"/>
        <v>4437132.7</v>
      </c>
      <c r="I164" s="53">
        <f t="shared" si="78"/>
        <v>4483043.5</v>
      </c>
      <c r="J164" s="53">
        <f t="shared" si="78"/>
        <v>3764102.6999999997</v>
      </c>
      <c r="K164" s="53">
        <f t="shared" si="78"/>
        <v>5424626.2000000002</v>
      </c>
      <c r="L164" s="53">
        <f t="shared" si="78"/>
        <v>4666903.2</v>
      </c>
      <c r="M164" s="53">
        <f t="shared" si="78"/>
        <v>4963782.45</v>
      </c>
      <c r="N164" s="81">
        <f t="shared" si="78"/>
        <v>5710578.75</v>
      </c>
      <c r="O164" s="53">
        <f t="shared" si="78"/>
        <v>6133011.0000000009</v>
      </c>
      <c r="P164" s="81">
        <f t="shared" si="78"/>
        <v>6224363.5000000009</v>
      </c>
      <c r="Q164" s="53"/>
    </row>
    <row r="165" spans="1:17" x14ac:dyDescent="0.35">
      <c r="B165" s="41" t="str">
        <f>Dashboard!B186</f>
        <v>TOTAL WATER &amp; SEWER SALES</v>
      </c>
      <c r="D165" s="41">
        <f>D163+D164</f>
        <v>16869968.949999999</v>
      </c>
      <c r="E165" s="41">
        <f t="shared" ref="E165:P165" si="79">E163+E164</f>
        <v>15292420.4</v>
      </c>
      <c r="F165" s="41">
        <f t="shared" si="79"/>
        <v>18966349.149999999</v>
      </c>
      <c r="G165" s="41">
        <f t="shared" si="79"/>
        <v>17301726.699999999</v>
      </c>
      <c r="H165" s="41">
        <f t="shared" si="79"/>
        <v>17045651.699999999</v>
      </c>
      <c r="I165" s="41">
        <f t="shared" si="79"/>
        <v>18658037.5</v>
      </c>
      <c r="J165" s="41">
        <f t="shared" si="79"/>
        <v>12741781.699999999</v>
      </c>
      <c r="K165" s="41">
        <f t="shared" si="79"/>
        <v>20192574.199999999</v>
      </c>
      <c r="L165" s="41">
        <f t="shared" si="79"/>
        <v>17727809.199999999</v>
      </c>
      <c r="M165" s="41">
        <f t="shared" si="79"/>
        <v>18914962.449999999</v>
      </c>
      <c r="N165" s="80">
        <f t="shared" si="79"/>
        <v>19667435.75</v>
      </c>
      <c r="O165" s="41">
        <f t="shared" si="79"/>
        <v>25648341</v>
      </c>
      <c r="P165" s="80">
        <f t="shared" si="79"/>
        <v>27123523.5</v>
      </c>
      <c r="Q165" s="53"/>
    </row>
    <row r="166" spans="1:17" x14ac:dyDescent="0.35">
      <c r="A166" s="41">
        <f>Dashboard!A187</f>
        <v>4</v>
      </c>
      <c r="B166" s="41" t="str">
        <f>Dashboard!B187</f>
        <v>AVG TARIFF WATER (KSH/M3)</v>
      </c>
      <c r="C166" s="41" t="str">
        <f>Dashboard!C187</f>
        <v>Ksh/M3</v>
      </c>
      <c r="D166" s="41">
        <v>85.603320925479892</v>
      </c>
      <c r="E166" s="52">
        <f>E163/E162</f>
        <v>79.081716354585055</v>
      </c>
      <c r="F166" s="52">
        <f>F163/F162</f>
        <v>82.6134486196501</v>
      </c>
      <c r="G166" s="52">
        <f t="shared" ref="G166:P166" si="80">G163/G162</f>
        <v>79.540588264046733</v>
      </c>
      <c r="H166" s="52">
        <f t="shared" si="80"/>
        <v>78.36586427004282</v>
      </c>
      <c r="I166" s="52">
        <f t="shared" si="80"/>
        <v>78.797245013674868</v>
      </c>
      <c r="J166" s="52">
        <f t="shared" si="80"/>
        <v>77.02195435827042</v>
      </c>
      <c r="K166" s="52">
        <f t="shared" si="80"/>
        <v>80.064342291448682</v>
      </c>
      <c r="L166" s="52">
        <f t="shared" si="80"/>
        <v>78.928353013693666</v>
      </c>
      <c r="M166" s="52">
        <f t="shared" si="80"/>
        <v>79.268968965556425</v>
      </c>
      <c r="N166" s="85">
        <f t="shared" si="80"/>
        <v>103.01175749881908</v>
      </c>
      <c r="O166" s="52">
        <f t="shared" si="80"/>
        <v>126.97522349603759</v>
      </c>
      <c r="P166" s="85">
        <f t="shared" si="80"/>
        <v>126.72993311543803</v>
      </c>
      <c r="Q166" s="53"/>
    </row>
    <row r="167" spans="1:17" x14ac:dyDescent="0.35">
      <c r="A167" s="41">
        <f>Dashboard!A188</f>
        <v>5</v>
      </c>
      <c r="B167" s="41" t="str">
        <f>Dashboard!B188</f>
        <v>AVG TARIFF SEWER (KSH/NO.)</v>
      </c>
      <c r="C167" s="41" t="str">
        <f>Dashboard!C188</f>
        <v>ksh/No</v>
      </c>
      <c r="D167" s="41">
        <v>3382.5381249999996</v>
      </c>
      <c r="E167" s="52">
        <f t="shared" ref="E167:P167" si="81">E164/E98</f>
        <v>2298.0986577181206</v>
      </c>
      <c r="F167" s="52">
        <f t="shared" ref="F167" si="82">F164/F98</f>
        <v>2807.6361435726212</v>
      </c>
      <c r="G167" s="52">
        <f t="shared" si="81"/>
        <v>2382.3568965517243</v>
      </c>
      <c r="H167" s="52">
        <f t="shared" si="81"/>
        <v>2466.4439688715956</v>
      </c>
      <c r="I167" s="52">
        <f t="shared" si="81"/>
        <v>2482.3053709856035</v>
      </c>
      <c r="J167" s="52">
        <f t="shared" si="81"/>
        <v>2085.3754570637116</v>
      </c>
      <c r="K167" s="52">
        <f t="shared" si="81"/>
        <v>2993.723068432671</v>
      </c>
      <c r="L167" s="52">
        <f t="shared" si="81"/>
        <v>2562.8243822075783</v>
      </c>
      <c r="M167" s="52">
        <f>M164/M98</f>
        <v>2710.9680229382852</v>
      </c>
      <c r="N167" s="85">
        <f t="shared" si="81"/>
        <v>3112.0320163487741</v>
      </c>
      <c r="O167" s="52">
        <f t="shared" si="81"/>
        <v>3347.7134279475986</v>
      </c>
      <c r="P167" s="85">
        <f t="shared" si="81"/>
        <v>3395.724768139662</v>
      </c>
      <c r="Q167" s="53"/>
    </row>
    <row r="168" spans="1:17" x14ac:dyDescent="0.35">
      <c r="A168" s="41" t="str">
        <f>Dashboard!A189</f>
        <v>METER READING EFFICIENCY</v>
      </c>
      <c r="C168" s="41">
        <f>Dashboard!C189</f>
        <v>0</v>
      </c>
      <c r="E168" s="52"/>
      <c r="F168" s="52"/>
      <c r="G168" s="52"/>
      <c r="H168" s="52"/>
      <c r="I168" s="52"/>
      <c r="J168" s="52"/>
      <c r="K168" s="52"/>
      <c r="L168" s="52"/>
      <c r="M168" s="52"/>
      <c r="N168" s="85"/>
      <c r="O168" s="52"/>
      <c r="P168" s="85"/>
      <c r="Q168" s="53"/>
    </row>
    <row r="169" spans="1:17" x14ac:dyDescent="0.35">
      <c r="A169" s="41">
        <f>Dashboard!A190</f>
        <v>1</v>
      </c>
      <c r="B169" s="41" t="str">
        <f>Dashboard!B190</f>
        <v>Meters Read</v>
      </c>
      <c r="C169" s="41" t="str">
        <f>Dashboard!C190</f>
        <v>No.</v>
      </c>
      <c r="E169" s="358">
        <v>9605</v>
      </c>
      <c r="F169" s="358">
        <v>9656</v>
      </c>
      <c r="G169" s="358">
        <v>9689</v>
      </c>
      <c r="H169" s="358">
        <v>9709</v>
      </c>
      <c r="I169" s="358">
        <v>9710</v>
      </c>
      <c r="J169" s="358">
        <v>9760</v>
      </c>
      <c r="K169" s="358">
        <v>9792</v>
      </c>
      <c r="L169" s="358">
        <v>9875</v>
      </c>
      <c r="M169" s="358">
        <v>9938</v>
      </c>
      <c r="N169" s="358">
        <v>10005</v>
      </c>
      <c r="O169" s="358">
        <v>10100</v>
      </c>
      <c r="P169" s="358">
        <v>10148</v>
      </c>
      <c r="Q169" s="53"/>
    </row>
    <row r="170" spans="1:17" x14ac:dyDescent="0.35">
      <c r="A170" s="41">
        <f>Dashboard!A191</f>
        <v>2</v>
      </c>
      <c r="B170" s="41" t="str">
        <f>Dashboard!B191</f>
        <v>Meter Reading Efficiency (%)</v>
      </c>
      <c r="C170" s="41" t="str">
        <f>Dashboard!C191</f>
        <v>%</v>
      </c>
      <c r="E170" s="357">
        <f>E169/E97</f>
        <v>0.99844074844074848</v>
      </c>
      <c r="F170" s="52">
        <f t="shared" ref="F170:P170" si="83">F169/F97</f>
        <v>1</v>
      </c>
      <c r="G170" s="52">
        <f t="shared" si="83"/>
        <v>0.99866007008864155</v>
      </c>
      <c r="H170" s="52">
        <f t="shared" si="83"/>
        <v>1</v>
      </c>
      <c r="I170" s="52">
        <f t="shared" si="83"/>
        <v>0.99528495284952845</v>
      </c>
      <c r="J170" s="52">
        <f t="shared" si="83"/>
        <v>0.99713935431140177</v>
      </c>
      <c r="K170" s="52">
        <f t="shared" si="83"/>
        <v>0.99877600979192172</v>
      </c>
      <c r="L170" s="52">
        <f t="shared" si="83"/>
        <v>0.99747474747474751</v>
      </c>
      <c r="M170" s="52">
        <f t="shared" si="83"/>
        <v>0.99689036011636067</v>
      </c>
      <c r="N170" s="52">
        <f t="shared" si="83"/>
        <v>0.99522530587884217</v>
      </c>
      <c r="O170" s="52">
        <f t="shared" si="83"/>
        <v>0.99625172617873348</v>
      </c>
      <c r="P170" s="52">
        <f t="shared" si="83"/>
        <v>0.99538989700833747</v>
      </c>
      <c r="Q170" s="53"/>
    </row>
    <row r="171" spans="1:17" x14ac:dyDescent="0.35">
      <c r="A171" s="41" t="str">
        <f>Dashboard!A192</f>
        <v>BILLING EFFICIENCY</v>
      </c>
      <c r="B171" s="41">
        <f>Dashboard!B192</f>
        <v>0</v>
      </c>
      <c r="C171" s="41">
        <f>Dashboard!C192</f>
        <v>0</v>
      </c>
      <c r="E171" s="52"/>
      <c r="F171" s="52"/>
      <c r="G171" s="52"/>
      <c r="H171" s="52"/>
      <c r="I171" s="52"/>
      <c r="J171" s="52"/>
      <c r="K171" s="52"/>
      <c r="L171" s="52"/>
      <c r="M171" s="52"/>
      <c r="N171" s="85"/>
      <c r="O171" s="52"/>
      <c r="P171" s="85"/>
      <c r="Q171" s="53"/>
    </row>
    <row r="172" spans="1:17" x14ac:dyDescent="0.35">
      <c r="A172" s="41">
        <f>Dashboard!A193</f>
        <v>1</v>
      </c>
      <c r="B172" s="41" t="s">
        <v>439</v>
      </c>
      <c r="C172" s="41" t="s">
        <v>439</v>
      </c>
      <c r="E172" s="52">
        <v>9754</v>
      </c>
      <c r="F172" s="52">
        <v>9806</v>
      </c>
      <c r="G172" s="52">
        <v>9837</v>
      </c>
      <c r="H172" s="52">
        <v>9857</v>
      </c>
      <c r="I172" s="52">
        <v>9857</v>
      </c>
      <c r="J172" s="52">
        <v>9936</v>
      </c>
      <c r="K172" s="52">
        <v>9949</v>
      </c>
      <c r="L172" s="52">
        <v>10043</v>
      </c>
      <c r="M172" s="52">
        <v>10110</v>
      </c>
      <c r="N172" s="85">
        <v>10198</v>
      </c>
      <c r="O172" s="52">
        <v>10285</v>
      </c>
      <c r="P172" s="85">
        <v>10339</v>
      </c>
      <c r="Q172" s="53"/>
    </row>
    <row r="173" spans="1:17" x14ac:dyDescent="0.35">
      <c r="A173" s="41">
        <f>Dashboard!A194</f>
        <v>1</v>
      </c>
      <c r="B173" s="41" t="str">
        <f>Dashboard!B194</f>
        <v>Accounts Billed</v>
      </c>
      <c r="C173" s="41" t="str">
        <f>Dashboard!C194</f>
        <v>No.</v>
      </c>
      <c r="E173" s="358">
        <v>9754</v>
      </c>
      <c r="F173" s="358">
        <v>9806</v>
      </c>
      <c r="G173" s="358">
        <v>9837</v>
      </c>
      <c r="H173" s="358">
        <v>9857</v>
      </c>
      <c r="I173" s="358">
        <v>9857</v>
      </c>
      <c r="J173" s="358">
        <v>9913</v>
      </c>
      <c r="K173" s="358">
        <v>9937</v>
      </c>
      <c r="L173" s="358">
        <v>10019</v>
      </c>
      <c r="M173" s="358">
        <v>10081</v>
      </c>
      <c r="N173" s="359">
        <v>10150</v>
      </c>
      <c r="O173" s="358">
        <v>10245</v>
      </c>
      <c r="P173" s="359">
        <v>10291</v>
      </c>
      <c r="Q173" s="53"/>
    </row>
    <row r="174" spans="1:17" x14ac:dyDescent="0.35">
      <c r="A174" s="41">
        <f>Dashboard!A195</f>
        <v>2</v>
      </c>
      <c r="B174" s="41" t="str">
        <f>Dashboard!B195</f>
        <v>Billing Efficiency (%)</v>
      </c>
      <c r="C174" s="41" t="str">
        <f>Dashboard!C195</f>
        <v>%</v>
      </c>
      <c r="E174" s="357">
        <f>E173/E172</f>
        <v>1</v>
      </c>
      <c r="F174" s="357">
        <f t="shared" ref="F174:I174" si="84">F173/F172</f>
        <v>1</v>
      </c>
      <c r="G174" s="357">
        <f t="shared" si="84"/>
        <v>1</v>
      </c>
      <c r="H174" s="357">
        <f t="shared" si="84"/>
        <v>1</v>
      </c>
      <c r="I174" s="357">
        <f t="shared" si="84"/>
        <v>1</v>
      </c>
      <c r="J174" s="357">
        <f t="shared" ref="J174:K174" si="85">J173/J172</f>
        <v>0.99768518518518523</v>
      </c>
      <c r="K174" s="357">
        <f t="shared" si="85"/>
        <v>0.9987938486280028</v>
      </c>
      <c r="L174" s="357">
        <f t="shared" ref="L174:M174" si="86">L173/L172</f>
        <v>0.99761027581399975</v>
      </c>
      <c r="M174" s="357">
        <f t="shared" si="86"/>
        <v>0.99713155291790312</v>
      </c>
      <c r="N174" s="357">
        <f t="shared" ref="N174" si="87">N173/N172</f>
        <v>0.99529319474406741</v>
      </c>
      <c r="O174" s="357">
        <f t="shared" ref="O174:P174" si="88">O173/O172</f>
        <v>0.99611084103062708</v>
      </c>
      <c r="P174" s="357">
        <f t="shared" si="88"/>
        <v>0.9953573846600251</v>
      </c>
      <c r="Q174" s="53"/>
    </row>
    <row r="175" spans="1:17" x14ac:dyDescent="0.35">
      <c r="A175" s="41" t="str">
        <f>Dashboard!A196</f>
        <v>METER READING TAT</v>
      </c>
      <c r="E175" s="52"/>
      <c r="F175" s="52"/>
      <c r="G175" s="52"/>
      <c r="H175" s="52"/>
      <c r="I175" s="52"/>
      <c r="J175" s="52"/>
      <c r="K175" s="52"/>
      <c r="L175" s="52"/>
      <c r="M175" s="52"/>
      <c r="N175" s="52"/>
      <c r="O175" s="52"/>
      <c r="P175" s="52"/>
      <c r="Q175" s="53"/>
    </row>
    <row r="176" spans="1:17" x14ac:dyDescent="0.35">
      <c r="A176" s="41">
        <f>Dashboard!A197</f>
        <v>1</v>
      </c>
      <c r="B176" s="41" t="str">
        <f>Dashboard!B197</f>
        <v>Eastern</v>
      </c>
      <c r="C176" s="41" t="str">
        <f>Dashboard!C197</f>
        <v>Date</v>
      </c>
      <c r="E176" s="362" t="s">
        <v>435</v>
      </c>
      <c r="F176" s="358" t="s">
        <v>459</v>
      </c>
      <c r="G176" s="358" t="s">
        <v>463</v>
      </c>
      <c r="H176" s="358" t="s">
        <v>467</v>
      </c>
      <c r="I176" s="358" t="s">
        <v>471</v>
      </c>
      <c r="J176" s="358" t="s">
        <v>475</v>
      </c>
      <c r="K176" s="358" t="s">
        <v>463</v>
      </c>
      <c r="L176" s="358" t="s">
        <v>481</v>
      </c>
      <c r="M176" s="358" t="s">
        <v>485</v>
      </c>
      <c r="N176" s="358" t="s">
        <v>467</v>
      </c>
      <c r="O176" s="358" t="s">
        <v>490</v>
      </c>
      <c r="P176" s="358" t="s">
        <v>494</v>
      </c>
      <c r="Q176" s="53"/>
    </row>
    <row r="177" spans="1:17" x14ac:dyDescent="0.35">
      <c r="A177" s="41">
        <f>Dashboard!A198</f>
        <v>2</v>
      </c>
      <c r="B177" s="41" t="str">
        <f>Dashboard!B198</f>
        <v>Southern</v>
      </c>
      <c r="C177" s="41" t="str">
        <f>Dashboard!C198</f>
        <v>Date</v>
      </c>
      <c r="E177" s="358" t="s">
        <v>436</v>
      </c>
      <c r="F177" s="358" t="s">
        <v>460</v>
      </c>
      <c r="G177" s="358" t="s">
        <v>464</v>
      </c>
      <c r="H177" s="358" t="s">
        <v>468</v>
      </c>
      <c r="I177" s="358" t="s">
        <v>472</v>
      </c>
      <c r="J177" s="358" t="s">
        <v>476</v>
      </c>
      <c r="K177" s="358" t="s">
        <v>479</v>
      </c>
      <c r="L177" s="358" t="s">
        <v>482</v>
      </c>
      <c r="M177" s="358" t="s">
        <v>486</v>
      </c>
      <c r="N177" s="358" t="s">
        <v>479</v>
      </c>
      <c r="O177" s="358" t="s">
        <v>491</v>
      </c>
      <c r="P177" s="358" t="s">
        <v>491</v>
      </c>
      <c r="Q177" s="53"/>
    </row>
    <row r="178" spans="1:17" x14ac:dyDescent="0.35">
      <c r="A178" s="41">
        <f>Dashboard!A199</f>
        <v>3</v>
      </c>
      <c r="B178" s="41" t="str">
        <f>Dashboard!B199</f>
        <v>Lakeview</v>
      </c>
      <c r="C178" s="41" t="str">
        <f>Dashboard!C199</f>
        <v>Date</v>
      </c>
      <c r="E178" s="358" t="s">
        <v>437</v>
      </c>
      <c r="F178" s="358" t="s">
        <v>461</v>
      </c>
      <c r="G178" s="358" t="s">
        <v>465</v>
      </c>
      <c r="H178" s="358" t="s">
        <v>469</v>
      </c>
      <c r="I178" s="358" t="s">
        <v>473</v>
      </c>
      <c r="J178" s="358" t="s">
        <v>477</v>
      </c>
      <c r="K178" s="358" t="s">
        <v>437</v>
      </c>
      <c r="L178" s="358" t="s">
        <v>483</v>
      </c>
      <c r="M178" s="358" t="s">
        <v>487</v>
      </c>
      <c r="N178" s="358" t="s">
        <v>465</v>
      </c>
      <c r="O178" s="358" t="s">
        <v>492</v>
      </c>
      <c r="P178" s="358" t="s">
        <v>495</v>
      </c>
      <c r="Q178" s="53"/>
    </row>
    <row r="179" spans="1:17" x14ac:dyDescent="0.35">
      <c r="A179" s="41">
        <f>Dashboard!A200</f>
        <v>4</v>
      </c>
      <c r="B179" s="41" t="str">
        <f>Dashboard!B200</f>
        <v>Central</v>
      </c>
      <c r="C179" s="41" t="str">
        <f>Dashboard!C200</f>
        <v>Date</v>
      </c>
      <c r="E179" s="358" t="s">
        <v>438</v>
      </c>
      <c r="F179" s="358" t="s">
        <v>462</v>
      </c>
      <c r="G179" s="358" t="s">
        <v>466</v>
      </c>
      <c r="H179" s="358" t="s">
        <v>438</v>
      </c>
      <c r="I179" s="358" t="s">
        <v>474</v>
      </c>
      <c r="J179" s="358" t="s">
        <v>478</v>
      </c>
      <c r="K179" s="358" t="s">
        <v>480</v>
      </c>
      <c r="L179" s="358" t="s">
        <v>484</v>
      </c>
      <c r="M179" s="358" t="s">
        <v>488</v>
      </c>
      <c r="N179" s="358" t="s">
        <v>489</v>
      </c>
      <c r="O179" s="358" t="s">
        <v>493</v>
      </c>
      <c r="P179" s="358" t="s">
        <v>496</v>
      </c>
      <c r="Q179" s="53"/>
    </row>
    <row r="180" spans="1:17" s="40" customFormat="1" x14ac:dyDescent="0.35">
      <c r="A180" s="40" t="str">
        <f>Dashboard!A201</f>
        <v>TOTAL EXHAUSTER SALES</v>
      </c>
    </row>
    <row r="181" spans="1:17" hidden="1" x14ac:dyDescent="0.35">
      <c r="A181" s="41">
        <f>Dashboard!A202</f>
        <v>1</v>
      </c>
      <c r="B181" s="41" t="str">
        <f>Dashboard!B202</f>
        <v>CBD- EXHAUSTER SALES</v>
      </c>
      <c r="C181" s="41" t="str">
        <f>Dashboard!C202</f>
        <v>Ksh</v>
      </c>
      <c r="D181" s="41">
        <v>90000</v>
      </c>
      <c r="E181" s="50">
        <v>0</v>
      </c>
      <c r="F181" s="50">
        <v>0</v>
      </c>
      <c r="G181" s="50">
        <v>0</v>
      </c>
      <c r="H181" s="50">
        <v>0</v>
      </c>
      <c r="I181" s="50">
        <v>0</v>
      </c>
      <c r="J181" s="50">
        <v>0</v>
      </c>
      <c r="K181" s="50">
        <v>0</v>
      </c>
      <c r="L181" s="50">
        <v>0</v>
      </c>
      <c r="M181" s="50">
        <v>0</v>
      </c>
      <c r="N181" s="50">
        <v>0</v>
      </c>
      <c r="O181" s="50">
        <v>0</v>
      </c>
      <c r="P181" s="63">
        <v>0</v>
      </c>
    </row>
    <row r="182" spans="1:17" hidden="1" x14ac:dyDescent="0.35">
      <c r="A182" s="41">
        <f>Dashboard!A203</f>
        <v>2</v>
      </c>
      <c r="B182" s="41" t="str">
        <f>Dashboard!B203</f>
        <v>CCCR- EXHAUSTER SALES</v>
      </c>
      <c r="C182" s="41" t="str">
        <f>Dashboard!C203</f>
        <v>Ksh</v>
      </c>
      <c r="D182" s="41">
        <v>7500</v>
      </c>
      <c r="E182" s="50">
        <v>0</v>
      </c>
      <c r="F182" s="50">
        <v>0</v>
      </c>
      <c r="G182" s="50">
        <v>0</v>
      </c>
      <c r="H182" s="50">
        <v>0</v>
      </c>
      <c r="I182" s="50">
        <v>0</v>
      </c>
      <c r="J182" s="50">
        <v>0</v>
      </c>
      <c r="K182" s="50">
        <v>0</v>
      </c>
      <c r="L182" s="50">
        <v>0</v>
      </c>
      <c r="M182" s="50">
        <v>0</v>
      </c>
      <c r="N182" s="50">
        <v>0</v>
      </c>
      <c r="O182" s="50">
        <v>0</v>
      </c>
      <c r="P182" s="63">
        <v>0</v>
      </c>
    </row>
    <row r="183" spans="1:17" hidden="1" x14ac:dyDescent="0.35">
      <c r="A183" s="41">
        <f>Dashboard!A204</f>
        <v>3</v>
      </c>
      <c r="B183" s="41" t="str">
        <f>Dashboard!B204</f>
        <v>KABATI- EXHAUSTER SALES</v>
      </c>
      <c r="C183" s="41" t="str">
        <f>Dashboard!C204</f>
        <v>Ksh</v>
      </c>
      <c r="E183" s="50">
        <v>0</v>
      </c>
      <c r="F183" s="50">
        <v>0</v>
      </c>
      <c r="G183" s="50">
        <v>0</v>
      </c>
      <c r="H183" s="50">
        <v>0</v>
      </c>
      <c r="I183" s="50">
        <v>0</v>
      </c>
      <c r="J183" s="50">
        <v>0</v>
      </c>
      <c r="K183" s="50">
        <v>0</v>
      </c>
      <c r="L183" s="50">
        <v>0</v>
      </c>
      <c r="M183" s="50">
        <v>0</v>
      </c>
      <c r="N183" s="50">
        <v>0</v>
      </c>
      <c r="O183" s="50">
        <v>0</v>
      </c>
      <c r="P183" s="63">
        <v>0</v>
      </c>
    </row>
    <row r="184" spans="1:17" hidden="1" x14ac:dyDescent="0.35">
      <c r="A184" s="41">
        <f>Dashboard!A205</f>
        <v>4</v>
      </c>
      <c r="B184" s="41" t="str">
        <f>Dashboard!B205</f>
        <v>SITE- EXHAUSTER SALES</v>
      </c>
      <c r="C184" s="41" t="str">
        <f>Dashboard!C205</f>
        <v>Ksh</v>
      </c>
      <c r="E184" s="50">
        <v>0</v>
      </c>
      <c r="F184" s="50">
        <v>0</v>
      </c>
      <c r="G184" s="50">
        <v>0</v>
      </c>
      <c r="H184" s="50">
        <v>0</v>
      </c>
      <c r="I184" s="50">
        <v>0</v>
      </c>
      <c r="J184" s="50">
        <v>0</v>
      </c>
      <c r="K184" s="50">
        <v>0</v>
      </c>
      <c r="L184" s="50">
        <v>0</v>
      </c>
      <c r="M184" s="50">
        <v>0</v>
      </c>
      <c r="N184" s="50">
        <v>0</v>
      </c>
      <c r="O184" s="50">
        <v>0</v>
      </c>
      <c r="P184" s="63">
        <v>0</v>
      </c>
    </row>
    <row r="185" spans="1:17" hidden="1" x14ac:dyDescent="0.35">
      <c r="A185" s="41">
        <f>Dashboard!A206</f>
        <v>5</v>
      </c>
      <c r="B185" s="41" t="str">
        <f>Dashboard!B206</f>
        <v>KIHOTO- EXHAUSTER SALES</v>
      </c>
      <c r="C185" s="41" t="str">
        <f>Dashboard!C206</f>
        <v>Ksh</v>
      </c>
      <c r="E185" s="50">
        <v>0</v>
      </c>
      <c r="F185" s="50">
        <v>0</v>
      </c>
      <c r="G185" s="50">
        <v>0</v>
      </c>
      <c r="H185" s="50">
        <v>0</v>
      </c>
      <c r="I185" s="50">
        <v>0</v>
      </c>
      <c r="J185" s="50">
        <v>0</v>
      </c>
      <c r="K185" s="50">
        <v>0</v>
      </c>
      <c r="L185" s="50">
        <v>0</v>
      </c>
      <c r="M185" s="50">
        <v>0</v>
      </c>
      <c r="N185" s="50">
        <v>0</v>
      </c>
      <c r="O185" s="50">
        <v>0</v>
      </c>
      <c r="P185" s="63">
        <v>0</v>
      </c>
    </row>
    <row r="186" spans="1:17" hidden="1" x14ac:dyDescent="0.35">
      <c r="A186" s="41">
        <f>Dashboard!A207</f>
        <v>6</v>
      </c>
      <c r="B186" s="41" t="str">
        <f>Dashboard!B207</f>
        <v>LAKEVIEW- EXHAUSTER SALES</v>
      </c>
      <c r="C186" s="41" t="str">
        <f>Dashboard!C207</f>
        <v>Ksh</v>
      </c>
      <c r="E186" s="50">
        <v>0</v>
      </c>
      <c r="F186" s="50">
        <v>0</v>
      </c>
      <c r="G186" s="50">
        <v>0</v>
      </c>
      <c r="H186" s="50">
        <v>0</v>
      </c>
      <c r="I186" s="50">
        <v>0</v>
      </c>
      <c r="J186" s="50">
        <v>0</v>
      </c>
      <c r="K186" s="50">
        <v>0</v>
      </c>
      <c r="L186" s="50">
        <v>0</v>
      </c>
      <c r="M186" s="50">
        <v>0</v>
      </c>
      <c r="N186" s="50">
        <v>0</v>
      </c>
      <c r="O186" s="50">
        <v>0</v>
      </c>
      <c r="P186" s="63">
        <v>0</v>
      </c>
    </row>
    <row r="187" spans="1:17" hidden="1" x14ac:dyDescent="0.35">
      <c r="A187" s="41">
        <f>Dashboard!A208</f>
        <v>0</v>
      </c>
      <c r="B187" s="41" t="str">
        <f>Dashboard!B208</f>
        <v>TOTAL EXHAUSTER SALES-CENTRAL</v>
      </c>
      <c r="C187" s="41" t="str">
        <f>Dashboard!C208</f>
        <v>Ksh</v>
      </c>
      <c r="D187" s="41">
        <v>97500</v>
      </c>
      <c r="E187" s="51">
        <f>SUM(E181:E186)</f>
        <v>0</v>
      </c>
      <c r="F187" s="51">
        <f>SUM(F181:F186)</f>
        <v>0</v>
      </c>
      <c r="G187" s="51">
        <f t="shared" ref="G187:P187" si="89">SUM(G181:G186)</f>
        <v>0</v>
      </c>
      <c r="H187" s="51">
        <f t="shared" si="89"/>
        <v>0</v>
      </c>
      <c r="I187" s="51">
        <f t="shared" si="89"/>
        <v>0</v>
      </c>
      <c r="J187" s="51">
        <f t="shared" si="89"/>
        <v>0</v>
      </c>
      <c r="K187" s="51">
        <f>SUM(K181:K186)</f>
        <v>0</v>
      </c>
      <c r="L187" s="51">
        <f t="shared" si="89"/>
        <v>0</v>
      </c>
      <c r="M187" s="51">
        <f t="shared" si="89"/>
        <v>0</v>
      </c>
      <c r="N187" s="83">
        <f t="shared" si="89"/>
        <v>0</v>
      </c>
      <c r="O187" s="51">
        <f t="shared" si="89"/>
        <v>0</v>
      </c>
      <c r="P187" s="83">
        <f t="shared" si="89"/>
        <v>0</v>
      </c>
    </row>
    <row r="188" spans="1:17" hidden="1" x14ac:dyDescent="0.35">
      <c r="A188" s="41">
        <f>Dashboard!A209</f>
        <v>1</v>
      </c>
      <c r="B188" s="41" t="str">
        <f>Dashboard!B209</f>
        <v>HELLSGATE- EXHAUSTER SALES</v>
      </c>
      <c r="C188" s="41" t="str">
        <f>Dashboard!C209</f>
        <v>Ksh</v>
      </c>
      <c r="D188" s="41">
        <v>57500</v>
      </c>
      <c r="E188" s="50">
        <v>0</v>
      </c>
      <c r="F188" s="50">
        <v>0</v>
      </c>
      <c r="G188" s="50">
        <v>0</v>
      </c>
      <c r="H188" s="50">
        <v>0</v>
      </c>
      <c r="I188" s="50">
        <v>0</v>
      </c>
      <c r="J188" s="50">
        <v>0</v>
      </c>
      <c r="K188" s="50">
        <v>0</v>
      </c>
      <c r="L188" s="50">
        <v>0</v>
      </c>
      <c r="M188" s="50">
        <v>0</v>
      </c>
      <c r="N188" s="50">
        <v>0</v>
      </c>
      <c r="O188" s="50">
        <v>0</v>
      </c>
      <c r="P188" s="50">
        <v>0</v>
      </c>
    </row>
    <row r="189" spans="1:17" hidden="1" x14ac:dyDescent="0.35">
      <c r="A189" s="41">
        <f>Dashboard!A210</f>
        <v>2</v>
      </c>
      <c r="B189" s="41" t="str">
        <f>Dashboard!B210</f>
        <v>KAMERE- EXHAUSTER SALES</v>
      </c>
      <c r="C189" s="41" t="str">
        <f>Dashboard!C210</f>
        <v>Ksh</v>
      </c>
      <c r="E189" s="50">
        <v>0</v>
      </c>
      <c r="F189" s="50">
        <v>0</v>
      </c>
      <c r="G189" s="50">
        <v>0</v>
      </c>
      <c r="H189" s="50">
        <v>0</v>
      </c>
      <c r="I189" s="50">
        <v>0</v>
      </c>
      <c r="J189" s="50">
        <v>0</v>
      </c>
      <c r="K189" s="50">
        <v>0</v>
      </c>
      <c r="L189" s="50">
        <v>0</v>
      </c>
      <c r="M189" s="50">
        <v>0</v>
      </c>
      <c r="N189" s="50">
        <v>0</v>
      </c>
      <c r="O189" s="50">
        <v>0</v>
      </c>
      <c r="P189" s="50">
        <v>0</v>
      </c>
    </row>
    <row r="190" spans="1:17" hidden="1" x14ac:dyDescent="0.35">
      <c r="A190" s="41">
        <f>Dashboard!A214</f>
        <v>2</v>
      </c>
      <c r="B190" s="41" t="str">
        <f>Dashboard!B214</f>
        <v>OTHER- EXHAUSTER SALES</v>
      </c>
      <c r="C190" s="41" t="str">
        <f>Dashboard!C214</f>
        <v>Ksh</v>
      </c>
      <c r="E190" s="50">
        <v>0</v>
      </c>
      <c r="F190" s="50">
        <v>0</v>
      </c>
      <c r="G190" s="50">
        <v>0</v>
      </c>
      <c r="H190" s="50">
        <v>0</v>
      </c>
      <c r="I190" s="50">
        <v>0</v>
      </c>
      <c r="J190" s="50">
        <v>0</v>
      </c>
      <c r="K190" s="50">
        <v>0</v>
      </c>
      <c r="L190" s="50">
        <v>0</v>
      </c>
      <c r="M190" s="50">
        <v>0</v>
      </c>
      <c r="N190" s="50">
        <v>0</v>
      </c>
      <c r="O190" s="50">
        <v>0</v>
      </c>
      <c r="P190" s="50">
        <v>0</v>
      </c>
    </row>
    <row r="191" spans="1:17" hidden="1" x14ac:dyDescent="0.35">
      <c r="A191" s="41">
        <f>Dashboard!A211</f>
        <v>0</v>
      </c>
      <c r="B191" s="41" t="str">
        <f>Dashboard!B211</f>
        <v>TOTAL EXHAUSTER SALES-SOUTHERN</v>
      </c>
      <c r="C191" s="41" t="str">
        <f>Dashboard!C211</f>
        <v>Ksh</v>
      </c>
      <c r="D191" s="41">
        <v>57500</v>
      </c>
      <c r="E191" s="51">
        <f>SUM(E188:E190)</f>
        <v>0</v>
      </c>
      <c r="F191" s="51">
        <f>SUM(F188:F190)</f>
        <v>0</v>
      </c>
      <c r="G191" s="51">
        <f t="shared" ref="G191:P191" si="90">SUM(G188:G190)</f>
        <v>0</v>
      </c>
      <c r="H191" s="51">
        <f t="shared" si="90"/>
        <v>0</v>
      </c>
      <c r="I191" s="51">
        <f t="shared" si="90"/>
        <v>0</v>
      </c>
      <c r="J191" s="51">
        <f t="shared" si="90"/>
        <v>0</v>
      </c>
      <c r="K191" s="51">
        <f t="shared" si="90"/>
        <v>0</v>
      </c>
      <c r="L191" s="51">
        <f t="shared" si="90"/>
        <v>0</v>
      </c>
      <c r="M191" s="51">
        <f t="shared" si="90"/>
        <v>0</v>
      </c>
      <c r="N191" s="83">
        <f t="shared" si="90"/>
        <v>0</v>
      </c>
      <c r="O191" s="51">
        <f t="shared" si="90"/>
        <v>0</v>
      </c>
      <c r="P191" s="83">
        <f t="shared" si="90"/>
        <v>0</v>
      </c>
    </row>
    <row r="192" spans="1:17" hidden="1" x14ac:dyDescent="0.35">
      <c r="A192" s="41">
        <f>Dashboard!A213</f>
        <v>1</v>
      </c>
      <c r="B192" s="41" t="str">
        <f>Dashboard!B213</f>
        <v>KAYOLE- EXHAUSTER SALES</v>
      </c>
      <c r="C192" s="41" t="str">
        <f>Dashboard!C213</f>
        <v>Ksh</v>
      </c>
      <c r="D192" s="41">
        <v>38500</v>
      </c>
      <c r="E192" s="50">
        <v>0</v>
      </c>
      <c r="F192" s="50">
        <v>0</v>
      </c>
      <c r="G192" s="50">
        <v>0</v>
      </c>
      <c r="H192" s="50">
        <v>0</v>
      </c>
      <c r="I192" s="50">
        <v>0</v>
      </c>
      <c r="J192" s="50">
        <v>0</v>
      </c>
      <c r="K192" s="50">
        <v>0</v>
      </c>
      <c r="L192" s="50">
        <v>0</v>
      </c>
      <c r="M192" s="50">
        <v>0</v>
      </c>
      <c r="N192" s="50">
        <v>0</v>
      </c>
      <c r="O192" s="50">
        <v>0</v>
      </c>
      <c r="P192" s="50">
        <v>0</v>
      </c>
    </row>
    <row r="193" spans="1:17" hidden="1" x14ac:dyDescent="0.35">
      <c r="A193" s="41" t="str">
        <f>Dashboard!A215</f>
        <v>SUMMARY EXHAUSTER SALES</v>
      </c>
      <c r="E193" s="53"/>
      <c r="F193" s="53"/>
      <c r="G193" s="53"/>
      <c r="H193" s="53"/>
      <c r="I193" s="53"/>
      <c r="J193" s="53"/>
      <c r="K193" s="53"/>
      <c r="L193" s="53"/>
      <c r="M193" s="53"/>
      <c r="N193" s="81"/>
      <c r="O193" s="53"/>
      <c r="P193" s="81"/>
    </row>
    <row r="194" spans="1:17" ht="15" hidden="1" thickBot="1" x14ac:dyDescent="0.4">
      <c r="A194" s="41">
        <f>Dashboard!A216</f>
        <v>1</v>
      </c>
      <c r="B194" s="41" t="str">
        <f>Dashboard!B216</f>
        <v>EXHAUSTER SALES</v>
      </c>
      <c r="C194" s="41" t="str">
        <f>Dashboard!C216</f>
        <v>Ksh</v>
      </c>
      <c r="D194" s="41">
        <v>193500</v>
      </c>
      <c r="E194" s="57">
        <f>E192+E191+E187</f>
        <v>0</v>
      </c>
      <c r="F194" s="57">
        <f>F192+F191+F187</f>
        <v>0</v>
      </c>
      <c r="G194" s="57">
        <f t="shared" ref="G194:P194" si="91">G192+G191+G187</f>
        <v>0</v>
      </c>
      <c r="H194" s="57">
        <f t="shared" si="91"/>
        <v>0</v>
      </c>
      <c r="I194" s="57">
        <f t="shared" si="91"/>
        <v>0</v>
      </c>
      <c r="J194" s="57">
        <f t="shared" si="91"/>
        <v>0</v>
      </c>
      <c r="K194" s="57">
        <f t="shared" si="91"/>
        <v>0</v>
      </c>
      <c r="L194" s="57">
        <f t="shared" si="91"/>
        <v>0</v>
      </c>
      <c r="M194" s="57">
        <f t="shared" si="91"/>
        <v>0</v>
      </c>
      <c r="N194" s="57">
        <f t="shared" si="91"/>
        <v>0</v>
      </c>
      <c r="O194" s="57">
        <f t="shared" si="91"/>
        <v>0</v>
      </c>
      <c r="P194" s="57">
        <f t="shared" si="91"/>
        <v>0</v>
      </c>
      <c r="Q194" s="53"/>
    </row>
    <row r="195" spans="1:17" ht="15" hidden="1" thickTop="1" x14ac:dyDescent="0.35">
      <c r="A195" s="41" t="str">
        <f>Dashboard!A217</f>
        <v xml:space="preserve">COMPLAINTS </v>
      </c>
    </row>
    <row r="196" spans="1:17" ht="15" hidden="1" thickTop="1" x14ac:dyDescent="0.35">
      <c r="A196" s="41">
        <f>Dashboard!A218</f>
        <v>1</v>
      </c>
      <c r="B196" s="41" t="str">
        <f>Dashboard!B218</f>
        <v>NO. COMPLAINTS BOOKED</v>
      </c>
      <c r="C196" s="41" t="str">
        <f>Dashboard!C218</f>
        <v>No.</v>
      </c>
      <c r="E196">
        <v>411</v>
      </c>
      <c r="F196"/>
      <c r="G196"/>
      <c r="H196"/>
      <c r="I196"/>
      <c r="J196"/>
      <c r="K196"/>
      <c r="L196"/>
      <c r="M196"/>
      <c r="N196" s="86"/>
      <c r="O196"/>
      <c r="P196" s="86"/>
    </row>
    <row r="197" spans="1:17" ht="15" hidden="1" thickTop="1" x14ac:dyDescent="0.35">
      <c r="A197" s="41">
        <f>Dashboard!A219</f>
        <v>2</v>
      </c>
      <c r="B197" s="41" t="str">
        <f>Dashboard!B219</f>
        <v>NO. COMPLAINTS SOLVED</v>
      </c>
      <c r="C197" s="41" t="str">
        <f>Dashboard!C219</f>
        <v>No.</v>
      </c>
      <c r="E197">
        <v>383</v>
      </c>
      <c r="F197"/>
      <c r="G197"/>
      <c r="H197"/>
      <c r="I197"/>
      <c r="J197"/>
      <c r="K197"/>
      <c r="L197"/>
      <c r="M197"/>
      <c r="N197" s="86"/>
      <c r="O197"/>
      <c r="P197" s="86"/>
    </row>
    <row r="198" spans="1:17" ht="15" hidden="1" thickTop="1" x14ac:dyDescent="0.35">
      <c r="A198" s="41">
        <f>Dashboard!A220</f>
        <v>3</v>
      </c>
      <c r="B198" s="41" t="str">
        <f>Dashboard!B220</f>
        <v>% RESOLUTION</v>
      </c>
      <c r="C198" s="41" t="str">
        <f>Dashboard!C220</f>
        <v>%</v>
      </c>
      <c r="E198" s="58">
        <f>E197/E196</f>
        <v>0.93187347931873477</v>
      </c>
      <c r="F198" s="58"/>
      <c r="G198" s="58" t="e">
        <f t="shared" ref="G198:P198" si="92">G197/G196</f>
        <v>#DIV/0!</v>
      </c>
      <c r="H198" s="58" t="e">
        <f t="shared" si="92"/>
        <v>#DIV/0!</v>
      </c>
      <c r="I198" s="58" t="e">
        <f t="shared" si="92"/>
        <v>#DIV/0!</v>
      </c>
      <c r="J198" s="58" t="e">
        <f t="shared" si="92"/>
        <v>#DIV/0!</v>
      </c>
      <c r="K198" s="58" t="e">
        <f t="shared" si="92"/>
        <v>#DIV/0!</v>
      </c>
      <c r="L198" s="58" t="e">
        <f t="shared" si="92"/>
        <v>#DIV/0!</v>
      </c>
      <c r="M198" s="58" t="e">
        <f t="shared" si="92"/>
        <v>#DIV/0!</v>
      </c>
      <c r="N198" s="58" t="e">
        <f t="shared" si="92"/>
        <v>#DIV/0!</v>
      </c>
      <c r="O198" s="58" t="e">
        <f t="shared" si="92"/>
        <v>#DIV/0!</v>
      </c>
      <c r="P198" s="58" t="e">
        <f t="shared" si="92"/>
        <v>#DIV/0!</v>
      </c>
    </row>
    <row r="199" spans="1:17" ht="15" hidden="1" thickTop="1" x14ac:dyDescent="0.35">
      <c r="A199" s="41" t="str">
        <f>Dashboard!A221</f>
        <v>METER READING EFFICIENCY</v>
      </c>
    </row>
    <row r="200" spans="1:17" ht="15" hidden="1" thickTop="1" x14ac:dyDescent="0.35">
      <c r="A200" s="41">
        <f>Dashboard!A222</f>
        <v>1</v>
      </c>
      <c r="B200" s="41" t="str">
        <f>Dashboard!B222</f>
        <v>AVG METERS READ PER METER READER</v>
      </c>
      <c r="C200" s="41" t="str">
        <f>Dashboard!C222</f>
        <v>No.</v>
      </c>
      <c r="E200" s="50">
        <v>1868</v>
      </c>
      <c r="F200" s="50"/>
      <c r="G200" s="50">
        <v>1367</v>
      </c>
      <c r="H200" s="50"/>
      <c r="I200" s="50"/>
      <c r="J200" s="50"/>
      <c r="K200" s="50"/>
      <c r="L200" s="50"/>
      <c r="M200" s="50"/>
      <c r="N200" s="63"/>
      <c r="O200" s="50"/>
      <c r="P200" s="63"/>
    </row>
    <row r="201" spans="1:17" ht="15" hidden="1" thickTop="1" x14ac:dyDescent="0.35">
      <c r="A201" s="41">
        <f>Dashboard!A223</f>
        <v>2</v>
      </c>
      <c r="B201" s="41" t="str">
        <f>Dashboard!B223</f>
        <v>NO DAYS TAKEN METER READING DTI</v>
      </c>
      <c r="C201" s="41" t="str">
        <f>Dashboard!C223</f>
        <v>No.</v>
      </c>
      <c r="E201" s="50">
        <v>9</v>
      </c>
      <c r="F201" s="50"/>
      <c r="G201" s="50"/>
      <c r="H201" s="50"/>
      <c r="I201" s="50"/>
      <c r="J201" s="50"/>
      <c r="K201" s="50"/>
      <c r="L201" s="50"/>
      <c r="M201" s="50"/>
      <c r="N201" s="63"/>
      <c r="O201" s="50"/>
      <c r="P201" s="63"/>
    </row>
    <row r="202" spans="1:17" ht="15" hidden="1" thickTop="1" x14ac:dyDescent="0.35">
      <c r="A202" s="41">
        <f>Dashboard!A224</f>
        <v>3</v>
      </c>
      <c r="B202" s="41" t="str">
        <f>Dashboard!B224</f>
        <v>NO DAYS TAKEN METER READING KARATI</v>
      </c>
      <c r="C202" s="41" t="str">
        <f>Dashboard!C224</f>
        <v>No.</v>
      </c>
      <c r="E202" s="50">
        <v>19</v>
      </c>
      <c r="F202" s="50"/>
      <c r="G202" s="50"/>
      <c r="H202" s="50"/>
      <c r="I202" s="50"/>
      <c r="J202" s="50"/>
      <c r="K202" s="50"/>
      <c r="L202" s="50"/>
      <c r="M202" s="50"/>
      <c r="N202" s="63"/>
      <c r="O202" s="50"/>
      <c r="P202" s="63"/>
    </row>
    <row r="203" spans="1:17" ht="15" hidden="1" thickTop="1" x14ac:dyDescent="0.35"/>
    <row r="204" spans="1:17" hidden="1" x14ac:dyDescent="0.35">
      <c r="E204" s="53"/>
      <c r="M204" s="53"/>
    </row>
    <row r="205" spans="1:17" hidden="1" x14ac:dyDescent="0.35"/>
  </sheetData>
  <pageMargins left="0.7" right="0.7" top="0.75" bottom="0.75" header="0.3" footer="0.3"/>
  <pageSetup orientation="portrait" horizontalDpi="0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8"/>
  <sheetViews>
    <sheetView workbookViewId="0">
      <selection activeCell="F10" sqref="F10"/>
    </sheetView>
  </sheetViews>
  <sheetFormatPr defaultColWidth="9.1796875" defaultRowHeight="14.5" x14ac:dyDescent="0.35"/>
  <cols>
    <col min="1" max="1" width="17.1796875" style="91" customWidth="1"/>
    <col min="2" max="2" width="8.54296875" style="92" bestFit="1" customWidth="1"/>
    <col min="3" max="3" width="38.453125" style="92" customWidth="1"/>
    <col min="4" max="4" width="27.54296875" style="92" bestFit="1" customWidth="1"/>
    <col min="5" max="5" width="24.7265625" style="92" customWidth="1"/>
    <col min="6" max="6" width="20.81640625" style="93" customWidth="1"/>
    <col min="7" max="7" width="19.81640625" style="92" customWidth="1"/>
    <col min="8" max="16384" width="9.1796875" style="92"/>
  </cols>
  <sheetData>
    <row r="1" spans="1:7" ht="18.5" x14ac:dyDescent="0.45">
      <c r="B1" s="396" t="s">
        <v>230</v>
      </c>
      <c r="C1" s="396"/>
      <c r="D1" s="396"/>
    </row>
    <row r="2" spans="1:7" x14ac:dyDescent="0.35">
      <c r="A2" s="397" t="s">
        <v>231</v>
      </c>
      <c r="B2" s="397"/>
      <c r="C2" s="397"/>
      <c r="D2" s="397"/>
      <c r="E2" s="397"/>
      <c r="F2" s="397"/>
      <c r="G2" s="397"/>
    </row>
    <row r="3" spans="1:7" ht="31" x14ac:dyDescent="0.35">
      <c r="A3" s="94" t="s">
        <v>232</v>
      </c>
      <c r="B3" s="94" t="s">
        <v>233</v>
      </c>
      <c r="C3" s="94" t="s">
        <v>234</v>
      </c>
      <c r="D3" s="94" t="s">
        <v>235</v>
      </c>
      <c r="E3" s="94" t="s">
        <v>236</v>
      </c>
      <c r="F3" s="95" t="s">
        <v>237</v>
      </c>
      <c r="G3" s="94" t="s">
        <v>238</v>
      </c>
    </row>
    <row r="4" spans="1:7" ht="30" customHeight="1" x14ac:dyDescent="0.35">
      <c r="A4" s="390" t="s">
        <v>239</v>
      </c>
      <c r="B4" s="391">
        <v>300</v>
      </c>
      <c r="C4" s="92" t="s">
        <v>240</v>
      </c>
      <c r="E4" s="395" t="s">
        <v>241</v>
      </c>
      <c r="F4" s="93">
        <v>0</v>
      </c>
      <c r="G4" s="92" t="s">
        <v>440</v>
      </c>
    </row>
    <row r="5" spans="1:7" x14ac:dyDescent="0.35">
      <c r="A5" s="390"/>
      <c r="B5" s="391"/>
      <c r="C5" s="92" t="s">
        <v>242</v>
      </c>
      <c r="D5" s="96">
        <v>29250</v>
      </c>
      <c r="E5" s="395"/>
      <c r="F5" s="93">
        <v>0</v>
      </c>
    </row>
    <row r="6" spans="1:7" x14ac:dyDescent="0.35">
      <c r="A6" s="390"/>
      <c r="B6" s="391"/>
      <c r="C6" s="92" t="s">
        <v>243</v>
      </c>
      <c r="D6" s="92" t="s">
        <v>244</v>
      </c>
      <c r="E6" s="395"/>
      <c r="F6" s="93">
        <v>0</v>
      </c>
    </row>
    <row r="7" spans="1:7" x14ac:dyDescent="0.35">
      <c r="A7" s="390"/>
      <c r="B7" s="391"/>
      <c r="C7" s="92" t="s">
        <v>245</v>
      </c>
      <c r="D7" s="92" t="s">
        <v>246</v>
      </c>
      <c r="E7" s="395"/>
      <c r="F7" s="93">
        <v>0</v>
      </c>
    </row>
    <row r="8" spans="1:7" x14ac:dyDescent="0.35">
      <c r="A8" s="390"/>
      <c r="B8" s="391"/>
      <c r="C8" s="92" t="s">
        <v>247</v>
      </c>
      <c r="E8" s="395"/>
      <c r="F8" s="93">
        <v>0</v>
      </c>
    </row>
    <row r="9" spans="1:7" x14ac:dyDescent="0.35">
      <c r="A9" s="390"/>
      <c r="B9" s="391"/>
      <c r="C9" s="92" t="s">
        <v>248</v>
      </c>
      <c r="E9" s="395"/>
      <c r="F9" s="93">
        <v>1</v>
      </c>
    </row>
    <row r="10" spans="1:7" ht="30" customHeight="1" x14ac:dyDescent="0.35">
      <c r="A10" s="390" t="s">
        <v>249</v>
      </c>
      <c r="B10" s="391">
        <v>400</v>
      </c>
      <c r="C10" s="92" t="s">
        <v>250</v>
      </c>
      <c r="E10" s="395" t="s">
        <v>241</v>
      </c>
      <c r="F10" s="93">
        <v>0</v>
      </c>
    </row>
    <row r="11" spans="1:7" ht="29" x14ac:dyDescent="0.35">
      <c r="A11" s="390"/>
      <c r="B11" s="391"/>
      <c r="C11" s="92" t="s">
        <v>251</v>
      </c>
      <c r="D11" s="92" t="s">
        <v>244</v>
      </c>
      <c r="E11" s="395"/>
      <c r="F11" s="93">
        <v>0</v>
      </c>
    </row>
    <row r="12" spans="1:7" ht="29" x14ac:dyDescent="0.35">
      <c r="A12" s="390"/>
      <c r="B12" s="391"/>
      <c r="C12" s="92" t="s">
        <v>252</v>
      </c>
      <c r="E12" s="395"/>
      <c r="F12" s="93">
        <v>1</v>
      </c>
    </row>
    <row r="13" spans="1:7" x14ac:dyDescent="0.35">
      <c r="A13" s="390"/>
      <c r="B13" s="391"/>
      <c r="C13" s="92" t="s">
        <v>247</v>
      </c>
      <c r="E13" s="395"/>
      <c r="F13" s="93">
        <v>0</v>
      </c>
    </row>
    <row r="14" spans="1:7" x14ac:dyDescent="0.35">
      <c r="A14" s="390"/>
      <c r="B14" s="391"/>
      <c r="C14" s="92" t="s">
        <v>245</v>
      </c>
      <c r="D14" s="92" t="s">
        <v>246</v>
      </c>
      <c r="E14" s="395"/>
      <c r="F14" s="93">
        <v>0</v>
      </c>
    </row>
    <row r="15" spans="1:7" x14ac:dyDescent="0.35">
      <c r="A15" s="390"/>
      <c r="B15" s="391"/>
      <c r="C15" s="92" t="s">
        <v>253</v>
      </c>
      <c r="D15" s="96">
        <v>29250</v>
      </c>
      <c r="E15" s="395"/>
      <c r="F15" s="93">
        <v>1</v>
      </c>
    </row>
    <row r="16" spans="1:7" ht="15.75" customHeight="1" x14ac:dyDescent="0.35">
      <c r="A16" s="390" t="s">
        <v>254</v>
      </c>
      <c r="B16" s="391">
        <v>300</v>
      </c>
      <c r="C16" s="92" t="s">
        <v>250</v>
      </c>
      <c r="E16" s="395" t="s">
        <v>241</v>
      </c>
      <c r="F16" s="93">
        <v>0</v>
      </c>
    </row>
    <row r="17" spans="1:7" ht="29" x14ac:dyDescent="0.35">
      <c r="A17" s="390"/>
      <c r="B17" s="391"/>
      <c r="C17" s="92" t="s">
        <v>255</v>
      </c>
      <c r="D17" s="92" t="s">
        <v>256</v>
      </c>
      <c r="E17" s="395"/>
      <c r="F17" s="93">
        <v>0</v>
      </c>
      <c r="G17" s="92" t="s">
        <v>441</v>
      </c>
    </row>
    <row r="18" spans="1:7" x14ac:dyDescent="0.35">
      <c r="A18" s="390"/>
      <c r="B18" s="391"/>
      <c r="C18" s="92" t="s">
        <v>248</v>
      </c>
      <c r="E18" s="395"/>
      <c r="F18" s="93">
        <v>1</v>
      </c>
    </row>
    <row r="19" spans="1:7" x14ac:dyDescent="0.35">
      <c r="A19" s="390"/>
      <c r="B19" s="391"/>
      <c r="C19" s="92" t="s">
        <v>245</v>
      </c>
      <c r="D19" s="92" t="s">
        <v>246</v>
      </c>
      <c r="E19" s="395"/>
      <c r="F19" s="93">
        <v>0</v>
      </c>
    </row>
    <row r="20" spans="1:7" x14ac:dyDescent="0.35">
      <c r="A20" s="390"/>
      <c r="B20" s="391"/>
      <c r="C20" s="92" t="s">
        <v>247</v>
      </c>
      <c r="E20" s="395"/>
      <c r="F20" s="93">
        <v>0</v>
      </c>
    </row>
    <row r="21" spans="1:7" x14ac:dyDescent="0.35">
      <c r="A21" s="390"/>
      <c r="B21" s="391"/>
      <c r="C21" s="92" t="s">
        <v>243</v>
      </c>
      <c r="D21" s="92" t="s">
        <v>244</v>
      </c>
      <c r="E21" s="395"/>
      <c r="F21" s="93">
        <v>0</v>
      </c>
    </row>
    <row r="22" spans="1:7" x14ac:dyDescent="0.35">
      <c r="A22" s="390"/>
      <c r="B22" s="391"/>
      <c r="C22" s="394" t="s">
        <v>257</v>
      </c>
      <c r="D22" s="92" t="s">
        <v>258</v>
      </c>
      <c r="E22" s="395"/>
      <c r="F22" s="93">
        <v>0</v>
      </c>
    </row>
    <row r="23" spans="1:7" x14ac:dyDescent="0.35">
      <c r="A23" s="390"/>
      <c r="B23" s="391"/>
      <c r="C23" s="394"/>
      <c r="D23" s="92" t="s">
        <v>259</v>
      </c>
      <c r="E23" s="395"/>
      <c r="F23" s="93">
        <v>0.5</v>
      </c>
    </row>
    <row r="24" spans="1:7" ht="30" customHeight="1" x14ac:dyDescent="0.35">
      <c r="A24" s="390" t="s">
        <v>260</v>
      </c>
      <c r="B24" s="391">
        <v>400</v>
      </c>
      <c r="C24" s="92" t="s">
        <v>250</v>
      </c>
      <c r="E24" s="395" t="s">
        <v>261</v>
      </c>
      <c r="F24" s="93">
        <v>0.5</v>
      </c>
    </row>
    <row r="25" spans="1:7" x14ac:dyDescent="0.35">
      <c r="A25" s="390"/>
      <c r="B25" s="391"/>
      <c r="C25" s="92" t="s">
        <v>247</v>
      </c>
      <c r="E25" s="395"/>
      <c r="F25" s="93">
        <v>0</v>
      </c>
    </row>
    <row r="26" spans="1:7" ht="29" x14ac:dyDescent="0.35">
      <c r="A26" s="390"/>
      <c r="B26" s="391"/>
      <c r="C26" s="92" t="s">
        <v>262</v>
      </c>
      <c r="D26" s="92" t="s">
        <v>256</v>
      </c>
      <c r="E26" s="395"/>
      <c r="F26" s="93">
        <v>0</v>
      </c>
      <c r="G26" s="92" t="s">
        <v>441</v>
      </c>
    </row>
    <row r="27" spans="1:7" x14ac:dyDescent="0.35">
      <c r="A27" s="390"/>
      <c r="B27" s="391"/>
      <c r="C27" s="92" t="s">
        <v>263</v>
      </c>
      <c r="D27" s="92" t="s">
        <v>244</v>
      </c>
      <c r="E27" s="395"/>
      <c r="F27" s="93">
        <v>0.8</v>
      </c>
    </row>
    <row r="28" spans="1:7" x14ac:dyDescent="0.35">
      <c r="A28" s="390"/>
      <c r="B28" s="391"/>
      <c r="C28" s="92" t="s">
        <v>264</v>
      </c>
      <c r="D28" s="92" t="s">
        <v>246</v>
      </c>
      <c r="E28" s="395"/>
      <c r="F28" s="93">
        <v>1</v>
      </c>
    </row>
    <row r="29" spans="1:7" x14ac:dyDescent="0.35">
      <c r="A29" s="390"/>
      <c r="B29" s="391"/>
      <c r="C29" s="92" t="s">
        <v>265</v>
      </c>
      <c r="E29" s="395"/>
      <c r="F29" s="93">
        <v>0.5</v>
      </c>
    </row>
    <row r="30" spans="1:7" ht="23.25" customHeight="1" x14ac:dyDescent="0.35">
      <c r="A30" s="390" t="s">
        <v>266</v>
      </c>
      <c r="B30" s="391">
        <v>100</v>
      </c>
      <c r="C30" s="92" t="s">
        <v>265</v>
      </c>
      <c r="E30" s="393">
        <v>45474</v>
      </c>
      <c r="F30" s="93">
        <v>0</v>
      </c>
    </row>
    <row r="31" spans="1:7" x14ac:dyDescent="0.35">
      <c r="A31" s="390"/>
      <c r="B31" s="391"/>
      <c r="C31" s="92" t="s">
        <v>263</v>
      </c>
      <c r="D31" s="92" t="s">
        <v>244</v>
      </c>
      <c r="E31" s="393"/>
      <c r="F31" s="93">
        <v>0</v>
      </c>
    </row>
    <row r="32" spans="1:7" ht="15.75" customHeight="1" x14ac:dyDescent="0.35">
      <c r="A32" s="390" t="s">
        <v>267</v>
      </c>
      <c r="B32" s="391">
        <v>150</v>
      </c>
      <c r="C32" s="394" t="s">
        <v>257</v>
      </c>
      <c r="D32" s="92" t="s">
        <v>258</v>
      </c>
      <c r="E32" s="393" t="s">
        <v>268</v>
      </c>
      <c r="F32" s="93">
        <v>0</v>
      </c>
    </row>
    <row r="33" spans="1:7" x14ac:dyDescent="0.35">
      <c r="A33" s="390"/>
      <c r="B33" s="391"/>
      <c r="C33" s="394"/>
      <c r="D33" s="92" t="s">
        <v>259</v>
      </c>
      <c r="E33" s="393"/>
      <c r="F33" s="93">
        <v>0</v>
      </c>
    </row>
    <row r="34" spans="1:7" x14ac:dyDescent="0.35">
      <c r="A34" s="390"/>
      <c r="B34" s="391"/>
      <c r="C34" s="92" t="s">
        <v>264</v>
      </c>
      <c r="D34" s="92" t="s">
        <v>246</v>
      </c>
      <c r="E34" s="393"/>
      <c r="F34" s="93">
        <v>0</v>
      </c>
    </row>
    <row r="35" spans="1:7" x14ac:dyDescent="0.35">
      <c r="A35" s="390"/>
      <c r="B35" s="391"/>
      <c r="C35" s="92" t="s">
        <v>247</v>
      </c>
      <c r="E35" s="393"/>
      <c r="F35" s="93">
        <v>0</v>
      </c>
    </row>
    <row r="36" spans="1:7" ht="29" x14ac:dyDescent="0.35">
      <c r="A36" s="390"/>
      <c r="B36" s="391"/>
      <c r="C36" s="92" t="s">
        <v>269</v>
      </c>
      <c r="D36" s="92" t="s">
        <v>244</v>
      </c>
      <c r="E36" s="393"/>
      <c r="F36" s="93">
        <v>0</v>
      </c>
    </row>
    <row r="37" spans="1:7" ht="17.25" customHeight="1" x14ac:dyDescent="0.35">
      <c r="A37" s="390" t="s">
        <v>270</v>
      </c>
      <c r="B37" s="391">
        <v>100</v>
      </c>
      <c r="C37" s="392" t="s">
        <v>271</v>
      </c>
      <c r="D37" s="92" t="s">
        <v>258</v>
      </c>
      <c r="E37" s="393">
        <v>45474</v>
      </c>
      <c r="F37" s="93">
        <v>0.33300000000000002</v>
      </c>
    </row>
    <row r="38" spans="1:7" x14ac:dyDescent="0.35">
      <c r="A38" s="390"/>
      <c r="B38" s="391"/>
      <c r="C38" s="392"/>
      <c r="D38" s="92" t="s">
        <v>259</v>
      </c>
      <c r="E38" s="393"/>
      <c r="F38" s="93">
        <v>0</v>
      </c>
    </row>
    <row r="39" spans="1:7" x14ac:dyDescent="0.35">
      <c r="A39" s="390"/>
      <c r="B39" s="391"/>
      <c r="C39" s="92" t="s">
        <v>264</v>
      </c>
      <c r="D39" s="92" t="s">
        <v>246</v>
      </c>
      <c r="E39" s="393"/>
      <c r="F39" s="93">
        <v>0</v>
      </c>
    </row>
    <row r="40" spans="1:7" x14ac:dyDescent="0.35">
      <c r="A40" s="390"/>
      <c r="B40" s="391"/>
      <c r="C40" s="92" t="s">
        <v>247</v>
      </c>
      <c r="E40" s="393"/>
      <c r="F40" s="93">
        <v>1</v>
      </c>
    </row>
    <row r="41" spans="1:7" ht="15.75" customHeight="1" x14ac:dyDescent="0.35">
      <c r="A41" s="390" t="s">
        <v>272</v>
      </c>
      <c r="B41" s="391">
        <v>100</v>
      </c>
      <c r="C41" s="392" t="s">
        <v>271</v>
      </c>
      <c r="D41" s="92" t="s">
        <v>258</v>
      </c>
      <c r="E41" s="393">
        <v>45536</v>
      </c>
      <c r="F41" s="93">
        <v>0</v>
      </c>
    </row>
    <row r="42" spans="1:7" x14ac:dyDescent="0.35">
      <c r="A42" s="390"/>
      <c r="B42" s="391"/>
      <c r="C42" s="392"/>
      <c r="D42" s="92" t="s">
        <v>259</v>
      </c>
      <c r="E42" s="393"/>
      <c r="F42" s="93">
        <v>0</v>
      </c>
    </row>
    <row r="43" spans="1:7" x14ac:dyDescent="0.35">
      <c r="A43" s="390"/>
      <c r="B43" s="391"/>
      <c r="C43" s="92" t="s">
        <v>250</v>
      </c>
      <c r="E43" s="393"/>
      <c r="F43" s="93">
        <v>0</v>
      </c>
    </row>
    <row r="44" spans="1:7" ht="29" x14ac:dyDescent="0.35">
      <c r="A44" s="390"/>
      <c r="B44" s="391"/>
      <c r="C44" s="92" t="s">
        <v>255</v>
      </c>
      <c r="D44" s="92" t="s">
        <v>256</v>
      </c>
      <c r="E44" s="393"/>
      <c r="F44" s="93">
        <v>0</v>
      </c>
      <c r="G44" s="92" t="s">
        <v>441</v>
      </c>
    </row>
    <row r="45" spans="1:7" x14ac:dyDescent="0.35">
      <c r="A45" s="390"/>
      <c r="B45" s="391"/>
      <c r="C45" s="92" t="s">
        <v>264</v>
      </c>
      <c r="D45" s="92" t="s">
        <v>246</v>
      </c>
      <c r="E45" s="393"/>
      <c r="F45" s="93">
        <v>0</v>
      </c>
    </row>
    <row r="46" spans="1:7" x14ac:dyDescent="0.35">
      <c r="A46" s="390"/>
      <c r="B46" s="391"/>
      <c r="C46" s="92" t="s">
        <v>247</v>
      </c>
      <c r="E46" s="393"/>
      <c r="F46" s="93">
        <v>0</v>
      </c>
    </row>
    <row r="47" spans="1:7" x14ac:dyDescent="0.35">
      <c r="A47" s="390"/>
      <c r="B47" s="391"/>
      <c r="C47" s="92" t="s">
        <v>273</v>
      </c>
      <c r="E47" s="393"/>
      <c r="F47" s="93">
        <v>0</v>
      </c>
    </row>
    <row r="48" spans="1:7" x14ac:dyDescent="0.35">
      <c r="A48" s="390" t="s">
        <v>274</v>
      </c>
      <c r="B48" s="391">
        <v>100</v>
      </c>
      <c r="C48" s="392" t="s">
        <v>271</v>
      </c>
      <c r="D48" s="92" t="s">
        <v>275</v>
      </c>
      <c r="E48" s="391" t="s">
        <v>268</v>
      </c>
      <c r="F48" s="93">
        <v>0</v>
      </c>
    </row>
    <row r="49" spans="1:7" x14ac:dyDescent="0.35">
      <c r="A49" s="390"/>
      <c r="B49" s="391"/>
      <c r="C49" s="392"/>
      <c r="D49" s="92" t="s">
        <v>259</v>
      </c>
      <c r="E49" s="391"/>
      <c r="F49" s="93">
        <v>0</v>
      </c>
    </row>
    <row r="50" spans="1:7" x14ac:dyDescent="0.35">
      <c r="A50" s="390"/>
      <c r="B50" s="391"/>
      <c r="C50" s="92" t="s">
        <v>247</v>
      </c>
      <c r="E50" s="391"/>
      <c r="F50" s="93">
        <v>0</v>
      </c>
    </row>
    <row r="51" spans="1:7" x14ac:dyDescent="0.35">
      <c r="A51" s="390"/>
      <c r="B51" s="391"/>
      <c r="C51" s="92" t="s">
        <v>250</v>
      </c>
      <c r="E51" s="391"/>
      <c r="F51" s="93">
        <v>0</v>
      </c>
    </row>
    <row r="52" spans="1:7" ht="29" x14ac:dyDescent="0.35">
      <c r="A52" s="390"/>
      <c r="B52" s="391"/>
      <c r="C52" s="92" t="s">
        <v>255</v>
      </c>
      <c r="D52" s="96">
        <v>29250</v>
      </c>
      <c r="E52" s="391"/>
      <c r="F52" s="93">
        <v>0</v>
      </c>
      <c r="G52" s="92" t="s">
        <v>441</v>
      </c>
    </row>
    <row r="53" spans="1:7" x14ac:dyDescent="0.35">
      <c r="A53" s="390"/>
      <c r="B53" s="391"/>
      <c r="C53" s="92" t="s">
        <v>276</v>
      </c>
      <c r="D53" s="92" t="s">
        <v>442</v>
      </c>
      <c r="E53" s="391"/>
      <c r="F53" s="93">
        <v>1</v>
      </c>
    </row>
    <row r="54" spans="1:7" ht="18" customHeight="1" x14ac:dyDescent="0.35">
      <c r="A54" s="390" t="s">
        <v>277</v>
      </c>
      <c r="B54" s="391">
        <v>300</v>
      </c>
      <c r="C54" s="92" t="s">
        <v>250</v>
      </c>
      <c r="E54" s="391" t="s">
        <v>268</v>
      </c>
      <c r="F54" s="93">
        <v>0</v>
      </c>
    </row>
    <row r="55" spans="1:7" ht="29" x14ac:dyDescent="0.35">
      <c r="A55" s="390"/>
      <c r="B55" s="391"/>
      <c r="C55" s="92" t="s">
        <v>255</v>
      </c>
      <c r="D55" s="96">
        <v>29250</v>
      </c>
      <c r="E55" s="391"/>
      <c r="F55" s="93">
        <v>0</v>
      </c>
      <c r="G55" s="92" t="s">
        <v>441</v>
      </c>
    </row>
    <row r="56" spans="1:7" x14ac:dyDescent="0.35">
      <c r="A56" s="390"/>
      <c r="B56" s="391"/>
      <c r="C56" s="92" t="s">
        <v>278</v>
      </c>
      <c r="D56" s="92" t="s">
        <v>279</v>
      </c>
      <c r="E56" s="391"/>
      <c r="F56" s="93">
        <v>0</v>
      </c>
    </row>
    <row r="57" spans="1:7" x14ac:dyDescent="0.35">
      <c r="A57" s="390"/>
      <c r="B57" s="391"/>
      <c r="C57" s="92" t="s">
        <v>276</v>
      </c>
      <c r="D57" s="92" t="s">
        <v>442</v>
      </c>
      <c r="E57" s="391"/>
      <c r="F57" s="93">
        <v>1</v>
      </c>
    </row>
    <row r="58" spans="1:7" x14ac:dyDescent="0.35">
      <c r="A58" s="390"/>
      <c r="B58" s="391"/>
      <c r="C58" s="92" t="s">
        <v>247</v>
      </c>
      <c r="E58" s="391"/>
      <c r="F58" s="93">
        <v>0</v>
      </c>
    </row>
  </sheetData>
  <mergeCells count="37">
    <mergeCell ref="A10:A15"/>
    <mergeCell ref="B10:B15"/>
    <mergeCell ref="E10:E15"/>
    <mergeCell ref="B1:D1"/>
    <mergeCell ref="A2:G2"/>
    <mergeCell ref="A4:A9"/>
    <mergeCell ref="B4:B9"/>
    <mergeCell ref="E4:E9"/>
    <mergeCell ref="A16:A23"/>
    <mergeCell ref="B16:B23"/>
    <mergeCell ref="E16:E23"/>
    <mergeCell ref="C22:C23"/>
    <mergeCell ref="A24:A29"/>
    <mergeCell ref="B24:B29"/>
    <mergeCell ref="E24:E29"/>
    <mergeCell ref="A30:A31"/>
    <mergeCell ref="B30:B31"/>
    <mergeCell ref="E30:E31"/>
    <mergeCell ref="A32:A36"/>
    <mergeCell ref="B32:B36"/>
    <mergeCell ref="C32:C33"/>
    <mergeCell ref="E32:E36"/>
    <mergeCell ref="A37:A40"/>
    <mergeCell ref="B37:B40"/>
    <mergeCell ref="C37:C38"/>
    <mergeCell ref="E37:E40"/>
    <mergeCell ref="A41:A47"/>
    <mergeCell ref="B41:B47"/>
    <mergeCell ref="C41:C42"/>
    <mergeCell ref="E41:E47"/>
    <mergeCell ref="A48:A53"/>
    <mergeCell ref="B48:B53"/>
    <mergeCell ref="C48:C49"/>
    <mergeCell ref="E48:E53"/>
    <mergeCell ref="A54:A58"/>
    <mergeCell ref="B54:B58"/>
    <mergeCell ref="E54:E58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BB711"/>
  <sheetViews>
    <sheetView workbookViewId="0">
      <selection activeCell="C9" sqref="C9"/>
    </sheetView>
  </sheetViews>
  <sheetFormatPr defaultRowHeight="16" x14ac:dyDescent="0.5"/>
  <cols>
    <col min="1" max="1" width="8.26953125" style="154" customWidth="1"/>
    <col min="2" max="2" width="51.26953125" style="108" customWidth="1"/>
    <col min="3" max="3" width="34.7265625" style="354" bestFit="1" customWidth="1"/>
    <col min="4" max="4" width="3.26953125" style="107" customWidth="1"/>
    <col min="5" max="6" width="3.26953125" style="108" customWidth="1"/>
    <col min="7" max="7" width="3.26953125" style="109" customWidth="1"/>
    <col min="8" max="8" width="3.26953125" style="107" customWidth="1"/>
    <col min="9" max="10" width="3.26953125" style="108" customWidth="1"/>
    <col min="11" max="11" width="3.26953125" style="109" customWidth="1"/>
    <col min="12" max="12" width="3.26953125" style="107" customWidth="1"/>
    <col min="13" max="14" width="3.26953125" style="108" customWidth="1"/>
    <col min="15" max="15" width="3.26953125" style="109" customWidth="1"/>
    <col min="16" max="16" width="3.26953125" style="107" customWidth="1"/>
    <col min="17" max="18" width="3.26953125" style="108" customWidth="1"/>
    <col min="19" max="19" width="3.26953125" style="109" customWidth="1"/>
    <col min="20" max="20" width="3.26953125" style="107" customWidth="1"/>
    <col min="21" max="21" width="3.26953125" style="108" customWidth="1"/>
    <col min="22" max="22" width="4.1796875" style="108" customWidth="1"/>
    <col min="23" max="23" width="4.453125" style="109" customWidth="1"/>
    <col min="24" max="24" width="3.26953125" style="355" customWidth="1"/>
    <col min="25" max="26" width="3.26953125" style="105" customWidth="1"/>
    <col min="27" max="27" width="3.26953125" style="356" customWidth="1"/>
    <col min="28" max="28" width="3.26953125" style="107" customWidth="1"/>
    <col min="29" max="30" width="3.26953125" style="108" customWidth="1"/>
    <col min="31" max="31" width="3.26953125" style="109" customWidth="1"/>
    <col min="32" max="32" width="3.26953125" style="107" customWidth="1"/>
    <col min="33" max="34" width="3.26953125" style="108" customWidth="1"/>
    <col min="35" max="35" width="3.26953125" style="109" customWidth="1"/>
    <col min="36" max="36" width="3.26953125" style="107" customWidth="1"/>
    <col min="37" max="38" width="3.26953125" style="108" customWidth="1"/>
    <col min="39" max="39" width="3.26953125" style="109" customWidth="1"/>
    <col min="40" max="40" width="3.26953125" style="107" customWidth="1"/>
    <col min="41" max="42" width="3.26953125" style="108" customWidth="1"/>
    <col min="43" max="43" width="3.26953125" style="109" customWidth="1"/>
    <col min="44" max="44" width="3.26953125" style="107" customWidth="1"/>
    <col min="45" max="46" width="3.26953125" style="108" customWidth="1"/>
    <col min="47" max="47" width="3.26953125" style="109" customWidth="1"/>
    <col min="48" max="48" width="4.7265625" style="107" customWidth="1"/>
    <col min="49" max="50" width="3.26953125" style="108" customWidth="1"/>
    <col min="51" max="51" width="3.26953125" style="109" customWidth="1"/>
    <col min="52" max="52" width="17.7265625" style="159" customWidth="1"/>
    <col min="53" max="53" width="27.453125" style="217" customWidth="1"/>
    <col min="54" max="54" width="20.453125" style="168" customWidth="1"/>
    <col min="55" max="55" width="11" style="103" bestFit="1" customWidth="1"/>
    <col min="56" max="256" width="9.1796875" style="103"/>
    <col min="257" max="257" width="8.26953125" style="103" customWidth="1"/>
    <col min="258" max="258" width="75.81640625" style="103" customWidth="1"/>
    <col min="259" max="259" width="23.26953125" style="103" customWidth="1"/>
    <col min="260" max="277" width="3.26953125" style="103" customWidth="1"/>
    <col min="278" max="278" width="4.1796875" style="103" customWidth="1"/>
    <col min="279" max="279" width="4.453125" style="103" customWidth="1"/>
    <col min="280" max="303" width="3.26953125" style="103" customWidth="1"/>
    <col min="304" max="304" width="4.7265625" style="103" customWidth="1"/>
    <col min="305" max="307" width="3.26953125" style="103" customWidth="1"/>
    <col min="308" max="308" width="17.7265625" style="103" customWidth="1"/>
    <col min="309" max="309" width="27.453125" style="103" customWidth="1"/>
    <col min="310" max="310" width="20.453125" style="103" customWidth="1"/>
    <col min="311" max="512" width="9.1796875" style="103"/>
    <col min="513" max="513" width="8.26953125" style="103" customWidth="1"/>
    <col min="514" max="514" width="75.81640625" style="103" customWidth="1"/>
    <col min="515" max="515" width="23.26953125" style="103" customWidth="1"/>
    <col min="516" max="533" width="3.26953125" style="103" customWidth="1"/>
    <col min="534" max="534" width="4.1796875" style="103" customWidth="1"/>
    <col min="535" max="535" width="4.453125" style="103" customWidth="1"/>
    <col min="536" max="559" width="3.26953125" style="103" customWidth="1"/>
    <col min="560" max="560" width="4.7265625" style="103" customWidth="1"/>
    <col min="561" max="563" width="3.26953125" style="103" customWidth="1"/>
    <col min="564" max="564" width="17.7265625" style="103" customWidth="1"/>
    <col min="565" max="565" width="27.453125" style="103" customWidth="1"/>
    <col min="566" max="566" width="20.453125" style="103" customWidth="1"/>
    <col min="567" max="768" width="9.1796875" style="103"/>
    <col min="769" max="769" width="8.26953125" style="103" customWidth="1"/>
    <col min="770" max="770" width="75.81640625" style="103" customWidth="1"/>
    <col min="771" max="771" width="23.26953125" style="103" customWidth="1"/>
    <col min="772" max="789" width="3.26953125" style="103" customWidth="1"/>
    <col min="790" max="790" width="4.1796875" style="103" customWidth="1"/>
    <col min="791" max="791" width="4.453125" style="103" customWidth="1"/>
    <col min="792" max="815" width="3.26953125" style="103" customWidth="1"/>
    <col min="816" max="816" width="4.7265625" style="103" customWidth="1"/>
    <col min="817" max="819" width="3.26953125" style="103" customWidth="1"/>
    <col min="820" max="820" width="17.7265625" style="103" customWidth="1"/>
    <col min="821" max="821" width="27.453125" style="103" customWidth="1"/>
    <col min="822" max="822" width="20.453125" style="103" customWidth="1"/>
    <col min="823" max="1024" width="9.1796875" style="103"/>
    <col min="1025" max="1025" width="8.26953125" style="103" customWidth="1"/>
    <col min="1026" max="1026" width="75.81640625" style="103" customWidth="1"/>
    <col min="1027" max="1027" width="23.26953125" style="103" customWidth="1"/>
    <col min="1028" max="1045" width="3.26953125" style="103" customWidth="1"/>
    <col min="1046" max="1046" width="4.1796875" style="103" customWidth="1"/>
    <col min="1047" max="1047" width="4.453125" style="103" customWidth="1"/>
    <col min="1048" max="1071" width="3.26953125" style="103" customWidth="1"/>
    <col min="1072" max="1072" width="4.7265625" style="103" customWidth="1"/>
    <col min="1073" max="1075" width="3.26953125" style="103" customWidth="1"/>
    <col min="1076" max="1076" width="17.7265625" style="103" customWidth="1"/>
    <col min="1077" max="1077" width="27.453125" style="103" customWidth="1"/>
    <col min="1078" max="1078" width="20.453125" style="103" customWidth="1"/>
    <col min="1079" max="1280" width="9.1796875" style="103"/>
    <col min="1281" max="1281" width="8.26953125" style="103" customWidth="1"/>
    <col min="1282" max="1282" width="75.81640625" style="103" customWidth="1"/>
    <col min="1283" max="1283" width="23.26953125" style="103" customWidth="1"/>
    <col min="1284" max="1301" width="3.26953125" style="103" customWidth="1"/>
    <col min="1302" max="1302" width="4.1796875" style="103" customWidth="1"/>
    <col min="1303" max="1303" width="4.453125" style="103" customWidth="1"/>
    <col min="1304" max="1327" width="3.26953125" style="103" customWidth="1"/>
    <col min="1328" max="1328" width="4.7265625" style="103" customWidth="1"/>
    <col min="1329" max="1331" width="3.26953125" style="103" customWidth="1"/>
    <col min="1332" max="1332" width="17.7265625" style="103" customWidth="1"/>
    <col min="1333" max="1333" width="27.453125" style="103" customWidth="1"/>
    <col min="1334" max="1334" width="20.453125" style="103" customWidth="1"/>
    <col min="1335" max="1536" width="9.1796875" style="103"/>
    <col min="1537" max="1537" width="8.26953125" style="103" customWidth="1"/>
    <col min="1538" max="1538" width="75.81640625" style="103" customWidth="1"/>
    <col min="1539" max="1539" width="23.26953125" style="103" customWidth="1"/>
    <col min="1540" max="1557" width="3.26953125" style="103" customWidth="1"/>
    <col min="1558" max="1558" width="4.1796875" style="103" customWidth="1"/>
    <col min="1559" max="1559" width="4.453125" style="103" customWidth="1"/>
    <col min="1560" max="1583" width="3.26953125" style="103" customWidth="1"/>
    <col min="1584" max="1584" width="4.7265625" style="103" customWidth="1"/>
    <col min="1585" max="1587" width="3.26953125" style="103" customWidth="1"/>
    <col min="1588" max="1588" width="17.7265625" style="103" customWidth="1"/>
    <col min="1589" max="1589" width="27.453125" style="103" customWidth="1"/>
    <col min="1590" max="1590" width="20.453125" style="103" customWidth="1"/>
    <col min="1591" max="1792" width="9.1796875" style="103"/>
    <col min="1793" max="1793" width="8.26953125" style="103" customWidth="1"/>
    <col min="1794" max="1794" width="75.81640625" style="103" customWidth="1"/>
    <col min="1795" max="1795" width="23.26953125" style="103" customWidth="1"/>
    <col min="1796" max="1813" width="3.26953125" style="103" customWidth="1"/>
    <col min="1814" max="1814" width="4.1796875" style="103" customWidth="1"/>
    <col min="1815" max="1815" width="4.453125" style="103" customWidth="1"/>
    <col min="1816" max="1839" width="3.26953125" style="103" customWidth="1"/>
    <col min="1840" max="1840" width="4.7265625" style="103" customWidth="1"/>
    <col min="1841" max="1843" width="3.26953125" style="103" customWidth="1"/>
    <col min="1844" max="1844" width="17.7265625" style="103" customWidth="1"/>
    <col min="1845" max="1845" width="27.453125" style="103" customWidth="1"/>
    <col min="1846" max="1846" width="20.453125" style="103" customWidth="1"/>
    <col min="1847" max="2048" width="9.1796875" style="103"/>
    <col min="2049" max="2049" width="8.26953125" style="103" customWidth="1"/>
    <col min="2050" max="2050" width="75.81640625" style="103" customWidth="1"/>
    <col min="2051" max="2051" width="23.26953125" style="103" customWidth="1"/>
    <col min="2052" max="2069" width="3.26953125" style="103" customWidth="1"/>
    <col min="2070" max="2070" width="4.1796875" style="103" customWidth="1"/>
    <col min="2071" max="2071" width="4.453125" style="103" customWidth="1"/>
    <col min="2072" max="2095" width="3.26953125" style="103" customWidth="1"/>
    <col min="2096" max="2096" width="4.7265625" style="103" customWidth="1"/>
    <col min="2097" max="2099" width="3.26953125" style="103" customWidth="1"/>
    <col min="2100" max="2100" width="17.7265625" style="103" customWidth="1"/>
    <col min="2101" max="2101" width="27.453125" style="103" customWidth="1"/>
    <col min="2102" max="2102" width="20.453125" style="103" customWidth="1"/>
    <col min="2103" max="2304" width="9.1796875" style="103"/>
    <col min="2305" max="2305" width="8.26953125" style="103" customWidth="1"/>
    <col min="2306" max="2306" width="75.81640625" style="103" customWidth="1"/>
    <col min="2307" max="2307" width="23.26953125" style="103" customWidth="1"/>
    <col min="2308" max="2325" width="3.26953125" style="103" customWidth="1"/>
    <col min="2326" max="2326" width="4.1796875" style="103" customWidth="1"/>
    <col min="2327" max="2327" width="4.453125" style="103" customWidth="1"/>
    <col min="2328" max="2351" width="3.26953125" style="103" customWidth="1"/>
    <col min="2352" max="2352" width="4.7265625" style="103" customWidth="1"/>
    <col min="2353" max="2355" width="3.26953125" style="103" customWidth="1"/>
    <col min="2356" max="2356" width="17.7265625" style="103" customWidth="1"/>
    <col min="2357" max="2357" width="27.453125" style="103" customWidth="1"/>
    <col min="2358" max="2358" width="20.453125" style="103" customWidth="1"/>
    <col min="2359" max="2560" width="9.1796875" style="103"/>
    <col min="2561" max="2561" width="8.26953125" style="103" customWidth="1"/>
    <col min="2562" max="2562" width="75.81640625" style="103" customWidth="1"/>
    <col min="2563" max="2563" width="23.26953125" style="103" customWidth="1"/>
    <col min="2564" max="2581" width="3.26953125" style="103" customWidth="1"/>
    <col min="2582" max="2582" width="4.1796875" style="103" customWidth="1"/>
    <col min="2583" max="2583" width="4.453125" style="103" customWidth="1"/>
    <col min="2584" max="2607" width="3.26953125" style="103" customWidth="1"/>
    <col min="2608" max="2608" width="4.7265625" style="103" customWidth="1"/>
    <col min="2609" max="2611" width="3.26953125" style="103" customWidth="1"/>
    <col min="2612" max="2612" width="17.7265625" style="103" customWidth="1"/>
    <col min="2613" max="2613" width="27.453125" style="103" customWidth="1"/>
    <col min="2614" max="2614" width="20.453125" style="103" customWidth="1"/>
    <col min="2615" max="2816" width="9.1796875" style="103"/>
    <col min="2817" max="2817" width="8.26953125" style="103" customWidth="1"/>
    <col min="2818" max="2818" width="75.81640625" style="103" customWidth="1"/>
    <col min="2819" max="2819" width="23.26953125" style="103" customWidth="1"/>
    <col min="2820" max="2837" width="3.26953125" style="103" customWidth="1"/>
    <col min="2838" max="2838" width="4.1796875" style="103" customWidth="1"/>
    <col min="2839" max="2839" width="4.453125" style="103" customWidth="1"/>
    <col min="2840" max="2863" width="3.26953125" style="103" customWidth="1"/>
    <col min="2864" max="2864" width="4.7265625" style="103" customWidth="1"/>
    <col min="2865" max="2867" width="3.26953125" style="103" customWidth="1"/>
    <col min="2868" max="2868" width="17.7265625" style="103" customWidth="1"/>
    <col min="2869" max="2869" width="27.453125" style="103" customWidth="1"/>
    <col min="2870" max="2870" width="20.453125" style="103" customWidth="1"/>
    <col min="2871" max="3072" width="9.1796875" style="103"/>
    <col min="3073" max="3073" width="8.26953125" style="103" customWidth="1"/>
    <col min="3074" max="3074" width="75.81640625" style="103" customWidth="1"/>
    <col min="3075" max="3075" width="23.26953125" style="103" customWidth="1"/>
    <col min="3076" max="3093" width="3.26953125" style="103" customWidth="1"/>
    <col min="3094" max="3094" width="4.1796875" style="103" customWidth="1"/>
    <col min="3095" max="3095" width="4.453125" style="103" customWidth="1"/>
    <col min="3096" max="3119" width="3.26953125" style="103" customWidth="1"/>
    <col min="3120" max="3120" width="4.7265625" style="103" customWidth="1"/>
    <col min="3121" max="3123" width="3.26953125" style="103" customWidth="1"/>
    <col min="3124" max="3124" width="17.7265625" style="103" customWidth="1"/>
    <col min="3125" max="3125" width="27.453125" style="103" customWidth="1"/>
    <col min="3126" max="3126" width="20.453125" style="103" customWidth="1"/>
    <col min="3127" max="3328" width="9.1796875" style="103"/>
    <col min="3329" max="3329" width="8.26953125" style="103" customWidth="1"/>
    <col min="3330" max="3330" width="75.81640625" style="103" customWidth="1"/>
    <col min="3331" max="3331" width="23.26953125" style="103" customWidth="1"/>
    <col min="3332" max="3349" width="3.26953125" style="103" customWidth="1"/>
    <col min="3350" max="3350" width="4.1796875" style="103" customWidth="1"/>
    <col min="3351" max="3351" width="4.453125" style="103" customWidth="1"/>
    <col min="3352" max="3375" width="3.26953125" style="103" customWidth="1"/>
    <col min="3376" max="3376" width="4.7265625" style="103" customWidth="1"/>
    <col min="3377" max="3379" width="3.26953125" style="103" customWidth="1"/>
    <col min="3380" max="3380" width="17.7265625" style="103" customWidth="1"/>
    <col min="3381" max="3381" width="27.453125" style="103" customWidth="1"/>
    <col min="3382" max="3382" width="20.453125" style="103" customWidth="1"/>
    <col min="3383" max="3584" width="9.1796875" style="103"/>
    <col min="3585" max="3585" width="8.26953125" style="103" customWidth="1"/>
    <col min="3586" max="3586" width="75.81640625" style="103" customWidth="1"/>
    <col min="3587" max="3587" width="23.26953125" style="103" customWidth="1"/>
    <col min="3588" max="3605" width="3.26953125" style="103" customWidth="1"/>
    <col min="3606" max="3606" width="4.1796875" style="103" customWidth="1"/>
    <col min="3607" max="3607" width="4.453125" style="103" customWidth="1"/>
    <col min="3608" max="3631" width="3.26953125" style="103" customWidth="1"/>
    <col min="3632" max="3632" width="4.7265625" style="103" customWidth="1"/>
    <col min="3633" max="3635" width="3.26953125" style="103" customWidth="1"/>
    <col min="3636" max="3636" width="17.7265625" style="103" customWidth="1"/>
    <col min="3637" max="3637" width="27.453125" style="103" customWidth="1"/>
    <col min="3638" max="3638" width="20.453125" style="103" customWidth="1"/>
    <col min="3639" max="3840" width="9.1796875" style="103"/>
    <col min="3841" max="3841" width="8.26953125" style="103" customWidth="1"/>
    <col min="3842" max="3842" width="75.81640625" style="103" customWidth="1"/>
    <col min="3843" max="3843" width="23.26953125" style="103" customWidth="1"/>
    <col min="3844" max="3861" width="3.26953125" style="103" customWidth="1"/>
    <col min="3862" max="3862" width="4.1796875" style="103" customWidth="1"/>
    <col min="3863" max="3863" width="4.453125" style="103" customWidth="1"/>
    <col min="3864" max="3887" width="3.26953125" style="103" customWidth="1"/>
    <col min="3888" max="3888" width="4.7265625" style="103" customWidth="1"/>
    <col min="3889" max="3891" width="3.26953125" style="103" customWidth="1"/>
    <col min="3892" max="3892" width="17.7265625" style="103" customWidth="1"/>
    <col min="3893" max="3893" width="27.453125" style="103" customWidth="1"/>
    <col min="3894" max="3894" width="20.453125" style="103" customWidth="1"/>
    <col min="3895" max="4096" width="9.1796875" style="103"/>
    <col min="4097" max="4097" width="8.26953125" style="103" customWidth="1"/>
    <col min="4098" max="4098" width="75.81640625" style="103" customWidth="1"/>
    <col min="4099" max="4099" width="23.26953125" style="103" customWidth="1"/>
    <col min="4100" max="4117" width="3.26953125" style="103" customWidth="1"/>
    <col min="4118" max="4118" width="4.1796875" style="103" customWidth="1"/>
    <col min="4119" max="4119" width="4.453125" style="103" customWidth="1"/>
    <col min="4120" max="4143" width="3.26953125" style="103" customWidth="1"/>
    <col min="4144" max="4144" width="4.7265625" style="103" customWidth="1"/>
    <col min="4145" max="4147" width="3.26953125" style="103" customWidth="1"/>
    <col min="4148" max="4148" width="17.7265625" style="103" customWidth="1"/>
    <col min="4149" max="4149" width="27.453125" style="103" customWidth="1"/>
    <col min="4150" max="4150" width="20.453125" style="103" customWidth="1"/>
    <col min="4151" max="4352" width="9.1796875" style="103"/>
    <col min="4353" max="4353" width="8.26953125" style="103" customWidth="1"/>
    <col min="4354" max="4354" width="75.81640625" style="103" customWidth="1"/>
    <col min="4355" max="4355" width="23.26953125" style="103" customWidth="1"/>
    <col min="4356" max="4373" width="3.26953125" style="103" customWidth="1"/>
    <col min="4374" max="4374" width="4.1796875" style="103" customWidth="1"/>
    <col min="4375" max="4375" width="4.453125" style="103" customWidth="1"/>
    <col min="4376" max="4399" width="3.26953125" style="103" customWidth="1"/>
    <col min="4400" max="4400" width="4.7265625" style="103" customWidth="1"/>
    <col min="4401" max="4403" width="3.26953125" style="103" customWidth="1"/>
    <col min="4404" max="4404" width="17.7265625" style="103" customWidth="1"/>
    <col min="4405" max="4405" width="27.453125" style="103" customWidth="1"/>
    <col min="4406" max="4406" width="20.453125" style="103" customWidth="1"/>
    <col min="4407" max="4608" width="9.1796875" style="103"/>
    <col min="4609" max="4609" width="8.26953125" style="103" customWidth="1"/>
    <col min="4610" max="4610" width="75.81640625" style="103" customWidth="1"/>
    <col min="4611" max="4611" width="23.26953125" style="103" customWidth="1"/>
    <col min="4612" max="4629" width="3.26953125" style="103" customWidth="1"/>
    <col min="4630" max="4630" width="4.1796875" style="103" customWidth="1"/>
    <col min="4631" max="4631" width="4.453125" style="103" customWidth="1"/>
    <col min="4632" max="4655" width="3.26953125" style="103" customWidth="1"/>
    <col min="4656" max="4656" width="4.7265625" style="103" customWidth="1"/>
    <col min="4657" max="4659" width="3.26953125" style="103" customWidth="1"/>
    <col min="4660" max="4660" width="17.7265625" style="103" customWidth="1"/>
    <col min="4661" max="4661" width="27.453125" style="103" customWidth="1"/>
    <col min="4662" max="4662" width="20.453125" style="103" customWidth="1"/>
    <col min="4663" max="4864" width="9.1796875" style="103"/>
    <col min="4865" max="4865" width="8.26953125" style="103" customWidth="1"/>
    <col min="4866" max="4866" width="75.81640625" style="103" customWidth="1"/>
    <col min="4867" max="4867" width="23.26953125" style="103" customWidth="1"/>
    <col min="4868" max="4885" width="3.26953125" style="103" customWidth="1"/>
    <col min="4886" max="4886" width="4.1796875" style="103" customWidth="1"/>
    <col min="4887" max="4887" width="4.453125" style="103" customWidth="1"/>
    <col min="4888" max="4911" width="3.26953125" style="103" customWidth="1"/>
    <col min="4912" max="4912" width="4.7265625" style="103" customWidth="1"/>
    <col min="4913" max="4915" width="3.26953125" style="103" customWidth="1"/>
    <col min="4916" max="4916" width="17.7265625" style="103" customWidth="1"/>
    <col min="4917" max="4917" width="27.453125" style="103" customWidth="1"/>
    <col min="4918" max="4918" width="20.453125" style="103" customWidth="1"/>
    <col min="4919" max="5120" width="9.1796875" style="103"/>
    <col min="5121" max="5121" width="8.26953125" style="103" customWidth="1"/>
    <col min="5122" max="5122" width="75.81640625" style="103" customWidth="1"/>
    <col min="5123" max="5123" width="23.26953125" style="103" customWidth="1"/>
    <col min="5124" max="5141" width="3.26953125" style="103" customWidth="1"/>
    <col min="5142" max="5142" width="4.1796875" style="103" customWidth="1"/>
    <col min="5143" max="5143" width="4.453125" style="103" customWidth="1"/>
    <col min="5144" max="5167" width="3.26953125" style="103" customWidth="1"/>
    <col min="5168" max="5168" width="4.7265625" style="103" customWidth="1"/>
    <col min="5169" max="5171" width="3.26953125" style="103" customWidth="1"/>
    <col min="5172" max="5172" width="17.7265625" style="103" customWidth="1"/>
    <col min="5173" max="5173" width="27.453125" style="103" customWidth="1"/>
    <col min="5174" max="5174" width="20.453125" style="103" customWidth="1"/>
    <col min="5175" max="5376" width="9.1796875" style="103"/>
    <col min="5377" max="5377" width="8.26953125" style="103" customWidth="1"/>
    <col min="5378" max="5378" width="75.81640625" style="103" customWidth="1"/>
    <col min="5379" max="5379" width="23.26953125" style="103" customWidth="1"/>
    <col min="5380" max="5397" width="3.26953125" style="103" customWidth="1"/>
    <col min="5398" max="5398" width="4.1796875" style="103" customWidth="1"/>
    <col min="5399" max="5399" width="4.453125" style="103" customWidth="1"/>
    <col min="5400" max="5423" width="3.26953125" style="103" customWidth="1"/>
    <col min="5424" max="5424" width="4.7265625" style="103" customWidth="1"/>
    <col min="5425" max="5427" width="3.26953125" style="103" customWidth="1"/>
    <col min="5428" max="5428" width="17.7265625" style="103" customWidth="1"/>
    <col min="5429" max="5429" width="27.453125" style="103" customWidth="1"/>
    <col min="5430" max="5430" width="20.453125" style="103" customWidth="1"/>
    <col min="5431" max="5632" width="9.1796875" style="103"/>
    <col min="5633" max="5633" width="8.26953125" style="103" customWidth="1"/>
    <col min="5634" max="5634" width="75.81640625" style="103" customWidth="1"/>
    <col min="5635" max="5635" width="23.26953125" style="103" customWidth="1"/>
    <col min="5636" max="5653" width="3.26953125" style="103" customWidth="1"/>
    <col min="5654" max="5654" width="4.1796875" style="103" customWidth="1"/>
    <col min="5655" max="5655" width="4.453125" style="103" customWidth="1"/>
    <col min="5656" max="5679" width="3.26953125" style="103" customWidth="1"/>
    <col min="5680" max="5680" width="4.7265625" style="103" customWidth="1"/>
    <col min="5681" max="5683" width="3.26953125" style="103" customWidth="1"/>
    <col min="5684" max="5684" width="17.7265625" style="103" customWidth="1"/>
    <col min="5685" max="5685" width="27.453125" style="103" customWidth="1"/>
    <col min="5686" max="5686" width="20.453125" style="103" customWidth="1"/>
    <col min="5687" max="5888" width="9.1796875" style="103"/>
    <col min="5889" max="5889" width="8.26953125" style="103" customWidth="1"/>
    <col min="5890" max="5890" width="75.81640625" style="103" customWidth="1"/>
    <col min="5891" max="5891" width="23.26953125" style="103" customWidth="1"/>
    <col min="5892" max="5909" width="3.26953125" style="103" customWidth="1"/>
    <col min="5910" max="5910" width="4.1796875" style="103" customWidth="1"/>
    <col min="5911" max="5911" width="4.453125" style="103" customWidth="1"/>
    <col min="5912" max="5935" width="3.26953125" style="103" customWidth="1"/>
    <col min="5936" max="5936" width="4.7265625" style="103" customWidth="1"/>
    <col min="5937" max="5939" width="3.26953125" style="103" customWidth="1"/>
    <col min="5940" max="5940" width="17.7265625" style="103" customWidth="1"/>
    <col min="5941" max="5941" width="27.453125" style="103" customWidth="1"/>
    <col min="5942" max="5942" width="20.453125" style="103" customWidth="1"/>
    <col min="5943" max="6144" width="9.1796875" style="103"/>
    <col min="6145" max="6145" width="8.26953125" style="103" customWidth="1"/>
    <col min="6146" max="6146" width="75.81640625" style="103" customWidth="1"/>
    <col min="6147" max="6147" width="23.26953125" style="103" customWidth="1"/>
    <col min="6148" max="6165" width="3.26953125" style="103" customWidth="1"/>
    <col min="6166" max="6166" width="4.1796875" style="103" customWidth="1"/>
    <col min="6167" max="6167" width="4.453125" style="103" customWidth="1"/>
    <col min="6168" max="6191" width="3.26953125" style="103" customWidth="1"/>
    <col min="6192" max="6192" width="4.7265625" style="103" customWidth="1"/>
    <col min="6193" max="6195" width="3.26953125" style="103" customWidth="1"/>
    <col min="6196" max="6196" width="17.7265625" style="103" customWidth="1"/>
    <col min="6197" max="6197" width="27.453125" style="103" customWidth="1"/>
    <col min="6198" max="6198" width="20.453125" style="103" customWidth="1"/>
    <col min="6199" max="6400" width="9.1796875" style="103"/>
    <col min="6401" max="6401" width="8.26953125" style="103" customWidth="1"/>
    <col min="6402" max="6402" width="75.81640625" style="103" customWidth="1"/>
    <col min="6403" max="6403" width="23.26953125" style="103" customWidth="1"/>
    <col min="6404" max="6421" width="3.26953125" style="103" customWidth="1"/>
    <col min="6422" max="6422" width="4.1796875" style="103" customWidth="1"/>
    <col min="6423" max="6423" width="4.453125" style="103" customWidth="1"/>
    <col min="6424" max="6447" width="3.26953125" style="103" customWidth="1"/>
    <col min="6448" max="6448" width="4.7265625" style="103" customWidth="1"/>
    <col min="6449" max="6451" width="3.26953125" style="103" customWidth="1"/>
    <col min="6452" max="6452" width="17.7265625" style="103" customWidth="1"/>
    <col min="6453" max="6453" width="27.453125" style="103" customWidth="1"/>
    <col min="6454" max="6454" width="20.453125" style="103" customWidth="1"/>
    <col min="6455" max="6656" width="9.1796875" style="103"/>
    <col min="6657" max="6657" width="8.26953125" style="103" customWidth="1"/>
    <col min="6658" max="6658" width="75.81640625" style="103" customWidth="1"/>
    <col min="6659" max="6659" width="23.26953125" style="103" customWidth="1"/>
    <col min="6660" max="6677" width="3.26953125" style="103" customWidth="1"/>
    <col min="6678" max="6678" width="4.1796875" style="103" customWidth="1"/>
    <col min="6679" max="6679" width="4.453125" style="103" customWidth="1"/>
    <col min="6680" max="6703" width="3.26953125" style="103" customWidth="1"/>
    <col min="6704" max="6704" width="4.7265625" style="103" customWidth="1"/>
    <col min="6705" max="6707" width="3.26953125" style="103" customWidth="1"/>
    <col min="6708" max="6708" width="17.7265625" style="103" customWidth="1"/>
    <col min="6709" max="6709" width="27.453125" style="103" customWidth="1"/>
    <col min="6710" max="6710" width="20.453125" style="103" customWidth="1"/>
    <col min="6711" max="6912" width="9.1796875" style="103"/>
    <col min="6913" max="6913" width="8.26953125" style="103" customWidth="1"/>
    <col min="6914" max="6914" width="75.81640625" style="103" customWidth="1"/>
    <col min="6915" max="6915" width="23.26953125" style="103" customWidth="1"/>
    <col min="6916" max="6933" width="3.26953125" style="103" customWidth="1"/>
    <col min="6934" max="6934" width="4.1796875" style="103" customWidth="1"/>
    <col min="6935" max="6935" width="4.453125" style="103" customWidth="1"/>
    <col min="6936" max="6959" width="3.26953125" style="103" customWidth="1"/>
    <col min="6960" max="6960" width="4.7265625" style="103" customWidth="1"/>
    <col min="6961" max="6963" width="3.26953125" style="103" customWidth="1"/>
    <col min="6964" max="6964" width="17.7265625" style="103" customWidth="1"/>
    <col min="6965" max="6965" width="27.453125" style="103" customWidth="1"/>
    <col min="6966" max="6966" width="20.453125" style="103" customWidth="1"/>
    <col min="6967" max="7168" width="9.1796875" style="103"/>
    <col min="7169" max="7169" width="8.26953125" style="103" customWidth="1"/>
    <col min="7170" max="7170" width="75.81640625" style="103" customWidth="1"/>
    <col min="7171" max="7171" width="23.26953125" style="103" customWidth="1"/>
    <col min="7172" max="7189" width="3.26953125" style="103" customWidth="1"/>
    <col min="7190" max="7190" width="4.1796875" style="103" customWidth="1"/>
    <col min="7191" max="7191" width="4.453125" style="103" customWidth="1"/>
    <col min="7192" max="7215" width="3.26953125" style="103" customWidth="1"/>
    <col min="7216" max="7216" width="4.7265625" style="103" customWidth="1"/>
    <col min="7217" max="7219" width="3.26953125" style="103" customWidth="1"/>
    <col min="7220" max="7220" width="17.7265625" style="103" customWidth="1"/>
    <col min="7221" max="7221" width="27.453125" style="103" customWidth="1"/>
    <col min="7222" max="7222" width="20.453125" style="103" customWidth="1"/>
    <col min="7223" max="7424" width="9.1796875" style="103"/>
    <col min="7425" max="7425" width="8.26953125" style="103" customWidth="1"/>
    <col min="7426" max="7426" width="75.81640625" style="103" customWidth="1"/>
    <col min="7427" max="7427" width="23.26953125" style="103" customWidth="1"/>
    <col min="7428" max="7445" width="3.26953125" style="103" customWidth="1"/>
    <col min="7446" max="7446" width="4.1796875" style="103" customWidth="1"/>
    <col min="7447" max="7447" width="4.453125" style="103" customWidth="1"/>
    <col min="7448" max="7471" width="3.26953125" style="103" customWidth="1"/>
    <col min="7472" max="7472" width="4.7265625" style="103" customWidth="1"/>
    <col min="7473" max="7475" width="3.26953125" style="103" customWidth="1"/>
    <col min="7476" max="7476" width="17.7265625" style="103" customWidth="1"/>
    <col min="7477" max="7477" width="27.453125" style="103" customWidth="1"/>
    <col min="7478" max="7478" width="20.453125" style="103" customWidth="1"/>
    <col min="7479" max="7680" width="9.1796875" style="103"/>
    <col min="7681" max="7681" width="8.26953125" style="103" customWidth="1"/>
    <col min="7682" max="7682" width="75.81640625" style="103" customWidth="1"/>
    <col min="7683" max="7683" width="23.26953125" style="103" customWidth="1"/>
    <col min="7684" max="7701" width="3.26953125" style="103" customWidth="1"/>
    <col min="7702" max="7702" width="4.1796875" style="103" customWidth="1"/>
    <col min="7703" max="7703" width="4.453125" style="103" customWidth="1"/>
    <col min="7704" max="7727" width="3.26953125" style="103" customWidth="1"/>
    <col min="7728" max="7728" width="4.7265625" style="103" customWidth="1"/>
    <col min="7729" max="7731" width="3.26953125" style="103" customWidth="1"/>
    <col min="7732" max="7732" width="17.7265625" style="103" customWidth="1"/>
    <col min="7733" max="7733" width="27.453125" style="103" customWidth="1"/>
    <col min="7734" max="7734" width="20.453125" style="103" customWidth="1"/>
    <col min="7735" max="7936" width="9.1796875" style="103"/>
    <col min="7937" max="7937" width="8.26953125" style="103" customWidth="1"/>
    <col min="7938" max="7938" width="75.81640625" style="103" customWidth="1"/>
    <col min="7939" max="7939" width="23.26953125" style="103" customWidth="1"/>
    <col min="7940" max="7957" width="3.26953125" style="103" customWidth="1"/>
    <col min="7958" max="7958" width="4.1796875" style="103" customWidth="1"/>
    <col min="7959" max="7959" width="4.453125" style="103" customWidth="1"/>
    <col min="7960" max="7983" width="3.26953125" style="103" customWidth="1"/>
    <col min="7984" max="7984" width="4.7265625" style="103" customWidth="1"/>
    <col min="7985" max="7987" width="3.26953125" style="103" customWidth="1"/>
    <col min="7988" max="7988" width="17.7265625" style="103" customWidth="1"/>
    <col min="7989" max="7989" width="27.453125" style="103" customWidth="1"/>
    <col min="7990" max="7990" width="20.453125" style="103" customWidth="1"/>
    <col min="7991" max="8192" width="9.1796875" style="103"/>
    <col min="8193" max="8193" width="8.26953125" style="103" customWidth="1"/>
    <col min="8194" max="8194" width="75.81640625" style="103" customWidth="1"/>
    <col min="8195" max="8195" width="23.26953125" style="103" customWidth="1"/>
    <col min="8196" max="8213" width="3.26953125" style="103" customWidth="1"/>
    <col min="8214" max="8214" width="4.1796875" style="103" customWidth="1"/>
    <col min="8215" max="8215" width="4.453125" style="103" customWidth="1"/>
    <col min="8216" max="8239" width="3.26953125" style="103" customWidth="1"/>
    <col min="8240" max="8240" width="4.7265625" style="103" customWidth="1"/>
    <col min="8241" max="8243" width="3.26953125" style="103" customWidth="1"/>
    <col min="8244" max="8244" width="17.7265625" style="103" customWidth="1"/>
    <col min="8245" max="8245" width="27.453125" style="103" customWidth="1"/>
    <col min="8246" max="8246" width="20.453125" style="103" customWidth="1"/>
    <col min="8247" max="8448" width="9.1796875" style="103"/>
    <col min="8449" max="8449" width="8.26953125" style="103" customWidth="1"/>
    <col min="8450" max="8450" width="75.81640625" style="103" customWidth="1"/>
    <col min="8451" max="8451" width="23.26953125" style="103" customWidth="1"/>
    <col min="8452" max="8469" width="3.26953125" style="103" customWidth="1"/>
    <col min="8470" max="8470" width="4.1796875" style="103" customWidth="1"/>
    <col min="8471" max="8471" width="4.453125" style="103" customWidth="1"/>
    <col min="8472" max="8495" width="3.26953125" style="103" customWidth="1"/>
    <col min="8496" max="8496" width="4.7265625" style="103" customWidth="1"/>
    <col min="8497" max="8499" width="3.26953125" style="103" customWidth="1"/>
    <col min="8500" max="8500" width="17.7265625" style="103" customWidth="1"/>
    <col min="8501" max="8501" width="27.453125" style="103" customWidth="1"/>
    <col min="8502" max="8502" width="20.453125" style="103" customWidth="1"/>
    <col min="8503" max="8704" width="9.1796875" style="103"/>
    <col min="8705" max="8705" width="8.26953125" style="103" customWidth="1"/>
    <col min="8706" max="8706" width="75.81640625" style="103" customWidth="1"/>
    <col min="8707" max="8707" width="23.26953125" style="103" customWidth="1"/>
    <col min="8708" max="8725" width="3.26953125" style="103" customWidth="1"/>
    <col min="8726" max="8726" width="4.1796875" style="103" customWidth="1"/>
    <col min="8727" max="8727" width="4.453125" style="103" customWidth="1"/>
    <col min="8728" max="8751" width="3.26953125" style="103" customWidth="1"/>
    <col min="8752" max="8752" width="4.7265625" style="103" customWidth="1"/>
    <col min="8753" max="8755" width="3.26953125" style="103" customWidth="1"/>
    <col min="8756" max="8756" width="17.7265625" style="103" customWidth="1"/>
    <col min="8757" max="8757" width="27.453125" style="103" customWidth="1"/>
    <col min="8758" max="8758" width="20.453125" style="103" customWidth="1"/>
    <col min="8759" max="8960" width="9.1796875" style="103"/>
    <col min="8961" max="8961" width="8.26953125" style="103" customWidth="1"/>
    <col min="8962" max="8962" width="75.81640625" style="103" customWidth="1"/>
    <col min="8963" max="8963" width="23.26953125" style="103" customWidth="1"/>
    <col min="8964" max="8981" width="3.26953125" style="103" customWidth="1"/>
    <col min="8982" max="8982" width="4.1796875" style="103" customWidth="1"/>
    <col min="8983" max="8983" width="4.453125" style="103" customWidth="1"/>
    <col min="8984" max="9007" width="3.26953125" style="103" customWidth="1"/>
    <col min="9008" max="9008" width="4.7265625" style="103" customWidth="1"/>
    <col min="9009" max="9011" width="3.26953125" style="103" customWidth="1"/>
    <col min="9012" max="9012" width="17.7265625" style="103" customWidth="1"/>
    <col min="9013" max="9013" width="27.453125" style="103" customWidth="1"/>
    <col min="9014" max="9014" width="20.453125" style="103" customWidth="1"/>
    <col min="9015" max="9216" width="9.1796875" style="103"/>
    <col min="9217" max="9217" width="8.26953125" style="103" customWidth="1"/>
    <col min="9218" max="9218" width="75.81640625" style="103" customWidth="1"/>
    <col min="9219" max="9219" width="23.26953125" style="103" customWidth="1"/>
    <col min="9220" max="9237" width="3.26953125" style="103" customWidth="1"/>
    <col min="9238" max="9238" width="4.1796875" style="103" customWidth="1"/>
    <col min="9239" max="9239" width="4.453125" style="103" customWidth="1"/>
    <col min="9240" max="9263" width="3.26953125" style="103" customWidth="1"/>
    <col min="9264" max="9264" width="4.7265625" style="103" customWidth="1"/>
    <col min="9265" max="9267" width="3.26953125" style="103" customWidth="1"/>
    <col min="9268" max="9268" width="17.7265625" style="103" customWidth="1"/>
    <col min="9269" max="9269" width="27.453125" style="103" customWidth="1"/>
    <col min="9270" max="9270" width="20.453125" style="103" customWidth="1"/>
    <col min="9271" max="9472" width="9.1796875" style="103"/>
    <col min="9473" max="9473" width="8.26953125" style="103" customWidth="1"/>
    <col min="9474" max="9474" width="75.81640625" style="103" customWidth="1"/>
    <col min="9475" max="9475" width="23.26953125" style="103" customWidth="1"/>
    <col min="9476" max="9493" width="3.26953125" style="103" customWidth="1"/>
    <col min="9494" max="9494" width="4.1796875" style="103" customWidth="1"/>
    <col min="9495" max="9495" width="4.453125" style="103" customWidth="1"/>
    <col min="9496" max="9519" width="3.26953125" style="103" customWidth="1"/>
    <col min="9520" max="9520" width="4.7265625" style="103" customWidth="1"/>
    <col min="9521" max="9523" width="3.26953125" style="103" customWidth="1"/>
    <col min="9524" max="9524" width="17.7265625" style="103" customWidth="1"/>
    <col min="9525" max="9525" width="27.453125" style="103" customWidth="1"/>
    <col min="9526" max="9526" width="20.453125" style="103" customWidth="1"/>
    <col min="9527" max="9728" width="9.1796875" style="103"/>
    <col min="9729" max="9729" width="8.26953125" style="103" customWidth="1"/>
    <col min="9730" max="9730" width="75.81640625" style="103" customWidth="1"/>
    <col min="9731" max="9731" width="23.26953125" style="103" customWidth="1"/>
    <col min="9732" max="9749" width="3.26953125" style="103" customWidth="1"/>
    <col min="9750" max="9750" width="4.1796875" style="103" customWidth="1"/>
    <col min="9751" max="9751" width="4.453125" style="103" customWidth="1"/>
    <col min="9752" max="9775" width="3.26953125" style="103" customWidth="1"/>
    <col min="9776" max="9776" width="4.7265625" style="103" customWidth="1"/>
    <col min="9777" max="9779" width="3.26953125" style="103" customWidth="1"/>
    <col min="9780" max="9780" width="17.7265625" style="103" customWidth="1"/>
    <col min="9781" max="9781" width="27.453125" style="103" customWidth="1"/>
    <col min="9782" max="9782" width="20.453125" style="103" customWidth="1"/>
    <col min="9783" max="9984" width="9.1796875" style="103"/>
    <col min="9985" max="9985" width="8.26953125" style="103" customWidth="1"/>
    <col min="9986" max="9986" width="75.81640625" style="103" customWidth="1"/>
    <col min="9987" max="9987" width="23.26953125" style="103" customWidth="1"/>
    <col min="9988" max="10005" width="3.26953125" style="103" customWidth="1"/>
    <col min="10006" max="10006" width="4.1796875" style="103" customWidth="1"/>
    <col min="10007" max="10007" width="4.453125" style="103" customWidth="1"/>
    <col min="10008" max="10031" width="3.26953125" style="103" customWidth="1"/>
    <col min="10032" max="10032" width="4.7265625" style="103" customWidth="1"/>
    <col min="10033" max="10035" width="3.26953125" style="103" customWidth="1"/>
    <col min="10036" max="10036" width="17.7265625" style="103" customWidth="1"/>
    <col min="10037" max="10037" width="27.453125" style="103" customWidth="1"/>
    <col min="10038" max="10038" width="20.453125" style="103" customWidth="1"/>
    <col min="10039" max="10240" width="9.1796875" style="103"/>
    <col min="10241" max="10241" width="8.26953125" style="103" customWidth="1"/>
    <col min="10242" max="10242" width="75.81640625" style="103" customWidth="1"/>
    <col min="10243" max="10243" width="23.26953125" style="103" customWidth="1"/>
    <col min="10244" max="10261" width="3.26953125" style="103" customWidth="1"/>
    <col min="10262" max="10262" width="4.1796875" style="103" customWidth="1"/>
    <col min="10263" max="10263" width="4.453125" style="103" customWidth="1"/>
    <col min="10264" max="10287" width="3.26953125" style="103" customWidth="1"/>
    <col min="10288" max="10288" width="4.7265625" style="103" customWidth="1"/>
    <col min="10289" max="10291" width="3.26953125" style="103" customWidth="1"/>
    <col min="10292" max="10292" width="17.7265625" style="103" customWidth="1"/>
    <col min="10293" max="10293" width="27.453125" style="103" customWidth="1"/>
    <col min="10294" max="10294" width="20.453125" style="103" customWidth="1"/>
    <col min="10295" max="10496" width="9.1796875" style="103"/>
    <col min="10497" max="10497" width="8.26953125" style="103" customWidth="1"/>
    <col min="10498" max="10498" width="75.81640625" style="103" customWidth="1"/>
    <col min="10499" max="10499" width="23.26953125" style="103" customWidth="1"/>
    <col min="10500" max="10517" width="3.26953125" style="103" customWidth="1"/>
    <col min="10518" max="10518" width="4.1796875" style="103" customWidth="1"/>
    <col min="10519" max="10519" width="4.453125" style="103" customWidth="1"/>
    <col min="10520" max="10543" width="3.26953125" style="103" customWidth="1"/>
    <col min="10544" max="10544" width="4.7265625" style="103" customWidth="1"/>
    <col min="10545" max="10547" width="3.26953125" style="103" customWidth="1"/>
    <col min="10548" max="10548" width="17.7265625" style="103" customWidth="1"/>
    <col min="10549" max="10549" width="27.453125" style="103" customWidth="1"/>
    <col min="10550" max="10550" width="20.453125" style="103" customWidth="1"/>
    <col min="10551" max="10752" width="9.1796875" style="103"/>
    <col min="10753" max="10753" width="8.26953125" style="103" customWidth="1"/>
    <col min="10754" max="10754" width="75.81640625" style="103" customWidth="1"/>
    <col min="10755" max="10755" width="23.26953125" style="103" customWidth="1"/>
    <col min="10756" max="10773" width="3.26953125" style="103" customWidth="1"/>
    <col min="10774" max="10774" width="4.1796875" style="103" customWidth="1"/>
    <col min="10775" max="10775" width="4.453125" style="103" customWidth="1"/>
    <col min="10776" max="10799" width="3.26953125" style="103" customWidth="1"/>
    <col min="10800" max="10800" width="4.7265625" style="103" customWidth="1"/>
    <col min="10801" max="10803" width="3.26953125" style="103" customWidth="1"/>
    <col min="10804" max="10804" width="17.7265625" style="103" customWidth="1"/>
    <col min="10805" max="10805" width="27.453125" style="103" customWidth="1"/>
    <col min="10806" max="10806" width="20.453125" style="103" customWidth="1"/>
    <col min="10807" max="11008" width="9.1796875" style="103"/>
    <col min="11009" max="11009" width="8.26953125" style="103" customWidth="1"/>
    <col min="11010" max="11010" width="75.81640625" style="103" customWidth="1"/>
    <col min="11011" max="11011" width="23.26953125" style="103" customWidth="1"/>
    <col min="11012" max="11029" width="3.26953125" style="103" customWidth="1"/>
    <col min="11030" max="11030" width="4.1796875" style="103" customWidth="1"/>
    <col min="11031" max="11031" width="4.453125" style="103" customWidth="1"/>
    <col min="11032" max="11055" width="3.26953125" style="103" customWidth="1"/>
    <col min="11056" max="11056" width="4.7265625" style="103" customWidth="1"/>
    <col min="11057" max="11059" width="3.26953125" style="103" customWidth="1"/>
    <col min="11060" max="11060" width="17.7265625" style="103" customWidth="1"/>
    <col min="11061" max="11061" width="27.453125" style="103" customWidth="1"/>
    <col min="11062" max="11062" width="20.453125" style="103" customWidth="1"/>
    <col min="11063" max="11264" width="9.1796875" style="103"/>
    <col min="11265" max="11265" width="8.26953125" style="103" customWidth="1"/>
    <col min="11266" max="11266" width="75.81640625" style="103" customWidth="1"/>
    <col min="11267" max="11267" width="23.26953125" style="103" customWidth="1"/>
    <col min="11268" max="11285" width="3.26953125" style="103" customWidth="1"/>
    <col min="11286" max="11286" width="4.1796875" style="103" customWidth="1"/>
    <col min="11287" max="11287" width="4.453125" style="103" customWidth="1"/>
    <col min="11288" max="11311" width="3.26953125" style="103" customWidth="1"/>
    <col min="11312" max="11312" width="4.7265625" style="103" customWidth="1"/>
    <col min="11313" max="11315" width="3.26953125" style="103" customWidth="1"/>
    <col min="11316" max="11316" width="17.7265625" style="103" customWidth="1"/>
    <col min="11317" max="11317" width="27.453125" style="103" customWidth="1"/>
    <col min="11318" max="11318" width="20.453125" style="103" customWidth="1"/>
    <col min="11319" max="11520" width="9.1796875" style="103"/>
    <col min="11521" max="11521" width="8.26953125" style="103" customWidth="1"/>
    <col min="11522" max="11522" width="75.81640625" style="103" customWidth="1"/>
    <col min="11523" max="11523" width="23.26953125" style="103" customWidth="1"/>
    <col min="11524" max="11541" width="3.26953125" style="103" customWidth="1"/>
    <col min="11542" max="11542" width="4.1796875" style="103" customWidth="1"/>
    <col min="11543" max="11543" width="4.453125" style="103" customWidth="1"/>
    <col min="11544" max="11567" width="3.26953125" style="103" customWidth="1"/>
    <col min="11568" max="11568" width="4.7265625" style="103" customWidth="1"/>
    <col min="11569" max="11571" width="3.26953125" style="103" customWidth="1"/>
    <col min="11572" max="11572" width="17.7265625" style="103" customWidth="1"/>
    <col min="11573" max="11573" width="27.453125" style="103" customWidth="1"/>
    <col min="11574" max="11574" width="20.453125" style="103" customWidth="1"/>
    <col min="11575" max="11776" width="9.1796875" style="103"/>
    <col min="11777" max="11777" width="8.26953125" style="103" customWidth="1"/>
    <col min="11778" max="11778" width="75.81640625" style="103" customWidth="1"/>
    <col min="11779" max="11779" width="23.26953125" style="103" customWidth="1"/>
    <col min="11780" max="11797" width="3.26953125" style="103" customWidth="1"/>
    <col min="11798" max="11798" width="4.1796875" style="103" customWidth="1"/>
    <col min="11799" max="11799" width="4.453125" style="103" customWidth="1"/>
    <col min="11800" max="11823" width="3.26953125" style="103" customWidth="1"/>
    <col min="11824" max="11824" width="4.7265625" style="103" customWidth="1"/>
    <col min="11825" max="11827" width="3.26953125" style="103" customWidth="1"/>
    <col min="11828" max="11828" width="17.7265625" style="103" customWidth="1"/>
    <col min="11829" max="11829" width="27.453125" style="103" customWidth="1"/>
    <col min="11830" max="11830" width="20.453125" style="103" customWidth="1"/>
    <col min="11831" max="12032" width="9.1796875" style="103"/>
    <col min="12033" max="12033" width="8.26953125" style="103" customWidth="1"/>
    <col min="12034" max="12034" width="75.81640625" style="103" customWidth="1"/>
    <col min="12035" max="12035" width="23.26953125" style="103" customWidth="1"/>
    <col min="12036" max="12053" width="3.26953125" style="103" customWidth="1"/>
    <col min="12054" max="12054" width="4.1796875" style="103" customWidth="1"/>
    <col min="12055" max="12055" width="4.453125" style="103" customWidth="1"/>
    <col min="12056" max="12079" width="3.26953125" style="103" customWidth="1"/>
    <col min="12080" max="12080" width="4.7265625" style="103" customWidth="1"/>
    <col min="12081" max="12083" width="3.26953125" style="103" customWidth="1"/>
    <col min="12084" max="12084" width="17.7265625" style="103" customWidth="1"/>
    <col min="12085" max="12085" width="27.453125" style="103" customWidth="1"/>
    <col min="12086" max="12086" width="20.453125" style="103" customWidth="1"/>
    <col min="12087" max="12288" width="9.1796875" style="103"/>
    <col min="12289" max="12289" width="8.26953125" style="103" customWidth="1"/>
    <col min="12290" max="12290" width="75.81640625" style="103" customWidth="1"/>
    <col min="12291" max="12291" width="23.26953125" style="103" customWidth="1"/>
    <col min="12292" max="12309" width="3.26953125" style="103" customWidth="1"/>
    <col min="12310" max="12310" width="4.1796875" style="103" customWidth="1"/>
    <col min="12311" max="12311" width="4.453125" style="103" customWidth="1"/>
    <col min="12312" max="12335" width="3.26953125" style="103" customWidth="1"/>
    <col min="12336" max="12336" width="4.7265625" style="103" customWidth="1"/>
    <col min="12337" max="12339" width="3.26953125" style="103" customWidth="1"/>
    <col min="12340" max="12340" width="17.7265625" style="103" customWidth="1"/>
    <col min="12341" max="12341" width="27.453125" style="103" customWidth="1"/>
    <col min="12342" max="12342" width="20.453125" style="103" customWidth="1"/>
    <col min="12343" max="12544" width="9.1796875" style="103"/>
    <col min="12545" max="12545" width="8.26953125" style="103" customWidth="1"/>
    <col min="12546" max="12546" width="75.81640625" style="103" customWidth="1"/>
    <col min="12547" max="12547" width="23.26953125" style="103" customWidth="1"/>
    <col min="12548" max="12565" width="3.26953125" style="103" customWidth="1"/>
    <col min="12566" max="12566" width="4.1796875" style="103" customWidth="1"/>
    <col min="12567" max="12567" width="4.453125" style="103" customWidth="1"/>
    <col min="12568" max="12591" width="3.26953125" style="103" customWidth="1"/>
    <col min="12592" max="12592" width="4.7265625" style="103" customWidth="1"/>
    <col min="12593" max="12595" width="3.26953125" style="103" customWidth="1"/>
    <col min="12596" max="12596" width="17.7265625" style="103" customWidth="1"/>
    <col min="12597" max="12597" width="27.453125" style="103" customWidth="1"/>
    <col min="12598" max="12598" width="20.453125" style="103" customWidth="1"/>
    <col min="12599" max="12800" width="9.1796875" style="103"/>
    <col min="12801" max="12801" width="8.26953125" style="103" customWidth="1"/>
    <col min="12802" max="12802" width="75.81640625" style="103" customWidth="1"/>
    <col min="12803" max="12803" width="23.26953125" style="103" customWidth="1"/>
    <col min="12804" max="12821" width="3.26953125" style="103" customWidth="1"/>
    <col min="12822" max="12822" width="4.1796875" style="103" customWidth="1"/>
    <col min="12823" max="12823" width="4.453125" style="103" customWidth="1"/>
    <col min="12824" max="12847" width="3.26953125" style="103" customWidth="1"/>
    <col min="12848" max="12848" width="4.7265625" style="103" customWidth="1"/>
    <col min="12849" max="12851" width="3.26953125" style="103" customWidth="1"/>
    <col min="12852" max="12852" width="17.7265625" style="103" customWidth="1"/>
    <col min="12853" max="12853" width="27.453125" style="103" customWidth="1"/>
    <col min="12854" max="12854" width="20.453125" style="103" customWidth="1"/>
    <col min="12855" max="13056" width="9.1796875" style="103"/>
    <col min="13057" max="13057" width="8.26953125" style="103" customWidth="1"/>
    <col min="13058" max="13058" width="75.81640625" style="103" customWidth="1"/>
    <col min="13059" max="13059" width="23.26953125" style="103" customWidth="1"/>
    <col min="13060" max="13077" width="3.26953125" style="103" customWidth="1"/>
    <col min="13078" max="13078" width="4.1796875" style="103" customWidth="1"/>
    <col min="13079" max="13079" width="4.453125" style="103" customWidth="1"/>
    <col min="13080" max="13103" width="3.26953125" style="103" customWidth="1"/>
    <col min="13104" max="13104" width="4.7265625" style="103" customWidth="1"/>
    <col min="13105" max="13107" width="3.26953125" style="103" customWidth="1"/>
    <col min="13108" max="13108" width="17.7265625" style="103" customWidth="1"/>
    <col min="13109" max="13109" width="27.453125" style="103" customWidth="1"/>
    <col min="13110" max="13110" width="20.453125" style="103" customWidth="1"/>
    <col min="13111" max="13312" width="9.1796875" style="103"/>
    <col min="13313" max="13313" width="8.26953125" style="103" customWidth="1"/>
    <col min="13314" max="13314" width="75.81640625" style="103" customWidth="1"/>
    <col min="13315" max="13315" width="23.26953125" style="103" customWidth="1"/>
    <col min="13316" max="13333" width="3.26953125" style="103" customWidth="1"/>
    <col min="13334" max="13334" width="4.1796875" style="103" customWidth="1"/>
    <col min="13335" max="13335" width="4.453125" style="103" customWidth="1"/>
    <col min="13336" max="13359" width="3.26953125" style="103" customWidth="1"/>
    <col min="13360" max="13360" width="4.7265625" style="103" customWidth="1"/>
    <col min="13361" max="13363" width="3.26953125" style="103" customWidth="1"/>
    <col min="13364" max="13364" width="17.7265625" style="103" customWidth="1"/>
    <col min="13365" max="13365" width="27.453125" style="103" customWidth="1"/>
    <col min="13366" max="13366" width="20.453125" style="103" customWidth="1"/>
    <col min="13367" max="13568" width="9.1796875" style="103"/>
    <col min="13569" max="13569" width="8.26953125" style="103" customWidth="1"/>
    <col min="13570" max="13570" width="75.81640625" style="103" customWidth="1"/>
    <col min="13571" max="13571" width="23.26953125" style="103" customWidth="1"/>
    <col min="13572" max="13589" width="3.26953125" style="103" customWidth="1"/>
    <col min="13590" max="13590" width="4.1796875" style="103" customWidth="1"/>
    <col min="13591" max="13591" width="4.453125" style="103" customWidth="1"/>
    <col min="13592" max="13615" width="3.26953125" style="103" customWidth="1"/>
    <col min="13616" max="13616" width="4.7265625" style="103" customWidth="1"/>
    <col min="13617" max="13619" width="3.26953125" style="103" customWidth="1"/>
    <col min="13620" max="13620" width="17.7265625" style="103" customWidth="1"/>
    <col min="13621" max="13621" width="27.453125" style="103" customWidth="1"/>
    <col min="13622" max="13622" width="20.453125" style="103" customWidth="1"/>
    <col min="13623" max="13824" width="9.1796875" style="103"/>
    <col min="13825" max="13825" width="8.26953125" style="103" customWidth="1"/>
    <col min="13826" max="13826" width="75.81640625" style="103" customWidth="1"/>
    <col min="13827" max="13827" width="23.26953125" style="103" customWidth="1"/>
    <col min="13828" max="13845" width="3.26953125" style="103" customWidth="1"/>
    <col min="13846" max="13846" width="4.1796875" style="103" customWidth="1"/>
    <col min="13847" max="13847" width="4.453125" style="103" customWidth="1"/>
    <col min="13848" max="13871" width="3.26953125" style="103" customWidth="1"/>
    <col min="13872" max="13872" width="4.7265625" style="103" customWidth="1"/>
    <col min="13873" max="13875" width="3.26953125" style="103" customWidth="1"/>
    <col min="13876" max="13876" width="17.7265625" style="103" customWidth="1"/>
    <col min="13877" max="13877" width="27.453125" style="103" customWidth="1"/>
    <col min="13878" max="13878" width="20.453125" style="103" customWidth="1"/>
    <col min="13879" max="14080" width="9.1796875" style="103"/>
    <col min="14081" max="14081" width="8.26953125" style="103" customWidth="1"/>
    <col min="14082" max="14082" width="75.81640625" style="103" customWidth="1"/>
    <col min="14083" max="14083" width="23.26953125" style="103" customWidth="1"/>
    <col min="14084" max="14101" width="3.26953125" style="103" customWidth="1"/>
    <col min="14102" max="14102" width="4.1796875" style="103" customWidth="1"/>
    <col min="14103" max="14103" width="4.453125" style="103" customWidth="1"/>
    <col min="14104" max="14127" width="3.26953125" style="103" customWidth="1"/>
    <col min="14128" max="14128" width="4.7265625" style="103" customWidth="1"/>
    <col min="14129" max="14131" width="3.26953125" style="103" customWidth="1"/>
    <col min="14132" max="14132" width="17.7265625" style="103" customWidth="1"/>
    <col min="14133" max="14133" width="27.453125" style="103" customWidth="1"/>
    <col min="14134" max="14134" width="20.453125" style="103" customWidth="1"/>
    <col min="14135" max="14336" width="9.1796875" style="103"/>
    <col min="14337" max="14337" width="8.26953125" style="103" customWidth="1"/>
    <col min="14338" max="14338" width="75.81640625" style="103" customWidth="1"/>
    <col min="14339" max="14339" width="23.26953125" style="103" customWidth="1"/>
    <col min="14340" max="14357" width="3.26953125" style="103" customWidth="1"/>
    <col min="14358" max="14358" width="4.1796875" style="103" customWidth="1"/>
    <col min="14359" max="14359" width="4.453125" style="103" customWidth="1"/>
    <col min="14360" max="14383" width="3.26953125" style="103" customWidth="1"/>
    <col min="14384" max="14384" width="4.7265625" style="103" customWidth="1"/>
    <col min="14385" max="14387" width="3.26953125" style="103" customWidth="1"/>
    <col min="14388" max="14388" width="17.7265625" style="103" customWidth="1"/>
    <col min="14389" max="14389" width="27.453125" style="103" customWidth="1"/>
    <col min="14390" max="14390" width="20.453125" style="103" customWidth="1"/>
    <col min="14391" max="14592" width="9.1796875" style="103"/>
    <col min="14593" max="14593" width="8.26953125" style="103" customWidth="1"/>
    <col min="14594" max="14594" width="75.81640625" style="103" customWidth="1"/>
    <col min="14595" max="14595" width="23.26953125" style="103" customWidth="1"/>
    <col min="14596" max="14613" width="3.26953125" style="103" customWidth="1"/>
    <col min="14614" max="14614" width="4.1796875" style="103" customWidth="1"/>
    <col min="14615" max="14615" width="4.453125" style="103" customWidth="1"/>
    <col min="14616" max="14639" width="3.26953125" style="103" customWidth="1"/>
    <col min="14640" max="14640" width="4.7265625" style="103" customWidth="1"/>
    <col min="14641" max="14643" width="3.26953125" style="103" customWidth="1"/>
    <col min="14644" max="14644" width="17.7265625" style="103" customWidth="1"/>
    <col min="14645" max="14645" width="27.453125" style="103" customWidth="1"/>
    <col min="14646" max="14646" width="20.453125" style="103" customWidth="1"/>
    <col min="14647" max="14848" width="9.1796875" style="103"/>
    <col min="14849" max="14849" width="8.26953125" style="103" customWidth="1"/>
    <col min="14850" max="14850" width="75.81640625" style="103" customWidth="1"/>
    <col min="14851" max="14851" width="23.26953125" style="103" customWidth="1"/>
    <col min="14852" max="14869" width="3.26953125" style="103" customWidth="1"/>
    <col min="14870" max="14870" width="4.1796875" style="103" customWidth="1"/>
    <col min="14871" max="14871" width="4.453125" style="103" customWidth="1"/>
    <col min="14872" max="14895" width="3.26953125" style="103" customWidth="1"/>
    <col min="14896" max="14896" width="4.7265625" style="103" customWidth="1"/>
    <col min="14897" max="14899" width="3.26953125" style="103" customWidth="1"/>
    <col min="14900" max="14900" width="17.7265625" style="103" customWidth="1"/>
    <col min="14901" max="14901" width="27.453125" style="103" customWidth="1"/>
    <col min="14902" max="14902" width="20.453125" style="103" customWidth="1"/>
    <col min="14903" max="15104" width="9.1796875" style="103"/>
    <col min="15105" max="15105" width="8.26953125" style="103" customWidth="1"/>
    <col min="15106" max="15106" width="75.81640625" style="103" customWidth="1"/>
    <col min="15107" max="15107" width="23.26953125" style="103" customWidth="1"/>
    <col min="15108" max="15125" width="3.26953125" style="103" customWidth="1"/>
    <col min="15126" max="15126" width="4.1796875" style="103" customWidth="1"/>
    <col min="15127" max="15127" width="4.453125" style="103" customWidth="1"/>
    <col min="15128" max="15151" width="3.26953125" style="103" customWidth="1"/>
    <col min="15152" max="15152" width="4.7265625" style="103" customWidth="1"/>
    <col min="15153" max="15155" width="3.26953125" style="103" customWidth="1"/>
    <col min="15156" max="15156" width="17.7265625" style="103" customWidth="1"/>
    <col min="15157" max="15157" width="27.453125" style="103" customWidth="1"/>
    <col min="15158" max="15158" width="20.453125" style="103" customWidth="1"/>
    <col min="15159" max="15360" width="9.1796875" style="103"/>
    <col min="15361" max="15361" width="8.26953125" style="103" customWidth="1"/>
    <col min="15362" max="15362" width="75.81640625" style="103" customWidth="1"/>
    <col min="15363" max="15363" width="23.26953125" style="103" customWidth="1"/>
    <col min="15364" max="15381" width="3.26953125" style="103" customWidth="1"/>
    <col min="15382" max="15382" width="4.1796875" style="103" customWidth="1"/>
    <col min="15383" max="15383" width="4.453125" style="103" customWidth="1"/>
    <col min="15384" max="15407" width="3.26953125" style="103" customWidth="1"/>
    <col min="15408" max="15408" width="4.7265625" style="103" customWidth="1"/>
    <col min="15409" max="15411" width="3.26953125" style="103" customWidth="1"/>
    <col min="15412" max="15412" width="17.7265625" style="103" customWidth="1"/>
    <col min="15413" max="15413" width="27.453125" style="103" customWidth="1"/>
    <col min="15414" max="15414" width="20.453125" style="103" customWidth="1"/>
    <col min="15415" max="15616" width="9.1796875" style="103"/>
    <col min="15617" max="15617" width="8.26953125" style="103" customWidth="1"/>
    <col min="15618" max="15618" width="75.81640625" style="103" customWidth="1"/>
    <col min="15619" max="15619" width="23.26953125" style="103" customWidth="1"/>
    <col min="15620" max="15637" width="3.26953125" style="103" customWidth="1"/>
    <col min="15638" max="15638" width="4.1796875" style="103" customWidth="1"/>
    <col min="15639" max="15639" width="4.453125" style="103" customWidth="1"/>
    <col min="15640" max="15663" width="3.26953125" style="103" customWidth="1"/>
    <col min="15664" max="15664" width="4.7265625" style="103" customWidth="1"/>
    <col min="15665" max="15667" width="3.26953125" style="103" customWidth="1"/>
    <col min="15668" max="15668" width="17.7265625" style="103" customWidth="1"/>
    <col min="15669" max="15669" width="27.453125" style="103" customWidth="1"/>
    <col min="15670" max="15670" width="20.453125" style="103" customWidth="1"/>
    <col min="15671" max="15872" width="9.1796875" style="103"/>
    <col min="15873" max="15873" width="8.26953125" style="103" customWidth="1"/>
    <col min="15874" max="15874" width="75.81640625" style="103" customWidth="1"/>
    <col min="15875" max="15875" width="23.26953125" style="103" customWidth="1"/>
    <col min="15876" max="15893" width="3.26953125" style="103" customWidth="1"/>
    <col min="15894" max="15894" width="4.1796875" style="103" customWidth="1"/>
    <col min="15895" max="15895" width="4.453125" style="103" customWidth="1"/>
    <col min="15896" max="15919" width="3.26953125" style="103" customWidth="1"/>
    <col min="15920" max="15920" width="4.7265625" style="103" customWidth="1"/>
    <col min="15921" max="15923" width="3.26953125" style="103" customWidth="1"/>
    <col min="15924" max="15924" width="17.7265625" style="103" customWidth="1"/>
    <col min="15925" max="15925" width="27.453125" style="103" customWidth="1"/>
    <col min="15926" max="15926" width="20.453125" style="103" customWidth="1"/>
    <col min="15927" max="16128" width="9.1796875" style="103"/>
    <col min="16129" max="16129" width="8.26953125" style="103" customWidth="1"/>
    <col min="16130" max="16130" width="75.81640625" style="103" customWidth="1"/>
    <col min="16131" max="16131" width="23.26953125" style="103" customWidth="1"/>
    <col min="16132" max="16149" width="3.26953125" style="103" customWidth="1"/>
    <col min="16150" max="16150" width="4.1796875" style="103" customWidth="1"/>
    <col min="16151" max="16151" width="4.453125" style="103" customWidth="1"/>
    <col min="16152" max="16175" width="3.26953125" style="103" customWidth="1"/>
    <col min="16176" max="16176" width="4.7265625" style="103" customWidth="1"/>
    <col min="16177" max="16179" width="3.26953125" style="103" customWidth="1"/>
    <col min="16180" max="16180" width="17.7265625" style="103" customWidth="1"/>
    <col min="16181" max="16181" width="27.453125" style="103" customWidth="1"/>
    <col min="16182" max="16182" width="20.453125" style="103" customWidth="1"/>
    <col min="16183" max="16384" width="9.1796875" style="103"/>
  </cols>
  <sheetData>
    <row r="1" spans="1:54" ht="32" x14ac:dyDescent="0.5">
      <c r="A1" s="97"/>
      <c r="B1" s="98"/>
      <c r="C1" s="99" t="s">
        <v>280</v>
      </c>
      <c r="D1" s="398">
        <v>45474</v>
      </c>
      <c r="E1" s="399"/>
      <c r="F1" s="399"/>
      <c r="G1" s="400"/>
      <c r="H1" s="398">
        <v>45505</v>
      </c>
      <c r="I1" s="399"/>
      <c r="J1" s="399"/>
      <c r="K1" s="400"/>
      <c r="L1" s="398">
        <v>45536</v>
      </c>
      <c r="M1" s="399"/>
      <c r="N1" s="399"/>
      <c r="O1" s="400"/>
      <c r="P1" s="398">
        <v>45566</v>
      </c>
      <c r="Q1" s="399"/>
      <c r="R1" s="399"/>
      <c r="S1" s="400"/>
      <c r="T1" s="398">
        <v>45597</v>
      </c>
      <c r="U1" s="399"/>
      <c r="V1" s="399"/>
      <c r="W1" s="400"/>
      <c r="X1" s="398">
        <v>45627</v>
      </c>
      <c r="Y1" s="399"/>
      <c r="Z1" s="399"/>
      <c r="AA1" s="400"/>
      <c r="AB1" s="398">
        <v>45658</v>
      </c>
      <c r="AC1" s="399"/>
      <c r="AD1" s="399"/>
      <c r="AE1" s="400"/>
      <c r="AF1" s="398">
        <v>45689</v>
      </c>
      <c r="AG1" s="399"/>
      <c r="AH1" s="399"/>
      <c r="AI1" s="400"/>
      <c r="AJ1" s="398">
        <v>45717</v>
      </c>
      <c r="AK1" s="399"/>
      <c r="AL1" s="399"/>
      <c r="AM1" s="400"/>
      <c r="AN1" s="398">
        <v>45748</v>
      </c>
      <c r="AO1" s="399"/>
      <c r="AP1" s="399"/>
      <c r="AQ1" s="400"/>
      <c r="AR1" s="398">
        <v>45778</v>
      </c>
      <c r="AS1" s="399"/>
      <c r="AT1" s="399"/>
      <c r="AU1" s="400"/>
      <c r="AV1" s="398">
        <v>45809</v>
      </c>
      <c r="AW1" s="399"/>
      <c r="AX1" s="399"/>
      <c r="AY1" s="400"/>
      <c r="AZ1" s="100"/>
      <c r="BA1" s="101" t="s">
        <v>281</v>
      </c>
      <c r="BB1" s="102" t="s">
        <v>282</v>
      </c>
    </row>
    <row r="2" spans="1:54" x14ac:dyDescent="0.5">
      <c r="A2" s="104"/>
      <c r="B2" s="105" t="s">
        <v>283</v>
      </c>
      <c r="C2" s="106"/>
      <c r="D2" s="107" t="s">
        <v>284</v>
      </c>
      <c r="E2" s="108" t="s">
        <v>285</v>
      </c>
      <c r="F2" s="108" t="s">
        <v>286</v>
      </c>
      <c r="G2" s="109" t="s">
        <v>287</v>
      </c>
      <c r="H2" s="107" t="s">
        <v>284</v>
      </c>
      <c r="I2" s="108" t="s">
        <v>285</v>
      </c>
      <c r="J2" s="108" t="s">
        <v>286</v>
      </c>
      <c r="K2" s="109" t="s">
        <v>287</v>
      </c>
      <c r="L2" s="107" t="s">
        <v>284</v>
      </c>
      <c r="M2" s="108" t="s">
        <v>285</v>
      </c>
      <c r="N2" s="108" t="s">
        <v>286</v>
      </c>
      <c r="O2" s="109" t="s">
        <v>287</v>
      </c>
      <c r="P2" s="107" t="s">
        <v>284</v>
      </c>
      <c r="Q2" s="108" t="s">
        <v>285</v>
      </c>
      <c r="R2" s="108" t="s">
        <v>286</v>
      </c>
      <c r="S2" s="109" t="s">
        <v>287</v>
      </c>
      <c r="T2" s="107" t="s">
        <v>284</v>
      </c>
      <c r="U2" s="108" t="s">
        <v>285</v>
      </c>
      <c r="V2" s="108" t="s">
        <v>286</v>
      </c>
      <c r="W2" s="109" t="s">
        <v>287</v>
      </c>
      <c r="X2" s="107" t="s">
        <v>284</v>
      </c>
      <c r="Y2" s="108" t="s">
        <v>285</v>
      </c>
      <c r="Z2" s="108" t="s">
        <v>286</v>
      </c>
      <c r="AA2" s="109" t="s">
        <v>287</v>
      </c>
      <c r="AB2" s="107" t="s">
        <v>284</v>
      </c>
      <c r="AC2" s="108" t="s">
        <v>285</v>
      </c>
      <c r="AD2" s="108" t="s">
        <v>286</v>
      </c>
      <c r="AE2" s="109" t="s">
        <v>287</v>
      </c>
      <c r="AF2" s="107" t="s">
        <v>284</v>
      </c>
      <c r="AG2" s="108" t="s">
        <v>285</v>
      </c>
      <c r="AH2" s="108" t="s">
        <v>286</v>
      </c>
      <c r="AI2" s="109" t="s">
        <v>287</v>
      </c>
      <c r="AJ2" s="107" t="s">
        <v>284</v>
      </c>
      <c r="AK2" s="108" t="s">
        <v>285</v>
      </c>
      <c r="AL2" s="108" t="s">
        <v>286</v>
      </c>
      <c r="AM2" s="109" t="s">
        <v>287</v>
      </c>
      <c r="AN2" s="107" t="s">
        <v>284</v>
      </c>
      <c r="AO2" s="108" t="s">
        <v>285</v>
      </c>
      <c r="AP2" s="108" t="s">
        <v>286</v>
      </c>
      <c r="AQ2" s="109" t="s">
        <v>287</v>
      </c>
      <c r="AR2" s="107" t="s">
        <v>284</v>
      </c>
      <c r="AS2" s="108" t="s">
        <v>285</v>
      </c>
      <c r="AT2" s="108" t="s">
        <v>286</v>
      </c>
      <c r="AU2" s="109" t="s">
        <v>287</v>
      </c>
      <c r="AV2" s="107" t="s">
        <v>284</v>
      </c>
      <c r="AW2" s="108" t="s">
        <v>285</v>
      </c>
      <c r="AX2" s="108" t="s">
        <v>286</v>
      </c>
      <c r="AY2" s="109" t="s">
        <v>287</v>
      </c>
      <c r="AZ2" s="110" t="s">
        <v>288</v>
      </c>
      <c r="BA2" s="111"/>
      <c r="BB2" s="112"/>
    </row>
    <row r="3" spans="1:54" s="121" customFormat="1" ht="27" customHeight="1" thickBot="1" x14ac:dyDescent="0.4">
      <c r="A3" s="113"/>
      <c r="B3" s="114" t="s">
        <v>289</v>
      </c>
      <c r="C3" s="115"/>
      <c r="D3" s="116"/>
      <c r="E3" s="114"/>
      <c r="F3" s="114"/>
      <c r="G3" s="117"/>
      <c r="H3" s="116"/>
      <c r="I3" s="114"/>
      <c r="J3" s="114"/>
      <c r="K3" s="117"/>
      <c r="L3" s="116"/>
      <c r="M3" s="114"/>
      <c r="N3" s="114"/>
      <c r="O3" s="117"/>
      <c r="P3" s="116"/>
      <c r="Q3" s="114"/>
      <c r="R3" s="114"/>
      <c r="S3" s="117"/>
      <c r="T3" s="116"/>
      <c r="U3" s="114"/>
      <c r="V3" s="114"/>
      <c r="W3" s="117"/>
      <c r="X3" s="116"/>
      <c r="Y3" s="114"/>
      <c r="Z3" s="114"/>
      <c r="AA3" s="117"/>
      <c r="AB3" s="116"/>
      <c r="AC3" s="114"/>
      <c r="AD3" s="114"/>
      <c r="AE3" s="117"/>
      <c r="AF3" s="116"/>
      <c r="AG3" s="114"/>
      <c r="AH3" s="114"/>
      <c r="AI3" s="117"/>
      <c r="AJ3" s="116"/>
      <c r="AK3" s="114"/>
      <c r="AL3" s="114"/>
      <c r="AM3" s="117"/>
      <c r="AN3" s="116"/>
      <c r="AO3" s="114"/>
      <c r="AP3" s="114"/>
      <c r="AQ3" s="117"/>
      <c r="AR3" s="116"/>
      <c r="AS3" s="114"/>
      <c r="AT3" s="114"/>
      <c r="AU3" s="117"/>
      <c r="AV3" s="116"/>
      <c r="AW3" s="114"/>
      <c r="AX3" s="114"/>
      <c r="AY3" s="117"/>
      <c r="AZ3" s="118"/>
      <c r="BA3" s="119"/>
      <c r="BB3" s="120"/>
    </row>
    <row r="4" spans="1:54" s="131" customFormat="1" ht="18.5" x14ac:dyDescent="0.35">
      <c r="A4" s="122"/>
      <c r="B4" s="123" t="s">
        <v>290</v>
      </c>
      <c r="C4" s="124">
        <f>SUM(C5:C123)</f>
        <v>8537</v>
      </c>
      <c r="D4" s="125"/>
      <c r="E4" s="126"/>
      <c r="F4" s="126"/>
      <c r="G4" s="127"/>
      <c r="H4" s="125"/>
      <c r="I4" s="126"/>
      <c r="J4" s="126"/>
      <c r="K4" s="127"/>
      <c r="L4" s="125"/>
      <c r="M4" s="126"/>
      <c r="N4" s="126"/>
      <c r="O4" s="127"/>
      <c r="P4" s="125"/>
      <c r="Q4" s="126"/>
      <c r="R4" s="126"/>
      <c r="S4" s="127"/>
      <c r="T4" s="125"/>
      <c r="U4" s="126"/>
      <c r="V4" s="126"/>
      <c r="W4" s="127"/>
      <c r="X4" s="125"/>
      <c r="Y4" s="126"/>
      <c r="Z4" s="126"/>
      <c r="AA4" s="127"/>
      <c r="AB4" s="125"/>
      <c r="AC4" s="126"/>
      <c r="AD4" s="126"/>
      <c r="AE4" s="127"/>
      <c r="AF4" s="125"/>
      <c r="AG4" s="126"/>
      <c r="AH4" s="126"/>
      <c r="AI4" s="127"/>
      <c r="AJ4" s="125"/>
      <c r="AK4" s="126"/>
      <c r="AL4" s="126"/>
      <c r="AM4" s="127"/>
      <c r="AN4" s="125"/>
      <c r="AO4" s="126"/>
      <c r="AP4" s="126"/>
      <c r="AQ4" s="127"/>
      <c r="AR4" s="125"/>
      <c r="AS4" s="126"/>
      <c r="AT4" s="126"/>
      <c r="AU4" s="127"/>
      <c r="AV4" s="125"/>
      <c r="AW4" s="126"/>
      <c r="AX4" s="126"/>
      <c r="AY4" s="127"/>
      <c r="AZ4" s="128"/>
      <c r="BA4" s="129" t="s">
        <v>291</v>
      </c>
      <c r="BB4" s="130"/>
    </row>
    <row r="5" spans="1:54" s="142" customFormat="1" x14ac:dyDescent="0.5">
      <c r="A5" s="132"/>
      <c r="B5" s="133" t="s">
        <v>292</v>
      </c>
      <c r="C5" s="134"/>
      <c r="D5" s="132"/>
      <c r="E5" s="133"/>
      <c r="F5" s="133"/>
      <c r="G5" s="135"/>
      <c r="H5" s="136"/>
      <c r="I5" s="137"/>
      <c r="J5" s="137"/>
      <c r="K5" s="138"/>
      <c r="L5" s="136"/>
      <c r="M5" s="137"/>
      <c r="N5" s="137"/>
      <c r="O5" s="138"/>
      <c r="P5" s="136"/>
      <c r="Q5" s="137"/>
      <c r="R5" s="137"/>
      <c r="S5" s="138"/>
      <c r="T5" s="136"/>
      <c r="U5" s="137"/>
      <c r="V5" s="133"/>
      <c r="W5" s="135"/>
      <c r="X5" s="132"/>
      <c r="Y5" s="133"/>
      <c r="Z5" s="133"/>
      <c r="AA5" s="135"/>
      <c r="AB5" s="132"/>
      <c r="AC5" s="133"/>
      <c r="AD5" s="133"/>
      <c r="AE5" s="135"/>
      <c r="AF5" s="132"/>
      <c r="AG5" s="133"/>
      <c r="AH5" s="133"/>
      <c r="AI5" s="135"/>
      <c r="AJ5" s="132"/>
      <c r="AK5" s="133"/>
      <c r="AL5" s="133"/>
      <c r="AM5" s="135"/>
      <c r="AN5" s="132"/>
      <c r="AO5" s="133"/>
      <c r="AP5" s="133"/>
      <c r="AQ5" s="135"/>
      <c r="AR5" s="132"/>
      <c r="AS5" s="133"/>
      <c r="AT5" s="133"/>
      <c r="AU5" s="135"/>
      <c r="AV5" s="132"/>
      <c r="AW5" s="133"/>
      <c r="AX5" s="133"/>
      <c r="AY5" s="135"/>
      <c r="AZ5" s="139"/>
      <c r="BA5" s="140"/>
      <c r="BB5" s="141"/>
    </row>
    <row r="6" spans="1:54" ht="32" x14ac:dyDescent="0.5">
      <c r="A6" s="104"/>
      <c r="B6" s="143" t="s">
        <v>293</v>
      </c>
      <c r="C6" s="144" t="s">
        <v>294</v>
      </c>
      <c r="D6" s="145"/>
      <c r="E6" s="146"/>
      <c r="F6" s="146"/>
      <c r="G6" s="147"/>
      <c r="H6" s="148"/>
      <c r="I6" s="149"/>
      <c r="J6" s="149"/>
      <c r="K6" s="150"/>
      <c r="L6" s="151"/>
      <c r="M6" s="152"/>
      <c r="N6" s="149"/>
      <c r="O6" s="150"/>
      <c r="P6" s="153"/>
      <c r="Q6" s="149"/>
      <c r="R6" s="149"/>
      <c r="S6" s="150"/>
      <c r="T6" s="153"/>
      <c r="U6" s="149"/>
      <c r="V6" s="154"/>
      <c r="W6" s="155"/>
      <c r="X6" s="156"/>
      <c r="Y6" s="157"/>
      <c r="Z6" s="157"/>
      <c r="AA6" s="158"/>
      <c r="AB6" s="104"/>
      <c r="AC6" s="154"/>
      <c r="AD6" s="154"/>
      <c r="AE6" s="155"/>
      <c r="AF6" s="104"/>
      <c r="AG6" s="154"/>
      <c r="AH6" s="154"/>
      <c r="AI6" s="155"/>
      <c r="AJ6" s="104"/>
      <c r="AK6" s="154"/>
      <c r="AL6" s="154"/>
      <c r="AM6" s="155"/>
      <c r="AN6" s="104"/>
      <c r="AO6" s="154"/>
      <c r="AP6" s="154"/>
      <c r="AQ6" s="155"/>
      <c r="AR6" s="104"/>
      <c r="AS6" s="154"/>
      <c r="AT6" s="154"/>
      <c r="AU6" s="155"/>
      <c r="AV6" s="104"/>
      <c r="AW6" s="154"/>
      <c r="AX6" s="154"/>
      <c r="AY6" s="155"/>
      <c r="BA6" s="160" t="s">
        <v>295</v>
      </c>
      <c r="BB6" s="161"/>
    </row>
    <row r="7" spans="1:54" x14ac:dyDescent="0.5">
      <c r="A7" s="104"/>
      <c r="B7" s="162" t="s">
        <v>296</v>
      </c>
      <c r="C7" s="144">
        <f>5*4</f>
        <v>20</v>
      </c>
      <c r="H7" s="163"/>
      <c r="I7" s="164"/>
      <c r="J7" s="164"/>
      <c r="K7" s="165"/>
      <c r="L7" s="151"/>
      <c r="M7" s="152"/>
      <c r="N7" s="149"/>
      <c r="O7" s="150"/>
      <c r="P7" s="153"/>
      <c r="Q7" s="149"/>
      <c r="R7" s="149"/>
      <c r="S7" s="150"/>
      <c r="T7" s="153"/>
      <c r="U7" s="149"/>
      <c r="V7" s="154"/>
      <c r="W7" s="155"/>
      <c r="X7" s="156"/>
      <c r="Y7" s="157"/>
      <c r="Z7" s="157"/>
      <c r="AA7" s="158"/>
      <c r="AB7" s="104"/>
      <c r="AC7" s="154"/>
      <c r="AD7" s="154"/>
      <c r="AE7" s="155"/>
      <c r="AF7" s="104"/>
      <c r="AG7" s="154"/>
      <c r="AH7" s="154"/>
      <c r="AI7" s="155"/>
      <c r="AJ7" s="104"/>
      <c r="AK7" s="154"/>
      <c r="AL7" s="154"/>
      <c r="AM7" s="155"/>
      <c r="AN7" s="104"/>
      <c r="AO7" s="154"/>
      <c r="AP7" s="154"/>
      <c r="AQ7" s="155"/>
      <c r="AR7" s="104"/>
      <c r="AS7" s="154"/>
      <c r="AT7" s="154"/>
      <c r="AU7" s="155"/>
      <c r="AV7" s="104"/>
      <c r="AW7" s="154"/>
      <c r="AX7" s="154"/>
      <c r="AY7" s="155"/>
      <c r="BA7" s="160" t="s">
        <v>297</v>
      </c>
      <c r="BB7" s="161"/>
    </row>
    <row r="8" spans="1:54" x14ac:dyDescent="0.5">
      <c r="A8" s="104"/>
      <c r="B8" s="162" t="s">
        <v>298</v>
      </c>
      <c r="C8" s="144">
        <f>5*4</f>
        <v>20</v>
      </c>
      <c r="H8" s="148"/>
      <c r="I8" s="149"/>
      <c r="J8" s="149"/>
      <c r="K8" s="150"/>
      <c r="L8" s="166"/>
      <c r="M8" s="167"/>
      <c r="N8" s="164"/>
      <c r="O8" s="165"/>
      <c r="P8" s="153"/>
      <c r="Q8" s="149"/>
      <c r="R8" s="149"/>
      <c r="S8" s="150"/>
      <c r="T8" s="153"/>
      <c r="U8" s="149"/>
      <c r="V8" s="154"/>
      <c r="W8" s="155"/>
      <c r="X8" s="156"/>
      <c r="Y8" s="157"/>
      <c r="Z8" s="157"/>
      <c r="AA8" s="158"/>
      <c r="AB8" s="104"/>
      <c r="AC8" s="154"/>
      <c r="AD8" s="154"/>
      <c r="AE8" s="155"/>
      <c r="AF8" s="104"/>
      <c r="AG8" s="154"/>
      <c r="AH8" s="154"/>
      <c r="AI8" s="155"/>
      <c r="AJ8" s="104"/>
      <c r="AK8" s="154"/>
      <c r="AL8" s="154"/>
      <c r="AM8" s="155"/>
      <c r="AN8" s="104"/>
      <c r="AO8" s="154"/>
      <c r="AP8" s="154"/>
      <c r="AQ8" s="155"/>
      <c r="AR8" s="104"/>
      <c r="AS8" s="154"/>
      <c r="AT8" s="154"/>
      <c r="AU8" s="155"/>
      <c r="AV8" s="104"/>
      <c r="AW8" s="154"/>
      <c r="AX8" s="154"/>
      <c r="AY8" s="155"/>
      <c r="BA8" s="160" t="s">
        <v>299</v>
      </c>
      <c r="BB8" s="161">
        <v>535000</v>
      </c>
    </row>
    <row r="9" spans="1:54" x14ac:dyDescent="0.5">
      <c r="A9" s="104"/>
      <c r="B9" s="162" t="s">
        <v>300</v>
      </c>
      <c r="C9" s="144">
        <f>5*4</f>
        <v>20</v>
      </c>
      <c r="H9" s="148"/>
      <c r="I9" s="149"/>
      <c r="J9" s="149"/>
      <c r="K9" s="150"/>
      <c r="L9" s="151"/>
      <c r="M9" s="152"/>
      <c r="N9" s="149"/>
      <c r="O9" s="150"/>
      <c r="P9" s="163"/>
      <c r="Q9" s="164"/>
      <c r="R9" s="164"/>
      <c r="S9" s="165"/>
      <c r="T9" s="153"/>
      <c r="U9" s="149"/>
      <c r="V9" s="154"/>
      <c r="W9" s="155"/>
      <c r="X9" s="156"/>
      <c r="Y9" s="157"/>
      <c r="Z9" s="157"/>
      <c r="AA9" s="158"/>
      <c r="AB9" s="104"/>
      <c r="AC9" s="154"/>
      <c r="AD9" s="154"/>
      <c r="AE9" s="155"/>
      <c r="AF9" s="104"/>
      <c r="AG9" s="154"/>
      <c r="AH9" s="154"/>
      <c r="AI9" s="155"/>
      <c r="AJ9" s="104"/>
      <c r="AK9" s="154"/>
      <c r="AL9" s="154"/>
      <c r="AM9" s="155"/>
      <c r="AN9" s="104"/>
      <c r="AO9" s="154"/>
      <c r="AP9" s="154"/>
      <c r="AQ9" s="155"/>
      <c r="AR9" s="104"/>
      <c r="AS9" s="154"/>
      <c r="AT9" s="154"/>
      <c r="AU9" s="155"/>
      <c r="AV9" s="104"/>
      <c r="AW9" s="154"/>
      <c r="AX9" s="154"/>
      <c r="AY9" s="155"/>
      <c r="BA9" s="160" t="s">
        <v>301</v>
      </c>
    </row>
    <row r="10" spans="1:54" x14ac:dyDescent="0.5">
      <c r="A10" s="104"/>
      <c r="B10" s="162" t="s">
        <v>302</v>
      </c>
      <c r="C10" s="144">
        <v>180</v>
      </c>
      <c r="H10" s="148"/>
      <c r="I10" s="149"/>
      <c r="J10" s="149"/>
      <c r="K10" s="150"/>
      <c r="L10" s="151"/>
      <c r="M10" s="152"/>
      <c r="N10" s="149"/>
      <c r="O10" s="150"/>
      <c r="P10" s="163"/>
      <c r="Q10" s="164"/>
      <c r="R10" s="164"/>
      <c r="S10" s="165"/>
      <c r="T10" s="163"/>
      <c r="U10" s="164"/>
      <c r="V10" s="146"/>
      <c r="W10" s="147"/>
      <c r="X10" s="169"/>
      <c r="Y10" s="170"/>
      <c r="Z10" s="170"/>
      <c r="AA10" s="171"/>
      <c r="AB10" s="145"/>
      <c r="AC10" s="146"/>
      <c r="AD10" s="146"/>
      <c r="AE10" s="147"/>
      <c r="AF10" s="145"/>
      <c r="AG10" s="146"/>
      <c r="AH10" s="146"/>
      <c r="AI10" s="147"/>
      <c r="AJ10" s="145"/>
      <c r="AK10" s="146"/>
      <c r="AL10" s="146"/>
      <c r="AM10" s="147"/>
      <c r="AN10" s="145"/>
      <c r="AO10" s="146"/>
      <c r="AP10" s="146"/>
      <c r="AQ10" s="147"/>
      <c r="AR10" s="145"/>
      <c r="AS10" s="146"/>
      <c r="AT10" s="146"/>
      <c r="AU10" s="147"/>
      <c r="AV10" s="145"/>
      <c r="AW10" s="146"/>
      <c r="AX10" s="146"/>
      <c r="AY10" s="147"/>
      <c r="AZ10" s="159">
        <v>107</v>
      </c>
      <c r="BA10" s="160" t="s">
        <v>295</v>
      </c>
      <c r="BB10" s="161">
        <v>50000</v>
      </c>
    </row>
    <row r="11" spans="1:54" x14ac:dyDescent="0.5">
      <c r="A11" s="104"/>
      <c r="B11" s="162" t="s">
        <v>303</v>
      </c>
      <c r="C11" s="144" t="s">
        <v>304</v>
      </c>
      <c r="D11" s="145"/>
      <c r="E11" s="146"/>
      <c r="F11" s="146"/>
      <c r="G11" s="147"/>
      <c r="H11" s="163"/>
      <c r="I11" s="164"/>
      <c r="J11" s="164"/>
      <c r="K11" s="165"/>
      <c r="L11" s="166"/>
      <c r="M11" s="167"/>
      <c r="N11" s="164"/>
      <c r="O11" s="165"/>
      <c r="P11" s="163"/>
      <c r="Q11" s="164"/>
      <c r="R11" s="164"/>
      <c r="S11" s="165"/>
      <c r="T11" s="163"/>
      <c r="U11" s="164"/>
      <c r="V11" s="146"/>
      <c r="W11" s="147"/>
      <c r="X11" s="169"/>
      <c r="Y11" s="170"/>
      <c r="Z11" s="170"/>
      <c r="AA11" s="171"/>
      <c r="AB11" s="145"/>
      <c r="AC11" s="146"/>
      <c r="AD11" s="146"/>
      <c r="AE11" s="147"/>
      <c r="AF11" s="145"/>
      <c r="AG11" s="146"/>
      <c r="AH11" s="146"/>
      <c r="AI11" s="147"/>
      <c r="AJ11" s="145"/>
      <c r="AK11" s="146"/>
      <c r="AL11" s="146"/>
      <c r="AM11" s="147"/>
      <c r="AN11" s="145"/>
      <c r="AO11" s="146"/>
      <c r="AP11" s="146"/>
      <c r="AQ11" s="147"/>
      <c r="AR11" s="145"/>
      <c r="AS11" s="146"/>
      <c r="AT11" s="146"/>
      <c r="AU11" s="147"/>
      <c r="AV11" s="145"/>
      <c r="AW11" s="146"/>
      <c r="AX11" s="146"/>
      <c r="AY11" s="147"/>
      <c r="BA11" s="160" t="s">
        <v>295</v>
      </c>
      <c r="BB11" s="161"/>
    </row>
    <row r="12" spans="1:54" x14ac:dyDescent="0.5">
      <c r="A12" s="104"/>
      <c r="B12" s="162"/>
      <c r="C12" s="144"/>
      <c r="H12" s="148"/>
      <c r="I12" s="149"/>
      <c r="J12" s="149"/>
      <c r="K12" s="150"/>
      <c r="L12" s="151"/>
      <c r="M12" s="152"/>
      <c r="N12" s="149"/>
      <c r="O12" s="150"/>
      <c r="P12" s="163"/>
      <c r="Q12" s="164"/>
      <c r="R12" s="164"/>
      <c r="S12" s="165"/>
      <c r="T12" s="163"/>
      <c r="U12" s="164"/>
      <c r="V12" s="146"/>
      <c r="W12" s="147"/>
      <c r="X12" s="169"/>
      <c r="Y12" s="170"/>
      <c r="Z12" s="170"/>
      <c r="AA12" s="171"/>
      <c r="AB12" s="145"/>
      <c r="AC12" s="146"/>
      <c r="AD12" s="146"/>
      <c r="AE12" s="147"/>
      <c r="AF12" s="145"/>
      <c r="AG12" s="146"/>
      <c r="AH12" s="146"/>
      <c r="AI12" s="147"/>
      <c r="AJ12" s="145"/>
      <c r="AK12" s="146"/>
      <c r="AL12" s="146"/>
      <c r="AM12" s="147"/>
      <c r="AN12" s="145"/>
      <c r="AO12" s="146"/>
      <c r="AP12" s="146"/>
      <c r="AQ12" s="147"/>
      <c r="AR12" s="145"/>
      <c r="AS12" s="146"/>
      <c r="AT12" s="146"/>
      <c r="AU12" s="147"/>
      <c r="AV12" s="145"/>
      <c r="AW12" s="146"/>
      <c r="AX12" s="146"/>
      <c r="AY12" s="147"/>
      <c r="BA12" s="160"/>
      <c r="BB12" s="161"/>
    </row>
    <row r="13" spans="1:54" s="177" customFormat="1" x14ac:dyDescent="0.5">
      <c r="A13" s="172"/>
      <c r="B13" s="173" t="s">
        <v>305</v>
      </c>
      <c r="C13" s="174">
        <f>12*22</f>
        <v>264</v>
      </c>
      <c r="D13" s="145"/>
      <c r="E13" s="146"/>
      <c r="F13" s="146"/>
      <c r="G13" s="147"/>
      <c r="H13" s="163"/>
      <c r="I13" s="164"/>
      <c r="J13" s="164"/>
      <c r="K13" s="165"/>
      <c r="L13" s="166"/>
      <c r="M13" s="167"/>
      <c r="N13" s="164"/>
      <c r="O13" s="165"/>
      <c r="P13" s="163"/>
      <c r="Q13" s="164"/>
      <c r="R13" s="164"/>
      <c r="S13" s="165"/>
      <c r="T13" s="163"/>
      <c r="U13" s="164"/>
      <c r="V13" s="146"/>
      <c r="W13" s="147"/>
      <c r="X13" s="169"/>
      <c r="Y13" s="170"/>
      <c r="Z13" s="170"/>
      <c r="AA13" s="171"/>
      <c r="AB13" s="145"/>
      <c r="AC13" s="146"/>
      <c r="AD13" s="146"/>
      <c r="AE13" s="147"/>
      <c r="AF13" s="145"/>
      <c r="AG13" s="146"/>
      <c r="AH13" s="146"/>
      <c r="AI13" s="147"/>
      <c r="AJ13" s="145"/>
      <c r="AK13" s="146"/>
      <c r="AL13" s="146"/>
      <c r="AM13" s="147"/>
      <c r="AN13" s="145"/>
      <c r="AO13" s="146"/>
      <c r="AP13" s="146"/>
      <c r="AQ13" s="147"/>
      <c r="AR13" s="145"/>
      <c r="AS13" s="146"/>
      <c r="AT13" s="146"/>
      <c r="AU13" s="147"/>
      <c r="AV13" s="145"/>
      <c r="AW13" s="146"/>
      <c r="AX13" s="146"/>
      <c r="AY13" s="147"/>
      <c r="AZ13" s="159"/>
      <c r="BA13" s="175" t="s">
        <v>306</v>
      </c>
      <c r="BB13" s="176">
        <v>50000</v>
      </c>
    </row>
    <row r="14" spans="1:54" s="177" customFormat="1" ht="15" customHeight="1" x14ac:dyDescent="0.5">
      <c r="A14" s="172"/>
      <c r="B14" s="173"/>
      <c r="C14" s="174"/>
      <c r="D14" s="172"/>
      <c r="E14" s="178"/>
      <c r="F14" s="178"/>
      <c r="G14" s="179"/>
      <c r="H14" s="180"/>
      <c r="I14" s="181"/>
      <c r="J14" s="181"/>
      <c r="K14" s="182"/>
      <c r="L14" s="183"/>
      <c r="M14" s="184"/>
      <c r="N14" s="181"/>
      <c r="O14" s="182"/>
      <c r="P14" s="180"/>
      <c r="Q14" s="181"/>
      <c r="R14" s="181"/>
      <c r="S14" s="182"/>
      <c r="T14" s="180"/>
      <c r="U14" s="181"/>
      <c r="V14" s="178"/>
      <c r="W14" s="179"/>
      <c r="X14" s="185"/>
      <c r="Y14" s="186"/>
      <c r="Z14" s="186"/>
      <c r="AA14" s="187"/>
      <c r="AB14" s="172"/>
      <c r="AC14" s="178"/>
      <c r="AD14" s="178"/>
      <c r="AE14" s="179"/>
      <c r="AF14" s="172"/>
      <c r="AG14" s="178"/>
      <c r="AH14" s="178"/>
      <c r="AI14" s="179"/>
      <c r="AJ14" s="172"/>
      <c r="AK14" s="178"/>
      <c r="AL14" s="178"/>
      <c r="AM14" s="179"/>
      <c r="AN14" s="172"/>
      <c r="AO14" s="178"/>
      <c r="AP14" s="178"/>
      <c r="AQ14" s="179"/>
      <c r="AR14" s="172"/>
      <c r="AS14" s="178"/>
      <c r="AT14" s="178"/>
      <c r="AU14" s="179"/>
      <c r="AV14" s="172"/>
      <c r="AW14" s="178"/>
      <c r="AX14" s="178"/>
      <c r="AY14" s="179"/>
      <c r="AZ14" s="159"/>
      <c r="BA14" s="175"/>
      <c r="BB14" s="188"/>
    </row>
    <row r="15" spans="1:54" x14ac:dyDescent="0.5">
      <c r="A15" s="104"/>
      <c r="B15" s="133" t="s">
        <v>307</v>
      </c>
      <c r="C15" s="144"/>
      <c r="H15" s="148"/>
      <c r="I15" s="149"/>
      <c r="J15" s="149"/>
      <c r="K15" s="150"/>
      <c r="L15" s="151"/>
      <c r="M15" s="152"/>
      <c r="N15" s="149"/>
      <c r="O15" s="150"/>
      <c r="P15" s="153"/>
      <c r="Q15" s="149"/>
      <c r="R15" s="149"/>
      <c r="S15" s="150"/>
      <c r="T15" s="153"/>
      <c r="U15" s="149"/>
      <c r="V15" s="154"/>
      <c r="W15" s="155"/>
      <c r="X15" s="156"/>
      <c r="Y15" s="157"/>
      <c r="Z15" s="157"/>
      <c r="AA15" s="158"/>
      <c r="AB15" s="104"/>
      <c r="AC15" s="154"/>
      <c r="AD15" s="154"/>
      <c r="AE15" s="155"/>
      <c r="AF15" s="104"/>
      <c r="AG15" s="154"/>
      <c r="AH15" s="154"/>
      <c r="AI15" s="155"/>
      <c r="AJ15" s="104"/>
      <c r="AK15" s="154"/>
      <c r="AL15" s="154"/>
      <c r="AM15" s="155"/>
      <c r="AN15" s="104"/>
      <c r="AO15" s="154"/>
      <c r="AP15" s="154"/>
      <c r="AQ15" s="155"/>
      <c r="AR15" s="104"/>
      <c r="AS15" s="154"/>
      <c r="AT15" s="154"/>
      <c r="AU15" s="155"/>
      <c r="AV15" s="104"/>
      <c r="AW15" s="154"/>
      <c r="AX15" s="154"/>
      <c r="AY15" s="155"/>
      <c r="BA15" s="160"/>
      <c r="BB15" s="161"/>
    </row>
    <row r="16" spans="1:54" ht="32" x14ac:dyDescent="0.5">
      <c r="A16" s="104"/>
      <c r="B16" s="143" t="s">
        <v>308</v>
      </c>
      <c r="C16" s="144" t="s">
        <v>309</v>
      </c>
      <c r="H16" s="148"/>
      <c r="I16" s="149"/>
      <c r="J16" s="149"/>
      <c r="K16" s="150"/>
      <c r="L16" s="166"/>
      <c r="M16" s="167"/>
      <c r="N16" s="164"/>
      <c r="O16" s="165"/>
      <c r="P16" s="153"/>
      <c r="Q16" s="149"/>
      <c r="R16" s="149"/>
      <c r="S16" s="150"/>
      <c r="T16" s="153"/>
      <c r="U16" s="149"/>
      <c r="V16" s="154"/>
      <c r="W16" s="155"/>
      <c r="X16" s="156"/>
      <c r="Y16" s="157"/>
      <c r="Z16" s="157"/>
      <c r="AA16" s="158"/>
      <c r="AB16" s="104"/>
      <c r="AC16" s="154"/>
      <c r="AD16" s="154"/>
      <c r="AE16" s="155"/>
      <c r="AF16" s="104"/>
      <c r="AG16" s="154"/>
      <c r="AH16" s="154"/>
      <c r="AI16" s="155"/>
      <c r="AJ16" s="104"/>
      <c r="AK16" s="154"/>
      <c r="AL16" s="154"/>
      <c r="AM16" s="155"/>
      <c r="AN16" s="104"/>
      <c r="AO16" s="154"/>
      <c r="AP16" s="154"/>
      <c r="AQ16" s="155"/>
      <c r="AR16" s="104"/>
      <c r="AS16" s="154"/>
      <c r="AT16" s="154"/>
      <c r="AU16" s="155"/>
      <c r="AV16" s="104"/>
      <c r="AW16" s="154"/>
      <c r="AX16" s="154"/>
      <c r="AY16" s="155"/>
      <c r="BA16" s="160" t="s">
        <v>295</v>
      </c>
      <c r="BB16" s="161"/>
    </row>
    <row r="17" spans="1:54" x14ac:dyDescent="0.5">
      <c r="A17" s="104"/>
      <c r="B17" s="162" t="s">
        <v>296</v>
      </c>
      <c r="C17" s="144">
        <v>20</v>
      </c>
      <c r="H17" s="148"/>
      <c r="I17" s="149"/>
      <c r="J17" s="149"/>
      <c r="K17" s="150"/>
      <c r="L17" s="151"/>
      <c r="M17" s="152"/>
      <c r="N17" s="149"/>
      <c r="O17" s="150"/>
      <c r="P17" s="163"/>
      <c r="Q17" s="164"/>
      <c r="R17" s="164"/>
      <c r="S17" s="165"/>
      <c r="T17" s="153"/>
      <c r="U17" s="149"/>
      <c r="V17" s="154"/>
      <c r="W17" s="155"/>
      <c r="X17" s="156"/>
      <c r="Y17" s="157"/>
      <c r="Z17" s="157"/>
      <c r="AA17" s="158"/>
      <c r="AB17" s="104"/>
      <c r="AC17" s="154"/>
      <c r="AD17" s="154"/>
      <c r="AE17" s="155"/>
      <c r="AF17" s="104"/>
      <c r="AG17" s="154"/>
      <c r="AH17" s="154"/>
      <c r="AI17" s="155"/>
      <c r="AJ17" s="104"/>
      <c r="AK17" s="154"/>
      <c r="AL17" s="154"/>
      <c r="AM17" s="155"/>
      <c r="AN17" s="104"/>
      <c r="AO17" s="154"/>
      <c r="AP17" s="154"/>
      <c r="AQ17" s="155"/>
      <c r="AR17" s="104"/>
      <c r="AS17" s="154"/>
      <c r="AT17" s="154"/>
      <c r="AU17" s="155"/>
      <c r="AV17" s="104"/>
      <c r="AW17" s="154"/>
      <c r="AX17" s="154"/>
      <c r="AY17" s="155"/>
      <c r="BA17" s="160" t="s">
        <v>310</v>
      </c>
      <c r="BB17" s="161"/>
    </row>
    <row r="18" spans="1:54" x14ac:dyDescent="0.5">
      <c r="A18" s="104"/>
      <c r="B18" s="162" t="s">
        <v>298</v>
      </c>
      <c r="C18" s="144">
        <f>5*4</f>
        <v>20</v>
      </c>
      <c r="H18" s="148"/>
      <c r="I18" s="149"/>
      <c r="J18" s="149"/>
      <c r="K18" s="150"/>
      <c r="L18" s="151"/>
      <c r="M18" s="152"/>
      <c r="N18" s="149"/>
      <c r="O18" s="150"/>
      <c r="P18" s="153"/>
      <c r="Q18" s="149"/>
      <c r="R18" s="149"/>
      <c r="S18" s="150"/>
      <c r="T18" s="163"/>
      <c r="U18" s="164"/>
      <c r="V18" s="146"/>
      <c r="W18" s="147"/>
      <c r="X18" s="156"/>
      <c r="Y18" s="157"/>
      <c r="Z18" s="157"/>
      <c r="AA18" s="158"/>
      <c r="AB18" s="104"/>
      <c r="AC18" s="154"/>
      <c r="AD18" s="154"/>
      <c r="AE18" s="155"/>
      <c r="AF18" s="104"/>
      <c r="AG18" s="154"/>
      <c r="AH18" s="154"/>
      <c r="AI18" s="155"/>
      <c r="AJ18" s="104"/>
      <c r="AK18" s="154"/>
      <c r="AL18" s="154"/>
      <c r="AM18" s="155"/>
      <c r="AN18" s="104"/>
      <c r="AO18" s="154"/>
      <c r="AP18" s="154"/>
      <c r="AQ18" s="155"/>
      <c r="AR18" s="104"/>
      <c r="AS18" s="154"/>
      <c r="AT18" s="154"/>
      <c r="AU18" s="155"/>
      <c r="AV18" s="104"/>
      <c r="AW18" s="154"/>
      <c r="AX18" s="154"/>
      <c r="AY18" s="155"/>
      <c r="BA18" s="160" t="s">
        <v>299</v>
      </c>
      <c r="BB18" s="161">
        <v>2642625</v>
      </c>
    </row>
    <row r="19" spans="1:54" x14ac:dyDescent="0.5">
      <c r="A19" s="104"/>
      <c r="B19" s="162" t="s">
        <v>300</v>
      </c>
      <c r="C19" s="144">
        <f>5*6</f>
        <v>30</v>
      </c>
      <c r="H19" s="148"/>
      <c r="I19" s="149"/>
      <c r="J19" s="149"/>
      <c r="K19" s="150"/>
      <c r="L19" s="151"/>
      <c r="M19" s="152"/>
      <c r="N19" s="149"/>
      <c r="O19" s="150"/>
      <c r="P19" s="153"/>
      <c r="Q19" s="149"/>
      <c r="R19" s="149"/>
      <c r="S19" s="150"/>
      <c r="T19" s="153"/>
      <c r="U19" s="149"/>
      <c r="V19" s="154"/>
      <c r="W19" s="155"/>
      <c r="X19" s="169"/>
      <c r="Y19" s="170"/>
      <c r="Z19" s="170"/>
      <c r="AA19" s="171"/>
      <c r="AB19" s="145"/>
      <c r="AC19" s="146"/>
      <c r="AD19" s="154"/>
      <c r="AE19" s="155"/>
      <c r="AF19" s="104"/>
      <c r="AG19" s="154"/>
      <c r="AH19" s="154"/>
      <c r="AI19" s="155"/>
      <c r="AJ19" s="104"/>
      <c r="AK19" s="154"/>
      <c r="AL19" s="154"/>
      <c r="AM19" s="155"/>
      <c r="AN19" s="104"/>
      <c r="AO19" s="154"/>
      <c r="AP19" s="154"/>
      <c r="AQ19" s="155"/>
      <c r="AR19" s="104"/>
      <c r="AS19" s="154"/>
      <c r="AT19" s="154"/>
      <c r="AU19" s="155"/>
      <c r="AV19" s="104"/>
      <c r="AW19" s="154"/>
      <c r="AX19" s="154"/>
      <c r="AY19" s="155"/>
      <c r="BA19" s="160" t="s">
        <v>301</v>
      </c>
    </row>
    <row r="20" spans="1:54" x14ac:dyDescent="0.5">
      <c r="A20" s="104"/>
      <c r="B20" s="162" t="s">
        <v>302</v>
      </c>
      <c r="C20" s="144">
        <v>180</v>
      </c>
      <c r="H20" s="148"/>
      <c r="I20" s="149"/>
      <c r="J20" s="149"/>
      <c r="K20" s="150"/>
      <c r="L20" s="151"/>
      <c r="M20" s="152"/>
      <c r="N20" s="149"/>
      <c r="O20" s="150"/>
      <c r="P20" s="153"/>
      <c r="Q20" s="149"/>
      <c r="R20" s="149"/>
      <c r="S20" s="150"/>
      <c r="T20" s="153"/>
      <c r="U20" s="149"/>
      <c r="V20" s="154"/>
      <c r="W20" s="155"/>
      <c r="X20" s="169"/>
      <c r="Y20" s="170"/>
      <c r="Z20" s="170"/>
      <c r="AA20" s="171"/>
      <c r="AB20" s="145"/>
      <c r="AC20" s="146"/>
      <c r="AD20" s="146"/>
      <c r="AE20" s="147"/>
      <c r="AF20" s="145"/>
      <c r="AG20" s="146"/>
      <c r="AH20" s="146"/>
      <c r="AI20" s="147"/>
      <c r="AJ20" s="145"/>
      <c r="AK20" s="146"/>
      <c r="AL20" s="146"/>
      <c r="AM20" s="147"/>
      <c r="AN20" s="145"/>
      <c r="AO20" s="146"/>
      <c r="AP20" s="146"/>
      <c r="AQ20" s="147"/>
      <c r="AR20" s="145"/>
      <c r="AS20" s="146"/>
      <c r="AT20" s="146"/>
      <c r="AU20" s="147"/>
      <c r="AV20" s="145"/>
      <c r="AW20" s="146"/>
      <c r="AX20" s="146"/>
      <c r="AY20" s="147"/>
      <c r="AZ20" s="159">
        <v>200</v>
      </c>
      <c r="BA20" s="160" t="s">
        <v>311</v>
      </c>
      <c r="BB20" s="161">
        <v>50000</v>
      </c>
    </row>
    <row r="21" spans="1:54" x14ac:dyDescent="0.5">
      <c r="A21" s="104"/>
      <c r="B21" s="162" t="s">
        <v>303</v>
      </c>
      <c r="C21" s="144" t="s">
        <v>312</v>
      </c>
      <c r="D21" s="145"/>
      <c r="E21" s="146"/>
      <c r="F21" s="146"/>
      <c r="G21" s="147"/>
      <c r="H21" s="163"/>
      <c r="I21" s="164"/>
      <c r="J21" s="164"/>
      <c r="K21" s="165"/>
      <c r="L21" s="166"/>
      <c r="M21" s="167"/>
      <c r="N21" s="164"/>
      <c r="O21" s="165"/>
      <c r="P21" s="163"/>
      <c r="Q21" s="164"/>
      <c r="R21" s="164"/>
      <c r="S21" s="165"/>
      <c r="T21" s="163"/>
      <c r="U21" s="164"/>
      <c r="V21" s="146"/>
      <c r="W21" s="147"/>
      <c r="X21" s="169"/>
      <c r="Y21" s="170"/>
      <c r="Z21" s="170"/>
      <c r="AA21" s="171"/>
      <c r="AB21" s="145"/>
      <c r="AC21" s="146"/>
      <c r="AD21" s="146"/>
      <c r="AE21" s="147"/>
      <c r="AF21" s="145"/>
      <c r="AG21" s="146"/>
      <c r="AH21" s="146"/>
      <c r="AI21" s="147"/>
      <c r="AJ21" s="145"/>
      <c r="AK21" s="146"/>
      <c r="AL21" s="146"/>
      <c r="AM21" s="147"/>
      <c r="AN21" s="145"/>
      <c r="AO21" s="146"/>
      <c r="AP21" s="146"/>
      <c r="AQ21" s="147"/>
      <c r="AR21" s="145"/>
      <c r="AS21" s="146"/>
      <c r="AT21" s="146"/>
      <c r="AU21" s="147"/>
      <c r="AV21" s="145"/>
      <c r="AW21" s="146"/>
      <c r="AX21" s="146"/>
      <c r="AY21" s="147"/>
      <c r="BA21" s="160" t="s">
        <v>295</v>
      </c>
      <c r="BB21" s="161"/>
    </row>
    <row r="22" spans="1:54" x14ac:dyDescent="0.5">
      <c r="A22" s="104"/>
      <c r="B22" s="162"/>
      <c r="C22" s="144"/>
      <c r="H22" s="148"/>
      <c r="I22" s="149"/>
      <c r="J22" s="149"/>
      <c r="K22" s="150"/>
      <c r="L22" s="151"/>
      <c r="M22" s="152"/>
      <c r="N22" s="149"/>
      <c r="O22" s="150"/>
      <c r="P22" s="153"/>
      <c r="Q22" s="149"/>
      <c r="R22" s="149"/>
      <c r="S22" s="150"/>
      <c r="T22" s="153"/>
      <c r="U22" s="149"/>
      <c r="V22" s="154"/>
      <c r="W22" s="155"/>
      <c r="X22" s="169"/>
      <c r="Y22" s="170"/>
      <c r="Z22" s="170"/>
      <c r="AA22" s="171"/>
      <c r="AB22" s="145"/>
      <c r="AC22" s="146"/>
      <c r="AD22" s="146"/>
      <c r="AE22" s="147"/>
      <c r="AF22" s="145"/>
      <c r="AG22" s="146"/>
      <c r="AH22" s="146"/>
      <c r="AI22" s="147"/>
      <c r="AJ22" s="145"/>
      <c r="AK22" s="146"/>
      <c r="AL22" s="146"/>
      <c r="AM22" s="147"/>
      <c r="AN22" s="145"/>
      <c r="AO22" s="146"/>
      <c r="AP22" s="146"/>
      <c r="AQ22" s="147"/>
      <c r="AR22" s="145"/>
      <c r="AS22" s="146"/>
      <c r="AT22" s="146"/>
      <c r="AU22" s="147"/>
      <c r="AV22" s="145"/>
      <c r="AW22" s="146"/>
      <c r="AX22" s="146"/>
      <c r="AY22" s="147"/>
      <c r="BA22" s="160"/>
      <c r="BB22" s="161"/>
    </row>
    <row r="23" spans="1:54" x14ac:dyDescent="0.5">
      <c r="A23" s="104"/>
      <c r="B23" s="162" t="s">
        <v>313</v>
      </c>
      <c r="C23" s="144">
        <f>22*12</f>
        <v>264</v>
      </c>
      <c r="D23" s="189"/>
      <c r="E23" s="190"/>
      <c r="F23" s="190"/>
      <c r="G23" s="191"/>
      <c r="H23" s="192"/>
      <c r="I23" s="193"/>
      <c r="J23" s="193"/>
      <c r="K23" s="194"/>
      <c r="L23" s="195"/>
      <c r="M23" s="196"/>
      <c r="N23" s="193"/>
      <c r="O23" s="194"/>
      <c r="P23" s="192"/>
      <c r="Q23" s="193"/>
      <c r="R23" s="193"/>
      <c r="S23" s="194"/>
      <c r="T23" s="192"/>
      <c r="U23" s="193"/>
      <c r="V23" s="190"/>
      <c r="W23" s="191"/>
      <c r="X23" s="169"/>
      <c r="Y23" s="170"/>
      <c r="Z23" s="170"/>
      <c r="AA23" s="171"/>
      <c r="AB23" s="145"/>
      <c r="AC23" s="146"/>
      <c r="AD23" s="146"/>
      <c r="AE23" s="147"/>
      <c r="AF23" s="145"/>
      <c r="AG23" s="146"/>
      <c r="AH23" s="146"/>
      <c r="AI23" s="147"/>
      <c r="AJ23" s="145"/>
      <c r="AK23" s="146"/>
      <c r="AL23" s="146"/>
      <c r="AM23" s="147"/>
      <c r="AN23" s="145"/>
      <c r="AO23" s="146"/>
      <c r="AP23" s="146"/>
      <c r="AQ23" s="147"/>
      <c r="AR23" s="145"/>
      <c r="AS23" s="146"/>
      <c r="AT23" s="146"/>
      <c r="AU23" s="147"/>
      <c r="AV23" s="145"/>
      <c r="AW23" s="146"/>
      <c r="AX23" s="146"/>
      <c r="AY23" s="147"/>
      <c r="AZ23" s="159">
        <v>320</v>
      </c>
      <c r="BA23" s="160" t="s">
        <v>295</v>
      </c>
      <c r="BB23" s="161"/>
    </row>
    <row r="24" spans="1:54" x14ac:dyDescent="0.5">
      <c r="A24" s="104"/>
      <c r="B24" s="162"/>
      <c r="C24" s="144"/>
      <c r="H24" s="148"/>
      <c r="I24" s="149"/>
      <c r="J24" s="149"/>
      <c r="K24" s="150"/>
      <c r="L24" s="151"/>
      <c r="M24" s="152"/>
      <c r="N24" s="149"/>
      <c r="O24" s="150"/>
      <c r="P24" s="153"/>
      <c r="Q24" s="149"/>
      <c r="R24" s="149"/>
      <c r="S24" s="150"/>
      <c r="T24" s="153"/>
      <c r="U24" s="149"/>
      <c r="V24" s="154"/>
      <c r="W24" s="155"/>
      <c r="X24" s="169"/>
      <c r="Y24" s="170"/>
      <c r="Z24" s="170"/>
      <c r="AA24" s="171"/>
      <c r="AB24" s="145"/>
      <c r="AC24" s="146"/>
      <c r="AD24" s="146"/>
      <c r="AE24" s="147"/>
      <c r="AF24" s="145"/>
      <c r="AG24" s="146"/>
      <c r="AH24" s="146"/>
      <c r="AI24" s="147"/>
      <c r="AJ24" s="145"/>
      <c r="AK24" s="146"/>
      <c r="AL24" s="146"/>
      <c r="AM24" s="147"/>
      <c r="AN24" s="145"/>
      <c r="AO24" s="146"/>
      <c r="AP24" s="146"/>
      <c r="AQ24" s="147"/>
      <c r="AR24" s="145"/>
      <c r="AS24" s="146"/>
      <c r="AT24" s="146"/>
      <c r="AU24" s="147"/>
      <c r="AV24" s="145"/>
      <c r="AW24" s="146"/>
      <c r="AX24" s="146"/>
      <c r="AY24" s="147"/>
      <c r="BA24" s="160"/>
      <c r="BB24" s="197"/>
    </row>
    <row r="25" spans="1:54" x14ac:dyDescent="0.5">
      <c r="A25" s="104"/>
      <c r="B25" s="133" t="s">
        <v>314</v>
      </c>
      <c r="C25" s="144"/>
      <c r="H25" s="148"/>
      <c r="I25" s="149"/>
      <c r="J25" s="149"/>
      <c r="K25" s="150"/>
      <c r="L25" s="151"/>
      <c r="M25" s="152"/>
      <c r="N25" s="149"/>
      <c r="O25" s="150"/>
      <c r="P25" s="153"/>
      <c r="Q25" s="149"/>
      <c r="R25" s="149"/>
      <c r="S25" s="150"/>
      <c r="T25" s="153"/>
      <c r="U25" s="149"/>
      <c r="V25" s="154"/>
      <c r="W25" s="155"/>
      <c r="X25" s="156"/>
      <c r="Y25" s="157"/>
      <c r="Z25" s="157"/>
      <c r="AA25" s="158"/>
      <c r="AB25" s="104"/>
      <c r="AC25" s="154"/>
      <c r="AD25" s="154"/>
      <c r="AE25" s="155"/>
      <c r="AF25" s="104"/>
      <c r="AG25" s="154"/>
      <c r="AH25" s="154"/>
      <c r="AI25" s="155"/>
      <c r="AJ25" s="104"/>
      <c r="AK25" s="154"/>
      <c r="AL25" s="154"/>
      <c r="AM25" s="155"/>
      <c r="AN25" s="104"/>
      <c r="AO25" s="154"/>
      <c r="AP25" s="154"/>
      <c r="AQ25" s="155"/>
      <c r="AR25" s="104"/>
      <c r="AS25" s="154"/>
      <c r="AT25" s="154"/>
      <c r="AU25" s="155"/>
      <c r="AV25" s="104"/>
      <c r="AW25" s="154"/>
      <c r="AX25" s="154"/>
      <c r="AY25" s="155"/>
      <c r="BA25" s="160"/>
      <c r="BB25" s="161"/>
    </row>
    <row r="26" spans="1:54" ht="48" x14ac:dyDescent="0.5">
      <c r="A26" s="104"/>
      <c r="B26" s="143" t="s">
        <v>315</v>
      </c>
      <c r="C26" s="144" t="s">
        <v>316</v>
      </c>
      <c r="H26" s="148"/>
      <c r="I26" s="149"/>
      <c r="J26" s="149"/>
      <c r="K26" s="150"/>
      <c r="L26" s="151"/>
      <c r="M26" s="152"/>
      <c r="N26" s="149"/>
      <c r="O26" s="150"/>
      <c r="P26" s="153"/>
      <c r="Q26" s="149"/>
      <c r="R26" s="149"/>
      <c r="S26" s="150"/>
      <c r="T26" s="153"/>
      <c r="U26" s="149"/>
      <c r="V26" s="146"/>
      <c r="W26" s="147"/>
      <c r="X26" s="169"/>
      <c r="Y26" s="170"/>
      <c r="Z26" s="170"/>
      <c r="AA26" s="171"/>
      <c r="AB26" s="104"/>
      <c r="AC26" s="154"/>
      <c r="AD26" s="154"/>
      <c r="AE26" s="155"/>
      <c r="AF26" s="104"/>
      <c r="AG26" s="154"/>
      <c r="AH26" s="154"/>
      <c r="AI26" s="155"/>
      <c r="AJ26" s="104"/>
      <c r="AK26" s="154"/>
      <c r="AL26" s="154"/>
      <c r="AM26" s="155"/>
      <c r="AN26" s="104"/>
      <c r="AO26" s="154"/>
      <c r="AP26" s="154"/>
      <c r="AQ26" s="155"/>
      <c r="AR26" s="104"/>
      <c r="AS26" s="154"/>
      <c r="AT26" s="154"/>
      <c r="AU26" s="155"/>
      <c r="AV26" s="104"/>
      <c r="AW26" s="154"/>
      <c r="AX26" s="154"/>
      <c r="AY26" s="155"/>
      <c r="BA26" s="160" t="s">
        <v>295</v>
      </c>
      <c r="BB26" s="161"/>
    </row>
    <row r="27" spans="1:54" x14ac:dyDescent="0.5">
      <c r="A27" s="104"/>
      <c r="B27" s="162" t="s">
        <v>296</v>
      </c>
      <c r="C27" s="144">
        <v>10</v>
      </c>
      <c r="H27" s="148"/>
      <c r="I27" s="149"/>
      <c r="J27" s="149"/>
      <c r="K27" s="150"/>
      <c r="L27" s="151"/>
      <c r="M27" s="152"/>
      <c r="N27" s="149"/>
      <c r="O27" s="150"/>
      <c r="P27" s="153"/>
      <c r="Q27" s="149"/>
      <c r="R27" s="149"/>
      <c r="S27" s="150"/>
      <c r="T27" s="153"/>
      <c r="U27" s="149"/>
      <c r="V27" s="154"/>
      <c r="W27" s="155"/>
      <c r="X27" s="156"/>
      <c r="Y27" s="157"/>
      <c r="Z27" s="157"/>
      <c r="AA27" s="157"/>
      <c r="AB27" s="145"/>
      <c r="AC27" s="146"/>
      <c r="AD27" s="146"/>
      <c r="AE27" s="147"/>
      <c r="AF27" s="104"/>
      <c r="AG27" s="154"/>
      <c r="AH27" s="154"/>
      <c r="AI27" s="155"/>
      <c r="AJ27" s="104"/>
      <c r="AK27" s="154"/>
      <c r="AL27" s="154"/>
      <c r="AM27" s="155"/>
      <c r="AN27" s="104"/>
      <c r="AO27" s="154"/>
      <c r="AP27" s="154"/>
      <c r="AQ27" s="155"/>
      <c r="AR27" s="104"/>
      <c r="AS27" s="154"/>
      <c r="AT27" s="154"/>
      <c r="AU27" s="155"/>
      <c r="AV27" s="104"/>
      <c r="AW27" s="154"/>
      <c r="AX27" s="154"/>
      <c r="AY27" s="155"/>
      <c r="BA27" s="160" t="s">
        <v>310</v>
      </c>
      <c r="BB27" s="161"/>
    </row>
    <row r="28" spans="1:54" x14ac:dyDescent="0.5">
      <c r="A28" s="104"/>
      <c r="B28" s="162" t="s">
        <v>298</v>
      </c>
      <c r="C28" s="144">
        <v>10</v>
      </c>
      <c r="H28" s="148"/>
      <c r="I28" s="149"/>
      <c r="J28" s="149"/>
      <c r="K28" s="150"/>
      <c r="L28" s="151"/>
      <c r="M28" s="152"/>
      <c r="N28" s="149"/>
      <c r="O28" s="150"/>
      <c r="P28" s="153"/>
      <c r="Q28" s="149"/>
      <c r="R28" s="149"/>
      <c r="S28" s="150"/>
      <c r="T28" s="153"/>
      <c r="U28" s="149"/>
      <c r="V28" s="154"/>
      <c r="W28" s="155"/>
      <c r="X28" s="156"/>
      <c r="Y28" s="157"/>
      <c r="Z28" s="157"/>
      <c r="AA28" s="158"/>
      <c r="AB28" s="104"/>
      <c r="AC28" s="154"/>
      <c r="AD28" s="154"/>
      <c r="AE28" s="155"/>
      <c r="AF28" s="104"/>
      <c r="AG28" s="154"/>
      <c r="AH28" s="154"/>
      <c r="AI28" s="155"/>
      <c r="AJ28" s="104"/>
      <c r="AK28" s="154"/>
      <c r="AL28" s="154"/>
      <c r="AM28" s="155"/>
      <c r="AN28" s="104"/>
      <c r="AO28" s="154"/>
      <c r="AP28" s="154"/>
      <c r="AQ28" s="155"/>
      <c r="AR28" s="104"/>
      <c r="AS28" s="154"/>
      <c r="AT28" s="154"/>
      <c r="AU28" s="155"/>
      <c r="AV28" s="104"/>
      <c r="AW28" s="154"/>
      <c r="AX28" s="154"/>
      <c r="AY28" s="155"/>
      <c r="BA28" s="160" t="s">
        <v>299</v>
      </c>
      <c r="BB28" s="161">
        <v>2225000</v>
      </c>
    </row>
    <row r="29" spans="1:54" x14ac:dyDescent="0.5">
      <c r="A29" s="104"/>
      <c r="B29" s="162" t="s">
        <v>300</v>
      </c>
      <c r="C29" s="144">
        <f>5*4</f>
        <v>20</v>
      </c>
      <c r="H29" s="148"/>
      <c r="I29" s="149"/>
      <c r="J29" s="149"/>
      <c r="K29" s="150"/>
      <c r="L29" s="151"/>
      <c r="M29" s="152"/>
      <c r="N29" s="149"/>
      <c r="O29" s="150"/>
      <c r="P29" s="153"/>
      <c r="Q29" s="149"/>
      <c r="R29" s="149"/>
      <c r="S29" s="150"/>
      <c r="T29" s="153"/>
      <c r="U29" s="149"/>
      <c r="V29" s="154"/>
      <c r="W29" s="155"/>
      <c r="X29" s="156"/>
      <c r="Y29" s="157"/>
      <c r="Z29" s="157"/>
      <c r="AA29" s="158"/>
      <c r="AB29" s="104"/>
      <c r="AC29" s="154"/>
      <c r="AD29" s="154"/>
      <c r="AE29" s="155"/>
      <c r="AF29" s="145"/>
      <c r="AG29" s="146"/>
      <c r="AH29" s="146"/>
      <c r="AI29" s="147"/>
      <c r="AJ29" s="104"/>
      <c r="AK29" s="154"/>
      <c r="AL29" s="154"/>
      <c r="AM29" s="155"/>
      <c r="AN29" s="104"/>
      <c r="AO29" s="154"/>
      <c r="AP29" s="154"/>
      <c r="AQ29" s="155"/>
      <c r="AR29" s="104"/>
      <c r="AS29" s="154"/>
      <c r="AT29" s="154"/>
      <c r="AU29" s="155"/>
      <c r="AV29" s="104"/>
      <c r="AW29" s="154"/>
      <c r="AX29" s="154"/>
      <c r="AY29" s="155"/>
      <c r="BA29" s="160" t="s">
        <v>301</v>
      </c>
      <c r="BB29" s="161"/>
    </row>
    <row r="30" spans="1:54" x14ac:dyDescent="0.5">
      <c r="A30" s="104"/>
      <c r="B30" s="162" t="s">
        <v>302</v>
      </c>
      <c r="C30" s="144">
        <v>150</v>
      </c>
      <c r="H30" s="148"/>
      <c r="I30" s="149"/>
      <c r="J30" s="149"/>
      <c r="K30" s="150"/>
      <c r="L30" s="151"/>
      <c r="M30" s="152"/>
      <c r="N30" s="149"/>
      <c r="O30" s="150"/>
      <c r="P30" s="153"/>
      <c r="Q30" s="149"/>
      <c r="R30" s="149"/>
      <c r="S30" s="150"/>
      <c r="T30" s="153"/>
      <c r="U30" s="149"/>
      <c r="V30" s="154"/>
      <c r="W30" s="155"/>
      <c r="X30" s="156"/>
      <c r="Y30" s="157"/>
      <c r="Z30" s="157"/>
      <c r="AA30" s="158"/>
      <c r="AB30" s="104"/>
      <c r="AC30" s="154"/>
      <c r="AD30" s="154"/>
      <c r="AE30" s="155"/>
      <c r="AF30" s="145"/>
      <c r="AG30" s="146"/>
      <c r="AH30" s="146"/>
      <c r="AI30" s="147"/>
      <c r="AJ30" s="145"/>
      <c r="AK30" s="146"/>
      <c r="AL30" s="146"/>
      <c r="AM30" s="147"/>
      <c r="AN30" s="145"/>
      <c r="AO30" s="146"/>
      <c r="AP30" s="146"/>
      <c r="AQ30" s="147"/>
      <c r="AR30" s="145"/>
      <c r="AS30" s="146"/>
      <c r="AT30" s="146"/>
      <c r="AU30" s="147"/>
      <c r="AV30" s="145"/>
      <c r="AW30" s="146"/>
      <c r="AX30" s="146"/>
      <c r="AY30" s="147"/>
      <c r="AZ30" s="159">
        <v>445</v>
      </c>
      <c r="BA30" s="160" t="s">
        <v>311</v>
      </c>
      <c r="BB30" s="161">
        <v>50000</v>
      </c>
    </row>
    <row r="31" spans="1:54" x14ac:dyDescent="0.5">
      <c r="A31" s="104"/>
      <c r="B31" s="162" t="s">
        <v>303</v>
      </c>
      <c r="C31" s="144" t="s">
        <v>317</v>
      </c>
      <c r="D31" s="145"/>
      <c r="E31" s="146"/>
      <c r="F31" s="146"/>
      <c r="G31" s="147"/>
      <c r="H31" s="163"/>
      <c r="I31" s="164"/>
      <c r="J31" s="164"/>
      <c r="K31" s="165"/>
      <c r="L31" s="166"/>
      <c r="M31" s="167"/>
      <c r="N31" s="164"/>
      <c r="O31" s="165"/>
      <c r="P31" s="163"/>
      <c r="Q31" s="164"/>
      <c r="R31" s="164"/>
      <c r="S31" s="165"/>
      <c r="T31" s="163"/>
      <c r="U31" s="164"/>
      <c r="V31" s="146"/>
      <c r="W31" s="147"/>
      <c r="X31" s="169"/>
      <c r="Y31" s="170"/>
      <c r="Z31" s="170"/>
      <c r="AA31" s="171"/>
      <c r="AB31" s="145"/>
      <c r="AC31" s="146"/>
      <c r="AD31" s="146"/>
      <c r="AE31" s="147"/>
      <c r="AF31" s="145"/>
      <c r="AG31" s="146"/>
      <c r="AH31" s="146"/>
      <c r="AI31" s="147"/>
      <c r="AJ31" s="145"/>
      <c r="AK31" s="146"/>
      <c r="AL31" s="146"/>
      <c r="AM31" s="147"/>
      <c r="AN31" s="145"/>
      <c r="AO31" s="146"/>
      <c r="AP31" s="146"/>
      <c r="AQ31" s="147"/>
      <c r="AR31" s="145"/>
      <c r="AS31" s="146"/>
      <c r="AT31" s="146"/>
      <c r="AU31" s="147"/>
      <c r="AV31" s="145"/>
      <c r="AW31" s="146"/>
      <c r="AX31" s="146"/>
      <c r="AY31" s="147"/>
      <c r="BA31" s="160" t="s">
        <v>295</v>
      </c>
      <c r="BB31" s="161"/>
    </row>
    <row r="32" spans="1:54" x14ac:dyDescent="0.5">
      <c r="A32" s="104"/>
      <c r="B32" s="162"/>
      <c r="C32" s="144"/>
      <c r="H32" s="148"/>
      <c r="I32" s="149"/>
      <c r="J32" s="149"/>
      <c r="K32" s="150"/>
      <c r="L32" s="151"/>
      <c r="M32" s="152"/>
      <c r="N32" s="149"/>
      <c r="O32" s="150"/>
      <c r="P32" s="153"/>
      <c r="Q32" s="149"/>
      <c r="R32" s="149"/>
      <c r="S32" s="150"/>
      <c r="T32" s="153"/>
      <c r="U32" s="149"/>
      <c r="V32" s="154"/>
      <c r="W32" s="155"/>
      <c r="X32" s="156"/>
      <c r="Y32" s="157"/>
      <c r="Z32" s="157"/>
      <c r="AA32" s="158"/>
      <c r="AB32" s="104"/>
      <c r="AC32" s="154"/>
      <c r="AD32" s="154"/>
      <c r="AE32" s="198"/>
      <c r="AF32" s="199"/>
      <c r="AG32" s="200"/>
      <c r="AH32" s="200"/>
      <c r="AI32" s="198"/>
      <c r="AJ32" s="199"/>
      <c r="AK32" s="200"/>
      <c r="AL32" s="200"/>
      <c r="AM32" s="198"/>
      <c r="AN32" s="199"/>
      <c r="AO32" s="200"/>
      <c r="AP32" s="200"/>
      <c r="AQ32" s="198"/>
      <c r="AR32" s="199"/>
      <c r="AS32" s="200"/>
      <c r="AT32" s="200"/>
      <c r="AU32" s="198"/>
      <c r="AV32" s="199"/>
      <c r="AW32" s="200"/>
      <c r="AX32" s="200"/>
      <c r="AY32" s="198"/>
      <c r="AZ32" s="201"/>
      <c r="BA32" s="160"/>
      <c r="BB32" s="161"/>
    </row>
    <row r="33" spans="1:54" x14ac:dyDescent="0.5">
      <c r="A33" s="104"/>
      <c r="B33" s="173" t="s">
        <v>305</v>
      </c>
      <c r="C33" s="174">
        <f>12*22</f>
        <v>264</v>
      </c>
      <c r="D33" s="145"/>
      <c r="E33" s="146"/>
      <c r="F33" s="146"/>
      <c r="G33" s="147"/>
      <c r="H33" s="163"/>
      <c r="I33" s="164"/>
      <c r="J33" s="164"/>
      <c r="K33" s="165"/>
      <c r="L33" s="166"/>
      <c r="M33" s="167"/>
      <c r="N33" s="164"/>
      <c r="O33" s="165"/>
      <c r="P33" s="163"/>
      <c r="Q33" s="164"/>
      <c r="R33" s="164"/>
      <c r="S33" s="165"/>
      <c r="T33" s="163"/>
      <c r="U33" s="164"/>
      <c r="V33" s="146"/>
      <c r="W33" s="147"/>
      <c r="X33" s="169"/>
      <c r="Y33" s="170"/>
      <c r="Z33" s="170"/>
      <c r="AA33" s="171"/>
      <c r="AB33" s="145"/>
      <c r="AC33" s="146"/>
      <c r="AD33" s="146"/>
      <c r="AE33" s="147"/>
      <c r="AF33" s="145"/>
      <c r="AG33" s="146"/>
      <c r="AH33" s="146"/>
      <c r="AI33" s="147"/>
      <c r="AJ33" s="145"/>
      <c r="AK33" s="146"/>
      <c r="AL33" s="146"/>
      <c r="AM33" s="147"/>
      <c r="AN33" s="145"/>
      <c r="AO33" s="146"/>
      <c r="AP33" s="146"/>
      <c r="AQ33" s="147"/>
      <c r="AR33" s="145"/>
      <c r="AS33" s="146"/>
      <c r="AT33" s="146"/>
      <c r="AU33" s="147"/>
      <c r="AV33" s="145"/>
      <c r="AW33" s="146"/>
      <c r="AX33" s="146"/>
      <c r="AY33" s="147"/>
      <c r="BA33" s="160" t="s">
        <v>318</v>
      </c>
      <c r="BB33" s="161">
        <v>50000</v>
      </c>
    </row>
    <row r="34" spans="1:54" x14ac:dyDescent="0.5">
      <c r="A34" s="104"/>
      <c r="B34" s="154"/>
      <c r="C34" s="144"/>
      <c r="H34" s="148"/>
      <c r="I34" s="149"/>
      <c r="J34" s="149"/>
      <c r="K34" s="150"/>
      <c r="L34" s="151"/>
      <c r="M34" s="152"/>
      <c r="N34" s="149"/>
      <c r="O34" s="150"/>
      <c r="P34" s="153"/>
      <c r="Q34" s="149"/>
      <c r="R34" s="149"/>
      <c r="S34" s="150"/>
      <c r="T34" s="153"/>
      <c r="U34" s="149"/>
      <c r="V34" s="154"/>
      <c r="W34" s="155"/>
      <c r="X34" s="156"/>
      <c r="Y34" s="157"/>
      <c r="Z34" s="157"/>
      <c r="AA34" s="158"/>
      <c r="AB34" s="104"/>
      <c r="AC34" s="154"/>
      <c r="AD34" s="154"/>
      <c r="AE34" s="155"/>
      <c r="AF34" s="104"/>
      <c r="AG34" s="154"/>
      <c r="AH34" s="154"/>
      <c r="AI34" s="155"/>
      <c r="AJ34" s="104"/>
      <c r="AK34" s="154"/>
      <c r="AL34" s="154"/>
      <c r="AM34" s="155"/>
      <c r="AN34" s="104"/>
      <c r="AO34" s="154"/>
      <c r="AP34" s="154"/>
      <c r="AQ34" s="155"/>
      <c r="AR34" s="104"/>
      <c r="AS34" s="154"/>
      <c r="AT34" s="154"/>
      <c r="AU34" s="155"/>
      <c r="AV34" s="104"/>
      <c r="AW34" s="154"/>
      <c r="AX34" s="154"/>
      <c r="AY34" s="155"/>
      <c r="BA34" s="160"/>
      <c r="BB34" s="161"/>
    </row>
    <row r="35" spans="1:54" x14ac:dyDescent="0.5">
      <c r="A35" s="202"/>
      <c r="B35" s="203" t="s">
        <v>319</v>
      </c>
      <c r="C35" s="204"/>
      <c r="D35" s="202"/>
      <c r="E35" s="205"/>
      <c r="F35" s="205"/>
      <c r="G35" s="206"/>
      <c r="H35" s="207"/>
      <c r="I35" s="208"/>
      <c r="J35" s="208"/>
      <c r="K35" s="209"/>
      <c r="L35" s="210"/>
      <c r="M35" s="211"/>
      <c r="N35" s="208"/>
      <c r="O35" s="209"/>
      <c r="P35" s="207"/>
      <c r="Q35" s="208"/>
      <c r="R35" s="208"/>
      <c r="S35" s="209"/>
      <c r="T35" s="207"/>
      <c r="U35" s="208"/>
      <c r="V35" s="205"/>
      <c r="W35" s="206"/>
      <c r="X35" s="212"/>
      <c r="Y35" s="203"/>
      <c r="Z35" s="203"/>
      <c r="AA35" s="213"/>
      <c r="AB35" s="202"/>
      <c r="AC35" s="205"/>
      <c r="AD35" s="205"/>
      <c r="AE35" s="206"/>
      <c r="AF35" s="202"/>
      <c r="AG35" s="205"/>
      <c r="AH35" s="205"/>
      <c r="AI35" s="206"/>
      <c r="AJ35" s="202"/>
      <c r="AK35" s="205"/>
      <c r="AL35" s="205"/>
      <c r="AM35" s="206"/>
      <c r="AN35" s="202"/>
      <c r="AO35" s="205"/>
      <c r="AP35" s="205"/>
      <c r="AQ35" s="206"/>
      <c r="AR35" s="202"/>
      <c r="AS35" s="205"/>
      <c r="AT35" s="205"/>
      <c r="AU35" s="206"/>
      <c r="AV35" s="202"/>
      <c r="AW35" s="205"/>
      <c r="AX35" s="205"/>
      <c r="AY35" s="206"/>
      <c r="BA35" s="214"/>
      <c r="BB35" s="141"/>
    </row>
    <row r="36" spans="1:54" x14ac:dyDescent="0.5">
      <c r="A36" s="104"/>
      <c r="B36" s="215" t="s">
        <v>320</v>
      </c>
      <c r="C36" s="144"/>
      <c r="H36" s="148"/>
      <c r="I36" s="149"/>
      <c r="J36" s="149"/>
      <c r="K36" s="150"/>
      <c r="L36" s="151"/>
      <c r="M36" s="152"/>
      <c r="N36" s="149"/>
      <c r="O36" s="150"/>
      <c r="P36" s="153"/>
      <c r="Q36" s="149"/>
      <c r="R36" s="149"/>
      <c r="S36" s="150"/>
      <c r="T36" s="153"/>
      <c r="U36" s="149"/>
      <c r="V36" s="154"/>
      <c r="W36" s="155"/>
      <c r="X36" s="156"/>
      <c r="Y36" s="157"/>
      <c r="Z36" s="157"/>
      <c r="AA36" s="158"/>
      <c r="AB36" s="104"/>
      <c r="AC36" s="154"/>
      <c r="AD36" s="154"/>
      <c r="AE36" s="155"/>
      <c r="AF36" s="104"/>
      <c r="AG36" s="154"/>
      <c r="AH36" s="154"/>
      <c r="AI36" s="155"/>
      <c r="AJ36" s="104"/>
      <c r="AK36" s="154"/>
      <c r="AL36" s="154"/>
      <c r="AM36" s="155"/>
      <c r="AN36" s="104"/>
      <c r="AO36" s="154"/>
      <c r="AP36" s="154"/>
      <c r="AQ36" s="155"/>
      <c r="AR36" s="104"/>
      <c r="AS36" s="154"/>
      <c r="AT36" s="154"/>
      <c r="AU36" s="155"/>
      <c r="AV36" s="104"/>
      <c r="AW36" s="154"/>
      <c r="AX36" s="154"/>
      <c r="AY36" s="155"/>
      <c r="BA36" s="160"/>
    </row>
    <row r="37" spans="1:54" x14ac:dyDescent="0.5">
      <c r="A37" s="104"/>
      <c r="B37" s="162" t="s">
        <v>321</v>
      </c>
      <c r="C37" s="216">
        <v>1</v>
      </c>
      <c r="D37" s="145"/>
      <c r="H37" s="148"/>
      <c r="I37" s="149"/>
      <c r="J37" s="149"/>
      <c r="K37" s="150"/>
      <c r="L37" s="151"/>
      <c r="M37" s="152"/>
      <c r="N37" s="149"/>
      <c r="O37" s="150"/>
      <c r="P37" s="153"/>
      <c r="Q37" s="149"/>
      <c r="R37" s="149"/>
      <c r="S37" s="150"/>
      <c r="T37" s="153"/>
      <c r="U37" s="149"/>
      <c r="V37" s="154"/>
      <c r="W37" s="155"/>
      <c r="X37" s="156"/>
      <c r="Y37" s="157"/>
      <c r="Z37" s="157"/>
      <c r="AA37" s="158"/>
      <c r="AB37" s="104"/>
      <c r="AC37" s="154"/>
      <c r="AD37" s="154"/>
      <c r="AE37" s="155"/>
      <c r="AF37" s="104"/>
      <c r="AG37" s="154"/>
      <c r="AH37" s="154"/>
      <c r="AI37" s="155"/>
      <c r="AJ37" s="104"/>
      <c r="AK37" s="154"/>
      <c r="AL37" s="154"/>
      <c r="AM37" s="155"/>
      <c r="AN37" s="104"/>
      <c r="AO37" s="154"/>
      <c r="AP37" s="154"/>
      <c r="AQ37" s="155"/>
      <c r="AR37" s="104"/>
      <c r="AS37" s="154"/>
      <c r="AT37" s="154"/>
      <c r="AU37" s="155"/>
      <c r="AV37" s="104"/>
      <c r="AW37" s="154"/>
      <c r="AX37" s="154"/>
      <c r="AY37" s="155"/>
      <c r="BA37" s="160" t="s">
        <v>322</v>
      </c>
      <c r="BB37" s="161"/>
    </row>
    <row r="38" spans="1:54" x14ac:dyDescent="0.5">
      <c r="A38" s="104"/>
      <c r="B38" s="162" t="s">
        <v>323</v>
      </c>
      <c r="C38" s="144">
        <f>5*4</f>
        <v>20</v>
      </c>
      <c r="E38" s="146"/>
      <c r="F38" s="146"/>
      <c r="G38" s="147"/>
      <c r="H38" s="163"/>
      <c r="I38" s="149"/>
      <c r="J38" s="149"/>
      <c r="K38" s="150"/>
      <c r="L38" s="151"/>
      <c r="M38" s="152"/>
      <c r="N38" s="149"/>
      <c r="O38" s="150"/>
      <c r="P38" s="153"/>
      <c r="Q38" s="149"/>
      <c r="R38" s="149"/>
      <c r="S38" s="150"/>
      <c r="T38" s="153"/>
      <c r="U38" s="149"/>
      <c r="V38" s="154"/>
      <c r="W38" s="155"/>
      <c r="X38" s="156"/>
      <c r="Y38" s="157"/>
      <c r="Z38" s="157"/>
      <c r="AA38" s="158"/>
      <c r="AB38" s="104"/>
      <c r="AC38" s="154"/>
      <c r="AD38" s="154"/>
      <c r="AE38" s="155"/>
      <c r="AF38" s="104"/>
      <c r="AG38" s="154"/>
      <c r="AH38" s="154"/>
      <c r="AI38" s="155"/>
      <c r="AJ38" s="104"/>
      <c r="AK38" s="154"/>
      <c r="AL38" s="154"/>
      <c r="AM38" s="155"/>
      <c r="AN38" s="104"/>
      <c r="AO38" s="154"/>
      <c r="AP38" s="154"/>
      <c r="AQ38" s="155"/>
      <c r="AR38" s="104"/>
      <c r="AS38" s="154"/>
      <c r="AT38" s="154"/>
      <c r="AU38" s="155"/>
      <c r="AV38" s="104"/>
      <c r="AW38" s="154"/>
      <c r="AX38" s="154"/>
      <c r="AY38" s="155"/>
      <c r="BA38" s="160" t="s">
        <v>322</v>
      </c>
      <c r="BB38" s="161"/>
    </row>
    <row r="39" spans="1:54" x14ac:dyDescent="0.5">
      <c r="A39" s="104"/>
      <c r="B39" s="162" t="s">
        <v>324</v>
      </c>
      <c r="C39" s="144">
        <f>5*8</f>
        <v>40</v>
      </c>
      <c r="H39" s="148"/>
      <c r="I39" s="164"/>
      <c r="J39" s="164"/>
      <c r="K39" s="165"/>
      <c r="L39" s="166"/>
      <c r="M39" s="167"/>
      <c r="N39" s="164"/>
      <c r="O39" s="165"/>
      <c r="P39" s="153"/>
      <c r="Q39" s="149"/>
      <c r="R39" s="149"/>
      <c r="S39" s="150"/>
      <c r="T39" s="153"/>
      <c r="U39" s="149"/>
      <c r="V39" s="154"/>
      <c r="W39" s="155"/>
      <c r="X39" s="156"/>
      <c r="Y39" s="157"/>
      <c r="Z39" s="157"/>
      <c r="AA39" s="158"/>
      <c r="AB39" s="104"/>
      <c r="AC39" s="154"/>
      <c r="AD39" s="154"/>
      <c r="AE39" s="155"/>
      <c r="AF39" s="104"/>
      <c r="AG39" s="154"/>
      <c r="AH39" s="154"/>
      <c r="AI39" s="155"/>
      <c r="AJ39" s="104"/>
      <c r="AK39" s="154"/>
      <c r="AL39" s="154"/>
      <c r="AM39" s="155"/>
      <c r="AN39" s="104"/>
      <c r="AO39" s="154"/>
      <c r="AP39" s="154"/>
      <c r="AQ39" s="155"/>
      <c r="AR39" s="104"/>
      <c r="AS39" s="154"/>
      <c r="AT39" s="154"/>
      <c r="AU39" s="155"/>
      <c r="AV39" s="104"/>
      <c r="AW39" s="154"/>
      <c r="AX39" s="154"/>
      <c r="AY39" s="155"/>
      <c r="BA39" s="160" t="s">
        <v>301</v>
      </c>
      <c r="BB39" s="161"/>
    </row>
    <row r="40" spans="1:54" x14ac:dyDescent="0.5">
      <c r="A40" s="104"/>
      <c r="B40" s="162" t="s">
        <v>325</v>
      </c>
      <c r="C40" s="144">
        <f>10*22</f>
        <v>220</v>
      </c>
      <c r="H40" s="148"/>
      <c r="I40" s="181"/>
      <c r="J40" s="181"/>
      <c r="K40" s="182"/>
      <c r="L40" s="166"/>
      <c r="M40" s="167"/>
      <c r="N40" s="164"/>
      <c r="O40" s="165"/>
      <c r="P40" s="163"/>
      <c r="Q40" s="164"/>
      <c r="R40" s="164"/>
      <c r="S40" s="165"/>
      <c r="T40" s="163"/>
      <c r="U40" s="164"/>
      <c r="V40" s="146"/>
      <c r="W40" s="147"/>
      <c r="X40" s="169"/>
      <c r="Y40" s="170"/>
      <c r="Z40" s="170"/>
      <c r="AA40" s="171"/>
      <c r="AB40" s="145"/>
      <c r="AC40" s="146"/>
      <c r="AD40" s="146"/>
      <c r="AE40" s="147"/>
      <c r="AF40" s="145"/>
      <c r="AG40" s="146"/>
      <c r="AH40" s="146"/>
      <c r="AI40" s="147"/>
      <c r="AJ40" s="145"/>
      <c r="AK40" s="146"/>
      <c r="AL40" s="146"/>
      <c r="AM40" s="147"/>
      <c r="AN40" s="145"/>
      <c r="AO40" s="146"/>
      <c r="AP40" s="146"/>
      <c r="AQ40" s="147"/>
      <c r="AR40" s="145"/>
      <c r="AS40" s="146"/>
      <c r="AT40" s="146"/>
      <c r="AU40" s="147"/>
      <c r="AV40" s="145"/>
      <c r="AW40" s="146"/>
      <c r="AX40" s="146"/>
      <c r="AY40" s="147"/>
      <c r="AZ40" s="159">
        <v>300</v>
      </c>
      <c r="BA40" s="160" t="s">
        <v>311</v>
      </c>
      <c r="BB40" s="161">
        <v>60000</v>
      </c>
    </row>
    <row r="41" spans="1:54" x14ac:dyDescent="0.5">
      <c r="A41" s="104"/>
      <c r="B41" s="162" t="s">
        <v>326</v>
      </c>
      <c r="C41" s="144">
        <f>10*22</f>
        <v>220</v>
      </c>
      <c r="H41" s="148"/>
      <c r="I41" s="181"/>
      <c r="J41" s="181"/>
      <c r="K41" s="182"/>
      <c r="L41" s="166"/>
      <c r="M41" s="167"/>
      <c r="N41" s="164"/>
      <c r="O41" s="165"/>
      <c r="P41" s="163"/>
      <c r="Q41" s="164"/>
      <c r="R41" s="164"/>
      <c r="S41" s="165"/>
      <c r="T41" s="163"/>
      <c r="U41" s="164"/>
      <c r="V41" s="146"/>
      <c r="W41" s="147"/>
      <c r="X41" s="169"/>
      <c r="Y41" s="170"/>
      <c r="Z41" s="170"/>
      <c r="AA41" s="171"/>
      <c r="AB41" s="145"/>
      <c r="AC41" s="146"/>
      <c r="AD41" s="146"/>
      <c r="AE41" s="147"/>
      <c r="AF41" s="145"/>
      <c r="AG41" s="146"/>
      <c r="AH41" s="146"/>
      <c r="AI41" s="147"/>
      <c r="AJ41" s="145"/>
      <c r="AK41" s="146"/>
      <c r="AL41" s="146"/>
      <c r="AM41" s="147"/>
      <c r="AN41" s="145"/>
      <c r="AO41" s="146"/>
      <c r="AP41" s="146"/>
      <c r="AQ41" s="147"/>
      <c r="AR41" s="145"/>
      <c r="AS41" s="146"/>
      <c r="AT41" s="146"/>
      <c r="AU41" s="147"/>
      <c r="AV41" s="145"/>
      <c r="AW41" s="146"/>
      <c r="AX41" s="146"/>
      <c r="AY41" s="147"/>
      <c r="BA41" s="160" t="s">
        <v>301</v>
      </c>
      <c r="BB41" s="161"/>
    </row>
    <row r="42" spans="1:54" x14ac:dyDescent="0.5">
      <c r="A42" s="104"/>
      <c r="B42" s="162"/>
      <c r="C42" s="144"/>
      <c r="H42" s="148"/>
      <c r="I42" s="149"/>
      <c r="J42" s="149"/>
      <c r="K42" s="150"/>
      <c r="L42" s="151"/>
      <c r="M42" s="152"/>
      <c r="N42" s="149"/>
      <c r="O42" s="150"/>
      <c r="P42" s="153"/>
      <c r="Q42" s="149"/>
      <c r="R42" s="149"/>
      <c r="S42" s="150"/>
      <c r="T42" s="153"/>
      <c r="U42" s="149"/>
      <c r="V42" s="154"/>
      <c r="W42" s="155"/>
      <c r="X42" s="156"/>
      <c r="Y42" s="157"/>
      <c r="Z42" s="157"/>
      <c r="AA42" s="158"/>
      <c r="AB42" s="104"/>
      <c r="AC42" s="154"/>
      <c r="AD42" s="154"/>
      <c r="AE42" s="155"/>
      <c r="AF42" s="104"/>
      <c r="AG42" s="154"/>
      <c r="AH42" s="154"/>
      <c r="AI42" s="155"/>
      <c r="AJ42" s="104"/>
      <c r="AK42" s="154"/>
      <c r="AL42" s="154"/>
      <c r="AM42" s="155"/>
      <c r="AN42" s="104"/>
      <c r="AO42" s="154"/>
      <c r="AP42" s="154"/>
      <c r="AQ42" s="155"/>
      <c r="AR42" s="104"/>
      <c r="AS42" s="154"/>
      <c r="AT42" s="154"/>
      <c r="AU42" s="155"/>
      <c r="AV42" s="104"/>
      <c r="AW42" s="154"/>
      <c r="AX42" s="154"/>
      <c r="AY42" s="155"/>
      <c r="BA42" s="160"/>
      <c r="BB42" s="161"/>
    </row>
    <row r="43" spans="1:54" x14ac:dyDescent="0.5">
      <c r="A43" s="104"/>
      <c r="B43" s="215" t="s">
        <v>327</v>
      </c>
      <c r="C43" s="144"/>
      <c r="H43" s="148"/>
      <c r="I43" s="149"/>
      <c r="J43" s="149"/>
      <c r="K43" s="150"/>
      <c r="L43" s="151"/>
      <c r="M43" s="152"/>
      <c r="N43" s="149"/>
      <c r="O43" s="150"/>
      <c r="P43" s="153"/>
      <c r="Q43" s="149"/>
      <c r="R43" s="149"/>
      <c r="S43" s="150"/>
      <c r="T43" s="153"/>
      <c r="U43" s="149"/>
      <c r="V43" s="154"/>
      <c r="W43" s="155"/>
      <c r="X43" s="156"/>
      <c r="Y43" s="157"/>
      <c r="Z43" s="157"/>
      <c r="AA43" s="158"/>
      <c r="AB43" s="104"/>
      <c r="AC43" s="154"/>
      <c r="AD43" s="154"/>
      <c r="AE43" s="155"/>
      <c r="AF43" s="104"/>
      <c r="AG43" s="154"/>
      <c r="AH43" s="154"/>
      <c r="AI43" s="155"/>
      <c r="AJ43" s="104"/>
      <c r="AK43" s="154"/>
      <c r="AL43" s="154"/>
      <c r="AM43" s="155"/>
      <c r="AN43" s="104"/>
      <c r="AO43" s="154"/>
      <c r="AP43" s="154"/>
      <c r="AQ43" s="155"/>
      <c r="AR43" s="104"/>
      <c r="AS43" s="154"/>
      <c r="AT43" s="154"/>
      <c r="AU43" s="155"/>
      <c r="AV43" s="104"/>
      <c r="AW43" s="154"/>
      <c r="AX43" s="154"/>
      <c r="AY43" s="155"/>
      <c r="BA43" s="160"/>
      <c r="BB43" s="161"/>
    </row>
    <row r="44" spans="1:54" x14ac:dyDescent="0.5">
      <c r="A44" s="104"/>
      <c r="B44" s="162" t="s">
        <v>328</v>
      </c>
      <c r="C44" s="144">
        <v>1</v>
      </c>
      <c r="H44" s="163"/>
      <c r="I44" s="149"/>
      <c r="J44" s="149"/>
      <c r="K44" s="150"/>
      <c r="L44" s="151"/>
      <c r="M44" s="152"/>
      <c r="N44" s="149"/>
      <c r="O44" s="150"/>
      <c r="P44" s="153"/>
      <c r="Q44" s="149"/>
      <c r="R44" s="149"/>
      <c r="S44" s="150"/>
      <c r="T44" s="153"/>
      <c r="U44" s="149"/>
      <c r="V44" s="154"/>
      <c r="W44" s="155"/>
      <c r="X44" s="156"/>
      <c r="Y44" s="157"/>
      <c r="Z44" s="157"/>
      <c r="AA44" s="158"/>
      <c r="AB44" s="104"/>
      <c r="AC44" s="154"/>
      <c r="AD44" s="154"/>
      <c r="AE44" s="155"/>
      <c r="AF44" s="104"/>
      <c r="AG44" s="154"/>
      <c r="AH44" s="154"/>
      <c r="AI44" s="155"/>
      <c r="AJ44" s="104"/>
      <c r="AK44" s="154"/>
      <c r="AL44" s="154"/>
      <c r="AM44" s="155"/>
      <c r="AN44" s="104"/>
      <c r="AO44" s="154"/>
      <c r="AP44" s="154"/>
      <c r="AQ44" s="155"/>
      <c r="AR44" s="104"/>
      <c r="AS44" s="154"/>
      <c r="AT44" s="154"/>
      <c r="AU44" s="155"/>
      <c r="AV44" s="104"/>
      <c r="AW44" s="154"/>
      <c r="AX44" s="154"/>
      <c r="AY44" s="155"/>
      <c r="BA44" s="160" t="s">
        <v>311</v>
      </c>
    </row>
    <row r="45" spans="1:54" x14ac:dyDescent="0.5">
      <c r="A45" s="104"/>
      <c r="B45" s="162" t="s">
        <v>323</v>
      </c>
      <c r="C45" s="144">
        <f>5*3</f>
        <v>15</v>
      </c>
      <c r="H45" s="148"/>
      <c r="I45" s="164"/>
      <c r="J45" s="164"/>
      <c r="K45" s="165"/>
      <c r="L45" s="151"/>
      <c r="M45" s="152"/>
      <c r="N45" s="149"/>
      <c r="O45" s="150"/>
      <c r="P45" s="153"/>
      <c r="Q45" s="149"/>
      <c r="R45" s="149"/>
      <c r="S45" s="150"/>
      <c r="T45" s="153"/>
      <c r="U45" s="149"/>
      <c r="V45" s="154"/>
      <c r="W45" s="155"/>
      <c r="X45" s="156"/>
      <c r="Y45" s="157"/>
      <c r="Z45" s="157"/>
      <c r="AA45" s="158"/>
      <c r="AB45" s="104"/>
      <c r="AC45" s="154"/>
      <c r="AD45" s="154"/>
      <c r="AE45" s="155"/>
      <c r="AF45" s="104"/>
      <c r="AG45" s="154"/>
      <c r="AH45" s="154"/>
      <c r="AI45" s="155"/>
      <c r="AJ45" s="104"/>
      <c r="AK45" s="154"/>
      <c r="AL45" s="154"/>
      <c r="AM45" s="155"/>
      <c r="AN45" s="104"/>
      <c r="AO45" s="154"/>
      <c r="AP45" s="154"/>
      <c r="AQ45" s="155"/>
      <c r="AR45" s="104"/>
      <c r="AS45" s="154"/>
      <c r="AT45" s="154"/>
      <c r="AU45" s="155"/>
      <c r="AV45" s="104"/>
      <c r="AW45" s="154"/>
      <c r="AX45" s="154"/>
      <c r="AY45" s="155"/>
      <c r="BA45" s="160" t="s">
        <v>322</v>
      </c>
      <c r="BB45" s="161">
        <v>1000000</v>
      </c>
    </row>
    <row r="46" spans="1:54" x14ac:dyDescent="0.5">
      <c r="A46" s="104"/>
      <c r="B46" s="162" t="s">
        <v>324</v>
      </c>
      <c r="C46" s="144">
        <f>5*4</f>
        <v>20</v>
      </c>
      <c r="H46" s="148"/>
      <c r="I46" s="149"/>
      <c r="J46" s="149"/>
      <c r="K46" s="150"/>
      <c r="L46" s="166"/>
      <c r="M46" s="167"/>
      <c r="N46" s="164"/>
      <c r="O46" s="165"/>
      <c r="P46" s="153"/>
      <c r="Q46" s="149"/>
      <c r="R46" s="149"/>
      <c r="S46" s="150"/>
      <c r="T46" s="153"/>
      <c r="U46" s="149"/>
      <c r="V46" s="154"/>
      <c r="W46" s="155"/>
      <c r="X46" s="156"/>
      <c r="Y46" s="157"/>
      <c r="Z46" s="157"/>
      <c r="AA46" s="158"/>
      <c r="AB46" s="104"/>
      <c r="AC46" s="154"/>
      <c r="AD46" s="154"/>
      <c r="AE46" s="155"/>
      <c r="AF46" s="104"/>
      <c r="AG46" s="154"/>
      <c r="AH46" s="154"/>
      <c r="AI46" s="155"/>
      <c r="AJ46" s="104"/>
      <c r="AK46" s="154"/>
      <c r="AL46" s="154"/>
      <c r="AM46" s="155"/>
      <c r="AN46" s="104"/>
      <c r="AO46" s="154"/>
      <c r="AP46" s="154"/>
      <c r="AQ46" s="155"/>
      <c r="AR46" s="104"/>
      <c r="AS46" s="154"/>
      <c r="AT46" s="154"/>
      <c r="AU46" s="155"/>
      <c r="AV46" s="104"/>
      <c r="AW46" s="154"/>
      <c r="AX46" s="154"/>
      <c r="AY46" s="155"/>
      <c r="BA46" s="160" t="s">
        <v>301</v>
      </c>
      <c r="BB46" s="161"/>
    </row>
    <row r="47" spans="1:54" x14ac:dyDescent="0.5">
      <c r="A47" s="104"/>
      <c r="B47" s="162" t="s">
        <v>325</v>
      </c>
      <c r="C47" s="144">
        <f>11*22</f>
        <v>242</v>
      </c>
      <c r="H47" s="148"/>
      <c r="I47" s="149"/>
      <c r="J47" s="149"/>
      <c r="K47" s="150"/>
      <c r="L47" s="166"/>
      <c r="M47" s="167"/>
      <c r="N47" s="164"/>
      <c r="O47" s="165"/>
      <c r="P47" s="163"/>
      <c r="Q47" s="164"/>
      <c r="R47" s="164"/>
      <c r="S47" s="165"/>
      <c r="T47" s="163"/>
      <c r="U47" s="164"/>
      <c r="V47" s="146"/>
      <c r="W47" s="147"/>
      <c r="X47" s="169"/>
      <c r="Y47" s="170"/>
      <c r="Z47" s="170"/>
      <c r="AA47" s="171"/>
      <c r="AB47" s="145"/>
      <c r="AC47" s="146"/>
      <c r="AD47" s="146"/>
      <c r="AE47" s="147"/>
      <c r="AF47" s="145"/>
      <c r="AG47" s="146"/>
      <c r="AH47" s="146"/>
      <c r="AI47" s="147"/>
      <c r="AJ47" s="145"/>
      <c r="AK47" s="146"/>
      <c r="AL47" s="146"/>
      <c r="AM47" s="147"/>
      <c r="AN47" s="145"/>
      <c r="AO47" s="146"/>
      <c r="AP47" s="146"/>
      <c r="AQ47" s="147"/>
      <c r="AR47" s="145"/>
      <c r="AS47" s="146"/>
      <c r="AT47" s="146"/>
      <c r="AU47" s="147"/>
      <c r="AV47" s="145"/>
      <c r="AW47" s="146"/>
      <c r="AX47" s="146"/>
      <c r="AY47" s="147"/>
      <c r="BA47" s="160" t="s">
        <v>311</v>
      </c>
      <c r="BB47" s="161">
        <v>60000</v>
      </c>
    </row>
    <row r="48" spans="1:54" x14ac:dyDescent="0.5">
      <c r="A48" s="104"/>
      <c r="B48" s="162" t="s">
        <v>326</v>
      </c>
      <c r="C48" s="144">
        <f>11*22</f>
        <v>242</v>
      </c>
      <c r="H48" s="148"/>
      <c r="I48" s="149"/>
      <c r="J48" s="149"/>
      <c r="K48" s="150"/>
      <c r="L48" s="166"/>
      <c r="M48" s="167"/>
      <c r="N48" s="164"/>
      <c r="O48" s="165"/>
      <c r="P48" s="163"/>
      <c r="Q48" s="164"/>
      <c r="R48" s="164"/>
      <c r="S48" s="165"/>
      <c r="T48" s="163"/>
      <c r="U48" s="164"/>
      <c r="V48" s="146"/>
      <c r="W48" s="147"/>
      <c r="X48" s="169"/>
      <c r="Y48" s="170"/>
      <c r="Z48" s="170"/>
      <c r="AA48" s="171"/>
      <c r="AB48" s="145"/>
      <c r="AC48" s="146"/>
      <c r="AD48" s="146"/>
      <c r="AE48" s="147"/>
      <c r="AF48" s="145"/>
      <c r="AG48" s="146"/>
      <c r="AH48" s="146"/>
      <c r="AI48" s="147"/>
      <c r="AJ48" s="145"/>
      <c r="AK48" s="146"/>
      <c r="AL48" s="146"/>
      <c r="AM48" s="147"/>
      <c r="AN48" s="145"/>
      <c r="AO48" s="146"/>
      <c r="AP48" s="146"/>
      <c r="AQ48" s="147"/>
      <c r="AR48" s="145"/>
      <c r="AS48" s="146"/>
      <c r="AT48" s="146"/>
      <c r="AU48" s="147"/>
      <c r="AV48" s="145"/>
      <c r="AW48" s="146"/>
      <c r="AX48" s="146"/>
      <c r="AY48" s="147"/>
      <c r="AZ48" s="159">
        <v>400</v>
      </c>
      <c r="BA48" s="160" t="s">
        <v>301</v>
      </c>
      <c r="BB48" s="161"/>
    </row>
    <row r="49" spans="1:54" x14ac:dyDescent="0.5">
      <c r="A49" s="104"/>
      <c r="B49" s="154"/>
      <c r="C49" s="144"/>
      <c r="H49" s="148"/>
      <c r="I49" s="149"/>
      <c r="J49" s="149"/>
      <c r="K49" s="150"/>
      <c r="L49" s="151"/>
      <c r="M49" s="152"/>
      <c r="N49" s="149"/>
      <c r="O49" s="150"/>
      <c r="P49" s="153"/>
      <c r="Q49" s="149"/>
      <c r="R49" s="149"/>
      <c r="S49" s="150"/>
      <c r="T49" s="153"/>
      <c r="U49" s="149"/>
      <c r="V49" s="154"/>
      <c r="W49" s="155"/>
      <c r="X49" s="156"/>
      <c r="Y49" s="157"/>
      <c r="Z49" s="157"/>
      <c r="AA49" s="158"/>
      <c r="AB49" s="104"/>
      <c r="AC49" s="154"/>
      <c r="AD49" s="154"/>
      <c r="AE49" s="155"/>
      <c r="AF49" s="104"/>
      <c r="AG49" s="154"/>
      <c r="AH49" s="154"/>
      <c r="AI49" s="155"/>
      <c r="AJ49" s="104"/>
      <c r="AK49" s="154"/>
      <c r="AL49" s="154"/>
      <c r="AM49" s="155"/>
      <c r="AN49" s="104"/>
      <c r="AO49" s="154"/>
      <c r="AP49" s="154"/>
      <c r="AQ49" s="155"/>
      <c r="AR49" s="104"/>
      <c r="AS49" s="154"/>
      <c r="AT49" s="154"/>
      <c r="AU49" s="155"/>
      <c r="AV49" s="104"/>
      <c r="AW49" s="154"/>
      <c r="AX49" s="154"/>
      <c r="AY49" s="155"/>
      <c r="BB49" s="161"/>
    </row>
    <row r="50" spans="1:54" x14ac:dyDescent="0.5">
      <c r="A50" s="104"/>
      <c r="B50" s="215" t="s">
        <v>329</v>
      </c>
      <c r="C50" s="144"/>
      <c r="H50" s="148"/>
      <c r="I50" s="149"/>
      <c r="J50" s="149"/>
      <c r="K50" s="150"/>
      <c r="L50" s="151"/>
      <c r="M50" s="152"/>
      <c r="N50" s="149"/>
      <c r="O50" s="150"/>
      <c r="P50" s="153"/>
      <c r="Q50" s="149"/>
      <c r="R50" s="149"/>
      <c r="S50" s="150"/>
      <c r="T50" s="153"/>
      <c r="U50" s="149"/>
      <c r="V50" s="154"/>
      <c r="W50" s="155"/>
      <c r="X50" s="156"/>
      <c r="Y50" s="157"/>
      <c r="Z50" s="157"/>
      <c r="AA50" s="158"/>
      <c r="AB50" s="104"/>
      <c r="AC50" s="154"/>
      <c r="AD50" s="154"/>
      <c r="AE50" s="155"/>
      <c r="AF50" s="104"/>
      <c r="AG50" s="154"/>
      <c r="AH50" s="154"/>
      <c r="AI50" s="155"/>
      <c r="AJ50" s="104"/>
      <c r="AK50" s="154"/>
      <c r="AL50" s="154"/>
      <c r="AM50" s="155"/>
      <c r="AN50" s="104"/>
      <c r="AO50" s="154"/>
      <c r="AP50" s="154"/>
      <c r="AQ50" s="155"/>
      <c r="AR50" s="104"/>
      <c r="AS50" s="154"/>
      <c r="AT50" s="154"/>
      <c r="AU50" s="155"/>
      <c r="AV50" s="104"/>
      <c r="AW50" s="154"/>
      <c r="AX50" s="154"/>
      <c r="AY50" s="155"/>
      <c r="BA50" s="160" t="s">
        <v>330</v>
      </c>
      <c r="BB50" s="161"/>
    </row>
    <row r="51" spans="1:54" x14ac:dyDescent="0.5">
      <c r="A51" s="104"/>
      <c r="B51" s="162" t="s">
        <v>331</v>
      </c>
      <c r="C51" s="144">
        <f>5*3</f>
        <v>15</v>
      </c>
      <c r="D51" s="145"/>
      <c r="E51" s="146"/>
      <c r="F51" s="146"/>
      <c r="H51" s="148"/>
      <c r="I51" s="149"/>
      <c r="J51" s="149"/>
      <c r="K51" s="150"/>
      <c r="L51" s="151"/>
      <c r="M51" s="152"/>
      <c r="N51" s="149"/>
      <c r="O51" s="150"/>
      <c r="P51" s="153"/>
      <c r="Q51" s="149"/>
      <c r="R51" s="149"/>
      <c r="S51" s="150"/>
      <c r="T51" s="153"/>
      <c r="U51" s="149"/>
      <c r="V51" s="154"/>
      <c r="W51" s="155"/>
      <c r="X51" s="156"/>
      <c r="Y51" s="157"/>
      <c r="Z51" s="157"/>
      <c r="AA51" s="158"/>
      <c r="AB51" s="104"/>
      <c r="AC51" s="154"/>
      <c r="AD51" s="154"/>
      <c r="AE51" s="155"/>
      <c r="AF51" s="104"/>
      <c r="AG51" s="154"/>
      <c r="AH51" s="154"/>
      <c r="AI51" s="155"/>
      <c r="AJ51" s="104"/>
      <c r="AK51" s="154"/>
      <c r="AL51" s="154"/>
      <c r="AM51" s="155"/>
      <c r="AN51" s="104"/>
      <c r="AO51" s="154"/>
      <c r="AP51" s="154"/>
      <c r="AQ51" s="155"/>
      <c r="AR51" s="104"/>
      <c r="AS51" s="154"/>
      <c r="AT51" s="154"/>
      <c r="AU51" s="155"/>
      <c r="AV51" s="104"/>
      <c r="AW51" s="154"/>
      <c r="AX51" s="154"/>
      <c r="AY51" s="155"/>
      <c r="BA51" s="160" t="s">
        <v>295</v>
      </c>
      <c r="BB51" s="161"/>
    </row>
    <row r="52" spans="1:54" x14ac:dyDescent="0.5">
      <c r="A52" s="104"/>
      <c r="B52" s="162" t="s">
        <v>321</v>
      </c>
      <c r="C52" s="144">
        <v>2</v>
      </c>
      <c r="G52" s="147"/>
      <c r="H52" s="163"/>
      <c r="I52" s="149"/>
      <c r="J52" s="149"/>
      <c r="K52" s="150"/>
      <c r="L52" s="151"/>
      <c r="M52" s="152"/>
      <c r="N52" s="149"/>
      <c r="O52" s="150"/>
      <c r="P52" s="153"/>
      <c r="Q52" s="149"/>
      <c r="R52" s="149"/>
      <c r="S52" s="150"/>
      <c r="T52" s="153"/>
      <c r="U52" s="149"/>
      <c r="V52" s="154"/>
      <c r="W52" s="155"/>
      <c r="X52" s="156"/>
      <c r="Y52" s="157"/>
      <c r="Z52" s="157"/>
      <c r="AA52" s="158"/>
      <c r="AB52" s="104"/>
      <c r="AC52" s="154"/>
      <c r="AD52" s="154"/>
      <c r="AE52" s="155"/>
      <c r="AF52" s="104"/>
      <c r="AG52" s="154"/>
      <c r="AH52" s="154"/>
      <c r="AI52" s="155"/>
      <c r="AJ52" s="104"/>
      <c r="AK52" s="154"/>
      <c r="AL52" s="154"/>
      <c r="AM52" s="155"/>
      <c r="AN52" s="104"/>
      <c r="AO52" s="154"/>
      <c r="AP52" s="154"/>
      <c r="AQ52" s="155"/>
      <c r="AR52" s="104"/>
      <c r="AS52" s="154"/>
      <c r="AT52" s="154"/>
      <c r="AU52" s="155"/>
      <c r="AV52" s="104"/>
      <c r="AW52" s="154"/>
      <c r="AX52" s="154"/>
      <c r="AY52" s="155"/>
      <c r="BA52" s="160" t="s">
        <v>322</v>
      </c>
      <c r="BB52" s="161">
        <v>30000</v>
      </c>
    </row>
    <row r="53" spans="1:54" ht="15.65" customHeight="1" x14ac:dyDescent="0.5">
      <c r="A53" s="104"/>
      <c r="B53" s="162" t="s">
        <v>332</v>
      </c>
      <c r="C53" s="144">
        <v>5</v>
      </c>
      <c r="H53" s="163"/>
      <c r="I53" s="164"/>
      <c r="J53" s="164"/>
      <c r="K53" s="165"/>
      <c r="L53" s="166"/>
      <c r="M53" s="167"/>
      <c r="N53" s="149"/>
      <c r="O53" s="150"/>
      <c r="P53" s="153"/>
      <c r="Q53" s="149"/>
      <c r="R53" s="149"/>
      <c r="S53" s="150"/>
      <c r="T53" s="153"/>
      <c r="U53" s="149"/>
      <c r="V53" s="154"/>
      <c r="W53" s="155"/>
      <c r="X53" s="156"/>
      <c r="Y53" s="157"/>
      <c r="Z53" s="157"/>
      <c r="AA53" s="158"/>
      <c r="AB53" s="104"/>
      <c r="AC53" s="154"/>
      <c r="AD53" s="154"/>
      <c r="AE53" s="155"/>
      <c r="AF53" s="104"/>
      <c r="AG53" s="154"/>
      <c r="AH53" s="154"/>
      <c r="AI53" s="155"/>
      <c r="AJ53" s="104"/>
      <c r="AK53" s="154"/>
      <c r="AL53" s="154"/>
      <c r="AM53" s="155"/>
      <c r="AN53" s="104"/>
      <c r="AO53" s="154"/>
      <c r="AP53" s="154"/>
      <c r="AQ53" s="155"/>
      <c r="AR53" s="104"/>
      <c r="AS53" s="154"/>
      <c r="AT53" s="154"/>
      <c r="AU53" s="155"/>
      <c r="AV53" s="104"/>
      <c r="AW53" s="154"/>
      <c r="AX53" s="154"/>
      <c r="AY53" s="155"/>
      <c r="BA53" s="160" t="s">
        <v>333</v>
      </c>
      <c r="BB53" s="161" t="s">
        <v>334</v>
      </c>
    </row>
    <row r="54" spans="1:54" x14ac:dyDescent="0.5">
      <c r="A54" s="104"/>
      <c r="B54" s="162" t="s">
        <v>325</v>
      </c>
      <c r="C54" s="144">
        <f>11*22</f>
        <v>242</v>
      </c>
      <c r="H54" s="163"/>
      <c r="I54" s="164"/>
      <c r="J54" s="164"/>
      <c r="K54" s="165"/>
      <c r="L54" s="166"/>
      <c r="M54" s="167"/>
      <c r="N54" s="164"/>
      <c r="O54" s="165"/>
      <c r="P54" s="163"/>
      <c r="Q54" s="164"/>
      <c r="R54" s="164"/>
      <c r="S54" s="165"/>
      <c r="T54" s="163"/>
      <c r="U54" s="164"/>
      <c r="V54" s="146"/>
      <c r="W54" s="147"/>
      <c r="X54" s="169"/>
      <c r="Y54" s="170"/>
      <c r="Z54" s="170"/>
      <c r="AA54" s="171"/>
      <c r="AB54" s="145"/>
      <c r="AC54" s="146"/>
      <c r="AD54" s="146"/>
      <c r="AE54" s="147"/>
      <c r="AF54" s="145"/>
      <c r="AG54" s="146"/>
      <c r="AH54" s="146"/>
      <c r="AI54" s="147"/>
      <c r="AJ54" s="145"/>
      <c r="AK54" s="146"/>
      <c r="AL54" s="146"/>
      <c r="AM54" s="147"/>
      <c r="AN54" s="145"/>
      <c r="AO54" s="146"/>
      <c r="AP54" s="146"/>
      <c r="AQ54" s="147"/>
      <c r="AR54" s="145"/>
      <c r="AS54" s="146"/>
      <c r="AT54" s="146"/>
      <c r="AU54" s="147"/>
      <c r="AV54" s="145"/>
      <c r="AW54" s="146"/>
      <c r="AX54" s="146"/>
      <c r="AY54" s="147"/>
      <c r="BA54" s="160" t="s">
        <v>311</v>
      </c>
      <c r="BB54" s="161">
        <v>50000</v>
      </c>
    </row>
    <row r="55" spans="1:54" x14ac:dyDescent="0.5">
      <c r="A55" s="104"/>
      <c r="B55" s="162" t="s">
        <v>326</v>
      </c>
      <c r="C55" s="144">
        <f>11*22</f>
        <v>242</v>
      </c>
      <c r="H55" s="163"/>
      <c r="I55" s="164"/>
      <c r="J55" s="164"/>
      <c r="K55" s="165"/>
      <c r="L55" s="166"/>
      <c r="M55" s="167"/>
      <c r="N55" s="164"/>
      <c r="O55" s="165"/>
      <c r="P55" s="163"/>
      <c r="Q55" s="164"/>
      <c r="R55" s="164"/>
      <c r="S55" s="165"/>
      <c r="T55" s="163"/>
      <c r="U55" s="164"/>
      <c r="V55" s="146"/>
      <c r="W55" s="147"/>
      <c r="X55" s="169"/>
      <c r="Y55" s="170"/>
      <c r="Z55" s="170"/>
      <c r="AA55" s="171"/>
      <c r="AB55" s="145"/>
      <c r="AC55" s="146"/>
      <c r="AD55" s="146"/>
      <c r="AE55" s="147"/>
      <c r="AF55" s="145"/>
      <c r="AG55" s="146"/>
      <c r="AH55" s="146"/>
      <c r="AI55" s="147"/>
      <c r="AJ55" s="145"/>
      <c r="AK55" s="146"/>
      <c r="AL55" s="146"/>
      <c r="AM55" s="147"/>
      <c r="AN55" s="145"/>
      <c r="AO55" s="146"/>
      <c r="AP55" s="146"/>
      <c r="AQ55" s="147"/>
      <c r="AR55" s="145"/>
      <c r="AS55" s="146"/>
      <c r="AT55" s="146"/>
      <c r="AU55" s="147"/>
      <c r="AV55" s="145"/>
      <c r="AW55" s="146"/>
      <c r="AX55" s="146"/>
      <c r="AY55" s="147"/>
      <c r="AZ55" s="159">
        <v>150</v>
      </c>
      <c r="BA55" s="160" t="s">
        <v>301</v>
      </c>
      <c r="BB55" s="161"/>
    </row>
    <row r="56" spans="1:54" x14ac:dyDescent="0.5">
      <c r="A56" s="104"/>
      <c r="B56" s="154"/>
      <c r="C56" s="144"/>
      <c r="H56" s="148"/>
      <c r="I56" s="149"/>
      <c r="J56" s="149"/>
      <c r="K56" s="150"/>
      <c r="L56" s="151"/>
      <c r="M56" s="152"/>
      <c r="N56" s="149"/>
      <c r="O56" s="150"/>
      <c r="P56" s="153"/>
      <c r="Q56" s="149"/>
      <c r="R56" s="149"/>
      <c r="S56" s="150"/>
      <c r="T56" s="153"/>
      <c r="U56" s="149"/>
      <c r="V56" s="154"/>
      <c r="W56" s="155"/>
      <c r="X56" s="156"/>
      <c r="Y56" s="157"/>
      <c r="Z56" s="157"/>
      <c r="AA56" s="158"/>
      <c r="AB56" s="104"/>
      <c r="AC56" s="154"/>
      <c r="AD56" s="154"/>
      <c r="AE56" s="155"/>
      <c r="AF56" s="104"/>
      <c r="AG56" s="154"/>
      <c r="AH56" s="154"/>
      <c r="AI56" s="155"/>
      <c r="AJ56" s="104"/>
      <c r="AK56" s="154"/>
      <c r="AL56" s="154"/>
      <c r="AM56" s="155"/>
      <c r="AN56" s="104"/>
      <c r="AO56" s="154"/>
      <c r="AP56" s="154"/>
      <c r="AQ56" s="155"/>
      <c r="AR56" s="104"/>
      <c r="AS56" s="154"/>
      <c r="AT56" s="154"/>
      <c r="AU56" s="155"/>
      <c r="AV56" s="104"/>
      <c r="AW56" s="154"/>
      <c r="AX56" s="154"/>
      <c r="AY56" s="155"/>
      <c r="BA56" s="160"/>
      <c r="BB56" s="161"/>
    </row>
    <row r="57" spans="1:54" x14ac:dyDescent="0.5">
      <c r="A57" s="104"/>
      <c r="B57" s="215" t="s">
        <v>335</v>
      </c>
      <c r="C57" s="144"/>
      <c r="H57" s="148"/>
      <c r="I57" s="149"/>
      <c r="J57" s="149"/>
      <c r="K57" s="150"/>
      <c r="L57" s="151"/>
      <c r="M57" s="152"/>
      <c r="N57" s="149"/>
      <c r="O57" s="150"/>
      <c r="P57" s="153"/>
      <c r="Q57" s="149"/>
      <c r="R57" s="149"/>
      <c r="S57" s="150"/>
      <c r="T57" s="153"/>
      <c r="U57" s="149"/>
      <c r="V57" s="154"/>
      <c r="W57" s="155"/>
      <c r="X57" s="156"/>
      <c r="Y57" s="157"/>
      <c r="Z57" s="157"/>
      <c r="AA57" s="158"/>
      <c r="AB57" s="104"/>
      <c r="AC57" s="154"/>
      <c r="AD57" s="154"/>
      <c r="AE57" s="155"/>
      <c r="AF57" s="104"/>
      <c r="AG57" s="154"/>
      <c r="AH57" s="154"/>
      <c r="AI57" s="155"/>
      <c r="AJ57" s="104"/>
      <c r="AK57" s="154"/>
      <c r="AL57" s="154"/>
      <c r="AM57" s="155"/>
      <c r="AN57" s="104"/>
      <c r="AO57" s="154"/>
      <c r="AP57" s="154"/>
      <c r="AQ57" s="155"/>
      <c r="AR57" s="104"/>
      <c r="AS57" s="154"/>
      <c r="AT57" s="154"/>
      <c r="AU57" s="155"/>
      <c r="AV57" s="104"/>
      <c r="AW57" s="154"/>
      <c r="AX57" s="154"/>
      <c r="AY57" s="155"/>
      <c r="BA57" s="160"/>
      <c r="BB57" s="161"/>
    </row>
    <row r="58" spans="1:54" x14ac:dyDescent="0.5">
      <c r="A58" s="104"/>
      <c r="B58" s="162" t="s">
        <v>331</v>
      </c>
      <c r="C58" s="144" t="s">
        <v>336</v>
      </c>
      <c r="H58" s="148"/>
      <c r="I58" s="149"/>
      <c r="J58" s="149"/>
      <c r="K58" s="150"/>
      <c r="L58" s="151"/>
      <c r="M58" s="152"/>
      <c r="N58" s="149"/>
      <c r="O58" s="150"/>
      <c r="P58" s="153"/>
      <c r="Q58" s="149"/>
      <c r="R58" s="149"/>
      <c r="S58" s="150"/>
      <c r="T58" s="153"/>
      <c r="U58" s="149"/>
      <c r="V58" s="154"/>
      <c r="W58" s="155"/>
      <c r="X58" s="156"/>
      <c r="Y58" s="157"/>
      <c r="Z58" s="157"/>
      <c r="AA58" s="158"/>
      <c r="AB58" s="104"/>
      <c r="AC58" s="154"/>
      <c r="AD58" s="154"/>
      <c r="AE58" s="155"/>
      <c r="AF58" s="104"/>
      <c r="AG58" s="154"/>
      <c r="AH58" s="154"/>
      <c r="AI58" s="155"/>
      <c r="AJ58" s="104"/>
      <c r="AK58" s="154"/>
      <c r="AL58" s="154"/>
      <c r="AM58" s="155"/>
      <c r="AN58" s="104"/>
      <c r="AO58" s="154"/>
      <c r="AP58" s="154"/>
      <c r="AQ58" s="155"/>
      <c r="AR58" s="104"/>
      <c r="AS58" s="154"/>
      <c r="AT58" s="154"/>
      <c r="AU58" s="155"/>
      <c r="AV58" s="104"/>
      <c r="AW58" s="154"/>
      <c r="AX58" s="154"/>
      <c r="AY58" s="155"/>
      <c r="BA58" s="160" t="s">
        <v>337</v>
      </c>
      <c r="BB58" s="161"/>
    </row>
    <row r="59" spans="1:54" x14ac:dyDescent="0.5">
      <c r="A59" s="104"/>
      <c r="B59" s="162" t="s">
        <v>321</v>
      </c>
      <c r="C59" s="144">
        <v>2</v>
      </c>
      <c r="H59" s="180"/>
      <c r="I59" s="181"/>
      <c r="J59" s="164"/>
      <c r="K59" s="182"/>
      <c r="L59" s="151"/>
      <c r="M59" s="152"/>
      <c r="N59" s="149"/>
      <c r="O59" s="150"/>
      <c r="P59" s="153"/>
      <c r="Q59" s="149"/>
      <c r="R59" s="149"/>
      <c r="S59" s="150"/>
      <c r="T59" s="153"/>
      <c r="U59" s="149"/>
      <c r="V59" s="154"/>
      <c r="W59" s="155"/>
      <c r="X59" s="156"/>
      <c r="Y59" s="157"/>
      <c r="Z59" s="157"/>
      <c r="AA59" s="158"/>
      <c r="AB59" s="104"/>
      <c r="AC59" s="154"/>
      <c r="AD59" s="154"/>
      <c r="AE59" s="155"/>
      <c r="AF59" s="104"/>
      <c r="AG59" s="154"/>
      <c r="AH59" s="154"/>
      <c r="AI59" s="155"/>
      <c r="AJ59" s="104"/>
      <c r="AK59" s="154"/>
      <c r="AL59" s="154"/>
      <c r="AM59" s="155"/>
      <c r="AN59" s="104"/>
      <c r="AO59" s="154"/>
      <c r="AP59" s="154"/>
      <c r="AQ59" s="155"/>
      <c r="AR59" s="104"/>
      <c r="AS59" s="154"/>
      <c r="AT59" s="154"/>
      <c r="AU59" s="155"/>
      <c r="AV59" s="104"/>
      <c r="AW59" s="154"/>
      <c r="AX59" s="154"/>
      <c r="AY59" s="155"/>
      <c r="BA59" s="160" t="s">
        <v>338</v>
      </c>
      <c r="BB59" s="161"/>
    </row>
    <row r="60" spans="1:54" x14ac:dyDescent="0.5">
      <c r="A60" s="104"/>
      <c r="B60" s="162" t="s">
        <v>332</v>
      </c>
      <c r="C60" s="144">
        <v>120</v>
      </c>
      <c r="H60" s="180"/>
      <c r="I60" s="180"/>
      <c r="J60" s="180"/>
      <c r="K60" s="180"/>
      <c r="L60" s="166"/>
      <c r="M60" s="167"/>
      <c r="N60" s="164"/>
      <c r="O60" s="165"/>
      <c r="P60" s="163"/>
      <c r="Q60" s="164"/>
      <c r="R60" s="164"/>
      <c r="S60" s="165"/>
      <c r="T60" s="163"/>
      <c r="U60" s="164"/>
      <c r="V60" s="146"/>
      <c r="W60" s="147"/>
      <c r="X60" s="169"/>
      <c r="Y60" s="170"/>
      <c r="Z60" s="170"/>
      <c r="AA60" s="158"/>
      <c r="AB60" s="104"/>
      <c r="AC60" s="154"/>
      <c r="AD60" s="154"/>
      <c r="AE60" s="155"/>
      <c r="AF60" s="104"/>
      <c r="AG60" s="154"/>
      <c r="AH60" s="154"/>
      <c r="AI60" s="155"/>
      <c r="AJ60" s="104"/>
      <c r="AK60" s="154"/>
      <c r="AL60" s="154"/>
      <c r="AM60" s="155"/>
      <c r="AN60" s="104"/>
      <c r="AO60" s="154"/>
      <c r="AP60" s="154"/>
      <c r="AQ60" s="155"/>
      <c r="AR60" s="104"/>
      <c r="AS60" s="154"/>
      <c r="AT60" s="154"/>
      <c r="AU60" s="155"/>
      <c r="AV60" s="104"/>
      <c r="AW60" s="154"/>
      <c r="AX60" s="154"/>
      <c r="AY60" s="155"/>
      <c r="BA60" s="160" t="s">
        <v>339</v>
      </c>
      <c r="BB60" s="161"/>
    </row>
    <row r="61" spans="1:54" x14ac:dyDescent="0.5">
      <c r="A61" s="104"/>
      <c r="B61" s="162" t="s">
        <v>325</v>
      </c>
      <c r="C61" s="144">
        <v>300</v>
      </c>
      <c r="H61" s="148"/>
      <c r="I61" s="149"/>
      <c r="J61" s="149"/>
      <c r="K61" s="150"/>
      <c r="L61" s="166"/>
      <c r="M61" s="167"/>
      <c r="N61" s="164"/>
      <c r="O61" s="165"/>
      <c r="P61" s="163"/>
      <c r="Q61" s="164"/>
      <c r="R61" s="164"/>
      <c r="S61" s="165"/>
      <c r="T61" s="163"/>
      <c r="U61" s="164"/>
      <c r="V61" s="146"/>
      <c r="W61" s="147"/>
      <c r="X61" s="169"/>
      <c r="Y61" s="170"/>
      <c r="Z61" s="170"/>
      <c r="AA61" s="171"/>
      <c r="AB61" s="145"/>
      <c r="AC61" s="146"/>
      <c r="AD61" s="146"/>
      <c r="AE61" s="147"/>
      <c r="AF61" s="145"/>
      <c r="AG61" s="146"/>
      <c r="AH61" s="146"/>
      <c r="AI61" s="147"/>
      <c r="AJ61" s="145"/>
      <c r="AK61" s="146"/>
      <c r="AL61" s="146"/>
      <c r="AM61" s="147"/>
      <c r="AN61" s="145"/>
      <c r="AO61" s="146"/>
      <c r="AP61" s="146"/>
      <c r="AQ61" s="147"/>
      <c r="AR61" s="145"/>
      <c r="AS61" s="146"/>
      <c r="AT61" s="146"/>
      <c r="AU61" s="147"/>
      <c r="AV61" s="145"/>
      <c r="AW61" s="146"/>
      <c r="AX61" s="146"/>
      <c r="AY61" s="166"/>
      <c r="BA61" s="160" t="s">
        <v>322</v>
      </c>
      <c r="BB61" s="161">
        <v>50000</v>
      </c>
    </row>
    <row r="62" spans="1:54" x14ac:dyDescent="0.5">
      <c r="A62" s="104"/>
      <c r="B62" s="162" t="s">
        <v>326</v>
      </c>
      <c r="C62" s="144">
        <v>300</v>
      </c>
      <c r="H62" s="148"/>
      <c r="I62" s="149"/>
      <c r="J62" s="149"/>
      <c r="K62" s="150"/>
      <c r="L62" s="166"/>
      <c r="M62" s="167"/>
      <c r="N62" s="164"/>
      <c r="O62" s="165"/>
      <c r="P62" s="163"/>
      <c r="Q62" s="164"/>
      <c r="R62" s="164"/>
      <c r="S62" s="165"/>
      <c r="T62" s="163"/>
      <c r="U62" s="164"/>
      <c r="V62" s="146"/>
      <c r="W62" s="147"/>
      <c r="X62" s="169"/>
      <c r="Y62" s="170"/>
      <c r="Z62" s="170"/>
      <c r="AA62" s="171"/>
      <c r="AB62" s="145"/>
      <c r="AC62" s="146"/>
      <c r="AD62" s="146"/>
      <c r="AE62" s="147"/>
      <c r="AF62" s="145"/>
      <c r="AG62" s="146"/>
      <c r="AH62" s="146"/>
      <c r="AI62" s="147"/>
      <c r="AJ62" s="145"/>
      <c r="AK62" s="146"/>
      <c r="AL62" s="146"/>
      <c r="AM62" s="147"/>
      <c r="AN62" s="145"/>
      <c r="AO62" s="146"/>
      <c r="AP62" s="146"/>
      <c r="AQ62" s="147"/>
      <c r="AR62" s="145"/>
      <c r="AS62" s="146"/>
      <c r="AT62" s="146"/>
      <c r="AU62" s="147"/>
      <c r="AV62" s="145"/>
      <c r="AW62" s="146"/>
      <c r="AX62" s="146"/>
      <c r="AY62" s="166"/>
      <c r="BA62" s="160" t="s">
        <v>295</v>
      </c>
      <c r="BB62" s="161"/>
    </row>
    <row r="63" spans="1:54" x14ac:dyDescent="0.5">
      <c r="A63" s="104"/>
      <c r="B63" s="162"/>
      <c r="C63" s="144"/>
      <c r="H63" s="148"/>
      <c r="I63" s="149"/>
      <c r="J63" s="149"/>
      <c r="K63" s="150"/>
      <c r="L63" s="166"/>
      <c r="M63" s="167"/>
      <c r="N63" s="164"/>
      <c r="O63" s="165"/>
      <c r="P63" s="163"/>
      <c r="Q63" s="164"/>
      <c r="R63" s="164"/>
      <c r="S63" s="165"/>
      <c r="T63" s="163"/>
      <c r="U63" s="164"/>
      <c r="V63" s="146"/>
      <c r="W63" s="147"/>
      <c r="X63" s="169"/>
      <c r="Y63" s="170"/>
      <c r="Z63" s="170"/>
      <c r="AA63" s="171"/>
      <c r="AB63" s="145"/>
      <c r="AC63" s="146"/>
      <c r="AD63" s="146"/>
      <c r="AE63" s="147"/>
      <c r="AF63" s="145"/>
      <c r="AG63" s="146"/>
      <c r="AH63" s="146"/>
      <c r="AI63" s="147"/>
      <c r="AJ63" s="145"/>
      <c r="AK63" s="146"/>
      <c r="AL63" s="146"/>
      <c r="AM63" s="147"/>
      <c r="AN63" s="145"/>
      <c r="AO63" s="146"/>
      <c r="AP63" s="146"/>
      <c r="AQ63" s="147"/>
      <c r="AR63" s="145"/>
      <c r="AS63" s="146"/>
      <c r="AT63" s="146"/>
      <c r="AU63" s="147"/>
      <c r="AV63" s="145"/>
      <c r="AW63" s="146"/>
      <c r="AX63" s="146"/>
      <c r="AY63" s="218"/>
      <c r="BA63" s="160"/>
      <c r="BB63" s="161"/>
    </row>
    <row r="64" spans="1:54" x14ac:dyDescent="0.5">
      <c r="A64" s="104"/>
      <c r="B64" s="215" t="s">
        <v>340</v>
      </c>
      <c r="C64" s="174"/>
      <c r="D64" s="172"/>
      <c r="E64" s="178"/>
      <c r="F64" s="178"/>
      <c r="G64" s="179"/>
      <c r="H64" s="180"/>
      <c r="I64" s="181"/>
      <c r="J64" s="181"/>
      <c r="K64" s="182"/>
      <c r="L64" s="183"/>
      <c r="M64" s="184"/>
      <c r="N64" s="181"/>
      <c r="O64" s="182"/>
      <c r="P64" s="180"/>
      <c r="Q64" s="181"/>
      <c r="R64" s="181"/>
      <c r="S64" s="182"/>
      <c r="T64" s="180"/>
      <c r="U64" s="181"/>
      <c r="V64" s="178"/>
      <c r="W64" s="179"/>
      <c r="X64" s="185"/>
      <c r="Y64" s="186"/>
      <c r="Z64" s="186"/>
      <c r="AA64" s="187"/>
      <c r="AB64" s="172"/>
      <c r="AC64" s="178"/>
      <c r="AD64" s="178"/>
      <c r="AE64" s="179"/>
      <c r="AF64" s="172"/>
      <c r="AG64" s="178"/>
      <c r="AH64" s="178"/>
      <c r="AI64" s="179"/>
      <c r="AJ64" s="172"/>
      <c r="AK64" s="178"/>
      <c r="AL64" s="178"/>
      <c r="AM64" s="179"/>
      <c r="AN64" s="172"/>
      <c r="AO64" s="178"/>
      <c r="AP64" s="178"/>
      <c r="AQ64" s="179"/>
      <c r="AR64" s="172"/>
      <c r="AS64" s="178"/>
      <c r="AT64" s="178"/>
      <c r="AU64" s="179"/>
      <c r="AV64" s="172"/>
      <c r="AW64" s="178"/>
      <c r="AX64" s="178"/>
      <c r="AY64" s="219"/>
      <c r="BA64" s="160"/>
      <c r="BB64" s="161"/>
    </row>
    <row r="65" spans="1:54" x14ac:dyDescent="0.5">
      <c r="A65" s="104"/>
      <c r="B65" s="162" t="s">
        <v>331</v>
      </c>
      <c r="C65" s="174">
        <v>10</v>
      </c>
      <c r="D65" s="172"/>
      <c r="E65" s="178"/>
      <c r="F65" s="146"/>
      <c r="G65" s="147"/>
      <c r="H65" s="180"/>
      <c r="I65" s="181"/>
      <c r="J65" s="181"/>
      <c r="K65" s="182"/>
      <c r="L65" s="183"/>
      <c r="M65" s="184"/>
      <c r="N65" s="181"/>
      <c r="O65" s="182"/>
      <c r="P65" s="180"/>
      <c r="Q65" s="181"/>
      <c r="R65" s="181"/>
      <c r="S65" s="182"/>
      <c r="T65" s="180"/>
      <c r="U65" s="181"/>
      <c r="V65" s="178"/>
      <c r="W65" s="179"/>
      <c r="X65" s="185"/>
      <c r="Y65" s="186"/>
      <c r="Z65" s="186"/>
      <c r="AA65" s="187"/>
      <c r="AB65" s="172"/>
      <c r="AC65" s="178"/>
      <c r="AD65" s="178"/>
      <c r="AE65" s="179"/>
      <c r="AF65" s="172"/>
      <c r="AG65" s="178"/>
      <c r="AH65" s="178"/>
      <c r="AI65" s="179"/>
      <c r="AJ65" s="172"/>
      <c r="AK65" s="178"/>
      <c r="AL65" s="178"/>
      <c r="AM65" s="179"/>
      <c r="AN65" s="172"/>
      <c r="AO65" s="178"/>
      <c r="AP65" s="178"/>
      <c r="AQ65" s="179"/>
      <c r="AR65" s="172"/>
      <c r="AS65" s="178"/>
      <c r="AT65" s="178"/>
      <c r="AU65" s="179"/>
      <c r="AV65" s="172"/>
      <c r="AW65" s="178"/>
      <c r="AX65" s="178"/>
      <c r="AY65" s="219"/>
      <c r="BA65" s="160" t="s">
        <v>322</v>
      </c>
      <c r="BB65" s="161"/>
    </row>
    <row r="66" spans="1:54" x14ac:dyDescent="0.5">
      <c r="A66" s="104"/>
      <c r="B66" s="162" t="s">
        <v>321</v>
      </c>
      <c r="C66" s="174">
        <v>1</v>
      </c>
      <c r="D66" s="172"/>
      <c r="E66" s="178"/>
      <c r="F66" s="178"/>
      <c r="G66" s="179"/>
      <c r="H66" s="163"/>
      <c r="I66" s="181"/>
      <c r="J66" s="181"/>
      <c r="K66" s="182"/>
      <c r="L66" s="183"/>
      <c r="M66" s="184"/>
      <c r="N66" s="181"/>
      <c r="O66" s="182"/>
      <c r="P66" s="180"/>
      <c r="Q66" s="181"/>
      <c r="R66" s="181"/>
      <c r="S66" s="182"/>
      <c r="T66" s="180"/>
      <c r="U66" s="181"/>
      <c r="V66" s="178"/>
      <c r="W66" s="179"/>
      <c r="X66" s="185"/>
      <c r="Y66" s="186"/>
      <c r="Z66" s="186"/>
      <c r="AA66" s="187"/>
      <c r="AB66" s="172"/>
      <c r="AC66" s="178"/>
      <c r="AD66" s="178"/>
      <c r="AE66" s="179"/>
      <c r="AF66" s="172"/>
      <c r="AG66" s="178"/>
      <c r="AH66" s="178"/>
      <c r="AI66" s="179"/>
      <c r="AJ66" s="172"/>
      <c r="AK66" s="178"/>
      <c r="AL66" s="178"/>
      <c r="AM66" s="179"/>
      <c r="AN66" s="172"/>
      <c r="AO66" s="178"/>
      <c r="AP66" s="178"/>
      <c r="AQ66" s="179"/>
      <c r="AR66" s="172"/>
      <c r="AS66" s="178"/>
      <c r="AT66" s="178"/>
      <c r="AU66" s="179"/>
      <c r="AV66" s="172"/>
      <c r="AW66" s="178"/>
      <c r="AX66" s="178"/>
      <c r="AY66" s="219"/>
      <c r="BA66" s="160" t="s">
        <v>341</v>
      </c>
      <c r="BB66" s="161"/>
    </row>
    <row r="67" spans="1:54" x14ac:dyDescent="0.5">
      <c r="A67" s="104"/>
      <c r="B67" s="162" t="s">
        <v>332</v>
      </c>
      <c r="C67" s="174">
        <f>5*22</f>
        <v>110</v>
      </c>
      <c r="D67" s="172"/>
      <c r="E67" s="178"/>
      <c r="F67" s="178"/>
      <c r="G67" s="179"/>
      <c r="H67" s="163"/>
      <c r="I67" s="164"/>
      <c r="J67" s="164"/>
      <c r="K67" s="165"/>
      <c r="L67" s="166"/>
      <c r="M67" s="167"/>
      <c r="N67" s="164"/>
      <c r="O67" s="165"/>
      <c r="P67" s="163"/>
      <c r="Q67" s="164"/>
      <c r="R67" s="164"/>
      <c r="S67" s="165"/>
      <c r="T67" s="163"/>
      <c r="U67" s="164"/>
      <c r="V67" s="146"/>
      <c r="W67" s="147"/>
      <c r="X67" s="169"/>
      <c r="Y67" s="170"/>
      <c r="Z67" s="170"/>
      <c r="AA67" s="171"/>
      <c r="AB67" s="172"/>
      <c r="AC67" s="178"/>
      <c r="AD67" s="178"/>
      <c r="AE67" s="179"/>
      <c r="AF67" s="172"/>
      <c r="AG67" s="178"/>
      <c r="AH67" s="178"/>
      <c r="AI67" s="179"/>
      <c r="AJ67" s="172"/>
      <c r="AK67" s="178"/>
      <c r="AL67" s="178"/>
      <c r="AM67" s="179"/>
      <c r="AN67" s="172"/>
      <c r="AO67" s="178"/>
      <c r="AP67" s="178"/>
      <c r="AQ67" s="179"/>
      <c r="AR67" s="172"/>
      <c r="AS67" s="178"/>
      <c r="AT67" s="178"/>
      <c r="AU67" s="179"/>
      <c r="AV67" s="172"/>
      <c r="AW67" s="178"/>
      <c r="AX67" s="178"/>
      <c r="AY67" s="219"/>
      <c r="BA67" s="160" t="s">
        <v>333</v>
      </c>
      <c r="BB67" s="161"/>
    </row>
    <row r="68" spans="1:54" x14ac:dyDescent="0.5">
      <c r="A68" s="104"/>
      <c r="B68" s="162" t="s">
        <v>325</v>
      </c>
      <c r="C68" s="174">
        <f>6*22</f>
        <v>132</v>
      </c>
      <c r="D68" s="172"/>
      <c r="E68" s="178"/>
      <c r="F68" s="178"/>
      <c r="G68" s="179"/>
      <c r="H68" s="180"/>
      <c r="I68" s="181"/>
      <c r="J68" s="181"/>
      <c r="K68" s="182"/>
      <c r="L68" s="183"/>
      <c r="M68" s="184"/>
      <c r="N68" s="181"/>
      <c r="O68" s="182"/>
      <c r="P68" s="180"/>
      <c r="Q68" s="181"/>
      <c r="R68" s="181"/>
      <c r="S68" s="182"/>
      <c r="T68" s="180"/>
      <c r="U68" s="181"/>
      <c r="V68" s="178"/>
      <c r="W68" s="179"/>
      <c r="X68" s="185"/>
      <c r="Y68" s="186"/>
      <c r="Z68" s="186"/>
      <c r="AA68" s="187"/>
      <c r="AB68" s="145"/>
      <c r="AC68" s="146"/>
      <c r="AD68" s="146"/>
      <c r="AE68" s="147"/>
      <c r="AF68" s="145"/>
      <c r="AG68" s="146"/>
      <c r="AH68" s="146"/>
      <c r="AI68" s="147"/>
      <c r="AJ68" s="145"/>
      <c r="AK68" s="146"/>
      <c r="AL68" s="146"/>
      <c r="AM68" s="147"/>
      <c r="AN68" s="145"/>
      <c r="AO68" s="146"/>
      <c r="AP68" s="146"/>
      <c r="AQ68" s="147"/>
      <c r="AR68" s="145"/>
      <c r="AS68" s="146"/>
      <c r="AT68" s="146"/>
      <c r="AU68" s="147"/>
      <c r="AV68" s="145"/>
      <c r="AW68" s="146"/>
      <c r="AX68" s="146"/>
      <c r="AY68" s="218"/>
      <c r="BA68" s="160" t="s">
        <v>322</v>
      </c>
      <c r="BB68" s="161"/>
    </row>
    <row r="69" spans="1:54" x14ac:dyDescent="0.5">
      <c r="A69" s="104"/>
      <c r="B69" s="162" t="s">
        <v>326</v>
      </c>
      <c r="C69" s="174">
        <f>6*22</f>
        <v>132</v>
      </c>
      <c r="D69" s="172"/>
      <c r="E69" s="178"/>
      <c r="F69" s="178"/>
      <c r="G69" s="179"/>
      <c r="H69" s="180"/>
      <c r="I69" s="181"/>
      <c r="J69" s="181"/>
      <c r="K69" s="182"/>
      <c r="L69" s="183"/>
      <c r="M69" s="184"/>
      <c r="N69" s="181"/>
      <c r="O69" s="182"/>
      <c r="P69" s="180"/>
      <c r="Q69" s="181"/>
      <c r="R69" s="181"/>
      <c r="S69" s="182"/>
      <c r="T69" s="180"/>
      <c r="U69" s="181"/>
      <c r="V69" s="178"/>
      <c r="W69" s="179"/>
      <c r="X69" s="185"/>
      <c r="Y69" s="186"/>
      <c r="Z69" s="186"/>
      <c r="AA69" s="187"/>
      <c r="AB69" s="145"/>
      <c r="AC69" s="146"/>
      <c r="AD69" s="146"/>
      <c r="AE69" s="147"/>
      <c r="AF69" s="145"/>
      <c r="AG69" s="146"/>
      <c r="AH69" s="146"/>
      <c r="AI69" s="147"/>
      <c r="AJ69" s="145"/>
      <c r="AK69" s="146"/>
      <c r="AL69" s="146"/>
      <c r="AM69" s="147"/>
      <c r="AN69" s="145"/>
      <c r="AO69" s="146"/>
      <c r="AP69" s="146"/>
      <c r="AQ69" s="147"/>
      <c r="AR69" s="145"/>
      <c r="AS69" s="146"/>
      <c r="AT69" s="146"/>
      <c r="AU69" s="147"/>
      <c r="AV69" s="145"/>
      <c r="AW69" s="146"/>
      <c r="AX69" s="146"/>
      <c r="AY69" s="218"/>
      <c r="AZ69" s="159">
        <v>50</v>
      </c>
      <c r="BA69" s="160" t="s">
        <v>341</v>
      </c>
      <c r="BB69" s="161"/>
    </row>
    <row r="70" spans="1:54" x14ac:dyDescent="0.5">
      <c r="A70" s="104"/>
      <c r="B70" s="162"/>
      <c r="C70" s="174"/>
      <c r="D70" s="172"/>
      <c r="E70" s="178"/>
      <c r="F70" s="178"/>
      <c r="G70" s="179"/>
      <c r="H70" s="180"/>
      <c r="I70" s="181"/>
      <c r="J70" s="181"/>
      <c r="K70" s="182"/>
      <c r="L70" s="183"/>
      <c r="M70" s="184"/>
      <c r="N70" s="181"/>
      <c r="O70" s="182"/>
      <c r="P70" s="180"/>
      <c r="Q70" s="181"/>
      <c r="R70" s="181"/>
      <c r="S70" s="182"/>
      <c r="T70" s="180"/>
      <c r="U70" s="181"/>
      <c r="V70" s="178"/>
      <c r="W70" s="179"/>
      <c r="X70" s="185"/>
      <c r="Y70" s="186"/>
      <c r="Z70" s="186"/>
      <c r="AA70" s="187"/>
      <c r="AB70" s="172"/>
      <c r="AC70" s="178"/>
      <c r="AD70" s="178"/>
      <c r="AE70" s="179"/>
      <c r="AF70" s="172"/>
      <c r="AG70" s="178"/>
      <c r="AH70" s="178"/>
      <c r="AI70" s="179"/>
      <c r="AJ70" s="172"/>
      <c r="AK70" s="178"/>
      <c r="AL70" s="178"/>
      <c r="AM70" s="179"/>
      <c r="AN70" s="172"/>
      <c r="AO70" s="178"/>
      <c r="AP70" s="178"/>
      <c r="AQ70" s="179"/>
      <c r="AR70" s="172"/>
      <c r="AS70" s="178"/>
      <c r="AT70" s="178"/>
      <c r="AU70" s="179"/>
      <c r="AV70" s="172"/>
      <c r="AW70" s="178"/>
      <c r="AX70" s="178"/>
      <c r="AY70" s="219"/>
      <c r="BA70" s="160"/>
      <c r="BB70" s="161"/>
    </row>
    <row r="71" spans="1:54" x14ac:dyDescent="0.5">
      <c r="A71" s="104"/>
      <c r="B71" s="154"/>
      <c r="C71" s="144"/>
      <c r="H71" s="148"/>
      <c r="I71" s="149"/>
      <c r="J71" s="149"/>
      <c r="K71" s="150"/>
      <c r="L71" s="151"/>
      <c r="M71" s="152"/>
      <c r="N71" s="149"/>
      <c r="O71" s="150"/>
      <c r="P71" s="153"/>
      <c r="Q71" s="149"/>
      <c r="R71" s="149"/>
      <c r="S71" s="150"/>
      <c r="T71" s="153"/>
      <c r="U71" s="149"/>
      <c r="V71" s="154"/>
      <c r="W71" s="155"/>
      <c r="X71" s="156"/>
      <c r="Y71" s="157"/>
      <c r="Z71" s="157"/>
      <c r="AA71" s="158"/>
      <c r="AB71" s="104"/>
      <c r="AC71" s="154"/>
      <c r="AD71" s="154"/>
      <c r="AE71" s="155"/>
      <c r="AF71" s="104"/>
      <c r="AG71" s="154"/>
      <c r="AH71" s="154"/>
      <c r="AI71" s="155"/>
      <c r="AJ71" s="104"/>
      <c r="AK71" s="154"/>
      <c r="AL71" s="154"/>
      <c r="AM71" s="155"/>
      <c r="AN71" s="104"/>
      <c r="AO71" s="154"/>
      <c r="AP71" s="154"/>
      <c r="AQ71" s="155"/>
      <c r="AR71" s="104"/>
      <c r="AS71" s="154"/>
      <c r="AT71" s="154"/>
      <c r="AU71" s="155"/>
      <c r="AV71" s="104"/>
      <c r="AW71" s="154"/>
      <c r="AX71" s="154"/>
      <c r="AY71" s="155"/>
      <c r="BA71" s="160"/>
      <c r="BB71" s="161"/>
    </row>
    <row r="72" spans="1:54" s="131" customFormat="1" ht="18.5" x14ac:dyDescent="0.35">
      <c r="A72" s="125"/>
      <c r="B72" s="220" t="s">
        <v>342</v>
      </c>
      <c r="C72" s="221">
        <f>SUM(C73:C99)</f>
        <v>1581</v>
      </c>
      <c r="D72" s="222"/>
      <c r="E72" s="126"/>
      <c r="F72" s="126"/>
      <c r="G72" s="127"/>
      <c r="H72" s="125"/>
      <c r="I72" s="126"/>
      <c r="J72" s="126"/>
      <c r="K72" s="127"/>
      <c r="L72" s="125"/>
      <c r="M72" s="126"/>
      <c r="N72" s="126"/>
      <c r="O72" s="127"/>
      <c r="P72" s="125"/>
      <c r="Q72" s="126"/>
      <c r="R72" s="126"/>
      <c r="S72" s="127"/>
      <c r="T72" s="125"/>
      <c r="U72" s="126"/>
      <c r="V72" s="126"/>
      <c r="W72" s="127"/>
      <c r="X72" s="125"/>
      <c r="Y72" s="126"/>
      <c r="Z72" s="126"/>
      <c r="AA72" s="127"/>
      <c r="AB72" s="125"/>
      <c r="AC72" s="126"/>
      <c r="AD72" s="126"/>
      <c r="AE72" s="127"/>
      <c r="AF72" s="125"/>
      <c r="AG72" s="126"/>
      <c r="AH72" s="126"/>
      <c r="AI72" s="127"/>
      <c r="AJ72" s="125"/>
      <c r="AK72" s="126"/>
      <c r="AL72" s="126"/>
      <c r="AM72" s="127"/>
      <c r="AN72" s="125"/>
      <c r="AO72" s="126"/>
      <c r="AP72" s="126"/>
      <c r="AQ72" s="127"/>
      <c r="AR72" s="125"/>
      <c r="AS72" s="126"/>
      <c r="AT72" s="126"/>
      <c r="AU72" s="127"/>
      <c r="AV72" s="125"/>
      <c r="AW72" s="126"/>
      <c r="AX72" s="126"/>
      <c r="AY72" s="127"/>
      <c r="AZ72" s="128"/>
      <c r="BA72" s="129" t="s">
        <v>343</v>
      </c>
      <c r="BB72" s="129"/>
    </row>
    <row r="73" spans="1:54" x14ac:dyDescent="0.5">
      <c r="A73" s="223"/>
      <c r="B73" s="157" t="s">
        <v>344</v>
      </c>
      <c r="C73" s="224"/>
      <c r="H73" s="148"/>
      <c r="I73" s="149"/>
      <c r="J73" s="149"/>
      <c r="K73" s="150"/>
      <c r="L73" s="151"/>
      <c r="M73" s="152"/>
      <c r="N73" s="149"/>
      <c r="O73" s="150"/>
      <c r="P73" s="153"/>
      <c r="Q73" s="149"/>
      <c r="R73" s="149"/>
      <c r="S73" s="150"/>
      <c r="T73" s="153"/>
      <c r="U73" s="149"/>
      <c r="V73" s="154"/>
      <c r="W73" s="155"/>
      <c r="X73" s="156"/>
      <c r="Y73" s="157"/>
      <c r="Z73" s="157"/>
      <c r="AA73" s="158"/>
      <c r="AB73" s="104"/>
      <c r="AC73" s="154"/>
      <c r="AD73" s="154"/>
      <c r="AE73" s="155"/>
      <c r="AF73" s="104"/>
      <c r="AG73" s="154"/>
      <c r="AH73" s="154"/>
      <c r="AI73" s="155"/>
      <c r="AJ73" s="104"/>
      <c r="AK73" s="154"/>
      <c r="AL73" s="154"/>
      <c r="AM73" s="155"/>
      <c r="AN73" s="104"/>
      <c r="AO73" s="154"/>
      <c r="AP73" s="154"/>
      <c r="AQ73" s="155"/>
      <c r="AR73" s="104"/>
      <c r="AS73" s="154"/>
      <c r="AT73" s="154"/>
      <c r="AU73" s="155"/>
      <c r="AV73" s="104"/>
      <c r="AW73" s="154"/>
      <c r="AX73" s="154"/>
      <c r="AY73" s="155"/>
      <c r="BA73" s="160"/>
      <c r="BB73" s="161"/>
    </row>
    <row r="74" spans="1:54" x14ac:dyDescent="0.5">
      <c r="A74" s="104"/>
      <c r="B74" s="162" t="s">
        <v>345</v>
      </c>
      <c r="C74" s="144">
        <v>365</v>
      </c>
      <c r="D74" s="145"/>
      <c r="E74" s="146"/>
      <c r="F74" s="146"/>
      <c r="G74" s="147"/>
      <c r="H74" s="163"/>
      <c r="I74" s="164"/>
      <c r="J74" s="164"/>
      <c r="K74" s="165"/>
      <c r="L74" s="166"/>
      <c r="M74" s="167"/>
      <c r="N74" s="164"/>
      <c r="O74" s="165"/>
      <c r="P74" s="163"/>
      <c r="Q74" s="164"/>
      <c r="R74" s="164"/>
      <c r="S74" s="165"/>
      <c r="T74" s="163"/>
      <c r="U74" s="164"/>
      <c r="V74" s="146"/>
      <c r="W74" s="147"/>
      <c r="X74" s="169"/>
      <c r="Y74" s="170"/>
      <c r="Z74" s="170"/>
      <c r="AA74" s="171"/>
      <c r="AB74" s="145"/>
      <c r="AC74" s="146"/>
      <c r="AD74" s="146"/>
      <c r="AE74" s="147"/>
      <c r="AF74" s="145"/>
      <c r="AG74" s="146"/>
      <c r="AH74" s="146"/>
      <c r="AI74" s="147"/>
      <c r="AJ74" s="145"/>
      <c r="AK74" s="146"/>
      <c r="AL74" s="146"/>
      <c r="AM74" s="147"/>
      <c r="AN74" s="145"/>
      <c r="AO74" s="146"/>
      <c r="AP74" s="146"/>
      <c r="AQ74" s="147"/>
      <c r="AR74" s="145"/>
      <c r="AS74" s="146"/>
      <c r="AT74" s="146"/>
      <c r="AU74" s="147"/>
      <c r="AV74" s="145"/>
      <c r="AW74" s="146"/>
      <c r="AX74" s="146"/>
      <c r="AY74" s="147"/>
      <c r="BA74" s="160" t="s">
        <v>346</v>
      </c>
      <c r="BB74" s="161">
        <v>0</v>
      </c>
    </row>
    <row r="75" spans="1:54" x14ac:dyDescent="0.5">
      <c r="A75" s="104"/>
      <c r="B75" s="162" t="s">
        <v>347</v>
      </c>
      <c r="C75" s="144">
        <v>365</v>
      </c>
      <c r="D75" s="145"/>
      <c r="E75" s="146"/>
      <c r="F75" s="146"/>
      <c r="G75" s="147"/>
      <c r="H75" s="163"/>
      <c r="I75" s="164"/>
      <c r="J75" s="164"/>
      <c r="K75" s="165"/>
      <c r="L75" s="166"/>
      <c r="M75" s="167"/>
      <c r="N75" s="164"/>
      <c r="O75" s="165"/>
      <c r="P75" s="163"/>
      <c r="Q75" s="164"/>
      <c r="R75" s="164"/>
      <c r="S75" s="165"/>
      <c r="T75" s="163"/>
      <c r="U75" s="164"/>
      <c r="V75" s="146"/>
      <c r="W75" s="147"/>
      <c r="X75" s="169"/>
      <c r="Y75" s="170"/>
      <c r="Z75" s="170"/>
      <c r="AA75" s="171"/>
      <c r="AB75" s="145"/>
      <c r="AC75" s="146"/>
      <c r="AD75" s="146"/>
      <c r="AE75" s="147"/>
      <c r="AF75" s="145"/>
      <c r="AG75" s="146"/>
      <c r="AH75" s="146"/>
      <c r="AI75" s="147"/>
      <c r="AJ75" s="145"/>
      <c r="AK75" s="146"/>
      <c r="AL75" s="146"/>
      <c r="AM75" s="147"/>
      <c r="AN75" s="145"/>
      <c r="AO75" s="146"/>
      <c r="AP75" s="146"/>
      <c r="AQ75" s="147"/>
      <c r="AR75" s="145"/>
      <c r="AS75" s="146"/>
      <c r="AT75" s="146"/>
      <c r="AU75" s="147"/>
      <c r="AV75" s="145"/>
      <c r="AW75" s="146"/>
      <c r="AX75" s="146"/>
      <c r="AY75" s="147"/>
      <c r="AZ75" s="225">
        <v>0.8</v>
      </c>
      <c r="BA75" s="160" t="s">
        <v>346</v>
      </c>
      <c r="BB75" s="161">
        <v>0</v>
      </c>
    </row>
    <row r="76" spans="1:54" x14ac:dyDescent="0.5">
      <c r="A76" s="104"/>
      <c r="B76" s="162" t="s">
        <v>348</v>
      </c>
      <c r="C76" s="144">
        <v>365</v>
      </c>
      <c r="D76" s="145"/>
      <c r="E76" s="146"/>
      <c r="F76" s="146"/>
      <c r="G76" s="147"/>
      <c r="H76" s="163"/>
      <c r="I76" s="164"/>
      <c r="J76" s="164"/>
      <c r="K76" s="165"/>
      <c r="L76" s="166"/>
      <c r="M76" s="167"/>
      <c r="N76" s="164"/>
      <c r="O76" s="165"/>
      <c r="P76" s="163"/>
      <c r="Q76" s="164"/>
      <c r="R76" s="164"/>
      <c r="S76" s="165"/>
      <c r="T76" s="163"/>
      <c r="U76" s="164"/>
      <c r="V76" s="146"/>
      <c r="W76" s="147"/>
      <c r="X76" s="169"/>
      <c r="Y76" s="170"/>
      <c r="Z76" s="170"/>
      <c r="AA76" s="171"/>
      <c r="AB76" s="145"/>
      <c r="AC76" s="146"/>
      <c r="AD76" s="146"/>
      <c r="AE76" s="147"/>
      <c r="AF76" s="145"/>
      <c r="AG76" s="146"/>
      <c r="AH76" s="146"/>
      <c r="AI76" s="147"/>
      <c r="AJ76" s="145"/>
      <c r="AK76" s="146"/>
      <c r="AL76" s="146"/>
      <c r="AM76" s="147"/>
      <c r="AN76" s="145"/>
      <c r="AO76" s="146"/>
      <c r="AP76" s="146"/>
      <c r="AQ76" s="147"/>
      <c r="AR76" s="145"/>
      <c r="AS76" s="146"/>
      <c r="AT76" s="146"/>
      <c r="AU76" s="147"/>
      <c r="AV76" s="145"/>
      <c r="AW76" s="146"/>
      <c r="AX76" s="146"/>
      <c r="AY76" s="147"/>
      <c r="BA76" s="160" t="s">
        <v>346</v>
      </c>
      <c r="BB76" s="161">
        <v>0</v>
      </c>
    </row>
    <row r="77" spans="1:54" x14ac:dyDescent="0.5">
      <c r="A77" s="104"/>
      <c r="B77" s="162" t="s">
        <v>349</v>
      </c>
      <c r="C77" s="144">
        <v>365</v>
      </c>
      <c r="D77" s="145"/>
      <c r="E77" s="146"/>
      <c r="F77" s="146"/>
      <c r="G77" s="147"/>
      <c r="H77" s="163"/>
      <c r="I77" s="164"/>
      <c r="J77" s="164"/>
      <c r="K77" s="165"/>
      <c r="L77" s="166"/>
      <c r="M77" s="167"/>
      <c r="N77" s="164"/>
      <c r="O77" s="165"/>
      <c r="P77" s="163"/>
      <c r="Q77" s="164"/>
      <c r="R77" s="164"/>
      <c r="S77" s="165"/>
      <c r="T77" s="163"/>
      <c r="U77" s="164"/>
      <c r="V77" s="146"/>
      <c r="W77" s="147"/>
      <c r="X77" s="169"/>
      <c r="Y77" s="170"/>
      <c r="Z77" s="170"/>
      <c r="AA77" s="171"/>
      <c r="AB77" s="145"/>
      <c r="AC77" s="146"/>
      <c r="AD77" s="146"/>
      <c r="AE77" s="147"/>
      <c r="AF77" s="145"/>
      <c r="AG77" s="146"/>
      <c r="AH77" s="146"/>
      <c r="AI77" s="147"/>
      <c r="AJ77" s="145"/>
      <c r="AK77" s="146"/>
      <c r="AL77" s="146"/>
      <c r="AM77" s="147"/>
      <c r="AN77" s="145"/>
      <c r="AO77" s="146"/>
      <c r="AP77" s="146"/>
      <c r="AQ77" s="147"/>
      <c r="AR77" s="145"/>
      <c r="AS77" s="146"/>
      <c r="AT77" s="146"/>
      <c r="AU77" s="147"/>
      <c r="AV77" s="145"/>
      <c r="AW77" s="146"/>
      <c r="AX77" s="146"/>
      <c r="AY77" s="147"/>
      <c r="BA77" s="160" t="s">
        <v>350</v>
      </c>
      <c r="BB77" s="161">
        <v>0</v>
      </c>
    </row>
    <row r="78" spans="1:54" x14ac:dyDescent="0.5">
      <c r="A78" s="104"/>
      <c r="B78" s="162" t="s">
        <v>351</v>
      </c>
      <c r="C78" s="144">
        <v>52</v>
      </c>
      <c r="D78" s="145"/>
      <c r="E78" s="146"/>
      <c r="F78" s="146"/>
      <c r="G78" s="147"/>
      <c r="H78" s="163"/>
      <c r="I78" s="164"/>
      <c r="J78" s="164"/>
      <c r="K78" s="165"/>
      <c r="L78" s="166"/>
      <c r="M78" s="167"/>
      <c r="N78" s="164"/>
      <c r="O78" s="165"/>
      <c r="P78" s="163"/>
      <c r="Q78" s="164"/>
      <c r="R78" s="164"/>
      <c r="S78" s="165"/>
      <c r="T78" s="163"/>
      <c r="U78" s="164"/>
      <c r="V78" s="146"/>
      <c r="W78" s="147"/>
      <c r="X78" s="169"/>
      <c r="Y78" s="170"/>
      <c r="Z78" s="170"/>
      <c r="AA78" s="171"/>
      <c r="AB78" s="145"/>
      <c r="AC78" s="146"/>
      <c r="AD78" s="146"/>
      <c r="AE78" s="147"/>
      <c r="AF78" s="145"/>
      <c r="AG78" s="146"/>
      <c r="AH78" s="146"/>
      <c r="AI78" s="147"/>
      <c r="AJ78" s="145"/>
      <c r="AK78" s="146"/>
      <c r="AL78" s="146"/>
      <c r="AM78" s="147"/>
      <c r="AN78" s="145"/>
      <c r="AO78" s="146"/>
      <c r="AP78" s="146"/>
      <c r="AQ78" s="147"/>
      <c r="AR78" s="145"/>
      <c r="AS78" s="146"/>
      <c r="AT78" s="146"/>
      <c r="AU78" s="147"/>
      <c r="AV78" s="145"/>
      <c r="AW78" s="146"/>
      <c r="AX78" s="146"/>
      <c r="AY78" s="147"/>
      <c r="BA78" s="160" t="s">
        <v>352</v>
      </c>
      <c r="BB78" s="161">
        <v>0</v>
      </c>
    </row>
    <row r="79" spans="1:54" x14ac:dyDescent="0.5">
      <c r="A79" s="104"/>
      <c r="B79" s="157"/>
      <c r="C79" s="144"/>
      <c r="H79" s="148"/>
      <c r="I79" s="149"/>
      <c r="J79" s="149"/>
      <c r="K79" s="150"/>
      <c r="L79" s="151"/>
      <c r="M79" s="152"/>
      <c r="N79" s="149"/>
      <c r="O79" s="150"/>
      <c r="P79" s="153"/>
      <c r="Q79" s="149"/>
      <c r="R79" s="149"/>
      <c r="S79" s="150"/>
      <c r="T79" s="153"/>
      <c r="U79" s="149"/>
      <c r="V79" s="154"/>
      <c r="W79" s="155"/>
      <c r="X79" s="156"/>
      <c r="Y79" s="157"/>
      <c r="Z79" s="157"/>
      <c r="AA79" s="158"/>
      <c r="AB79" s="104"/>
      <c r="AC79" s="154"/>
      <c r="AD79" s="154"/>
      <c r="AE79" s="155"/>
      <c r="AF79" s="104"/>
      <c r="AG79" s="154"/>
      <c r="AH79" s="154"/>
      <c r="AI79" s="155"/>
      <c r="AJ79" s="104"/>
      <c r="AK79" s="154"/>
      <c r="AL79" s="154"/>
      <c r="AM79" s="155"/>
      <c r="AN79" s="104"/>
      <c r="AO79" s="154"/>
      <c r="AP79" s="154"/>
      <c r="AQ79" s="155"/>
      <c r="AR79" s="104"/>
      <c r="AS79" s="154"/>
      <c r="AT79" s="154"/>
      <c r="AU79" s="155"/>
      <c r="AV79" s="104"/>
      <c r="AW79" s="154"/>
      <c r="AX79" s="154"/>
      <c r="AY79" s="155"/>
      <c r="BA79" s="160"/>
      <c r="BB79" s="161"/>
    </row>
    <row r="80" spans="1:54" x14ac:dyDescent="0.5">
      <c r="A80" s="104"/>
      <c r="B80" s="157" t="s">
        <v>353</v>
      </c>
      <c r="C80" s="144"/>
      <c r="H80" s="148"/>
      <c r="I80" s="149"/>
      <c r="J80" s="149"/>
      <c r="K80" s="150"/>
      <c r="L80" s="151"/>
      <c r="M80" s="152"/>
      <c r="N80" s="149"/>
      <c r="O80" s="150"/>
      <c r="P80" s="153"/>
      <c r="Q80" s="149"/>
      <c r="R80" s="149"/>
      <c r="S80" s="150"/>
      <c r="T80" s="153"/>
      <c r="U80" s="149"/>
      <c r="V80" s="154"/>
      <c r="W80" s="155"/>
      <c r="X80" s="156"/>
      <c r="Y80" s="157"/>
      <c r="Z80" s="157"/>
      <c r="AA80" s="158"/>
      <c r="AB80" s="104"/>
      <c r="AC80" s="154"/>
      <c r="AD80" s="154"/>
      <c r="AE80" s="155"/>
      <c r="AF80" s="104"/>
      <c r="AG80" s="154"/>
      <c r="AH80" s="154"/>
      <c r="AI80" s="155"/>
      <c r="AJ80" s="104"/>
      <c r="AK80" s="154"/>
      <c r="AL80" s="154"/>
      <c r="AM80" s="155"/>
      <c r="AN80" s="104"/>
      <c r="AO80" s="154"/>
      <c r="AP80" s="154"/>
      <c r="AQ80" s="155"/>
      <c r="AR80" s="104"/>
      <c r="AS80" s="154"/>
      <c r="AT80" s="154"/>
      <c r="AU80" s="155"/>
      <c r="AV80" s="104"/>
      <c r="AW80" s="154"/>
      <c r="AX80" s="154"/>
      <c r="AY80" s="155"/>
      <c r="BA80" s="160"/>
      <c r="BB80" s="161"/>
    </row>
    <row r="81" spans="1:54" x14ac:dyDescent="0.5">
      <c r="A81" s="104"/>
      <c r="B81" s="162" t="s">
        <v>354</v>
      </c>
      <c r="C81" s="144">
        <v>2</v>
      </c>
      <c r="H81" s="148"/>
      <c r="I81" s="149"/>
      <c r="J81" s="149"/>
      <c r="K81" s="150"/>
      <c r="L81" s="151"/>
      <c r="M81" s="152"/>
      <c r="N81" s="149"/>
      <c r="O81" s="165"/>
      <c r="P81" s="153"/>
      <c r="Q81" s="149"/>
      <c r="R81" s="149"/>
      <c r="S81" s="150"/>
      <c r="T81" s="153"/>
      <c r="U81" s="149"/>
      <c r="V81" s="154"/>
      <c r="W81" s="155"/>
      <c r="X81" s="156"/>
      <c r="Y81" s="157"/>
      <c r="Z81" s="157"/>
      <c r="AA81" s="158"/>
      <c r="AB81" s="104"/>
      <c r="AC81" s="154"/>
      <c r="AD81" s="154"/>
      <c r="AE81" s="155"/>
      <c r="AF81" s="104"/>
      <c r="AG81" s="154"/>
      <c r="AH81" s="154"/>
      <c r="AI81" s="155"/>
      <c r="AJ81" s="104"/>
      <c r="AK81" s="154"/>
      <c r="AL81" s="154"/>
      <c r="AM81" s="155"/>
      <c r="AN81" s="104"/>
      <c r="AO81" s="154"/>
      <c r="AP81" s="154"/>
      <c r="AQ81" s="155"/>
      <c r="AR81" s="104"/>
      <c r="AS81" s="154"/>
      <c r="AT81" s="154"/>
      <c r="AU81" s="155"/>
      <c r="AV81" s="104"/>
      <c r="AW81" s="154"/>
      <c r="AX81" s="154"/>
      <c r="AY81" s="155"/>
      <c r="BA81" s="160" t="s">
        <v>295</v>
      </c>
      <c r="BB81" s="161">
        <v>10000</v>
      </c>
    </row>
    <row r="82" spans="1:54" x14ac:dyDescent="0.5">
      <c r="A82" s="104"/>
      <c r="B82" s="162" t="s">
        <v>355</v>
      </c>
      <c r="C82" s="144">
        <v>1</v>
      </c>
      <c r="H82" s="148"/>
      <c r="I82" s="149"/>
      <c r="J82" s="149"/>
      <c r="K82" s="150"/>
      <c r="L82" s="151"/>
      <c r="M82" s="152"/>
      <c r="N82" s="149"/>
      <c r="O82" s="165"/>
      <c r="P82" s="153"/>
      <c r="Q82" s="149"/>
      <c r="R82" s="149"/>
      <c r="S82" s="150"/>
      <c r="T82" s="153"/>
      <c r="U82" s="149"/>
      <c r="V82" s="154"/>
      <c r="W82" s="155"/>
      <c r="X82" s="156"/>
      <c r="Y82" s="157"/>
      <c r="Z82" s="157"/>
      <c r="AA82" s="158"/>
      <c r="AB82" s="104"/>
      <c r="AC82" s="154"/>
      <c r="AD82" s="154"/>
      <c r="AE82" s="155"/>
      <c r="AF82" s="104"/>
      <c r="AG82" s="154"/>
      <c r="AH82" s="154"/>
      <c r="AI82" s="155"/>
      <c r="AJ82" s="104"/>
      <c r="AK82" s="154"/>
      <c r="AL82" s="154"/>
      <c r="AM82" s="155"/>
      <c r="AN82" s="104"/>
      <c r="AO82" s="154"/>
      <c r="AP82" s="154"/>
      <c r="AQ82" s="155"/>
      <c r="AR82" s="104"/>
      <c r="AS82" s="154"/>
      <c r="AT82" s="154"/>
      <c r="AU82" s="155"/>
      <c r="AV82" s="104"/>
      <c r="AW82" s="154"/>
      <c r="AX82" s="154"/>
      <c r="AY82" s="155"/>
      <c r="BA82" s="160" t="s">
        <v>295</v>
      </c>
      <c r="BB82" s="161">
        <v>5000</v>
      </c>
    </row>
    <row r="83" spans="1:54" x14ac:dyDescent="0.5">
      <c r="A83" s="104"/>
      <c r="B83" s="162" t="s">
        <v>356</v>
      </c>
      <c r="C83" s="144">
        <v>2</v>
      </c>
      <c r="H83" s="148"/>
      <c r="I83" s="149"/>
      <c r="J83" s="149"/>
      <c r="K83" s="150"/>
      <c r="L83" s="151"/>
      <c r="M83" s="152"/>
      <c r="N83" s="149"/>
      <c r="O83" s="150"/>
      <c r="P83" s="163"/>
      <c r="Q83" s="149"/>
      <c r="R83" s="149"/>
      <c r="S83" s="150"/>
      <c r="T83" s="153"/>
      <c r="U83" s="149"/>
      <c r="V83" s="154"/>
      <c r="W83" s="155"/>
      <c r="X83" s="156"/>
      <c r="Y83" s="157"/>
      <c r="Z83" s="157"/>
      <c r="AA83" s="158"/>
      <c r="AB83" s="104"/>
      <c r="AC83" s="154"/>
      <c r="AD83" s="154"/>
      <c r="AE83" s="155"/>
      <c r="AF83" s="104"/>
      <c r="AG83" s="154"/>
      <c r="AH83" s="154"/>
      <c r="AI83" s="155"/>
      <c r="AJ83" s="104"/>
      <c r="AK83" s="154"/>
      <c r="AL83" s="154"/>
      <c r="AM83" s="155"/>
      <c r="AN83" s="104"/>
      <c r="AO83" s="154"/>
      <c r="AP83" s="154"/>
      <c r="AQ83" s="155"/>
      <c r="AR83" s="104"/>
      <c r="AS83" s="154"/>
      <c r="AT83" s="154"/>
      <c r="AU83" s="155"/>
      <c r="AV83" s="104"/>
      <c r="AW83" s="154"/>
      <c r="AX83" s="154"/>
      <c r="AY83" s="155"/>
      <c r="BA83" s="160" t="s">
        <v>322</v>
      </c>
      <c r="BB83" s="161">
        <v>20000</v>
      </c>
    </row>
    <row r="84" spans="1:54" x14ac:dyDescent="0.5">
      <c r="A84" s="104"/>
      <c r="B84" s="162" t="s">
        <v>357</v>
      </c>
      <c r="C84" s="144">
        <v>1</v>
      </c>
      <c r="H84" s="148"/>
      <c r="I84" s="149"/>
      <c r="J84" s="149"/>
      <c r="K84" s="150"/>
      <c r="L84" s="151"/>
      <c r="M84" s="152"/>
      <c r="N84" s="149"/>
      <c r="O84" s="150"/>
      <c r="P84" s="163"/>
      <c r="Q84" s="149"/>
      <c r="R84" s="149"/>
      <c r="S84" s="150"/>
      <c r="T84" s="153"/>
      <c r="U84" s="149"/>
      <c r="V84" s="154"/>
      <c r="W84" s="155"/>
      <c r="X84" s="156"/>
      <c r="Y84" s="157"/>
      <c r="Z84" s="157"/>
      <c r="AA84" s="158"/>
      <c r="AB84" s="104"/>
      <c r="AC84" s="154"/>
      <c r="AD84" s="154"/>
      <c r="AE84" s="155"/>
      <c r="AF84" s="104"/>
      <c r="AG84" s="154"/>
      <c r="AH84" s="154"/>
      <c r="AI84" s="155"/>
      <c r="AJ84" s="104"/>
      <c r="AK84" s="154"/>
      <c r="AL84" s="154"/>
      <c r="AM84" s="155"/>
      <c r="AN84" s="104"/>
      <c r="AO84" s="154"/>
      <c r="AP84" s="154"/>
      <c r="AQ84" s="155"/>
      <c r="AR84" s="104"/>
      <c r="AS84" s="154"/>
      <c r="AT84" s="154"/>
      <c r="AU84" s="155"/>
      <c r="AV84" s="104"/>
      <c r="AW84" s="154"/>
      <c r="AX84" s="154"/>
      <c r="AY84" s="155"/>
      <c r="BA84" s="160" t="s">
        <v>299</v>
      </c>
      <c r="BB84" s="161">
        <v>8000</v>
      </c>
    </row>
    <row r="85" spans="1:54" x14ac:dyDescent="0.5">
      <c r="A85" s="104"/>
      <c r="B85" s="154"/>
      <c r="C85" s="144"/>
      <c r="H85" s="148"/>
      <c r="I85" s="149"/>
      <c r="J85" s="149"/>
      <c r="K85" s="150"/>
      <c r="L85" s="151"/>
      <c r="M85" s="152"/>
      <c r="N85" s="149"/>
      <c r="O85" s="150"/>
      <c r="P85" s="153"/>
      <c r="Q85" s="149"/>
      <c r="R85" s="149"/>
      <c r="S85" s="150"/>
      <c r="T85" s="153"/>
      <c r="U85" s="149"/>
      <c r="V85" s="154"/>
      <c r="W85" s="155"/>
      <c r="X85" s="156"/>
      <c r="Y85" s="157"/>
      <c r="Z85" s="157"/>
      <c r="AA85" s="158"/>
      <c r="AB85" s="104"/>
      <c r="AC85" s="154"/>
      <c r="AD85" s="154"/>
      <c r="AE85" s="155"/>
      <c r="AF85" s="104"/>
      <c r="AG85" s="154"/>
      <c r="AH85" s="154"/>
      <c r="AI85" s="155"/>
      <c r="AJ85" s="104"/>
      <c r="AK85" s="154"/>
      <c r="AL85" s="154"/>
      <c r="AM85" s="155"/>
      <c r="AN85" s="104"/>
      <c r="AO85" s="154"/>
      <c r="AP85" s="154"/>
      <c r="AQ85" s="155"/>
      <c r="AR85" s="104"/>
      <c r="AS85" s="154"/>
      <c r="AT85" s="154"/>
      <c r="AU85" s="155"/>
      <c r="AV85" s="104"/>
      <c r="AW85" s="154"/>
      <c r="AX85" s="154"/>
      <c r="AY85" s="155"/>
      <c r="BA85" s="160"/>
      <c r="BB85" s="161"/>
    </row>
    <row r="86" spans="1:54" x14ac:dyDescent="0.5">
      <c r="A86" s="104"/>
      <c r="B86" s="157" t="s">
        <v>358</v>
      </c>
      <c r="C86" s="144"/>
      <c r="H86" s="148"/>
      <c r="I86" s="149"/>
      <c r="J86" s="149"/>
      <c r="K86" s="150"/>
      <c r="L86" s="151"/>
      <c r="M86" s="152"/>
      <c r="N86" s="149"/>
      <c r="O86" s="150"/>
      <c r="P86" s="153"/>
      <c r="Q86" s="149"/>
      <c r="R86" s="149"/>
      <c r="S86" s="150"/>
      <c r="T86" s="153"/>
      <c r="U86" s="149"/>
      <c r="V86" s="154"/>
      <c r="W86" s="155"/>
      <c r="X86" s="156"/>
      <c r="Y86" s="157"/>
      <c r="Z86" s="157"/>
      <c r="AA86" s="158"/>
      <c r="AB86" s="104"/>
      <c r="AC86" s="154"/>
      <c r="AD86" s="154"/>
      <c r="AE86" s="155"/>
      <c r="AF86" s="104"/>
      <c r="AG86" s="154"/>
      <c r="AH86" s="154"/>
      <c r="AI86" s="155"/>
      <c r="AJ86" s="104"/>
      <c r="AK86" s="154"/>
      <c r="AL86" s="154"/>
      <c r="AM86" s="155"/>
      <c r="AN86" s="104"/>
      <c r="AO86" s="154"/>
      <c r="AP86" s="154"/>
      <c r="AQ86" s="155"/>
      <c r="AR86" s="104"/>
      <c r="AS86" s="154"/>
      <c r="AT86" s="154"/>
      <c r="AU86" s="155"/>
      <c r="AV86" s="104"/>
      <c r="AW86" s="154"/>
      <c r="AX86" s="154"/>
      <c r="AY86" s="155"/>
      <c r="BA86" s="160"/>
      <c r="BB86" s="161"/>
    </row>
    <row r="87" spans="1:54" x14ac:dyDescent="0.5">
      <c r="A87" s="104"/>
      <c r="B87" s="162" t="s">
        <v>359</v>
      </c>
      <c r="C87" s="144">
        <v>20</v>
      </c>
      <c r="H87" s="226"/>
      <c r="I87" s="149"/>
      <c r="J87" s="149"/>
      <c r="K87" s="150"/>
      <c r="L87" s="151"/>
      <c r="M87" s="152"/>
      <c r="N87" s="149"/>
      <c r="O87" s="150"/>
      <c r="P87" s="153"/>
      <c r="Q87" s="149"/>
      <c r="R87" s="149"/>
      <c r="S87" s="150"/>
      <c r="T87" s="163"/>
      <c r="U87" s="149"/>
      <c r="V87" s="154"/>
      <c r="W87" s="155"/>
      <c r="X87" s="156"/>
      <c r="Y87" s="157"/>
      <c r="Z87" s="157"/>
      <c r="AA87" s="158"/>
      <c r="AB87" s="104"/>
      <c r="AC87" s="154"/>
      <c r="AD87" s="154"/>
      <c r="AE87" s="155"/>
      <c r="AF87" s="163"/>
      <c r="AG87" s="154"/>
      <c r="AH87" s="154"/>
      <c r="AI87" s="155"/>
      <c r="AJ87" s="104"/>
      <c r="AK87" s="154"/>
      <c r="AL87" s="154"/>
      <c r="AM87" s="155"/>
      <c r="AN87" s="104"/>
      <c r="AO87" s="154"/>
      <c r="AP87" s="154"/>
      <c r="AQ87" s="155"/>
      <c r="AR87" s="163"/>
      <c r="AS87" s="154"/>
      <c r="AT87" s="154"/>
      <c r="AU87" s="155"/>
      <c r="AV87" s="104"/>
      <c r="AW87" s="154"/>
      <c r="AX87" s="154"/>
      <c r="AY87" s="155"/>
      <c r="BA87" s="160" t="s">
        <v>295</v>
      </c>
      <c r="BB87" s="161">
        <v>500000</v>
      </c>
    </row>
    <row r="88" spans="1:54" x14ac:dyDescent="0.5">
      <c r="A88" s="104"/>
      <c r="B88" s="162" t="s">
        <v>360</v>
      </c>
      <c r="C88" s="144">
        <v>5</v>
      </c>
      <c r="F88" s="146"/>
      <c r="G88" s="147"/>
      <c r="H88" s="226"/>
      <c r="I88" s="149"/>
      <c r="J88" s="149"/>
      <c r="K88" s="150"/>
      <c r="L88" s="151"/>
      <c r="M88" s="152"/>
      <c r="N88" s="149"/>
      <c r="O88" s="150"/>
      <c r="P88" s="153"/>
      <c r="Q88" s="149"/>
      <c r="R88" s="149"/>
      <c r="S88" s="150"/>
      <c r="T88" s="226"/>
      <c r="U88" s="149"/>
      <c r="V88" s="154"/>
      <c r="W88" s="155"/>
      <c r="X88" s="156"/>
      <c r="Y88" s="157"/>
      <c r="Z88" s="157"/>
      <c r="AA88" s="158"/>
      <c r="AB88" s="104"/>
      <c r="AC88" s="154"/>
      <c r="AD88" s="154"/>
      <c r="AE88" s="155"/>
      <c r="AF88" s="163"/>
      <c r="AG88" s="154"/>
      <c r="AH88" s="154"/>
      <c r="AI88" s="155"/>
      <c r="AJ88" s="104"/>
      <c r="AK88" s="154"/>
      <c r="AL88" s="154"/>
      <c r="AM88" s="155"/>
      <c r="AN88" s="104"/>
      <c r="AO88" s="154"/>
      <c r="AP88" s="154"/>
      <c r="AQ88" s="155"/>
      <c r="AR88" s="163"/>
      <c r="AS88" s="154"/>
      <c r="AT88" s="154"/>
      <c r="AU88" s="155"/>
      <c r="AV88" s="104"/>
      <c r="AW88" s="154"/>
      <c r="AX88" s="154"/>
      <c r="AY88" s="155"/>
      <c r="BA88" s="160"/>
      <c r="BB88" s="161"/>
    </row>
    <row r="89" spans="1:54" x14ac:dyDescent="0.5">
      <c r="A89" s="104"/>
      <c r="B89" s="162" t="s">
        <v>361</v>
      </c>
      <c r="C89" s="144">
        <v>4</v>
      </c>
      <c r="H89" s="163"/>
      <c r="I89" s="149"/>
      <c r="J89" s="149"/>
      <c r="K89" s="150"/>
      <c r="L89" s="151"/>
      <c r="M89" s="152"/>
      <c r="N89" s="149"/>
      <c r="O89" s="150"/>
      <c r="P89" s="153"/>
      <c r="Q89" s="149"/>
      <c r="R89" s="149"/>
      <c r="S89" s="150"/>
      <c r="T89" s="226"/>
      <c r="U89" s="149"/>
      <c r="V89" s="154"/>
      <c r="W89" s="155"/>
      <c r="X89" s="156"/>
      <c r="Y89" s="157"/>
      <c r="Z89" s="157"/>
      <c r="AA89" s="158"/>
      <c r="AB89" s="104"/>
      <c r="AC89" s="154"/>
      <c r="AD89" s="154"/>
      <c r="AE89" s="155"/>
      <c r="AF89" s="163"/>
      <c r="AG89" s="154"/>
      <c r="AH89" s="154"/>
      <c r="AI89" s="155"/>
      <c r="AJ89" s="104"/>
      <c r="AK89" s="154"/>
      <c r="AL89" s="154"/>
      <c r="AM89" s="155"/>
      <c r="AN89" s="104"/>
      <c r="AO89" s="154"/>
      <c r="AP89" s="154"/>
      <c r="AQ89" s="155"/>
      <c r="AR89" s="163"/>
      <c r="AS89" s="154"/>
      <c r="AT89" s="154"/>
      <c r="AU89" s="155"/>
      <c r="AV89" s="104"/>
      <c r="AW89" s="154"/>
      <c r="AX89" s="154"/>
      <c r="AY89" s="155"/>
      <c r="BA89" s="160"/>
      <c r="BB89" s="161"/>
    </row>
    <row r="90" spans="1:54" x14ac:dyDescent="0.5">
      <c r="A90" s="104"/>
      <c r="B90" s="162" t="s">
        <v>362</v>
      </c>
      <c r="C90" s="144">
        <v>5</v>
      </c>
      <c r="G90" s="147"/>
      <c r="H90" s="163"/>
      <c r="I90" s="149"/>
      <c r="J90" s="149"/>
      <c r="K90" s="150"/>
      <c r="L90" s="151"/>
      <c r="M90" s="152"/>
      <c r="N90" s="149"/>
      <c r="O90" s="150"/>
      <c r="P90" s="153"/>
      <c r="Q90" s="149"/>
      <c r="R90" s="149"/>
      <c r="S90" s="150"/>
      <c r="T90" s="226"/>
      <c r="U90" s="149"/>
      <c r="V90" s="154"/>
      <c r="W90" s="155"/>
      <c r="X90" s="156"/>
      <c r="Y90" s="157"/>
      <c r="Z90" s="157"/>
      <c r="AA90" s="158"/>
      <c r="AB90" s="104"/>
      <c r="AC90" s="154"/>
      <c r="AD90" s="154"/>
      <c r="AE90" s="155"/>
      <c r="AF90" s="163"/>
      <c r="AG90" s="154"/>
      <c r="AH90" s="154"/>
      <c r="AI90" s="155"/>
      <c r="AJ90" s="104"/>
      <c r="AK90" s="154"/>
      <c r="AL90" s="154"/>
      <c r="AM90" s="155"/>
      <c r="AN90" s="104"/>
      <c r="AO90" s="154"/>
      <c r="AP90" s="154"/>
      <c r="AQ90" s="155"/>
      <c r="AR90" s="163"/>
      <c r="AS90" s="154"/>
      <c r="AT90" s="154"/>
      <c r="AU90" s="155"/>
      <c r="AV90" s="104"/>
      <c r="AW90" s="154"/>
      <c r="AX90" s="154"/>
      <c r="AY90" s="155"/>
      <c r="BA90" s="160"/>
      <c r="BB90" s="161"/>
    </row>
    <row r="91" spans="1:54" x14ac:dyDescent="0.5">
      <c r="A91" s="104"/>
      <c r="B91" s="162" t="s">
        <v>363</v>
      </c>
      <c r="C91" s="144">
        <v>5</v>
      </c>
      <c r="H91" s="163"/>
      <c r="I91" s="149"/>
      <c r="J91" s="149"/>
      <c r="K91" s="150"/>
      <c r="L91" s="151"/>
      <c r="M91" s="152"/>
      <c r="N91" s="149"/>
      <c r="O91" s="150"/>
      <c r="P91" s="153"/>
      <c r="Q91" s="149"/>
      <c r="R91" s="149"/>
      <c r="S91" s="150"/>
      <c r="T91" s="226"/>
      <c r="U91" s="149"/>
      <c r="V91" s="154"/>
      <c r="W91" s="155"/>
      <c r="X91" s="156"/>
      <c r="Y91" s="157"/>
      <c r="Z91" s="157"/>
      <c r="AA91" s="158"/>
      <c r="AB91" s="104"/>
      <c r="AC91" s="154"/>
      <c r="AD91" s="154"/>
      <c r="AE91" s="155"/>
      <c r="AF91" s="163"/>
      <c r="AG91" s="154"/>
      <c r="AH91" s="154"/>
      <c r="AI91" s="155"/>
      <c r="AJ91" s="104"/>
      <c r="AK91" s="154"/>
      <c r="AL91" s="154"/>
      <c r="AM91" s="155"/>
      <c r="AN91" s="104"/>
      <c r="AO91" s="154"/>
      <c r="AP91" s="154"/>
      <c r="AQ91" s="155"/>
      <c r="AR91" s="163"/>
      <c r="AS91" s="154"/>
      <c r="AT91" s="154"/>
      <c r="AU91" s="155"/>
      <c r="AV91" s="104"/>
      <c r="AW91" s="154"/>
      <c r="AX91" s="154"/>
      <c r="AY91" s="155"/>
      <c r="BA91" s="160"/>
      <c r="BB91" s="161"/>
    </row>
    <row r="92" spans="1:54" x14ac:dyDescent="0.5">
      <c r="A92" s="104"/>
      <c r="B92" s="162" t="s">
        <v>364</v>
      </c>
      <c r="C92" s="144">
        <v>5</v>
      </c>
      <c r="G92" s="147"/>
      <c r="H92" s="163"/>
      <c r="I92" s="149"/>
      <c r="J92" s="149"/>
      <c r="K92" s="150"/>
      <c r="L92" s="151"/>
      <c r="M92" s="152"/>
      <c r="N92" s="149"/>
      <c r="O92" s="150"/>
      <c r="P92" s="153"/>
      <c r="Q92" s="149"/>
      <c r="R92" s="149"/>
      <c r="S92" s="150"/>
      <c r="T92" s="153"/>
      <c r="U92" s="164"/>
      <c r="V92" s="154"/>
      <c r="W92" s="155"/>
      <c r="X92" s="156"/>
      <c r="Y92" s="157"/>
      <c r="Z92" s="157"/>
      <c r="AA92" s="158"/>
      <c r="AB92" s="104"/>
      <c r="AC92" s="154"/>
      <c r="AD92" s="154"/>
      <c r="AE92" s="155"/>
      <c r="AF92" s="104"/>
      <c r="AG92" s="154"/>
      <c r="AH92" s="154"/>
      <c r="AI92" s="155"/>
      <c r="AJ92" s="104"/>
      <c r="AK92" s="154"/>
      <c r="AL92" s="154"/>
      <c r="AM92" s="155"/>
      <c r="AN92" s="104"/>
      <c r="AO92" s="154"/>
      <c r="AP92" s="154"/>
      <c r="AQ92" s="155"/>
      <c r="AR92" s="104"/>
      <c r="AS92" s="154"/>
      <c r="AT92" s="154"/>
      <c r="AU92" s="155"/>
      <c r="AV92" s="104"/>
      <c r="AW92" s="154"/>
      <c r="AX92" s="154"/>
      <c r="AY92" s="155"/>
      <c r="BA92" s="160" t="s">
        <v>295</v>
      </c>
      <c r="BB92" s="161">
        <v>20000</v>
      </c>
    </row>
    <row r="93" spans="1:54" x14ac:dyDescent="0.5">
      <c r="A93" s="104"/>
      <c r="B93" s="162" t="s">
        <v>365</v>
      </c>
      <c r="C93" s="144">
        <v>5</v>
      </c>
      <c r="F93" s="227"/>
      <c r="G93" s="146"/>
      <c r="H93" s="148"/>
      <c r="I93" s="149"/>
      <c r="J93" s="149"/>
      <c r="K93" s="150"/>
      <c r="L93" s="151"/>
      <c r="M93" s="152"/>
      <c r="N93" s="149"/>
      <c r="O93" s="150"/>
      <c r="P93" s="153"/>
      <c r="Q93" s="149"/>
      <c r="R93" s="149"/>
      <c r="S93" s="150"/>
      <c r="T93" s="153"/>
      <c r="U93" s="149"/>
      <c r="V93" s="154"/>
      <c r="W93" s="155"/>
      <c r="X93" s="156"/>
      <c r="Y93" s="157"/>
      <c r="Z93" s="157"/>
      <c r="AA93" s="158"/>
      <c r="AB93" s="104"/>
      <c r="AC93" s="154"/>
      <c r="AD93" s="154"/>
      <c r="AE93" s="155"/>
      <c r="AF93" s="104"/>
      <c r="AG93" s="146"/>
      <c r="AH93" s="154"/>
      <c r="AI93" s="155"/>
      <c r="AJ93" s="104"/>
      <c r="AK93" s="154"/>
      <c r="AL93" s="154"/>
      <c r="AM93" s="155"/>
      <c r="AN93" s="104"/>
      <c r="AO93" s="154"/>
      <c r="AP93" s="154"/>
      <c r="AQ93" s="155"/>
      <c r="AR93" s="104"/>
      <c r="AS93" s="154"/>
      <c r="AT93" s="154"/>
      <c r="AU93" s="155"/>
      <c r="AV93" s="104"/>
      <c r="AW93" s="154"/>
      <c r="AX93" s="154"/>
      <c r="AY93" s="155"/>
      <c r="BA93" s="160" t="s">
        <v>295</v>
      </c>
      <c r="BB93" s="161">
        <v>20000</v>
      </c>
    </row>
    <row r="94" spans="1:54" x14ac:dyDescent="0.5">
      <c r="A94" s="104"/>
      <c r="B94" s="162" t="s">
        <v>366</v>
      </c>
      <c r="C94" s="144">
        <v>5</v>
      </c>
      <c r="H94" s="148"/>
      <c r="I94" s="149"/>
      <c r="J94" s="149"/>
      <c r="K94" s="150"/>
      <c r="L94" s="151"/>
      <c r="M94" s="167"/>
      <c r="N94" s="149"/>
      <c r="O94" s="150"/>
      <c r="P94" s="153"/>
      <c r="Q94" s="149"/>
      <c r="R94" s="149"/>
      <c r="S94" s="150"/>
      <c r="T94" s="153"/>
      <c r="U94" s="149"/>
      <c r="V94" s="154"/>
      <c r="W94" s="155"/>
      <c r="X94" s="156"/>
      <c r="Y94" s="157"/>
      <c r="Z94" s="157"/>
      <c r="AA94" s="158"/>
      <c r="AB94" s="104"/>
      <c r="AC94" s="154"/>
      <c r="AD94" s="154"/>
      <c r="AE94" s="155"/>
      <c r="AF94" s="104"/>
      <c r="AG94" s="154"/>
      <c r="AH94" s="154"/>
      <c r="AI94" s="155"/>
      <c r="AJ94" s="104"/>
      <c r="AK94" s="154"/>
      <c r="AL94" s="154"/>
      <c r="AM94" s="155"/>
      <c r="AN94" s="104"/>
      <c r="AO94" s="154"/>
      <c r="AP94" s="154"/>
      <c r="AQ94" s="155"/>
      <c r="AR94" s="104"/>
      <c r="AS94" s="146"/>
      <c r="AT94" s="154"/>
      <c r="AU94" s="155"/>
      <c r="AV94" s="104"/>
      <c r="AW94" s="154"/>
      <c r="AX94" s="154"/>
      <c r="AY94" s="155"/>
      <c r="BA94" s="160" t="s">
        <v>295</v>
      </c>
      <c r="BB94" s="161">
        <v>20000</v>
      </c>
    </row>
    <row r="95" spans="1:54" x14ac:dyDescent="0.5">
      <c r="A95" s="104"/>
      <c r="B95" s="162" t="s">
        <v>367</v>
      </c>
      <c r="C95" s="144">
        <v>2</v>
      </c>
      <c r="H95" s="148"/>
      <c r="I95" s="149"/>
      <c r="J95" s="149"/>
      <c r="K95" s="150"/>
      <c r="L95" s="151"/>
      <c r="M95" s="167"/>
      <c r="N95" s="164"/>
      <c r="O95" s="150"/>
      <c r="P95" s="153"/>
      <c r="Q95" s="149"/>
      <c r="R95" s="149"/>
      <c r="S95" s="150"/>
      <c r="T95" s="153"/>
      <c r="U95" s="149"/>
      <c r="V95" s="154"/>
      <c r="W95" s="155"/>
      <c r="X95" s="156"/>
      <c r="Y95" s="157"/>
      <c r="Z95" s="157"/>
      <c r="AA95" s="158"/>
      <c r="AB95" s="104"/>
      <c r="AC95" s="154"/>
      <c r="AD95" s="154"/>
      <c r="AE95" s="155"/>
      <c r="AF95" s="104"/>
      <c r="AG95" s="154"/>
      <c r="AH95" s="154"/>
      <c r="AI95" s="155"/>
      <c r="AJ95" s="104"/>
      <c r="AK95" s="154"/>
      <c r="AL95" s="154"/>
      <c r="AM95" s="155"/>
      <c r="AN95" s="104"/>
      <c r="AO95" s="154"/>
      <c r="AP95" s="154"/>
      <c r="AQ95" s="155"/>
      <c r="AR95" s="104"/>
      <c r="AS95" s="146"/>
      <c r="AT95" s="154"/>
      <c r="AU95" s="155"/>
      <c r="AV95" s="104"/>
      <c r="AW95" s="154"/>
      <c r="AX95" s="154"/>
      <c r="AY95" s="155"/>
      <c r="BA95" s="160" t="s">
        <v>295</v>
      </c>
      <c r="BB95" s="161">
        <v>20000</v>
      </c>
    </row>
    <row r="96" spans="1:54" x14ac:dyDescent="0.5">
      <c r="A96" s="104"/>
      <c r="B96" s="162" t="s">
        <v>368</v>
      </c>
      <c r="C96" s="144">
        <v>1</v>
      </c>
      <c r="H96" s="148"/>
      <c r="I96" s="149"/>
      <c r="J96" s="149"/>
      <c r="K96" s="150"/>
      <c r="L96" s="151"/>
      <c r="M96" s="152"/>
      <c r="N96" s="164"/>
      <c r="O96" s="165"/>
      <c r="P96" s="153"/>
      <c r="Q96" s="149"/>
      <c r="R96" s="149"/>
      <c r="S96" s="150"/>
      <c r="T96" s="153"/>
      <c r="U96" s="149"/>
      <c r="V96" s="154"/>
      <c r="W96" s="155"/>
      <c r="X96" s="156"/>
      <c r="Y96" s="157"/>
      <c r="Z96" s="157"/>
      <c r="AA96" s="158"/>
      <c r="AB96" s="104"/>
      <c r="AC96" s="154"/>
      <c r="AD96" s="154"/>
      <c r="AE96" s="155"/>
      <c r="AF96" s="104"/>
      <c r="AG96" s="154"/>
      <c r="AH96" s="154"/>
      <c r="AI96" s="155"/>
      <c r="AJ96" s="104"/>
      <c r="AK96" s="154"/>
      <c r="AL96" s="154"/>
      <c r="AM96" s="155"/>
      <c r="AN96" s="104"/>
      <c r="AO96" s="154"/>
      <c r="AP96" s="154"/>
      <c r="AQ96" s="155"/>
      <c r="AR96" s="104"/>
      <c r="AS96" s="146"/>
      <c r="AT96" s="154"/>
      <c r="AU96" s="155"/>
      <c r="AV96" s="104"/>
      <c r="AW96" s="154"/>
      <c r="AX96" s="154"/>
      <c r="AY96" s="155"/>
      <c r="BA96" s="160" t="s">
        <v>295</v>
      </c>
      <c r="BB96" s="161">
        <v>20000</v>
      </c>
    </row>
    <row r="97" spans="1:54" x14ac:dyDescent="0.5">
      <c r="A97" s="104"/>
      <c r="B97" s="162" t="s">
        <v>369</v>
      </c>
      <c r="C97" s="144">
        <v>2</v>
      </c>
      <c r="H97" s="148"/>
      <c r="I97" s="149"/>
      <c r="J97" s="149"/>
      <c r="K97" s="150"/>
      <c r="L97" s="151"/>
      <c r="M97" s="152"/>
      <c r="N97" s="164"/>
      <c r="O97" s="165"/>
      <c r="P97" s="153"/>
      <c r="Q97" s="149"/>
      <c r="R97" s="149"/>
      <c r="S97" s="150"/>
      <c r="T97" s="153"/>
      <c r="U97" s="149"/>
      <c r="V97" s="154"/>
      <c r="W97" s="155"/>
      <c r="X97" s="156"/>
      <c r="Y97" s="157"/>
      <c r="Z97" s="157"/>
      <c r="AA97" s="158"/>
      <c r="AB97" s="104"/>
      <c r="AC97" s="154"/>
      <c r="AD97" s="154"/>
      <c r="AE97" s="155"/>
      <c r="AF97" s="104"/>
      <c r="AG97" s="154"/>
      <c r="AH97" s="154"/>
      <c r="AI97" s="155"/>
      <c r="AJ97" s="104"/>
      <c r="AK97" s="154"/>
      <c r="AL97" s="154"/>
      <c r="AM97" s="155"/>
      <c r="AN97" s="104"/>
      <c r="AO97" s="154"/>
      <c r="AP97" s="154"/>
      <c r="AQ97" s="155"/>
      <c r="AR97" s="104"/>
      <c r="AS97" s="146"/>
      <c r="AT97" s="154"/>
      <c r="AU97" s="155"/>
      <c r="AV97" s="104"/>
      <c r="AW97" s="154"/>
      <c r="AX97" s="154"/>
      <c r="AY97" s="155"/>
      <c r="BA97" s="160" t="s">
        <v>295</v>
      </c>
      <c r="BB97" s="161">
        <v>20000</v>
      </c>
    </row>
    <row r="98" spans="1:54" x14ac:dyDescent="0.5">
      <c r="A98" s="104"/>
      <c r="B98" s="162" t="s">
        <v>370</v>
      </c>
      <c r="C98" s="144">
        <v>2</v>
      </c>
      <c r="H98" s="148"/>
      <c r="I98" s="149"/>
      <c r="J98" s="149"/>
      <c r="K98" s="150"/>
      <c r="L98" s="151"/>
      <c r="M98" s="152"/>
      <c r="N98" s="164"/>
      <c r="O98" s="150"/>
      <c r="P98" s="153"/>
      <c r="Q98" s="149"/>
      <c r="R98" s="149"/>
      <c r="S98" s="150"/>
      <c r="T98" s="153"/>
      <c r="U98" s="149"/>
      <c r="V98" s="154"/>
      <c r="W98" s="155"/>
      <c r="X98" s="156"/>
      <c r="Y98" s="157"/>
      <c r="Z98" s="157"/>
      <c r="AA98" s="158"/>
      <c r="AB98" s="104"/>
      <c r="AC98" s="154"/>
      <c r="AD98" s="154"/>
      <c r="AE98" s="155"/>
      <c r="AF98" s="104"/>
      <c r="AG98" s="154"/>
      <c r="AH98" s="154"/>
      <c r="AI98" s="155"/>
      <c r="AJ98" s="104"/>
      <c r="AK98" s="154"/>
      <c r="AL98" s="154"/>
      <c r="AM98" s="155"/>
      <c r="AN98" s="104"/>
      <c r="AO98" s="154"/>
      <c r="AP98" s="154"/>
      <c r="AQ98" s="155"/>
      <c r="AR98" s="104"/>
      <c r="AS98" s="146"/>
      <c r="AT98" s="154"/>
      <c r="AU98" s="155"/>
      <c r="AV98" s="104"/>
      <c r="AW98" s="154"/>
      <c r="AX98" s="154"/>
      <c r="AY98" s="155"/>
      <c r="BA98" s="160" t="s">
        <v>295</v>
      </c>
      <c r="BB98" s="161">
        <v>20000</v>
      </c>
    </row>
    <row r="99" spans="1:54" ht="22.9" customHeight="1" x14ac:dyDescent="0.5">
      <c r="A99" s="104"/>
      <c r="B99" s="162" t="s">
        <v>371</v>
      </c>
      <c r="C99" s="144">
        <v>2</v>
      </c>
      <c r="H99" s="148"/>
      <c r="I99" s="149"/>
      <c r="J99" s="149"/>
      <c r="K99" s="150"/>
      <c r="L99" s="151"/>
      <c r="M99" s="152"/>
      <c r="N99" s="149"/>
      <c r="O99" s="165"/>
      <c r="P99" s="153"/>
      <c r="Q99" s="149"/>
      <c r="R99" s="228"/>
      <c r="S99" s="150"/>
      <c r="T99" s="153"/>
      <c r="U99" s="149"/>
      <c r="V99" s="154"/>
      <c r="W99" s="155"/>
      <c r="X99" s="156"/>
      <c r="Y99" s="157"/>
      <c r="Z99" s="170"/>
      <c r="AA99" s="158"/>
      <c r="AB99" s="104"/>
      <c r="AC99" s="154"/>
      <c r="AD99" s="154"/>
      <c r="AE99" s="147"/>
      <c r="AF99" s="104"/>
      <c r="AG99" s="154"/>
      <c r="AH99" s="154"/>
      <c r="AI99" s="155"/>
      <c r="AJ99" s="104"/>
      <c r="AK99" s="154"/>
      <c r="AL99" s="146"/>
      <c r="AM99" s="155"/>
      <c r="AN99" s="104"/>
      <c r="AO99" s="154"/>
      <c r="AP99" s="154"/>
      <c r="AQ99" s="155"/>
      <c r="AR99" s="104"/>
      <c r="AS99" s="154"/>
      <c r="AT99" s="154"/>
      <c r="AU99" s="147"/>
      <c r="AV99" s="104"/>
      <c r="AW99" s="154"/>
      <c r="AX99" s="154"/>
      <c r="AY99" s="155"/>
      <c r="BA99" s="160" t="s">
        <v>295</v>
      </c>
      <c r="BB99" s="161">
        <v>20000</v>
      </c>
    </row>
    <row r="100" spans="1:54" x14ac:dyDescent="0.5">
      <c r="A100" s="223"/>
      <c r="B100" s="162"/>
      <c r="C100" s="144"/>
      <c r="H100" s="148"/>
      <c r="I100" s="149"/>
      <c r="J100" s="149"/>
      <c r="K100" s="150"/>
      <c r="L100" s="151"/>
      <c r="M100" s="152"/>
      <c r="N100" s="149"/>
      <c r="O100" s="150"/>
      <c r="P100" s="153"/>
      <c r="Q100" s="149"/>
      <c r="R100" s="149"/>
      <c r="S100" s="150"/>
      <c r="T100" s="153"/>
      <c r="U100" s="149"/>
      <c r="V100" s="154"/>
      <c r="W100" s="155"/>
      <c r="X100" s="156"/>
      <c r="Y100" s="157"/>
      <c r="Z100" s="157"/>
      <c r="AA100" s="158"/>
      <c r="AB100" s="153"/>
      <c r="AC100" s="149"/>
      <c r="AD100" s="149"/>
      <c r="AE100" s="150"/>
      <c r="AF100" s="153"/>
      <c r="AG100" s="149"/>
      <c r="AH100" s="154"/>
      <c r="AI100" s="155"/>
      <c r="AJ100" s="156"/>
      <c r="AK100" s="157"/>
      <c r="AL100" s="157"/>
      <c r="AM100" s="158"/>
      <c r="AN100" s="153"/>
      <c r="AO100" s="149"/>
      <c r="AP100" s="149"/>
      <c r="AQ100" s="150"/>
      <c r="AR100" s="153"/>
      <c r="AS100" s="149"/>
      <c r="AT100" s="154"/>
      <c r="AU100" s="155"/>
      <c r="AV100" s="156"/>
      <c r="AW100" s="157"/>
      <c r="AX100" s="157"/>
      <c r="AY100" s="158"/>
      <c r="BA100" s="160"/>
      <c r="BB100" s="161"/>
    </row>
    <row r="101" spans="1:54" x14ac:dyDescent="0.5">
      <c r="A101" s="229"/>
      <c r="B101" s="154"/>
      <c r="C101" s="230"/>
      <c r="H101" s="148"/>
      <c r="I101" s="149"/>
      <c r="J101" s="149"/>
      <c r="K101" s="150"/>
      <c r="L101" s="151"/>
      <c r="M101" s="152"/>
      <c r="N101" s="149"/>
      <c r="O101" s="150"/>
      <c r="P101" s="153"/>
      <c r="Q101" s="149"/>
      <c r="R101" s="149"/>
      <c r="S101" s="150"/>
      <c r="T101" s="153"/>
      <c r="U101" s="149"/>
      <c r="V101" s="154"/>
      <c r="W101" s="155"/>
      <c r="X101" s="156"/>
      <c r="Y101" s="157"/>
      <c r="Z101" s="157"/>
      <c r="AA101" s="158"/>
      <c r="AB101" s="104"/>
      <c r="AC101" s="154"/>
      <c r="AD101" s="154"/>
      <c r="AE101" s="155"/>
      <c r="AF101" s="104"/>
      <c r="AG101" s="154"/>
      <c r="AH101" s="154"/>
      <c r="AI101" s="155"/>
      <c r="AJ101" s="104"/>
      <c r="AK101" s="154"/>
      <c r="AL101" s="154"/>
      <c r="AM101" s="155"/>
      <c r="AN101" s="104"/>
      <c r="AO101" s="154"/>
      <c r="AP101" s="154"/>
      <c r="AQ101" s="155"/>
      <c r="AR101" s="104"/>
      <c r="AS101" s="154"/>
      <c r="AT101" s="154"/>
      <c r="AU101" s="155"/>
      <c r="AV101" s="104"/>
      <c r="AW101" s="154"/>
      <c r="AX101" s="154"/>
      <c r="AY101" s="155"/>
      <c r="BA101" s="160"/>
      <c r="BB101" s="160"/>
    </row>
    <row r="102" spans="1:54" s="236" customFormat="1" ht="18.5" x14ac:dyDescent="0.35">
      <c r="A102" s="231"/>
      <c r="B102" s="220" t="s">
        <v>372</v>
      </c>
      <c r="C102" s="221">
        <f>SUM(C103:C104)</f>
        <v>156</v>
      </c>
      <c r="D102" s="232"/>
      <c r="E102" s="233"/>
      <c r="F102" s="233"/>
      <c r="G102" s="234"/>
      <c r="H102" s="125"/>
      <c r="I102" s="126"/>
      <c r="J102" s="126"/>
      <c r="K102" s="127"/>
      <c r="L102" s="231"/>
      <c r="M102" s="233"/>
      <c r="N102" s="233"/>
      <c r="O102" s="234"/>
      <c r="P102" s="231"/>
      <c r="Q102" s="233"/>
      <c r="R102" s="233"/>
      <c r="S102" s="234"/>
      <c r="T102" s="231"/>
      <c r="U102" s="233"/>
      <c r="V102" s="233"/>
      <c r="W102" s="234"/>
      <c r="X102" s="125"/>
      <c r="Y102" s="126"/>
      <c r="Z102" s="126"/>
      <c r="AA102" s="127"/>
      <c r="AB102" s="231"/>
      <c r="AC102" s="233"/>
      <c r="AD102" s="233"/>
      <c r="AE102" s="234"/>
      <c r="AF102" s="231"/>
      <c r="AG102" s="233"/>
      <c r="AH102" s="233"/>
      <c r="AI102" s="234"/>
      <c r="AJ102" s="231"/>
      <c r="AK102" s="233"/>
      <c r="AL102" s="233"/>
      <c r="AM102" s="234"/>
      <c r="AN102" s="231"/>
      <c r="AO102" s="233"/>
      <c r="AP102" s="233"/>
      <c r="AQ102" s="234"/>
      <c r="AR102" s="231"/>
      <c r="AS102" s="233"/>
      <c r="AT102" s="233"/>
      <c r="AU102" s="234"/>
      <c r="AV102" s="231"/>
      <c r="AW102" s="233"/>
      <c r="AX102" s="233"/>
      <c r="AY102" s="234"/>
      <c r="AZ102" s="235"/>
      <c r="BA102" s="129" t="s">
        <v>373</v>
      </c>
      <c r="BB102" s="129"/>
    </row>
    <row r="103" spans="1:54" x14ac:dyDescent="0.5">
      <c r="A103" s="223"/>
      <c r="B103" s="162" t="s">
        <v>374</v>
      </c>
      <c r="C103" s="224">
        <f>6*12</f>
        <v>72</v>
      </c>
      <c r="D103" s="145"/>
      <c r="E103" s="146"/>
      <c r="F103" s="146"/>
      <c r="H103" s="145"/>
      <c r="I103" s="146"/>
      <c r="J103" s="146"/>
      <c r="L103" s="145"/>
      <c r="M103" s="146"/>
      <c r="N103" s="146"/>
      <c r="P103" s="145"/>
      <c r="Q103" s="146"/>
      <c r="R103" s="146"/>
      <c r="T103" s="145"/>
      <c r="U103" s="146"/>
      <c r="V103" s="146"/>
      <c r="W103" s="155"/>
      <c r="X103" s="145"/>
      <c r="Y103" s="146"/>
      <c r="Z103" s="146"/>
      <c r="AA103" s="109"/>
      <c r="AB103" s="145"/>
      <c r="AC103" s="146"/>
      <c r="AD103" s="146"/>
      <c r="AF103" s="145"/>
      <c r="AG103" s="146"/>
      <c r="AH103" s="146"/>
      <c r="AJ103" s="145"/>
      <c r="AK103" s="146"/>
      <c r="AL103" s="146"/>
      <c r="AN103" s="145"/>
      <c r="AO103" s="146"/>
      <c r="AP103" s="146"/>
      <c r="AR103" s="145"/>
      <c r="AS103" s="146"/>
      <c r="AT103" s="146"/>
      <c r="AV103" s="145"/>
      <c r="AW103" s="146"/>
      <c r="AX103" s="146"/>
      <c r="BA103" s="160" t="s">
        <v>375</v>
      </c>
      <c r="BB103" s="160"/>
    </row>
    <row r="104" spans="1:54" x14ac:dyDescent="0.5">
      <c r="A104" s="104"/>
      <c r="B104" s="162" t="s">
        <v>376</v>
      </c>
      <c r="C104" s="144">
        <f>7*12</f>
        <v>84</v>
      </c>
      <c r="F104" s="146"/>
      <c r="G104" s="147"/>
      <c r="J104" s="146"/>
      <c r="K104" s="147"/>
      <c r="N104" s="146"/>
      <c r="O104" s="147"/>
      <c r="R104" s="146"/>
      <c r="S104" s="147"/>
      <c r="V104" s="146"/>
      <c r="W104" s="147"/>
      <c r="X104" s="107"/>
      <c r="Y104" s="108"/>
      <c r="Z104" s="146"/>
      <c r="AA104" s="147"/>
      <c r="AD104" s="146"/>
      <c r="AE104" s="147"/>
      <c r="AH104" s="146"/>
      <c r="AI104" s="147"/>
      <c r="AL104" s="146"/>
      <c r="AM104" s="147"/>
      <c r="AP104" s="146"/>
      <c r="AQ104" s="147"/>
      <c r="AT104" s="146"/>
      <c r="AU104" s="147"/>
      <c r="AX104" s="146"/>
      <c r="AY104" s="147"/>
      <c r="BA104" s="160" t="s">
        <v>375</v>
      </c>
      <c r="BB104" s="160"/>
    </row>
    <row r="105" spans="1:54" x14ac:dyDescent="0.5">
      <c r="A105" s="104"/>
      <c r="B105" s="162" t="s">
        <v>377</v>
      </c>
      <c r="C105" s="144">
        <f>15*12</f>
        <v>180</v>
      </c>
      <c r="F105" s="146"/>
      <c r="G105" s="147"/>
      <c r="J105" s="146"/>
      <c r="K105" s="147"/>
      <c r="N105" s="146"/>
      <c r="O105" s="147"/>
      <c r="R105" s="146"/>
      <c r="S105" s="147"/>
      <c r="V105" s="146"/>
      <c r="W105" s="147"/>
      <c r="X105" s="107"/>
      <c r="Y105" s="108"/>
      <c r="Z105" s="146"/>
      <c r="AA105" s="147"/>
      <c r="AD105" s="146"/>
      <c r="AE105" s="147"/>
      <c r="AH105" s="146"/>
      <c r="AI105" s="147"/>
      <c r="AL105" s="146"/>
      <c r="AM105" s="147"/>
      <c r="AP105" s="146"/>
      <c r="AQ105" s="147"/>
      <c r="AT105" s="146"/>
      <c r="AU105" s="147"/>
      <c r="AX105" s="146"/>
      <c r="AY105" s="147"/>
      <c r="BA105" s="160"/>
      <c r="BB105" s="160"/>
    </row>
    <row r="106" spans="1:54" x14ac:dyDescent="0.5">
      <c r="A106" s="104"/>
      <c r="B106" s="162" t="s">
        <v>378</v>
      </c>
      <c r="C106" s="144">
        <v>365</v>
      </c>
      <c r="D106" s="145"/>
      <c r="E106" s="146"/>
      <c r="F106" s="146"/>
      <c r="G106" s="147"/>
      <c r="H106" s="163"/>
      <c r="I106" s="164"/>
      <c r="J106" s="164"/>
      <c r="K106" s="165"/>
      <c r="L106" s="166"/>
      <c r="M106" s="167"/>
      <c r="N106" s="164"/>
      <c r="O106" s="165"/>
      <c r="P106" s="163"/>
      <c r="Q106" s="164"/>
      <c r="R106" s="164"/>
      <c r="S106" s="165"/>
      <c r="T106" s="163"/>
      <c r="U106" s="164"/>
      <c r="V106" s="146"/>
      <c r="W106" s="147"/>
      <c r="X106" s="169"/>
      <c r="Y106" s="170"/>
      <c r="Z106" s="170"/>
      <c r="AA106" s="171"/>
      <c r="AB106" s="145"/>
      <c r="AC106" s="146"/>
      <c r="AD106" s="146"/>
      <c r="AE106" s="147"/>
      <c r="AF106" s="145"/>
      <c r="AG106" s="146"/>
      <c r="AH106" s="146"/>
      <c r="AI106" s="147"/>
      <c r="AJ106" s="145"/>
      <c r="AK106" s="146"/>
      <c r="AL106" s="146"/>
      <c r="AM106" s="147"/>
      <c r="AN106" s="145"/>
      <c r="AO106" s="146"/>
      <c r="AP106" s="146"/>
      <c r="AQ106" s="147"/>
      <c r="AR106" s="145"/>
      <c r="AS106" s="146"/>
      <c r="AT106" s="146"/>
      <c r="AU106" s="147"/>
      <c r="AV106" s="145"/>
      <c r="AW106" s="146"/>
      <c r="AX106" s="146"/>
      <c r="AY106" s="147"/>
      <c r="BA106" s="160" t="s">
        <v>379</v>
      </c>
      <c r="BB106" s="160"/>
    </row>
    <row r="107" spans="1:54" x14ac:dyDescent="0.5">
      <c r="A107" s="104"/>
      <c r="B107" s="237" t="s">
        <v>380</v>
      </c>
      <c r="C107" s="144">
        <v>365</v>
      </c>
      <c r="D107" s="238"/>
      <c r="E107" s="154"/>
      <c r="F107" s="154"/>
      <c r="G107" s="147"/>
      <c r="H107" s="153"/>
      <c r="I107" s="149"/>
      <c r="J107" s="149"/>
      <c r="K107" s="150"/>
      <c r="L107" s="151"/>
      <c r="M107" s="152"/>
      <c r="N107" s="149"/>
      <c r="O107" s="150"/>
      <c r="P107" s="153"/>
      <c r="Q107" s="149"/>
      <c r="R107" s="149"/>
      <c r="S107" s="150"/>
      <c r="T107" s="153"/>
      <c r="U107" s="149"/>
      <c r="V107" s="154"/>
      <c r="W107" s="155"/>
      <c r="X107" s="156"/>
      <c r="Y107" s="157"/>
      <c r="Z107" s="157"/>
      <c r="AA107" s="158"/>
      <c r="AB107" s="104"/>
      <c r="AC107" s="154"/>
      <c r="AD107" s="154"/>
      <c r="AE107" s="147"/>
      <c r="AF107" s="104"/>
      <c r="AG107" s="154"/>
      <c r="AH107" s="154"/>
      <c r="AI107" s="155"/>
      <c r="AJ107" s="104"/>
      <c r="AK107" s="154"/>
      <c r="AL107" s="154"/>
      <c r="AM107" s="155"/>
      <c r="AN107" s="104"/>
      <c r="AO107" s="154"/>
      <c r="AP107" s="154"/>
      <c r="AQ107" s="155"/>
      <c r="AR107" s="104"/>
      <c r="AS107" s="154"/>
      <c r="AT107" s="154"/>
      <c r="AU107" s="155"/>
      <c r="AV107" s="104"/>
      <c r="AW107" s="154"/>
      <c r="AX107" s="154"/>
      <c r="AY107" s="155"/>
      <c r="BA107" s="160" t="s">
        <v>299</v>
      </c>
      <c r="BB107" s="161">
        <f>(1*25000*11)+(1*6*25000)</f>
        <v>425000</v>
      </c>
    </row>
    <row r="108" spans="1:54" s="247" customFormat="1" ht="21" x14ac:dyDescent="0.35">
      <c r="A108" s="239"/>
      <c r="B108" s="240" t="s">
        <v>381</v>
      </c>
      <c r="C108" s="241"/>
      <c r="D108" s="242"/>
      <c r="E108" s="243"/>
      <c r="F108" s="243"/>
      <c r="G108" s="244"/>
      <c r="H108" s="116"/>
      <c r="I108" s="114"/>
      <c r="J108" s="114"/>
      <c r="K108" s="117"/>
      <c r="L108" s="239"/>
      <c r="M108" s="243"/>
      <c r="N108" s="243"/>
      <c r="O108" s="244"/>
      <c r="P108" s="239"/>
      <c r="Q108" s="243"/>
      <c r="R108" s="243"/>
      <c r="S108" s="244"/>
      <c r="T108" s="239"/>
      <c r="U108" s="243"/>
      <c r="V108" s="243"/>
      <c r="W108" s="244"/>
      <c r="X108" s="116"/>
      <c r="Y108" s="114"/>
      <c r="Z108" s="114"/>
      <c r="AA108" s="117"/>
      <c r="AB108" s="239"/>
      <c r="AC108" s="243"/>
      <c r="AD108" s="243"/>
      <c r="AE108" s="244"/>
      <c r="AF108" s="239"/>
      <c r="AG108" s="243"/>
      <c r="AH108" s="243"/>
      <c r="AI108" s="244"/>
      <c r="AJ108" s="239"/>
      <c r="AK108" s="243"/>
      <c r="AL108" s="243"/>
      <c r="AM108" s="244"/>
      <c r="AN108" s="239"/>
      <c r="AO108" s="243"/>
      <c r="AP108" s="243"/>
      <c r="AQ108" s="244"/>
      <c r="AR108" s="239"/>
      <c r="AS108" s="243"/>
      <c r="AT108" s="243"/>
      <c r="AU108" s="244"/>
      <c r="AV108" s="239"/>
      <c r="AW108" s="243"/>
      <c r="AX108" s="243"/>
      <c r="AY108" s="244"/>
      <c r="AZ108" s="245"/>
      <c r="BA108" s="246"/>
      <c r="BB108" s="246"/>
    </row>
    <row r="109" spans="1:54" s="258" customFormat="1" x14ac:dyDescent="0.5">
      <c r="A109" s="248"/>
      <c r="B109" s="157" t="s">
        <v>382</v>
      </c>
      <c r="C109" s="144"/>
      <c r="D109" s="107"/>
      <c r="E109" s="249"/>
      <c r="F109" s="249"/>
      <c r="G109" s="250"/>
      <c r="H109" s="251"/>
      <c r="I109" s="149"/>
      <c r="J109" s="252"/>
      <c r="K109" s="253"/>
      <c r="L109" s="248"/>
      <c r="M109" s="249"/>
      <c r="N109" s="249"/>
      <c r="O109" s="250"/>
      <c r="P109" s="248"/>
      <c r="Q109" s="249"/>
      <c r="R109" s="249"/>
      <c r="S109" s="250"/>
      <c r="T109" s="248"/>
      <c r="U109" s="249"/>
      <c r="V109" s="249"/>
      <c r="W109" s="250"/>
      <c r="X109" s="254"/>
      <c r="Y109" s="249"/>
      <c r="Z109" s="249"/>
      <c r="AA109" s="250"/>
      <c r="AB109" s="251"/>
      <c r="AC109" s="252"/>
      <c r="AD109" s="252"/>
      <c r="AE109" s="253"/>
      <c r="AF109" s="254"/>
      <c r="AG109" s="249"/>
      <c r="AH109" s="249"/>
      <c r="AI109" s="250"/>
      <c r="AJ109" s="251"/>
      <c r="AK109" s="252"/>
      <c r="AL109" s="252"/>
      <c r="AM109" s="253"/>
      <c r="AN109" s="248"/>
      <c r="AO109" s="249"/>
      <c r="AP109" s="249"/>
      <c r="AQ109" s="250"/>
      <c r="AR109" s="248"/>
      <c r="AS109" s="249"/>
      <c r="AT109" s="249"/>
      <c r="AU109" s="250"/>
      <c r="AV109" s="248"/>
      <c r="AW109" s="249"/>
      <c r="AX109" s="249"/>
      <c r="AY109" s="155"/>
      <c r="AZ109" s="255"/>
      <c r="BA109" s="256"/>
      <c r="BB109" s="257"/>
    </row>
    <row r="110" spans="1:54" s="258" customFormat="1" x14ac:dyDescent="0.5">
      <c r="A110" s="248"/>
      <c r="B110" s="162" t="s">
        <v>383</v>
      </c>
      <c r="C110" s="144">
        <v>5</v>
      </c>
      <c r="D110" s="107"/>
      <c r="E110" s="249"/>
      <c r="F110" s="249"/>
      <c r="G110" s="250"/>
      <c r="H110" s="251"/>
      <c r="I110" s="149"/>
      <c r="J110" s="252"/>
      <c r="K110" s="253"/>
      <c r="L110" s="248"/>
      <c r="M110" s="249"/>
      <c r="N110" s="249"/>
      <c r="O110" s="250"/>
      <c r="P110" s="248"/>
      <c r="Q110" s="249"/>
      <c r="R110" s="249"/>
      <c r="S110" s="250"/>
      <c r="T110" s="248"/>
      <c r="U110" s="249"/>
      <c r="V110" s="249"/>
      <c r="W110" s="250"/>
      <c r="X110" s="254"/>
      <c r="Y110" s="249"/>
      <c r="Z110" s="249"/>
      <c r="AA110" s="250"/>
      <c r="AB110" s="251"/>
      <c r="AC110" s="252"/>
      <c r="AD110" s="252"/>
      <c r="AE110" s="253"/>
      <c r="AF110" s="254"/>
      <c r="AG110" s="249"/>
      <c r="AH110" s="249"/>
      <c r="AI110" s="250"/>
      <c r="AJ110" s="251"/>
      <c r="AK110" s="252"/>
      <c r="AL110" s="252"/>
      <c r="AM110" s="253"/>
      <c r="AN110" s="248"/>
      <c r="AO110" s="249"/>
      <c r="AP110" s="249"/>
      <c r="AQ110" s="250"/>
      <c r="AR110" s="248"/>
      <c r="AS110" s="249"/>
      <c r="AT110" s="249"/>
      <c r="AU110" s="250"/>
      <c r="AV110" s="248"/>
      <c r="AW110" s="249"/>
      <c r="AX110" s="249"/>
      <c r="AY110" s="155"/>
      <c r="AZ110" s="255"/>
      <c r="BA110" s="259" t="s">
        <v>384</v>
      </c>
      <c r="BB110" s="260">
        <v>50000</v>
      </c>
    </row>
    <row r="111" spans="1:54" s="258" customFormat="1" x14ac:dyDescent="0.5">
      <c r="A111" s="248"/>
      <c r="B111" s="162" t="s">
        <v>385</v>
      </c>
      <c r="C111" s="144">
        <v>4</v>
      </c>
      <c r="D111" s="107"/>
      <c r="E111" s="249"/>
      <c r="F111" s="261"/>
      <c r="G111" s="250"/>
      <c r="H111" s="251"/>
      <c r="I111" s="149"/>
      <c r="J111" s="252"/>
      <c r="K111" s="253"/>
      <c r="L111" s="248"/>
      <c r="M111" s="249"/>
      <c r="N111" s="249"/>
      <c r="O111" s="250"/>
      <c r="P111" s="248"/>
      <c r="Q111" s="249"/>
      <c r="R111" s="249"/>
      <c r="S111" s="250"/>
      <c r="T111" s="248"/>
      <c r="U111" s="249"/>
      <c r="V111" s="249"/>
      <c r="W111" s="250"/>
      <c r="X111" s="254"/>
      <c r="Y111" s="249"/>
      <c r="Z111" s="249"/>
      <c r="AA111" s="250"/>
      <c r="AB111" s="251"/>
      <c r="AC111" s="252"/>
      <c r="AD111" s="252"/>
      <c r="AE111" s="253"/>
      <c r="AF111" s="254"/>
      <c r="AG111" s="249"/>
      <c r="AH111" s="261"/>
      <c r="AI111" s="250"/>
      <c r="AJ111" s="251"/>
      <c r="AK111" s="252"/>
      <c r="AL111" s="252"/>
      <c r="AM111" s="253"/>
      <c r="AN111" s="248"/>
      <c r="AO111" s="249"/>
      <c r="AP111" s="249"/>
      <c r="AQ111" s="250"/>
      <c r="AR111" s="248"/>
      <c r="AS111" s="249"/>
      <c r="AT111" s="249"/>
      <c r="AU111" s="250"/>
      <c r="AV111" s="248"/>
      <c r="AW111" s="249"/>
      <c r="AX111" s="249"/>
      <c r="AY111" s="155"/>
      <c r="AZ111" s="255"/>
      <c r="BA111" s="160" t="s">
        <v>386</v>
      </c>
      <c r="BB111" s="161">
        <v>2000</v>
      </c>
    </row>
    <row r="112" spans="1:54" s="258" customFormat="1" x14ac:dyDescent="0.5">
      <c r="A112" s="248"/>
      <c r="B112" s="162" t="s">
        <v>387</v>
      </c>
      <c r="C112" s="144">
        <v>4</v>
      </c>
      <c r="D112" s="107"/>
      <c r="E112" s="249"/>
      <c r="F112" s="249"/>
      <c r="G112" s="250"/>
      <c r="H112" s="251"/>
      <c r="I112" s="149"/>
      <c r="J112" s="262"/>
      <c r="K112" s="253"/>
      <c r="L112" s="248"/>
      <c r="M112" s="249"/>
      <c r="N112" s="249"/>
      <c r="O112" s="250"/>
      <c r="P112" s="248"/>
      <c r="Q112" s="249"/>
      <c r="R112" s="249"/>
      <c r="S112" s="250"/>
      <c r="T112" s="248"/>
      <c r="U112" s="249"/>
      <c r="V112" s="249"/>
      <c r="W112" s="250"/>
      <c r="X112" s="254"/>
      <c r="Y112" s="249"/>
      <c r="Z112" s="249"/>
      <c r="AA112" s="250"/>
      <c r="AB112" s="251"/>
      <c r="AC112" s="252"/>
      <c r="AD112" s="252"/>
      <c r="AE112" s="253"/>
      <c r="AF112" s="254"/>
      <c r="AG112" s="249"/>
      <c r="AH112" s="249"/>
      <c r="AI112" s="250"/>
      <c r="AJ112" s="251"/>
      <c r="AK112" s="252"/>
      <c r="AL112" s="262"/>
      <c r="AM112" s="253"/>
      <c r="AN112" s="248"/>
      <c r="AO112" s="249"/>
      <c r="AP112" s="249"/>
      <c r="AQ112" s="250"/>
      <c r="AR112" s="248"/>
      <c r="AS112" s="249"/>
      <c r="AT112" s="249"/>
      <c r="AU112" s="250"/>
      <c r="AV112" s="248"/>
      <c r="AW112" s="249"/>
      <c r="AX112" s="249"/>
      <c r="AY112" s="155"/>
      <c r="AZ112" s="255"/>
      <c r="BA112" s="160" t="s">
        <v>384</v>
      </c>
      <c r="BB112" s="161">
        <v>50000</v>
      </c>
    </row>
    <row r="113" spans="1:54" x14ac:dyDescent="0.5">
      <c r="A113" s="104"/>
      <c r="B113" s="162" t="s">
        <v>388</v>
      </c>
      <c r="C113" s="144">
        <v>6</v>
      </c>
      <c r="H113" s="148"/>
      <c r="I113" s="149"/>
      <c r="J113" s="164"/>
      <c r="K113" s="150"/>
      <c r="L113" s="151"/>
      <c r="M113" s="152"/>
      <c r="N113" s="149"/>
      <c r="O113" s="150"/>
      <c r="P113" s="153"/>
      <c r="Q113" s="149"/>
      <c r="R113" s="149"/>
      <c r="S113" s="150"/>
      <c r="T113" s="153"/>
      <c r="U113" s="149"/>
      <c r="V113" s="154"/>
      <c r="W113" s="155"/>
      <c r="X113" s="254"/>
      <c r="Y113" s="249"/>
      <c r="Z113" s="249"/>
      <c r="AA113" s="250"/>
      <c r="AB113" s="251"/>
      <c r="AC113" s="252"/>
      <c r="AD113" s="252"/>
      <c r="AE113" s="253"/>
      <c r="AJ113" s="148"/>
      <c r="AK113" s="149"/>
      <c r="AL113" s="164"/>
      <c r="AM113" s="150"/>
      <c r="AN113" s="151"/>
      <c r="AO113" s="152"/>
      <c r="AP113" s="149"/>
      <c r="AQ113" s="150"/>
      <c r="AR113" s="153"/>
      <c r="AS113" s="149"/>
      <c r="AT113" s="149"/>
      <c r="AU113" s="150"/>
      <c r="AV113" s="153"/>
      <c r="AW113" s="149"/>
      <c r="AX113" s="154"/>
      <c r="AY113" s="155"/>
      <c r="BA113" s="160" t="s">
        <v>384</v>
      </c>
      <c r="BB113" s="161">
        <v>50000</v>
      </c>
    </row>
    <row r="114" spans="1:54" x14ac:dyDescent="0.5">
      <c r="A114" s="104"/>
      <c r="B114" s="162" t="s">
        <v>389</v>
      </c>
      <c r="C114" s="144">
        <v>2</v>
      </c>
      <c r="H114" s="148"/>
      <c r="I114" s="149"/>
      <c r="J114" s="149"/>
      <c r="K114" s="150"/>
      <c r="L114" s="151"/>
      <c r="M114" s="152"/>
      <c r="N114" s="164"/>
      <c r="O114" s="150"/>
      <c r="P114" s="153"/>
      <c r="Q114" s="149"/>
      <c r="R114" s="149"/>
      <c r="S114" s="150"/>
      <c r="T114" s="153"/>
      <c r="U114" s="149"/>
      <c r="V114" s="154"/>
      <c r="W114" s="155"/>
      <c r="X114" s="254"/>
      <c r="Y114" s="249"/>
      <c r="Z114" s="249"/>
      <c r="AA114" s="250"/>
      <c r="AB114" s="251"/>
      <c r="AC114" s="252"/>
      <c r="AD114" s="252"/>
      <c r="AE114" s="253"/>
      <c r="AJ114" s="148"/>
      <c r="AK114" s="149"/>
      <c r="AL114" s="149"/>
      <c r="AM114" s="150"/>
      <c r="AN114" s="151"/>
      <c r="AO114" s="152"/>
      <c r="AP114" s="164"/>
      <c r="AQ114" s="150"/>
      <c r="AR114" s="153"/>
      <c r="AS114" s="149"/>
      <c r="AT114" s="149"/>
      <c r="AU114" s="150"/>
      <c r="AV114" s="153"/>
      <c r="AW114" s="149"/>
      <c r="AX114" s="154"/>
      <c r="AY114" s="155"/>
      <c r="BA114" s="160" t="s">
        <v>384</v>
      </c>
      <c r="BB114" s="161">
        <v>50000</v>
      </c>
    </row>
    <row r="115" spans="1:54" x14ac:dyDescent="0.5">
      <c r="A115" s="104"/>
      <c r="B115" s="162" t="s">
        <v>390</v>
      </c>
      <c r="C115" s="144">
        <v>4</v>
      </c>
      <c r="H115" s="148"/>
      <c r="I115" s="149"/>
      <c r="J115" s="149"/>
      <c r="K115" s="150"/>
      <c r="L115" s="151"/>
      <c r="M115" s="152"/>
      <c r="N115" s="149"/>
      <c r="O115" s="150"/>
      <c r="P115" s="153"/>
      <c r="Q115" s="149"/>
      <c r="R115" s="149"/>
      <c r="S115" s="150"/>
      <c r="T115" s="153"/>
      <c r="U115" s="149"/>
      <c r="V115" s="154"/>
      <c r="W115" s="155"/>
      <c r="X115" s="254"/>
      <c r="Y115" s="249"/>
      <c r="Z115" s="249"/>
      <c r="AA115" s="250"/>
      <c r="AB115" s="251"/>
      <c r="AC115" s="252"/>
      <c r="AD115" s="252"/>
      <c r="AE115" s="253"/>
      <c r="AJ115" s="148"/>
      <c r="AK115" s="149"/>
      <c r="AL115" s="149"/>
      <c r="AM115" s="150"/>
      <c r="AN115" s="151"/>
      <c r="AO115" s="152"/>
      <c r="AP115" s="149"/>
      <c r="AQ115" s="150"/>
      <c r="AR115" s="153"/>
      <c r="AS115" s="149"/>
      <c r="AT115" s="149"/>
      <c r="AU115" s="150"/>
      <c r="AV115" s="153"/>
      <c r="AW115" s="149"/>
      <c r="AX115" s="154"/>
      <c r="AY115" s="155"/>
      <c r="BA115" s="160" t="s">
        <v>384</v>
      </c>
      <c r="BB115" s="161">
        <v>50000</v>
      </c>
    </row>
    <row r="116" spans="1:54" x14ac:dyDescent="0.5">
      <c r="A116" s="104"/>
      <c r="B116" s="162" t="s">
        <v>391</v>
      </c>
      <c r="C116" s="144">
        <v>4</v>
      </c>
      <c r="H116" s="148"/>
      <c r="I116" s="149"/>
      <c r="J116" s="149"/>
      <c r="K116" s="150"/>
      <c r="L116" s="151"/>
      <c r="M116" s="152"/>
      <c r="N116" s="149"/>
      <c r="O116" s="150"/>
      <c r="P116" s="153"/>
      <c r="Q116" s="149"/>
      <c r="R116" s="149"/>
      <c r="S116" s="150"/>
      <c r="T116" s="153"/>
      <c r="U116" s="149"/>
      <c r="V116" s="154"/>
      <c r="W116" s="155"/>
      <c r="X116" s="254"/>
      <c r="Y116" s="249"/>
      <c r="Z116" s="249"/>
      <c r="AA116" s="250"/>
      <c r="AB116" s="251"/>
      <c r="AC116" s="252"/>
      <c r="AD116" s="252"/>
      <c r="AE116" s="253"/>
      <c r="AJ116" s="148"/>
      <c r="AK116" s="149"/>
      <c r="AL116" s="149"/>
      <c r="AM116" s="150"/>
      <c r="AN116" s="151"/>
      <c r="AO116" s="152"/>
      <c r="AP116" s="149"/>
      <c r="AQ116" s="150"/>
      <c r="AR116" s="153"/>
      <c r="AS116" s="149"/>
      <c r="AT116" s="149"/>
      <c r="AU116" s="150"/>
      <c r="AV116" s="153"/>
      <c r="AW116" s="149"/>
      <c r="AX116" s="154"/>
      <c r="AY116" s="155"/>
      <c r="BA116" s="160" t="s">
        <v>384</v>
      </c>
      <c r="BB116" s="161">
        <v>50000</v>
      </c>
    </row>
    <row r="117" spans="1:54" x14ac:dyDescent="0.5">
      <c r="A117" s="104"/>
      <c r="B117" s="263" t="s">
        <v>392</v>
      </c>
      <c r="C117" s="144"/>
      <c r="H117" s="148"/>
      <c r="I117" s="149"/>
      <c r="J117" s="149"/>
      <c r="K117" s="150"/>
      <c r="L117" s="151"/>
      <c r="M117" s="152"/>
      <c r="N117" s="149"/>
      <c r="O117" s="150"/>
      <c r="P117" s="153"/>
      <c r="Q117" s="149"/>
      <c r="R117" s="149"/>
      <c r="S117" s="150"/>
      <c r="T117" s="153"/>
      <c r="U117" s="149"/>
      <c r="V117" s="154"/>
      <c r="W117" s="155"/>
      <c r="X117" s="254"/>
      <c r="Y117" s="249"/>
      <c r="Z117" s="249"/>
      <c r="AA117" s="250"/>
      <c r="AB117" s="251"/>
      <c r="AC117" s="252"/>
      <c r="AD117" s="252"/>
      <c r="AE117" s="253"/>
      <c r="AJ117" s="148"/>
      <c r="AK117" s="149"/>
      <c r="AL117" s="149"/>
      <c r="AM117" s="150"/>
      <c r="AN117" s="151"/>
      <c r="AO117" s="152"/>
      <c r="AP117" s="149"/>
      <c r="AQ117" s="150"/>
      <c r="AR117" s="153"/>
      <c r="AS117" s="149"/>
      <c r="AT117" s="149"/>
      <c r="AU117" s="150"/>
      <c r="AV117" s="153"/>
      <c r="AW117" s="149"/>
      <c r="AX117" s="154"/>
      <c r="AY117" s="155"/>
      <c r="BA117" s="160"/>
      <c r="BB117" s="161"/>
    </row>
    <row r="118" spans="1:54" x14ac:dyDescent="0.5">
      <c r="A118" s="104"/>
      <c r="B118" s="162" t="s">
        <v>385</v>
      </c>
      <c r="C118" s="144">
        <v>2</v>
      </c>
      <c r="F118" s="146"/>
      <c r="H118" s="148"/>
      <c r="I118" s="149"/>
      <c r="J118" s="149"/>
      <c r="K118" s="150"/>
      <c r="L118" s="151"/>
      <c r="M118" s="152"/>
      <c r="N118" s="149"/>
      <c r="O118" s="150"/>
      <c r="P118" s="153"/>
      <c r="Q118" s="149"/>
      <c r="R118" s="149"/>
      <c r="S118" s="150"/>
      <c r="T118" s="153"/>
      <c r="U118" s="149"/>
      <c r="V118" s="154"/>
      <c r="W118" s="155"/>
      <c r="X118" s="254"/>
      <c r="Y118" s="249"/>
      <c r="Z118" s="249"/>
      <c r="AA118" s="250"/>
      <c r="AB118" s="251"/>
      <c r="AC118" s="252"/>
      <c r="AD118" s="252"/>
      <c r="AE118" s="253"/>
      <c r="AH118" s="146"/>
      <c r="AJ118" s="148"/>
      <c r="AK118" s="149"/>
      <c r="AL118" s="149"/>
      <c r="AM118" s="150"/>
      <c r="AN118" s="151"/>
      <c r="AO118" s="152"/>
      <c r="AP118" s="149"/>
      <c r="AQ118" s="150"/>
      <c r="AR118" s="153"/>
      <c r="AS118" s="149"/>
      <c r="AT118" s="149"/>
      <c r="AU118" s="150"/>
      <c r="AV118" s="153"/>
      <c r="AW118" s="149"/>
      <c r="AX118" s="154"/>
      <c r="AY118" s="155"/>
      <c r="BA118" s="160" t="s">
        <v>386</v>
      </c>
      <c r="BB118" s="161">
        <v>2000</v>
      </c>
    </row>
    <row r="119" spans="1:54" x14ac:dyDescent="0.5">
      <c r="A119" s="104"/>
      <c r="B119" s="162" t="s">
        <v>388</v>
      </c>
      <c r="C119" s="144">
        <v>4</v>
      </c>
      <c r="H119" s="148"/>
      <c r="I119" s="149"/>
      <c r="J119" s="164"/>
      <c r="K119" s="150"/>
      <c r="L119" s="151"/>
      <c r="M119" s="152"/>
      <c r="N119" s="149"/>
      <c r="O119" s="150"/>
      <c r="P119" s="153"/>
      <c r="Q119" s="149"/>
      <c r="R119" s="149"/>
      <c r="S119" s="150"/>
      <c r="T119" s="153"/>
      <c r="U119" s="149"/>
      <c r="V119" s="154"/>
      <c r="W119" s="155"/>
      <c r="X119" s="254"/>
      <c r="Y119" s="249"/>
      <c r="Z119" s="249"/>
      <c r="AA119" s="250"/>
      <c r="AB119" s="251"/>
      <c r="AC119" s="252"/>
      <c r="AD119" s="252"/>
      <c r="AE119" s="253"/>
      <c r="AJ119" s="148"/>
      <c r="AK119" s="149"/>
      <c r="AL119" s="164"/>
      <c r="AM119" s="150"/>
      <c r="AN119" s="151"/>
      <c r="AO119" s="152"/>
      <c r="AP119" s="149"/>
      <c r="AQ119" s="150"/>
      <c r="AR119" s="153"/>
      <c r="AS119" s="149"/>
      <c r="AT119" s="149"/>
      <c r="AU119" s="150"/>
      <c r="AV119" s="153"/>
      <c r="AW119" s="149"/>
      <c r="AX119" s="154"/>
      <c r="AY119" s="155"/>
      <c r="BA119" s="160" t="s">
        <v>384</v>
      </c>
      <c r="BB119" s="161">
        <v>50000</v>
      </c>
    </row>
    <row r="120" spans="1:54" x14ac:dyDescent="0.5">
      <c r="A120" s="104"/>
      <c r="B120" s="162" t="s">
        <v>387</v>
      </c>
      <c r="C120" s="144">
        <v>4</v>
      </c>
      <c r="H120" s="148"/>
      <c r="I120" s="149"/>
      <c r="J120" s="164"/>
      <c r="K120" s="150"/>
      <c r="L120" s="151"/>
      <c r="M120" s="152"/>
      <c r="N120" s="149"/>
      <c r="O120" s="150"/>
      <c r="P120" s="153"/>
      <c r="Q120" s="149"/>
      <c r="R120" s="149"/>
      <c r="S120" s="150"/>
      <c r="T120" s="153"/>
      <c r="U120" s="149"/>
      <c r="V120" s="154"/>
      <c r="W120" s="155"/>
      <c r="X120" s="254"/>
      <c r="Y120" s="249"/>
      <c r="Z120" s="249"/>
      <c r="AA120" s="250"/>
      <c r="AB120" s="251"/>
      <c r="AC120" s="252"/>
      <c r="AD120" s="252"/>
      <c r="AE120" s="253"/>
      <c r="AJ120" s="148"/>
      <c r="AK120" s="149"/>
      <c r="AL120" s="164"/>
      <c r="AM120" s="150"/>
      <c r="AN120" s="151"/>
      <c r="AO120" s="152"/>
      <c r="AP120" s="149"/>
      <c r="AQ120" s="150"/>
      <c r="AR120" s="153"/>
      <c r="AS120" s="149"/>
      <c r="AT120" s="149"/>
      <c r="AU120" s="150"/>
      <c r="AV120" s="153"/>
      <c r="AW120" s="149"/>
      <c r="AX120" s="154"/>
      <c r="AY120" s="155"/>
      <c r="BA120" s="160" t="s">
        <v>384</v>
      </c>
      <c r="BB120" s="161">
        <v>50000</v>
      </c>
    </row>
    <row r="121" spans="1:54" x14ac:dyDescent="0.5">
      <c r="A121" s="104"/>
      <c r="B121" s="263" t="s">
        <v>393</v>
      </c>
      <c r="C121" s="144"/>
      <c r="H121" s="148"/>
      <c r="I121" s="149"/>
      <c r="J121" s="149"/>
      <c r="K121" s="150"/>
      <c r="L121" s="151"/>
      <c r="M121" s="152"/>
      <c r="N121" s="149"/>
      <c r="O121" s="150"/>
      <c r="P121" s="153"/>
      <c r="Q121" s="149"/>
      <c r="R121" s="149"/>
      <c r="S121" s="150"/>
      <c r="T121" s="153"/>
      <c r="U121" s="149"/>
      <c r="V121" s="154"/>
      <c r="W121" s="155"/>
      <c r="X121" s="254"/>
      <c r="Y121" s="249"/>
      <c r="Z121" s="249"/>
      <c r="AA121" s="250"/>
      <c r="AB121" s="251"/>
      <c r="AC121" s="252"/>
      <c r="AD121" s="252"/>
      <c r="AE121" s="253"/>
      <c r="AJ121" s="148"/>
      <c r="AK121" s="149"/>
      <c r="AL121" s="149"/>
      <c r="AM121" s="150"/>
      <c r="AN121" s="151"/>
      <c r="AO121" s="152"/>
      <c r="AP121" s="149"/>
      <c r="AQ121" s="150"/>
      <c r="AR121" s="153"/>
      <c r="AS121" s="149"/>
      <c r="AT121" s="149"/>
      <c r="AU121" s="150"/>
      <c r="AV121" s="153"/>
      <c r="AW121" s="149"/>
      <c r="AX121" s="154"/>
      <c r="AY121" s="155"/>
      <c r="BA121" s="160"/>
      <c r="BB121" s="161"/>
    </row>
    <row r="122" spans="1:54" x14ac:dyDescent="0.5">
      <c r="A122" s="104"/>
      <c r="B122" s="162" t="s">
        <v>385</v>
      </c>
      <c r="C122" s="144">
        <v>4</v>
      </c>
      <c r="H122" s="163"/>
      <c r="I122" s="149"/>
      <c r="J122" s="149"/>
      <c r="K122" s="150"/>
      <c r="L122" s="151"/>
      <c r="M122" s="152"/>
      <c r="N122" s="149"/>
      <c r="O122" s="150"/>
      <c r="P122" s="153"/>
      <c r="Q122" s="149"/>
      <c r="R122" s="149"/>
      <c r="S122" s="150"/>
      <c r="T122" s="153"/>
      <c r="U122" s="149"/>
      <c r="V122" s="154"/>
      <c r="W122" s="155"/>
      <c r="X122" s="254"/>
      <c r="Y122" s="249"/>
      <c r="Z122" s="249"/>
      <c r="AA122" s="250"/>
      <c r="AB122" s="251"/>
      <c r="AC122" s="252"/>
      <c r="AD122" s="252"/>
      <c r="AE122" s="253"/>
      <c r="AJ122" s="163"/>
      <c r="AK122" s="149"/>
      <c r="AL122" s="149"/>
      <c r="AM122" s="150"/>
      <c r="AN122" s="151"/>
      <c r="AO122" s="152"/>
      <c r="AP122" s="149"/>
      <c r="AQ122" s="150"/>
      <c r="AR122" s="153"/>
      <c r="AS122" s="149"/>
      <c r="AT122" s="149"/>
      <c r="AU122" s="150"/>
      <c r="AV122" s="153"/>
      <c r="AW122" s="149"/>
      <c r="AX122" s="154"/>
      <c r="AY122" s="155"/>
      <c r="BA122" s="160" t="s">
        <v>394</v>
      </c>
      <c r="BB122" s="161">
        <v>50000</v>
      </c>
    </row>
    <row r="123" spans="1:54" x14ac:dyDescent="0.5">
      <c r="A123" s="104"/>
      <c r="B123" s="162" t="s">
        <v>395</v>
      </c>
      <c r="C123" s="144">
        <v>4</v>
      </c>
      <c r="H123" s="148"/>
      <c r="I123" s="149"/>
      <c r="J123" s="164"/>
      <c r="K123" s="150"/>
      <c r="L123" s="151"/>
      <c r="M123" s="152"/>
      <c r="N123" s="149"/>
      <c r="O123" s="150"/>
      <c r="P123" s="153"/>
      <c r="Q123" s="149"/>
      <c r="R123" s="149"/>
      <c r="S123" s="150"/>
      <c r="T123" s="153"/>
      <c r="U123" s="149"/>
      <c r="V123" s="154"/>
      <c r="W123" s="155"/>
      <c r="X123" s="254"/>
      <c r="Y123" s="249"/>
      <c r="Z123" s="249"/>
      <c r="AA123" s="250"/>
      <c r="AB123" s="251"/>
      <c r="AC123" s="252"/>
      <c r="AD123" s="252"/>
      <c r="AE123" s="253"/>
      <c r="AJ123" s="148"/>
      <c r="AK123" s="149"/>
      <c r="AL123" s="164"/>
      <c r="AM123" s="150"/>
      <c r="AN123" s="151"/>
      <c r="AO123" s="152"/>
      <c r="AP123" s="149"/>
      <c r="AQ123" s="150"/>
      <c r="AR123" s="153"/>
      <c r="AS123" s="149"/>
      <c r="AT123" s="149"/>
      <c r="AU123" s="150"/>
      <c r="AV123" s="153"/>
      <c r="AW123" s="149"/>
      <c r="AX123" s="154"/>
      <c r="AY123" s="155"/>
      <c r="BA123" s="160" t="s">
        <v>394</v>
      </c>
      <c r="BB123" s="161">
        <v>50000</v>
      </c>
    </row>
    <row r="124" spans="1:54" x14ac:dyDescent="0.5">
      <c r="A124" s="104"/>
      <c r="B124" s="162" t="s">
        <v>396</v>
      </c>
      <c r="C124" s="144">
        <v>4</v>
      </c>
      <c r="H124" s="148"/>
      <c r="I124" s="149"/>
      <c r="J124" s="164"/>
      <c r="K124" s="150"/>
      <c r="L124" s="151"/>
      <c r="M124" s="152"/>
      <c r="N124" s="149"/>
      <c r="O124" s="150"/>
      <c r="P124" s="153"/>
      <c r="Q124" s="149"/>
      <c r="R124" s="149"/>
      <c r="S124" s="150"/>
      <c r="T124" s="153"/>
      <c r="U124" s="149"/>
      <c r="V124" s="146"/>
      <c r="W124" s="155"/>
      <c r="X124" s="156"/>
      <c r="Y124" s="157"/>
      <c r="Z124" s="157"/>
      <c r="AA124" s="158"/>
      <c r="AB124" s="104"/>
      <c r="AC124" s="154"/>
      <c r="AD124" s="154"/>
      <c r="AE124" s="147"/>
      <c r="AF124" s="104"/>
      <c r="AG124" s="154"/>
      <c r="AH124" s="154"/>
      <c r="AI124" s="155"/>
      <c r="AJ124" s="104"/>
      <c r="AK124" s="154"/>
      <c r="AL124" s="154"/>
      <c r="AM124" s="155"/>
      <c r="AN124" s="104"/>
      <c r="AO124" s="154"/>
      <c r="AP124" s="146"/>
      <c r="AQ124" s="155"/>
      <c r="AR124" s="104"/>
      <c r="AS124" s="154"/>
      <c r="AT124" s="154"/>
      <c r="AU124" s="155"/>
      <c r="AV124" s="104"/>
      <c r="AW124" s="154"/>
      <c r="AX124" s="154"/>
      <c r="AY124" s="155"/>
      <c r="BA124" s="160" t="s">
        <v>394</v>
      </c>
      <c r="BB124" s="161">
        <v>50000</v>
      </c>
    </row>
    <row r="125" spans="1:54" x14ac:dyDescent="0.5">
      <c r="A125" s="264"/>
      <c r="B125" s="265"/>
      <c r="C125" s="216"/>
      <c r="D125" s="108"/>
      <c r="F125" s="178"/>
      <c r="G125" s="178"/>
      <c r="H125" s="181"/>
      <c r="I125" s="181"/>
      <c r="J125" s="181"/>
      <c r="K125" s="181"/>
      <c r="L125" s="184"/>
      <c r="M125" s="184"/>
      <c r="N125" s="181"/>
      <c r="O125" s="181"/>
      <c r="P125" s="181"/>
      <c r="Q125" s="181"/>
      <c r="R125" s="181"/>
      <c r="S125" s="181"/>
      <c r="T125" s="181"/>
      <c r="U125" s="181"/>
      <c r="V125" s="178"/>
      <c r="W125" s="178"/>
      <c r="X125" s="266"/>
      <c r="Y125" s="266"/>
      <c r="Z125" s="266"/>
      <c r="AA125" s="266"/>
      <c r="AB125" s="267"/>
      <c r="AC125" s="267"/>
      <c r="AD125" s="267"/>
      <c r="AE125" s="267"/>
      <c r="AF125" s="178"/>
      <c r="AG125" s="178"/>
      <c r="AH125" s="178"/>
      <c r="AI125" s="178"/>
      <c r="AJ125" s="181"/>
      <c r="AK125" s="181"/>
      <c r="AL125" s="181"/>
      <c r="AM125" s="181"/>
      <c r="AN125" s="184"/>
      <c r="AO125" s="184"/>
      <c r="AP125" s="181"/>
      <c r="AQ125" s="181"/>
      <c r="AR125" s="149"/>
      <c r="AS125" s="149"/>
      <c r="AT125" s="149"/>
      <c r="AU125" s="149"/>
      <c r="AV125" s="149"/>
      <c r="AW125" s="149"/>
      <c r="AX125" s="154"/>
      <c r="AY125" s="154"/>
      <c r="AZ125" s="268"/>
      <c r="BA125" s="269"/>
      <c r="BB125" s="270"/>
    </row>
    <row r="126" spans="1:54" s="247" customFormat="1" ht="21" x14ac:dyDescent="0.35">
      <c r="A126" s="239"/>
      <c r="B126" s="240" t="s">
        <v>397</v>
      </c>
      <c r="C126" s="241"/>
      <c r="D126" s="242"/>
      <c r="E126" s="243"/>
      <c r="F126" s="243"/>
      <c r="G126" s="244"/>
      <c r="H126" s="116"/>
      <c r="I126" s="114"/>
      <c r="J126" s="114"/>
      <c r="K126" s="117"/>
      <c r="L126" s="239"/>
      <c r="M126" s="243"/>
      <c r="N126" s="243"/>
      <c r="O126" s="244"/>
      <c r="P126" s="239"/>
      <c r="Q126" s="243"/>
      <c r="R126" s="243"/>
      <c r="S126" s="244"/>
      <c r="T126" s="239"/>
      <c r="U126" s="243"/>
      <c r="V126" s="243"/>
      <c r="W126" s="244"/>
      <c r="X126" s="116"/>
      <c r="Y126" s="114"/>
      <c r="Z126" s="114"/>
      <c r="AA126" s="117"/>
      <c r="AB126" s="239"/>
      <c r="AC126" s="243"/>
      <c r="AD126" s="243"/>
      <c r="AE126" s="244"/>
      <c r="AF126" s="239"/>
      <c r="AG126" s="243"/>
      <c r="AH126" s="243"/>
      <c r="AI126" s="244"/>
      <c r="AJ126" s="239"/>
      <c r="AK126" s="243"/>
      <c r="AL126" s="243"/>
      <c r="AM126" s="244"/>
      <c r="AN126" s="239"/>
      <c r="AO126" s="243"/>
      <c r="AP126" s="243"/>
      <c r="AQ126" s="244"/>
      <c r="AR126" s="239"/>
      <c r="AS126" s="243"/>
      <c r="AT126" s="243"/>
      <c r="AU126" s="244"/>
      <c r="AV126" s="239"/>
      <c r="AW126" s="243"/>
      <c r="AX126" s="243"/>
      <c r="AY126" s="244"/>
      <c r="AZ126" s="245"/>
      <c r="BA126" s="246"/>
      <c r="BB126" s="246"/>
    </row>
    <row r="127" spans="1:54" x14ac:dyDescent="0.5">
      <c r="A127" s="104"/>
      <c r="B127" s="162" t="s">
        <v>398</v>
      </c>
      <c r="C127" s="144">
        <v>5</v>
      </c>
      <c r="D127" s="145"/>
      <c r="H127" s="148"/>
      <c r="I127" s="149"/>
      <c r="J127" s="149"/>
      <c r="K127" s="150"/>
      <c r="L127" s="151"/>
      <c r="M127" s="152"/>
      <c r="N127" s="149"/>
      <c r="O127" s="150"/>
      <c r="P127" s="153"/>
      <c r="Q127" s="149"/>
      <c r="R127" s="149"/>
      <c r="S127" s="150"/>
      <c r="T127" s="153"/>
      <c r="U127" s="149"/>
      <c r="V127" s="154"/>
      <c r="W127" s="155"/>
      <c r="X127" s="156"/>
      <c r="Y127" s="157"/>
      <c r="Z127" s="157"/>
      <c r="AA127" s="158"/>
      <c r="AB127" s="145"/>
      <c r="AC127" s="154"/>
      <c r="AD127" s="154"/>
      <c r="AE127" s="155"/>
      <c r="AF127" s="104"/>
      <c r="AG127" s="154"/>
      <c r="AH127" s="154"/>
      <c r="AI127" s="155"/>
      <c r="AJ127" s="104"/>
      <c r="AK127" s="154"/>
      <c r="AL127" s="154"/>
      <c r="AM127" s="155"/>
      <c r="AN127" s="104"/>
      <c r="AO127" s="154"/>
      <c r="AP127" s="154"/>
      <c r="AQ127" s="155"/>
      <c r="AR127" s="104"/>
      <c r="AS127" s="154"/>
      <c r="AT127" s="154"/>
      <c r="AU127" s="155"/>
      <c r="AV127" s="104"/>
      <c r="AW127" s="154"/>
      <c r="AX127" s="154"/>
      <c r="AY127" s="155"/>
      <c r="BA127" s="160" t="s">
        <v>399</v>
      </c>
      <c r="BB127" s="161">
        <f>2200*4800</f>
        <v>10560000</v>
      </c>
    </row>
    <row r="128" spans="1:54" x14ac:dyDescent="0.5">
      <c r="A128" s="104"/>
      <c r="B128" s="162" t="s">
        <v>400</v>
      </c>
      <c r="C128" s="144"/>
      <c r="D128" s="145"/>
      <c r="H128" s="148"/>
      <c r="I128" s="149"/>
      <c r="J128" s="149"/>
      <c r="K128" s="150"/>
      <c r="L128" s="151"/>
      <c r="M128" s="152"/>
      <c r="N128" s="149"/>
      <c r="O128" s="150"/>
      <c r="P128" s="153"/>
      <c r="Q128" s="149"/>
      <c r="R128" s="149"/>
      <c r="S128" s="150"/>
      <c r="T128" s="153"/>
      <c r="U128" s="149"/>
      <c r="V128" s="154"/>
      <c r="W128" s="155"/>
      <c r="X128" s="156"/>
      <c r="Y128" s="157"/>
      <c r="Z128" s="157"/>
      <c r="AA128" s="158"/>
      <c r="AB128" s="145"/>
      <c r="AC128" s="154"/>
      <c r="AD128" s="154"/>
      <c r="AE128" s="155"/>
      <c r="AF128" s="104"/>
      <c r="AG128" s="154"/>
      <c r="AH128" s="154"/>
      <c r="AI128" s="155"/>
      <c r="AJ128" s="104"/>
      <c r="AK128" s="154"/>
      <c r="AL128" s="154"/>
      <c r="AM128" s="155"/>
      <c r="AN128" s="104"/>
      <c r="AO128" s="154"/>
      <c r="AP128" s="154"/>
      <c r="AQ128" s="155"/>
      <c r="AR128" s="104"/>
      <c r="AS128" s="154"/>
      <c r="AT128" s="154"/>
      <c r="AU128" s="155"/>
      <c r="AV128" s="104"/>
      <c r="AW128" s="154"/>
      <c r="AX128" s="154"/>
      <c r="AY128" s="155"/>
      <c r="BA128" s="160" t="s">
        <v>399</v>
      </c>
      <c r="BB128" s="161">
        <f>2172*3918</f>
        <v>8509896</v>
      </c>
    </row>
    <row r="129" spans="1:54" s="247" customFormat="1" ht="21" x14ac:dyDescent="0.35">
      <c r="A129" s="239"/>
      <c r="B129" s="240" t="s">
        <v>401</v>
      </c>
      <c r="C129" s="241"/>
      <c r="D129" s="242"/>
      <c r="E129" s="243"/>
      <c r="F129" s="243"/>
      <c r="G129" s="244"/>
      <c r="H129" s="116"/>
      <c r="I129" s="114"/>
      <c r="J129" s="114"/>
      <c r="K129" s="117"/>
      <c r="L129" s="239"/>
      <c r="M129" s="243"/>
      <c r="N129" s="243"/>
      <c r="O129" s="244"/>
      <c r="P129" s="239"/>
      <c r="Q129" s="243"/>
      <c r="R129" s="243"/>
      <c r="S129" s="244"/>
      <c r="T129" s="239"/>
      <c r="U129" s="243"/>
      <c r="V129" s="243"/>
      <c r="W129" s="244"/>
      <c r="X129" s="116"/>
      <c r="Y129" s="114"/>
      <c r="Z129" s="114"/>
      <c r="AA129" s="117"/>
      <c r="AB129" s="239"/>
      <c r="AC129" s="243"/>
      <c r="AD129" s="243"/>
      <c r="AE129" s="244"/>
      <c r="AF129" s="239"/>
      <c r="AG129" s="243"/>
      <c r="AH129" s="243"/>
      <c r="AI129" s="244"/>
      <c r="AJ129" s="239"/>
      <c r="AK129" s="243"/>
      <c r="AL129" s="243"/>
      <c r="AM129" s="244"/>
      <c r="AN129" s="239"/>
      <c r="AO129" s="243"/>
      <c r="AP129" s="243"/>
      <c r="AQ129" s="244"/>
      <c r="AR129" s="239"/>
      <c r="AS129" s="243"/>
      <c r="AT129" s="243"/>
      <c r="AU129" s="244"/>
      <c r="AV129" s="239"/>
      <c r="AW129" s="243"/>
      <c r="AX129" s="243"/>
      <c r="AY129" s="244"/>
      <c r="AZ129" s="245"/>
      <c r="BA129" s="246"/>
      <c r="BB129" s="246"/>
    </row>
    <row r="130" spans="1:54" x14ac:dyDescent="0.5">
      <c r="A130" s="104"/>
      <c r="B130" s="162" t="s">
        <v>402</v>
      </c>
      <c r="C130" s="144">
        <v>10</v>
      </c>
      <c r="F130" s="146"/>
      <c r="G130" s="147"/>
      <c r="H130" s="148"/>
      <c r="I130" s="149"/>
      <c r="J130" s="149"/>
      <c r="K130" s="150"/>
      <c r="L130" s="151"/>
      <c r="M130" s="152"/>
      <c r="N130" s="149"/>
      <c r="O130" s="150"/>
      <c r="P130" s="153"/>
      <c r="Q130" s="149"/>
      <c r="R130" s="149"/>
      <c r="S130" s="150"/>
      <c r="T130" s="153"/>
      <c r="U130" s="149"/>
      <c r="V130" s="154"/>
      <c r="W130" s="155"/>
      <c r="X130" s="156"/>
      <c r="Y130" s="157"/>
      <c r="Z130" s="157"/>
      <c r="AA130" s="158"/>
      <c r="AB130" s="104"/>
      <c r="AC130" s="154"/>
      <c r="AD130" s="154"/>
      <c r="AE130" s="155"/>
      <c r="AF130" s="104"/>
      <c r="AG130" s="154"/>
      <c r="AH130" s="154"/>
      <c r="AI130" s="155"/>
      <c r="AJ130" s="104"/>
      <c r="AK130" s="154"/>
      <c r="AL130" s="154"/>
      <c r="AM130" s="155"/>
      <c r="AN130" s="104"/>
      <c r="AO130" s="154"/>
      <c r="AP130" s="154"/>
      <c r="AQ130" s="155"/>
      <c r="AR130" s="104"/>
      <c r="AS130" s="154"/>
      <c r="AT130" s="154"/>
      <c r="AU130" s="155"/>
      <c r="AV130" s="104"/>
      <c r="AW130" s="154"/>
      <c r="AX130" s="154"/>
      <c r="AY130" s="155"/>
      <c r="BA130" s="160" t="s">
        <v>403</v>
      </c>
      <c r="BB130" s="161">
        <v>40000</v>
      </c>
    </row>
    <row r="131" spans="1:54" x14ac:dyDescent="0.5">
      <c r="A131" s="104"/>
      <c r="B131" s="162" t="s">
        <v>404</v>
      </c>
      <c r="C131" s="144">
        <v>10</v>
      </c>
      <c r="F131" s="178"/>
      <c r="G131" s="179"/>
      <c r="H131" s="180"/>
      <c r="I131" s="149"/>
      <c r="J131" s="149"/>
      <c r="K131" s="150"/>
      <c r="L131" s="151"/>
      <c r="M131" s="152"/>
      <c r="N131" s="149"/>
      <c r="O131" s="150"/>
      <c r="P131" s="163"/>
      <c r="Q131" s="164"/>
      <c r="R131" s="164"/>
      <c r="S131" s="150"/>
      <c r="T131" s="153"/>
      <c r="U131" s="149"/>
      <c r="V131" s="154"/>
      <c r="W131" s="155"/>
      <c r="X131" s="156"/>
      <c r="Y131" s="157"/>
      <c r="Z131" s="157"/>
      <c r="AA131" s="158"/>
      <c r="AB131" s="104"/>
      <c r="AC131" s="154"/>
      <c r="AD131" s="154"/>
      <c r="AE131" s="155"/>
      <c r="AF131" s="104"/>
      <c r="AG131" s="154"/>
      <c r="AH131" s="154"/>
      <c r="AI131" s="155"/>
      <c r="AJ131" s="104"/>
      <c r="AK131" s="154"/>
      <c r="AL131" s="154"/>
      <c r="AM131" s="155"/>
      <c r="AN131" s="104"/>
      <c r="AO131" s="154"/>
      <c r="AP131" s="154"/>
      <c r="AQ131" s="155"/>
      <c r="AR131" s="104"/>
      <c r="AS131" s="154"/>
      <c r="AT131" s="154"/>
      <c r="AU131" s="155"/>
      <c r="AV131" s="104"/>
      <c r="AW131" s="154"/>
      <c r="AX131" s="154"/>
      <c r="AY131" s="155"/>
      <c r="BA131" s="160" t="s">
        <v>403</v>
      </c>
      <c r="BB131" s="161">
        <v>100000</v>
      </c>
    </row>
    <row r="132" spans="1:54" x14ac:dyDescent="0.5">
      <c r="A132" s="104"/>
      <c r="B132" s="162" t="s">
        <v>405</v>
      </c>
      <c r="C132" s="144">
        <v>10</v>
      </c>
      <c r="F132" s="178"/>
      <c r="G132" s="179"/>
      <c r="H132" s="180"/>
      <c r="I132" s="149"/>
      <c r="J132" s="164"/>
      <c r="K132" s="165"/>
      <c r="L132" s="151"/>
      <c r="M132" s="152"/>
      <c r="N132" s="149"/>
      <c r="O132" s="150"/>
      <c r="P132" s="153"/>
      <c r="Q132" s="149"/>
      <c r="R132" s="149"/>
      <c r="S132" s="150"/>
      <c r="T132" s="153"/>
      <c r="U132" s="149"/>
      <c r="V132" s="154"/>
      <c r="W132" s="155"/>
      <c r="X132" s="156"/>
      <c r="Y132" s="157"/>
      <c r="Z132" s="157"/>
      <c r="AA132" s="158"/>
      <c r="AB132" s="104"/>
      <c r="AC132" s="154"/>
      <c r="AD132" s="154"/>
      <c r="AE132" s="155"/>
      <c r="AF132" s="104"/>
      <c r="AG132" s="154"/>
      <c r="AH132" s="154"/>
      <c r="AI132" s="155"/>
      <c r="AJ132" s="104"/>
      <c r="AK132" s="154"/>
      <c r="AL132" s="154"/>
      <c r="AM132" s="155"/>
      <c r="AN132" s="104"/>
      <c r="AO132" s="154"/>
      <c r="AP132" s="154"/>
      <c r="AQ132" s="155"/>
      <c r="AR132" s="104"/>
      <c r="AS132" s="154"/>
      <c r="AT132" s="154"/>
      <c r="AU132" s="155"/>
      <c r="AV132" s="104"/>
      <c r="AW132" s="154"/>
      <c r="AX132" s="154"/>
      <c r="AY132" s="155"/>
      <c r="BA132" s="160" t="s">
        <v>406</v>
      </c>
      <c r="BB132" s="161">
        <v>10000</v>
      </c>
    </row>
    <row r="133" spans="1:54" x14ac:dyDescent="0.5">
      <c r="A133" s="271"/>
      <c r="B133" s="272" t="s">
        <v>407</v>
      </c>
      <c r="C133" s="273"/>
      <c r="D133" s="271"/>
      <c r="E133" s="274"/>
      <c r="F133" s="274"/>
      <c r="G133" s="275"/>
      <c r="H133" s="276"/>
      <c r="I133" s="277"/>
      <c r="J133" s="277"/>
      <c r="K133" s="278"/>
      <c r="L133" s="279"/>
      <c r="M133" s="272"/>
      <c r="N133" s="277"/>
      <c r="O133" s="278"/>
      <c r="P133" s="276"/>
      <c r="Q133" s="277"/>
      <c r="R133" s="277"/>
      <c r="S133" s="278"/>
      <c r="T133" s="276"/>
      <c r="U133" s="277"/>
      <c r="V133" s="274"/>
      <c r="W133" s="275"/>
      <c r="X133" s="280"/>
      <c r="Y133" s="281"/>
      <c r="Z133" s="281"/>
      <c r="AA133" s="282"/>
      <c r="AB133" s="271"/>
      <c r="AC133" s="274"/>
      <c r="AD133" s="274"/>
      <c r="AE133" s="275"/>
      <c r="AF133" s="271"/>
      <c r="AG133" s="274"/>
      <c r="AH133" s="274"/>
      <c r="AI133" s="275"/>
      <c r="AJ133" s="271"/>
      <c r="AK133" s="274"/>
      <c r="AL133" s="274"/>
      <c r="AM133" s="275"/>
      <c r="AN133" s="271"/>
      <c r="AO133" s="274"/>
      <c r="AP133" s="274"/>
      <c r="AQ133" s="275"/>
      <c r="AR133" s="271"/>
      <c r="AS133" s="274"/>
      <c r="AT133" s="274"/>
      <c r="AU133" s="275"/>
      <c r="AV133" s="271"/>
      <c r="AW133" s="274"/>
      <c r="AX133" s="274"/>
      <c r="AY133" s="275"/>
      <c r="BA133" s="283"/>
      <c r="BB133" s="284"/>
    </row>
    <row r="134" spans="1:54" x14ac:dyDescent="0.5">
      <c r="A134" s="104"/>
      <c r="B134" s="263" t="s">
        <v>408</v>
      </c>
      <c r="C134" s="144"/>
      <c r="F134" s="178"/>
      <c r="G134" s="179"/>
      <c r="H134" s="148"/>
      <c r="I134" s="149"/>
      <c r="J134" s="149"/>
      <c r="K134" s="150"/>
      <c r="L134" s="151"/>
      <c r="M134" s="152"/>
      <c r="N134" s="149"/>
      <c r="O134" s="150"/>
      <c r="P134" s="153"/>
      <c r="Q134" s="149"/>
      <c r="R134" s="149"/>
      <c r="S134" s="150"/>
      <c r="T134" s="153"/>
      <c r="U134" s="149"/>
      <c r="V134" s="154"/>
      <c r="W134" s="155"/>
      <c r="X134" s="156"/>
      <c r="Y134" s="157"/>
      <c r="Z134" s="157"/>
      <c r="AA134" s="158"/>
      <c r="AB134" s="104"/>
      <c r="AC134" s="154"/>
      <c r="AD134" s="154"/>
      <c r="AE134" s="155"/>
      <c r="AF134" s="104"/>
      <c r="AG134" s="154"/>
      <c r="AH134" s="154"/>
      <c r="AI134" s="155"/>
      <c r="AJ134" s="104"/>
      <c r="AK134" s="154"/>
      <c r="AL134" s="154"/>
      <c r="AM134" s="155"/>
      <c r="AN134" s="104"/>
      <c r="AO134" s="154"/>
      <c r="AP134" s="154"/>
      <c r="AQ134" s="155"/>
      <c r="AR134" s="104"/>
      <c r="AS134" s="154"/>
      <c r="AT134" s="154"/>
      <c r="AU134" s="155"/>
      <c r="AV134" s="104"/>
      <c r="AW134" s="154"/>
      <c r="AX134" s="154"/>
      <c r="AY134" s="155"/>
      <c r="BA134" s="160"/>
      <c r="BB134" s="161"/>
    </row>
    <row r="135" spans="1:54" x14ac:dyDescent="0.5">
      <c r="A135" s="104"/>
      <c r="B135" s="162" t="s">
        <v>409</v>
      </c>
      <c r="C135" s="144"/>
      <c r="F135" s="178"/>
      <c r="G135" s="179"/>
      <c r="H135" s="148"/>
      <c r="I135" s="149"/>
      <c r="J135" s="149"/>
      <c r="K135" s="150"/>
      <c r="L135" s="151"/>
      <c r="M135" s="152"/>
      <c r="N135" s="149"/>
      <c r="O135" s="150"/>
      <c r="P135" s="153"/>
      <c r="Q135" s="149"/>
      <c r="R135" s="149"/>
      <c r="S135" s="150"/>
      <c r="T135" s="153"/>
      <c r="U135" s="149"/>
      <c r="V135" s="154"/>
      <c r="W135" s="155"/>
      <c r="X135" s="156"/>
      <c r="Y135" s="157"/>
      <c r="Z135" s="157"/>
      <c r="AA135" s="158"/>
      <c r="AB135" s="104"/>
      <c r="AC135" s="154"/>
      <c r="AD135" s="154"/>
      <c r="AE135" s="155"/>
      <c r="AF135" s="104"/>
      <c r="AG135" s="154"/>
      <c r="AH135" s="154"/>
      <c r="AI135" s="155"/>
      <c r="AJ135" s="104"/>
      <c r="AK135" s="154"/>
      <c r="AL135" s="154"/>
      <c r="AM135" s="155"/>
      <c r="AN135" s="104"/>
      <c r="AO135" s="154"/>
      <c r="AP135" s="154"/>
      <c r="AQ135" s="155"/>
      <c r="AR135" s="104"/>
      <c r="AS135" s="154"/>
      <c r="AT135" s="154"/>
      <c r="AU135" s="155"/>
      <c r="AV135" s="104"/>
      <c r="AW135" s="154"/>
      <c r="AX135" s="154"/>
      <c r="AY135" s="155"/>
      <c r="BA135" s="160" t="s">
        <v>410</v>
      </c>
      <c r="BB135" s="161">
        <v>40000</v>
      </c>
    </row>
    <row r="136" spans="1:54" x14ac:dyDescent="0.5">
      <c r="A136" s="104"/>
      <c r="B136" s="162" t="s">
        <v>411</v>
      </c>
      <c r="C136" s="144"/>
      <c r="F136" s="178"/>
      <c r="G136" s="179"/>
      <c r="H136" s="148"/>
      <c r="I136" s="149"/>
      <c r="J136" s="149"/>
      <c r="K136" s="150"/>
      <c r="L136" s="151"/>
      <c r="M136" s="152"/>
      <c r="N136" s="149"/>
      <c r="O136" s="150"/>
      <c r="P136" s="153"/>
      <c r="Q136" s="149"/>
      <c r="R136" s="149"/>
      <c r="S136" s="150"/>
      <c r="T136" s="153"/>
      <c r="U136" s="149"/>
      <c r="V136" s="154"/>
      <c r="W136" s="155"/>
      <c r="X136" s="156"/>
      <c r="Y136" s="157"/>
      <c r="Z136" s="157"/>
      <c r="AA136" s="158"/>
      <c r="AB136" s="104"/>
      <c r="AC136" s="154"/>
      <c r="AD136" s="154"/>
      <c r="AE136" s="155"/>
      <c r="AF136" s="104"/>
      <c r="AG136" s="154"/>
      <c r="AH136" s="154"/>
      <c r="AI136" s="155"/>
      <c r="AJ136" s="104"/>
      <c r="AK136" s="154"/>
      <c r="AL136" s="154"/>
      <c r="AM136" s="155"/>
      <c r="AN136" s="104"/>
      <c r="AO136" s="154"/>
      <c r="AP136" s="154"/>
      <c r="AQ136" s="155"/>
      <c r="AR136" s="104"/>
      <c r="AS136" s="154"/>
      <c r="AT136" s="154"/>
      <c r="AU136" s="155"/>
      <c r="AV136" s="104"/>
      <c r="AW136" s="154"/>
      <c r="AX136" s="154"/>
      <c r="AY136" s="155"/>
      <c r="BA136" s="160" t="s">
        <v>410</v>
      </c>
      <c r="BB136" s="161">
        <v>3000</v>
      </c>
    </row>
    <row r="137" spans="1:54" x14ac:dyDescent="0.5">
      <c r="A137" s="104"/>
      <c r="B137" s="162" t="s">
        <v>412</v>
      </c>
      <c r="C137" s="144"/>
      <c r="F137" s="178"/>
      <c r="G137" s="179"/>
      <c r="H137" s="148"/>
      <c r="I137" s="149"/>
      <c r="J137" s="149"/>
      <c r="K137" s="150"/>
      <c r="L137" s="151"/>
      <c r="M137" s="152"/>
      <c r="N137" s="149"/>
      <c r="O137" s="150"/>
      <c r="P137" s="153"/>
      <c r="Q137" s="149"/>
      <c r="R137" s="149"/>
      <c r="S137" s="150"/>
      <c r="T137" s="153"/>
      <c r="U137" s="149"/>
      <c r="V137" s="154"/>
      <c r="W137" s="155"/>
      <c r="X137" s="156"/>
      <c r="Y137" s="157"/>
      <c r="Z137" s="157"/>
      <c r="AA137" s="158"/>
      <c r="AB137" s="104"/>
      <c r="AC137" s="154"/>
      <c r="AD137" s="154"/>
      <c r="AE137" s="155"/>
      <c r="AF137" s="104"/>
      <c r="AG137" s="154"/>
      <c r="AH137" s="154"/>
      <c r="AI137" s="155"/>
      <c r="AJ137" s="104"/>
      <c r="AK137" s="154"/>
      <c r="AL137" s="154"/>
      <c r="AM137" s="155"/>
      <c r="AN137" s="104"/>
      <c r="AO137" s="154"/>
      <c r="AP137" s="154"/>
      <c r="AQ137" s="155"/>
      <c r="AR137" s="104"/>
      <c r="AS137" s="154"/>
      <c r="AT137" s="154"/>
      <c r="AU137" s="155"/>
      <c r="AV137" s="104"/>
      <c r="AW137" s="154"/>
      <c r="AX137" s="154"/>
      <c r="AY137" s="155"/>
      <c r="BA137" s="160" t="s">
        <v>410</v>
      </c>
      <c r="BB137" s="161">
        <v>1000</v>
      </c>
    </row>
    <row r="138" spans="1:54" x14ac:dyDescent="0.5">
      <c r="A138" s="104"/>
      <c r="B138" s="263" t="s">
        <v>413</v>
      </c>
      <c r="C138" s="144"/>
      <c r="F138" s="178"/>
      <c r="G138" s="179"/>
      <c r="H138" s="148"/>
      <c r="I138" s="149"/>
      <c r="J138" s="149"/>
      <c r="K138" s="150"/>
      <c r="L138" s="151"/>
      <c r="M138" s="152"/>
      <c r="N138" s="149"/>
      <c r="O138" s="150"/>
      <c r="P138" s="153"/>
      <c r="Q138" s="149"/>
      <c r="R138" s="149"/>
      <c r="S138" s="150"/>
      <c r="T138" s="153"/>
      <c r="U138" s="149"/>
      <c r="V138" s="154"/>
      <c r="W138" s="155"/>
      <c r="X138" s="156"/>
      <c r="Y138" s="157"/>
      <c r="Z138" s="157"/>
      <c r="AA138" s="158"/>
      <c r="AB138" s="104"/>
      <c r="AC138" s="154"/>
      <c r="AD138" s="154"/>
      <c r="AE138" s="155"/>
      <c r="AF138" s="104"/>
      <c r="AG138" s="154"/>
      <c r="AH138" s="154"/>
      <c r="AI138" s="155"/>
      <c r="AJ138" s="104"/>
      <c r="AK138" s="154"/>
      <c r="AL138" s="154"/>
      <c r="AM138" s="155"/>
      <c r="AN138" s="104"/>
      <c r="AO138" s="154"/>
      <c r="AP138" s="154"/>
      <c r="AQ138" s="155"/>
      <c r="AR138" s="104"/>
      <c r="AS138" s="154"/>
      <c r="AT138" s="154"/>
      <c r="AU138" s="155"/>
      <c r="AV138" s="104"/>
      <c r="AW138" s="154"/>
      <c r="AX138" s="154"/>
      <c r="AY138" s="155"/>
      <c r="BA138" s="160" t="s">
        <v>414</v>
      </c>
      <c r="BB138" s="161">
        <v>70000</v>
      </c>
    </row>
    <row r="139" spans="1:54" x14ac:dyDescent="0.5">
      <c r="A139" s="104"/>
      <c r="B139" s="162" t="s">
        <v>415</v>
      </c>
      <c r="C139" s="144"/>
      <c r="F139" s="178"/>
      <c r="G139" s="179"/>
      <c r="H139" s="148"/>
      <c r="I139" s="149"/>
      <c r="J139" s="149"/>
      <c r="K139" s="150"/>
      <c r="L139" s="151"/>
      <c r="M139" s="152"/>
      <c r="N139" s="149"/>
      <c r="O139" s="150"/>
      <c r="P139" s="153"/>
      <c r="Q139" s="149"/>
      <c r="R139" s="149"/>
      <c r="S139" s="150"/>
      <c r="T139" s="153"/>
      <c r="U139" s="149"/>
      <c r="V139" s="154"/>
      <c r="W139" s="155"/>
      <c r="X139" s="156"/>
      <c r="Y139" s="157"/>
      <c r="Z139" s="157"/>
      <c r="AA139" s="158"/>
      <c r="AB139" s="104"/>
      <c r="AC139" s="154"/>
      <c r="AD139" s="154"/>
      <c r="AE139" s="155"/>
      <c r="AF139" s="104"/>
      <c r="AG139" s="154"/>
      <c r="AH139" s="154"/>
      <c r="AI139" s="155"/>
      <c r="AJ139" s="104"/>
      <c r="AK139" s="154"/>
      <c r="AL139" s="154"/>
      <c r="AM139" s="155"/>
      <c r="AN139" s="104"/>
      <c r="AO139" s="154"/>
      <c r="AP139" s="154"/>
      <c r="AQ139" s="155"/>
      <c r="AR139" s="104"/>
      <c r="AS139" s="154"/>
      <c r="AT139" s="154"/>
      <c r="AU139" s="155"/>
      <c r="AV139" s="104"/>
      <c r="AW139" s="154"/>
      <c r="AX139" s="154"/>
      <c r="AY139" s="155"/>
      <c r="BA139" s="160" t="s">
        <v>414</v>
      </c>
      <c r="BB139" s="161">
        <v>30000</v>
      </c>
    </row>
    <row r="140" spans="1:54" x14ac:dyDescent="0.5">
      <c r="A140" s="104"/>
      <c r="B140" s="285" t="s">
        <v>416</v>
      </c>
      <c r="C140" s="144"/>
      <c r="D140" s="145"/>
      <c r="E140" s="146"/>
      <c r="F140" s="178"/>
      <c r="G140" s="179"/>
      <c r="H140" s="148"/>
      <c r="I140" s="149"/>
      <c r="J140" s="149"/>
      <c r="K140" s="150"/>
      <c r="L140" s="151"/>
      <c r="M140" s="152"/>
      <c r="N140" s="149"/>
      <c r="O140" s="150"/>
      <c r="P140" s="153"/>
      <c r="Q140" s="149"/>
      <c r="R140" s="149"/>
      <c r="S140" s="150"/>
      <c r="T140" s="153"/>
      <c r="U140" s="149"/>
      <c r="V140" s="154"/>
      <c r="W140" s="155"/>
      <c r="X140" s="156"/>
      <c r="Y140" s="157"/>
      <c r="Z140" s="157"/>
      <c r="AA140" s="158"/>
      <c r="AB140" s="104"/>
      <c r="AC140" s="154"/>
      <c r="AD140" s="154"/>
      <c r="AE140" s="155"/>
      <c r="AF140" s="104"/>
      <c r="AG140" s="154"/>
      <c r="AH140" s="154"/>
      <c r="AI140" s="155"/>
      <c r="AJ140" s="104"/>
      <c r="AK140" s="154"/>
      <c r="AL140" s="154"/>
      <c r="AM140" s="155"/>
      <c r="AN140" s="104"/>
      <c r="AO140" s="154"/>
      <c r="AP140" s="154"/>
      <c r="AQ140" s="155"/>
      <c r="AR140" s="104"/>
      <c r="AS140" s="154"/>
      <c r="AT140" s="154"/>
      <c r="AU140" s="155"/>
      <c r="AV140" s="104"/>
      <c r="AW140" s="154"/>
      <c r="AX140" s="154"/>
      <c r="AY140" s="155"/>
      <c r="BA140" s="160"/>
      <c r="BB140" s="161"/>
    </row>
    <row r="141" spans="1:54" x14ac:dyDescent="0.5">
      <c r="A141" s="104"/>
      <c r="B141" s="286" t="s">
        <v>417</v>
      </c>
      <c r="C141" s="144">
        <v>10</v>
      </c>
      <c r="F141" s="178"/>
      <c r="G141" s="179"/>
      <c r="H141" s="148"/>
      <c r="I141" s="149"/>
      <c r="J141" s="149"/>
      <c r="K141" s="150"/>
      <c r="L141" s="151"/>
      <c r="M141" s="152"/>
      <c r="N141" s="149"/>
      <c r="O141" s="150"/>
      <c r="P141" s="153"/>
      <c r="Q141" s="149"/>
      <c r="R141" s="149"/>
      <c r="S141" s="150"/>
      <c r="T141" s="163"/>
      <c r="U141" s="164"/>
      <c r="V141" s="154"/>
      <c r="W141" s="155"/>
      <c r="X141" s="156"/>
      <c r="Y141" s="157"/>
      <c r="Z141" s="157"/>
      <c r="AA141" s="158"/>
      <c r="AB141" s="104"/>
      <c r="AC141" s="154"/>
      <c r="AD141" s="154"/>
      <c r="AE141" s="155"/>
      <c r="AF141" s="104"/>
      <c r="AG141" s="154"/>
      <c r="AH141" s="154"/>
      <c r="AI141" s="155"/>
      <c r="AJ141" s="104"/>
      <c r="AK141" s="154"/>
      <c r="AL141" s="154"/>
      <c r="AM141" s="155"/>
      <c r="AN141" s="104"/>
      <c r="AO141" s="154"/>
      <c r="AP141" s="154"/>
      <c r="AQ141" s="155"/>
      <c r="AR141" s="104"/>
      <c r="AS141" s="154"/>
      <c r="AT141" s="154"/>
      <c r="AU141" s="155"/>
      <c r="AV141" s="104"/>
      <c r="AW141" s="154"/>
      <c r="AX141" s="154"/>
      <c r="AY141" s="155"/>
      <c r="BA141" s="160"/>
      <c r="BB141" s="161">
        <v>30000</v>
      </c>
    </row>
    <row r="142" spans="1:54" ht="16.5" thickBot="1" x14ac:dyDescent="0.55000000000000004">
      <c r="A142" s="287"/>
      <c r="B142" s="288" t="s">
        <v>418</v>
      </c>
      <c r="C142" s="230"/>
      <c r="D142" s="289"/>
      <c r="E142" s="290"/>
      <c r="F142" s="290"/>
      <c r="G142" s="291"/>
      <c r="H142" s="292"/>
      <c r="I142" s="293"/>
      <c r="J142" s="293"/>
      <c r="K142" s="294"/>
      <c r="L142" s="295"/>
      <c r="M142" s="296"/>
      <c r="N142" s="293"/>
      <c r="O142" s="294"/>
      <c r="P142" s="297"/>
      <c r="Q142" s="293"/>
      <c r="R142" s="293"/>
      <c r="S142" s="294"/>
      <c r="T142" s="297"/>
      <c r="U142" s="293"/>
      <c r="V142" s="298"/>
      <c r="W142" s="299"/>
      <c r="X142" s="300"/>
      <c r="Y142" s="288"/>
      <c r="Z142" s="288"/>
      <c r="AA142" s="301"/>
      <c r="AB142" s="287"/>
      <c r="AC142" s="298"/>
      <c r="AD142" s="298"/>
      <c r="AE142" s="299"/>
      <c r="AF142" s="287"/>
      <c r="AG142" s="298"/>
      <c r="AH142" s="298"/>
      <c r="AI142" s="299"/>
      <c r="AJ142" s="287"/>
      <c r="AK142" s="298"/>
      <c r="AL142" s="298"/>
      <c r="AM142" s="299"/>
      <c r="AN142" s="287"/>
      <c r="AO142" s="298"/>
      <c r="AP142" s="298"/>
      <c r="AQ142" s="299"/>
      <c r="AR142" s="287"/>
      <c r="AS142" s="298"/>
      <c r="AT142" s="298"/>
      <c r="AU142" s="299"/>
      <c r="AV142" s="287"/>
      <c r="AW142" s="298"/>
      <c r="AX142" s="298"/>
      <c r="AY142" s="299"/>
      <c r="AZ142" s="302"/>
      <c r="BA142" s="303" t="s">
        <v>419</v>
      </c>
      <c r="BB142" s="304">
        <f>SUM(BB5:BB141)</f>
        <v>27978521</v>
      </c>
    </row>
    <row r="143" spans="1:54" ht="16.5" thickBot="1" x14ac:dyDescent="0.55000000000000004">
      <c r="A143" s="305"/>
      <c r="B143" s="306"/>
      <c r="C143" s="307"/>
      <c r="D143" s="308"/>
      <c r="E143" s="309"/>
      <c r="F143" s="309"/>
      <c r="G143" s="310"/>
      <c r="H143" s="311"/>
      <c r="I143" s="312"/>
      <c r="J143" s="312"/>
      <c r="K143" s="313"/>
      <c r="L143" s="314"/>
      <c r="M143" s="315"/>
      <c r="N143" s="312"/>
      <c r="O143" s="313"/>
      <c r="P143" s="316"/>
      <c r="Q143" s="312"/>
      <c r="R143" s="312"/>
      <c r="S143" s="313"/>
      <c r="T143" s="316"/>
      <c r="U143" s="312"/>
      <c r="V143" s="306"/>
      <c r="W143" s="317"/>
      <c r="X143" s="318"/>
      <c r="Y143" s="319"/>
      <c r="Z143" s="319"/>
      <c r="AA143" s="320"/>
      <c r="AB143" s="305"/>
      <c r="AC143" s="306"/>
      <c r="AD143" s="306"/>
      <c r="AE143" s="317"/>
      <c r="AF143" s="305"/>
      <c r="AG143" s="306"/>
      <c r="AH143" s="306"/>
      <c r="AI143" s="317"/>
      <c r="AJ143" s="305"/>
      <c r="AK143" s="306"/>
      <c r="AL143" s="306"/>
      <c r="AM143" s="317"/>
      <c r="AN143" s="305"/>
      <c r="AO143" s="306"/>
      <c r="AP143" s="306"/>
      <c r="AQ143" s="317"/>
      <c r="AR143" s="305"/>
      <c r="AS143" s="306"/>
      <c r="AT143" s="306"/>
      <c r="AU143" s="317"/>
      <c r="AV143" s="305"/>
      <c r="AW143" s="306"/>
      <c r="AX143" s="306"/>
      <c r="AY143" s="317"/>
      <c r="AZ143" s="321"/>
      <c r="BA143" s="322"/>
      <c r="BB143" s="323"/>
    </row>
    <row r="144" spans="1:54" s="324" customFormat="1" ht="54.65" customHeight="1" x14ac:dyDescent="0.5">
      <c r="C144" s="325"/>
      <c r="D144" s="326"/>
      <c r="E144" s="326"/>
      <c r="F144" s="326"/>
      <c r="G144" s="326"/>
      <c r="H144" s="327"/>
      <c r="I144" s="328"/>
      <c r="J144" s="328"/>
      <c r="K144" s="328"/>
      <c r="L144" s="329"/>
      <c r="M144" s="329"/>
      <c r="N144" s="328"/>
      <c r="O144" s="328"/>
      <c r="P144" s="328"/>
      <c r="Q144" s="328"/>
      <c r="R144" s="328"/>
      <c r="S144" s="328"/>
      <c r="T144" s="328"/>
      <c r="U144" s="328"/>
      <c r="X144" s="330"/>
      <c r="Y144" s="330"/>
      <c r="Z144" s="330"/>
      <c r="AA144" s="330"/>
      <c r="AZ144" s="331"/>
      <c r="BA144" s="332"/>
      <c r="BB144" s="333"/>
    </row>
    <row r="145" spans="3:54" s="324" customFormat="1" x14ac:dyDescent="0.5">
      <c r="C145" s="325"/>
      <c r="D145" s="326"/>
      <c r="E145" s="326"/>
      <c r="F145" s="326"/>
      <c r="G145" s="326"/>
      <c r="H145" s="327"/>
      <c r="I145" s="328"/>
      <c r="J145" s="328"/>
      <c r="K145" s="328"/>
      <c r="L145" s="329"/>
      <c r="M145" s="329"/>
      <c r="N145" s="328"/>
      <c r="O145" s="328"/>
      <c r="P145" s="328"/>
      <c r="Q145" s="328"/>
      <c r="R145" s="328"/>
      <c r="S145" s="328"/>
      <c r="T145" s="328"/>
      <c r="U145" s="328"/>
      <c r="X145" s="330"/>
      <c r="Y145" s="330"/>
      <c r="Z145" s="330"/>
      <c r="AA145" s="330"/>
      <c r="AZ145" s="331"/>
      <c r="BA145" s="332"/>
      <c r="BB145" s="333"/>
    </row>
    <row r="146" spans="3:54" s="324" customFormat="1" x14ac:dyDescent="0.5">
      <c r="C146" s="325"/>
      <c r="D146" s="326"/>
      <c r="E146" s="326"/>
      <c r="F146" s="326"/>
      <c r="G146" s="326"/>
      <c r="H146" s="327"/>
      <c r="I146" s="328"/>
      <c r="J146" s="328"/>
      <c r="K146" s="328"/>
      <c r="L146" s="329"/>
      <c r="M146" s="329"/>
      <c r="N146" s="328"/>
      <c r="O146" s="328"/>
      <c r="P146" s="328"/>
      <c r="Q146" s="328"/>
      <c r="R146" s="328"/>
      <c r="S146" s="328"/>
      <c r="T146" s="328"/>
      <c r="U146" s="328"/>
      <c r="X146" s="330"/>
      <c r="Y146" s="330"/>
      <c r="Z146" s="330"/>
      <c r="AA146" s="330"/>
      <c r="AZ146" s="331"/>
      <c r="BA146" s="332"/>
      <c r="BB146" s="333"/>
    </row>
    <row r="147" spans="3:54" s="324" customFormat="1" x14ac:dyDescent="0.5">
      <c r="C147" s="325"/>
      <c r="D147" s="326"/>
      <c r="E147" s="326"/>
      <c r="F147" s="326"/>
      <c r="G147" s="326"/>
      <c r="H147" s="327"/>
      <c r="I147" s="328"/>
      <c r="J147" s="328"/>
      <c r="K147" s="328"/>
      <c r="L147" s="329"/>
      <c r="M147" s="329"/>
      <c r="N147" s="328"/>
      <c r="O147" s="328"/>
      <c r="P147" s="328"/>
      <c r="Q147" s="328"/>
      <c r="R147" s="328"/>
      <c r="S147" s="328"/>
      <c r="T147" s="328"/>
      <c r="U147" s="328"/>
      <c r="X147" s="330"/>
      <c r="Y147" s="330"/>
      <c r="Z147" s="330"/>
      <c r="AA147" s="330"/>
      <c r="AZ147" s="331"/>
      <c r="BA147" s="332"/>
      <c r="BB147" s="334"/>
    </row>
    <row r="148" spans="3:54" s="324" customFormat="1" x14ac:dyDescent="0.5">
      <c r="C148" s="325"/>
      <c r="D148" s="326"/>
      <c r="E148" s="326"/>
      <c r="F148" s="326"/>
      <c r="G148" s="326"/>
      <c r="H148" s="327"/>
      <c r="I148" s="328"/>
      <c r="J148" s="328"/>
      <c r="K148" s="328"/>
      <c r="L148" s="329"/>
      <c r="M148" s="329"/>
      <c r="N148" s="328"/>
      <c r="O148" s="328"/>
      <c r="P148" s="328"/>
      <c r="Q148" s="328"/>
      <c r="R148" s="328"/>
      <c r="S148" s="328"/>
      <c r="T148" s="328"/>
      <c r="U148" s="328"/>
      <c r="X148" s="330"/>
      <c r="Y148" s="330"/>
      <c r="Z148" s="330"/>
      <c r="AA148" s="330"/>
      <c r="AZ148" s="331"/>
      <c r="BA148" s="332"/>
      <c r="BB148" s="334"/>
    </row>
    <row r="149" spans="3:54" s="324" customFormat="1" x14ac:dyDescent="0.5">
      <c r="C149" s="325"/>
      <c r="D149" s="326"/>
      <c r="E149" s="326"/>
      <c r="F149" s="326"/>
      <c r="G149" s="326"/>
      <c r="H149" s="327"/>
      <c r="I149" s="328"/>
      <c r="J149" s="328"/>
      <c r="K149" s="328"/>
      <c r="L149" s="329"/>
      <c r="M149" s="329"/>
      <c r="N149" s="328"/>
      <c r="O149" s="328"/>
      <c r="P149" s="328"/>
      <c r="Q149" s="328"/>
      <c r="R149" s="328"/>
      <c r="S149" s="328"/>
      <c r="T149" s="328"/>
      <c r="U149" s="328"/>
      <c r="X149" s="330"/>
      <c r="Y149" s="330"/>
      <c r="Z149" s="330"/>
      <c r="AA149" s="330"/>
      <c r="AZ149" s="331"/>
      <c r="BA149" s="332"/>
      <c r="BB149" s="334"/>
    </row>
    <row r="150" spans="3:54" s="324" customFormat="1" x14ac:dyDescent="0.5">
      <c r="C150" s="325"/>
      <c r="D150" s="326"/>
      <c r="E150" s="326"/>
      <c r="F150" s="326"/>
      <c r="G150" s="326"/>
      <c r="H150" s="327"/>
      <c r="I150" s="328"/>
      <c r="J150" s="328"/>
      <c r="K150" s="328"/>
      <c r="L150" s="329"/>
      <c r="M150" s="329"/>
      <c r="N150" s="328"/>
      <c r="O150" s="328"/>
      <c r="P150" s="328"/>
      <c r="Q150" s="328"/>
      <c r="R150" s="328"/>
      <c r="S150" s="328"/>
      <c r="T150" s="328"/>
      <c r="U150" s="328"/>
      <c r="X150" s="330"/>
      <c r="Y150" s="330"/>
      <c r="Z150" s="330"/>
      <c r="AA150" s="330"/>
      <c r="AZ150" s="331"/>
      <c r="BA150" s="332"/>
      <c r="BB150" s="334"/>
    </row>
    <row r="151" spans="3:54" s="324" customFormat="1" x14ac:dyDescent="0.5">
      <c r="C151" s="325"/>
      <c r="D151" s="326"/>
      <c r="E151" s="326"/>
      <c r="F151" s="326"/>
      <c r="G151" s="326"/>
      <c r="H151" s="327"/>
      <c r="I151" s="328"/>
      <c r="J151" s="328"/>
      <c r="K151" s="328"/>
      <c r="L151" s="329"/>
      <c r="M151" s="329"/>
      <c r="N151" s="328"/>
      <c r="O151" s="328"/>
      <c r="P151" s="328"/>
      <c r="Q151" s="328"/>
      <c r="R151" s="328"/>
      <c r="S151" s="328"/>
      <c r="T151" s="328"/>
      <c r="U151" s="328"/>
      <c r="X151" s="330"/>
      <c r="Y151" s="330"/>
      <c r="Z151" s="330"/>
      <c r="AA151" s="330"/>
      <c r="AZ151" s="331"/>
      <c r="BA151" s="332"/>
      <c r="BB151" s="334"/>
    </row>
    <row r="152" spans="3:54" s="324" customFormat="1" x14ac:dyDescent="0.5">
      <c r="C152" s="325"/>
      <c r="D152" s="326"/>
      <c r="E152" s="326"/>
      <c r="F152" s="326"/>
      <c r="G152" s="326"/>
      <c r="H152" s="327"/>
      <c r="I152" s="328"/>
      <c r="J152" s="328"/>
      <c r="K152" s="328"/>
      <c r="L152" s="329"/>
      <c r="M152" s="329"/>
      <c r="N152" s="328"/>
      <c r="O152" s="328"/>
      <c r="P152" s="328"/>
      <c r="Q152" s="328"/>
      <c r="R152" s="328"/>
      <c r="S152" s="328"/>
      <c r="T152" s="328"/>
      <c r="U152" s="328"/>
      <c r="X152" s="330"/>
      <c r="Y152" s="330"/>
      <c r="Z152" s="330"/>
      <c r="AA152" s="330"/>
      <c r="AZ152" s="331"/>
      <c r="BA152" s="332"/>
      <c r="BB152" s="334"/>
    </row>
    <row r="153" spans="3:54" s="324" customFormat="1" x14ac:dyDescent="0.5">
      <c r="C153" s="325"/>
      <c r="D153" s="326"/>
      <c r="E153" s="326"/>
      <c r="F153" s="326"/>
      <c r="G153" s="326"/>
      <c r="H153" s="327"/>
      <c r="I153" s="328"/>
      <c r="J153" s="328"/>
      <c r="K153" s="328"/>
      <c r="L153" s="329"/>
      <c r="M153" s="329"/>
      <c r="N153" s="328"/>
      <c r="O153" s="328"/>
      <c r="P153" s="328"/>
      <c r="Q153" s="328"/>
      <c r="R153" s="328"/>
      <c r="S153" s="328"/>
      <c r="T153" s="328"/>
      <c r="U153" s="328"/>
      <c r="X153" s="330"/>
      <c r="Y153" s="330"/>
      <c r="Z153" s="330"/>
      <c r="AA153" s="330"/>
      <c r="AZ153" s="331"/>
      <c r="BA153" s="332"/>
      <c r="BB153" s="334"/>
    </row>
    <row r="154" spans="3:54" s="324" customFormat="1" x14ac:dyDescent="0.5">
      <c r="C154" s="325"/>
      <c r="D154" s="326"/>
      <c r="E154" s="326"/>
      <c r="F154" s="326"/>
      <c r="G154" s="326"/>
      <c r="H154" s="327"/>
      <c r="I154" s="328"/>
      <c r="J154" s="328"/>
      <c r="K154" s="328"/>
      <c r="L154" s="329"/>
      <c r="M154" s="329"/>
      <c r="N154" s="328"/>
      <c r="O154" s="328"/>
      <c r="P154" s="328"/>
      <c r="Q154" s="328"/>
      <c r="R154" s="328"/>
      <c r="S154" s="328"/>
      <c r="T154" s="328"/>
      <c r="U154" s="328"/>
      <c r="X154" s="330"/>
      <c r="Y154" s="330"/>
      <c r="Z154" s="330"/>
      <c r="AA154" s="330"/>
      <c r="AZ154" s="331"/>
      <c r="BA154" s="332"/>
      <c r="BB154" s="334"/>
    </row>
    <row r="155" spans="3:54" s="324" customFormat="1" x14ac:dyDescent="0.5">
      <c r="C155" s="325"/>
      <c r="D155" s="326"/>
      <c r="E155" s="326"/>
      <c r="F155" s="326"/>
      <c r="G155" s="326"/>
      <c r="H155" s="327"/>
      <c r="I155" s="328"/>
      <c r="J155" s="328"/>
      <c r="K155" s="328"/>
      <c r="L155" s="329"/>
      <c r="M155" s="329"/>
      <c r="N155" s="328"/>
      <c r="O155" s="328"/>
      <c r="P155" s="328"/>
      <c r="Q155" s="328"/>
      <c r="R155" s="328"/>
      <c r="S155" s="328"/>
      <c r="T155" s="328"/>
      <c r="U155" s="328"/>
      <c r="X155" s="330"/>
      <c r="Y155" s="330"/>
      <c r="Z155" s="330"/>
      <c r="AA155" s="330"/>
      <c r="AZ155" s="331"/>
      <c r="BA155" s="332"/>
      <c r="BB155" s="334"/>
    </row>
    <row r="156" spans="3:54" s="324" customFormat="1" x14ac:dyDescent="0.5">
      <c r="C156" s="325"/>
      <c r="D156" s="326"/>
      <c r="E156" s="326"/>
      <c r="F156" s="326"/>
      <c r="G156" s="326"/>
      <c r="H156" s="327"/>
      <c r="I156" s="328"/>
      <c r="J156" s="328"/>
      <c r="K156" s="328"/>
      <c r="L156" s="329"/>
      <c r="M156" s="329"/>
      <c r="N156" s="328"/>
      <c r="O156" s="328"/>
      <c r="P156" s="328"/>
      <c r="Q156" s="328"/>
      <c r="R156" s="328"/>
      <c r="S156" s="328"/>
      <c r="T156" s="328"/>
      <c r="U156" s="328"/>
      <c r="X156" s="330"/>
      <c r="Y156" s="330"/>
      <c r="Z156" s="330"/>
      <c r="AA156" s="330"/>
      <c r="AZ156" s="331"/>
      <c r="BA156" s="332"/>
      <c r="BB156" s="334"/>
    </row>
    <row r="157" spans="3:54" s="324" customFormat="1" x14ac:dyDescent="0.5">
      <c r="C157" s="325"/>
      <c r="D157" s="326"/>
      <c r="E157" s="326"/>
      <c r="F157" s="326"/>
      <c r="G157" s="326"/>
      <c r="H157" s="327"/>
      <c r="I157" s="328"/>
      <c r="J157" s="328"/>
      <c r="K157" s="328"/>
      <c r="L157" s="329"/>
      <c r="M157" s="329"/>
      <c r="N157" s="328"/>
      <c r="O157" s="328"/>
      <c r="P157" s="328"/>
      <c r="Q157" s="328"/>
      <c r="R157" s="328"/>
      <c r="S157" s="328"/>
      <c r="T157" s="328"/>
      <c r="U157" s="328"/>
      <c r="X157" s="330"/>
      <c r="Y157" s="330"/>
      <c r="Z157" s="330"/>
      <c r="AA157" s="330"/>
      <c r="AZ157" s="331"/>
      <c r="BA157" s="332"/>
      <c r="BB157" s="334"/>
    </row>
    <row r="158" spans="3:54" s="324" customFormat="1" x14ac:dyDescent="0.5">
      <c r="C158" s="325"/>
      <c r="D158" s="326"/>
      <c r="E158" s="326"/>
      <c r="F158" s="326"/>
      <c r="G158" s="326"/>
      <c r="H158" s="327"/>
      <c r="I158" s="328"/>
      <c r="J158" s="328"/>
      <c r="K158" s="328"/>
      <c r="L158" s="329"/>
      <c r="M158" s="329"/>
      <c r="N158" s="328"/>
      <c r="O158" s="328"/>
      <c r="P158" s="328"/>
      <c r="Q158" s="328"/>
      <c r="R158" s="328"/>
      <c r="S158" s="328"/>
      <c r="T158" s="328"/>
      <c r="U158" s="328"/>
      <c r="X158" s="330"/>
      <c r="Y158" s="330"/>
      <c r="Z158" s="330"/>
      <c r="AA158" s="330"/>
      <c r="AZ158" s="331"/>
      <c r="BA158" s="332"/>
      <c r="BB158" s="334"/>
    </row>
    <row r="159" spans="3:54" s="324" customFormat="1" x14ac:dyDescent="0.5">
      <c r="C159" s="325"/>
      <c r="D159" s="326"/>
      <c r="E159" s="326"/>
      <c r="F159" s="326"/>
      <c r="G159" s="326"/>
      <c r="H159" s="327"/>
      <c r="I159" s="328"/>
      <c r="J159" s="328"/>
      <c r="K159" s="328"/>
      <c r="L159" s="329"/>
      <c r="M159" s="329"/>
      <c r="N159" s="328"/>
      <c r="O159" s="328"/>
      <c r="P159" s="328"/>
      <c r="Q159" s="328"/>
      <c r="R159" s="328"/>
      <c r="S159" s="328"/>
      <c r="T159" s="328"/>
      <c r="U159" s="328"/>
      <c r="X159" s="330"/>
      <c r="Y159" s="330"/>
      <c r="Z159" s="330"/>
      <c r="AA159" s="330"/>
      <c r="AZ159" s="331"/>
      <c r="BA159" s="332"/>
      <c r="BB159" s="334"/>
    </row>
    <row r="160" spans="3:54" s="324" customFormat="1" x14ac:dyDescent="0.5">
      <c r="C160" s="325"/>
      <c r="D160" s="326"/>
      <c r="E160" s="326"/>
      <c r="F160" s="326"/>
      <c r="G160" s="326"/>
      <c r="H160" s="327"/>
      <c r="I160" s="328"/>
      <c r="J160" s="328"/>
      <c r="K160" s="328"/>
      <c r="L160" s="329"/>
      <c r="M160" s="329"/>
      <c r="N160" s="328"/>
      <c r="O160" s="328"/>
      <c r="P160" s="328"/>
      <c r="Q160" s="328"/>
      <c r="R160" s="328"/>
      <c r="S160" s="328"/>
      <c r="T160" s="328"/>
      <c r="U160" s="328"/>
      <c r="X160" s="330"/>
      <c r="Y160" s="330"/>
      <c r="Z160" s="330"/>
      <c r="AA160" s="330"/>
      <c r="AZ160" s="331"/>
      <c r="BA160" s="332"/>
      <c r="BB160" s="334"/>
    </row>
    <row r="161" spans="3:54" s="324" customFormat="1" x14ac:dyDescent="0.5">
      <c r="C161" s="325"/>
      <c r="D161" s="326"/>
      <c r="E161" s="326"/>
      <c r="F161" s="326"/>
      <c r="G161" s="326"/>
      <c r="H161" s="327"/>
      <c r="I161" s="328"/>
      <c r="J161" s="328"/>
      <c r="K161" s="328"/>
      <c r="L161" s="329"/>
      <c r="M161" s="329"/>
      <c r="N161" s="328"/>
      <c r="O161" s="328"/>
      <c r="P161" s="328"/>
      <c r="Q161" s="328"/>
      <c r="R161" s="328"/>
      <c r="S161" s="328"/>
      <c r="T161" s="328"/>
      <c r="U161" s="328"/>
      <c r="X161" s="330"/>
      <c r="Y161" s="330"/>
      <c r="Z161" s="330"/>
      <c r="AA161" s="330"/>
      <c r="AZ161" s="331"/>
      <c r="BA161" s="332"/>
      <c r="BB161" s="334"/>
    </row>
    <row r="162" spans="3:54" s="324" customFormat="1" x14ac:dyDescent="0.5">
      <c r="C162" s="325"/>
      <c r="D162" s="326"/>
      <c r="E162" s="326"/>
      <c r="F162" s="326"/>
      <c r="G162" s="326"/>
      <c r="H162" s="327"/>
      <c r="I162" s="328"/>
      <c r="J162" s="328"/>
      <c r="K162" s="328"/>
      <c r="L162" s="329"/>
      <c r="M162" s="329"/>
      <c r="N162" s="328"/>
      <c r="O162" s="328"/>
      <c r="P162" s="328"/>
      <c r="Q162" s="328"/>
      <c r="R162" s="328"/>
      <c r="S162" s="328"/>
      <c r="T162" s="328"/>
      <c r="U162" s="328"/>
      <c r="X162" s="330"/>
      <c r="Y162" s="330"/>
      <c r="Z162" s="330"/>
      <c r="AA162" s="330"/>
      <c r="AZ162" s="331"/>
      <c r="BA162" s="332"/>
      <c r="BB162" s="334"/>
    </row>
    <row r="163" spans="3:54" s="324" customFormat="1" x14ac:dyDescent="0.5">
      <c r="C163" s="325"/>
      <c r="D163" s="326"/>
      <c r="E163" s="326"/>
      <c r="F163" s="326"/>
      <c r="G163" s="326"/>
      <c r="H163" s="327"/>
      <c r="I163" s="328"/>
      <c r="J163" s="328"/>
      <c r="K163" s="328"/>
      <c r="L163" s="329"/>
      <c r="M163" s="329"/>
      <c r="N163" s="328"/>
      <c r="O163" s="328"/>
      <c r="P163" s="328"/>
      <c r="Q163" s="328"/>
      <c r="R163" s="328"/>
      <c r="S163" s="328"/>
      <c r="T163" s="328"/>
      <c r="U163" s="328"/>
      <c r="X163" s="330"/>
      <c r="Y163" s="330"/>
      <c r="Z163" s="330"/>
      <c r="AA163" s="330"/>
      <c r="AZ163" s="331"/>
      <c r="BA163" s="332"/>
      <c r="BB163" s="334"/>
    </row>
    <row r="164" spans="3:54" s="324" customFormat="1" x14ac:dyDescent="0.5">
      <c r="C164" s="325"/>
      <c r="D164" s="326"/>
      <c r="E164" s="326"/>
      <c r="F164" s="326"/>
      <c r="G164" s="326"/>
      <c r="H164" s="327"/>
      <c r="I164" s="328"/>
      <c r="J164" s="328"/>
      <c r="K164" s="328"/>
      <c r="L164" s="329"/>
      <c r="M164" s="329"/>
      <c r="N164" s="328"/>
      <c r="O164" s="328"/>
      <c r="P164" s="328"/>
      <c r="Q164" s="328"/>
      <c r="R164" s="328"/>
      <c r="S164" s="328"/>
      <c r="T164" s="328"/>
      <c r="U164" s="328"/>
      <c r="X164" s="330"/>
      <c r="Y164" s="330"/>
      <c r="Z164" s="330"/>
      <c r="AA164" s="330"/>
      <c r="AZ164" s="331"/>
      <c r="BA164" s="332"/>
      <c r="BB164" s="334"/>
    </row>
    <row r="165" spans="3:54" s="324" customFormat="1" x14ac:dyDescent="0.5">
      <c r="C165" s="325"/>
      <c r="D165" s="326"/>
      <c r="E165" s="326"/>
      <c r="F165" s="326"/>
      <c r="G165" s="326"/>
      <c r="H165" s="327"/>
      <c r="I165" s="328"/>
      <c r="J165" s="328"/>
      <c r="K165" s="328"/>
      <c r="L165" s="329"/>
      <c r="M165" s="329"/>
      <c r="N165" s="328"/>
      <c r="O165" s="328"/>
      <c r="P165" s="328"/>
      <c r="Q165" s="328"/>
      <c r="R165" s="328"/>
      <c r="S165" s="328"/>
      <c r="T165" s="328"/>
      <c r="U165" s="328"/>
      <c r="X165" s="330"/>
      <c r="Y165" s="330"/>
      <c r="Z165" s="330"/>
      <c r="AA165" s="330"/>
      <c r="AZ165" s="331"/>
      <c r="BA165" s="332"/>
      <c r="BB165" s="334"/>
    </row>
    <row r="166" spans="3:54" s="324" customFormat="1" x14ac:dyDescent="0.5">
      <c r="C166" s="325"/>
      <c r="D166" s="326"/>
      <c r="E166" s="326"/>
      <c r="F166" s="326"/>
      <c r="G166" s="326"/>
      <c r="H166" s="327"/>
      <c r="I166" s="328"/>
      <c r="J166" s="328"/>
      <c r="K166" s="328"/>
      <c r="L166" s="329"/>
      <c r="M166" s="329"/>
      <c r="N166" s="328"/>
      <c r="O166" s="328"/>
      <c r="P166" s="328"/>
      <c r="Q166" s="328"/>
      <c r="R166" s="328"/>
      <c r="S166" s="328"/>
      <c r="T166" s="328"/>
      <c r="U166" s="328"/>
      <c r="X166" s="330"/>
      <c r="Y166" s="330"/>
      <c r="Z166" s="330"/>
      <c r="AA166" s="330"/>
      <c r="AZ166" s="331"/>
      <c r="BA166" s="332"/>
      <c r="BB166" s="334"/>
    </row>
    <row r="167" spans="3:54" s="324" customFormat="1" x14ac:dyDescent="0.5">
      <c r="C167" s="325"/>
      <c r="D167" s="326"/>
      <c r="E167" s="326"/>
      <c r="F167" s="326"/>
      <c r="G167" s="326"/>
      <c r="H167" s="327"/>
      <c r="I167" s="328"/>
      <c r="J167" s="328"/>
      <c r="K167" s="328"/>
      <c r="L167" s="329"/>
      <c r="M167" s="329"/>
      <c r="N167" s="328"/>
      <c r="O167" s="328"/>
      <c r="P167" s="328"/>
      <c r="Q167" s="328"/>
      <c r="R167" s="328"/>
      <c r="S167" s="328"/>
      <c r="T167" s="328"/>
      <c r="U167" s="328"/>
      <c r="X167" s="330"/>
      <c r="Y167" s="330"/>
      <c r="Z167" s="330"/>
      <c r="AA167" s="330"/>
      <c r="AZ167" s="331"/>
      <c r="BA167" s="332"/>
      <c r="BB167" s="334"/>
    </row>
    <row r="168" spans="3:54" s="324" customFormat="1" x14ac:dyDescent="0.5">
      <c r="C168" s="325"/>
      <c r="D168" s="326"/>
      <c r="E168" s="326"/>
      <c r="F168" s="326"/>
      <c r="G168" s="326"/>
      <c r="H168" s="327"/>
      <c r="I168" s="328"/>
      <c r="J168" s="328"/>
      <c r="K168" s="328"/>
      <c r="L168" s="329"/>
      <c r="M168" s="329"/>
      <c r="N168" s="328"/>
      <c r="O168" s="328"/>
      <c r="P168" s="328"/>
      <c r="Q168" s="328"/>
      <c r="R168" s="328"/>
      <c r="S168" s="328"/>
      <c r="T168" s="328"/>
      <c r="U168" s="328"/>
      <c r="X168" s="330"/>
      <c r="Y168" s="330"/>
      <c r="Z168" s="330"/>
      <c r="AA168" s="330"/>
      <c r="AZ168" s="331"/>
      <c r="BA168" s="332"/>
      <c r="BB168" s="334"/>
    </row>
    <row r="169" spans="3:54" s="324" customFormat="1" x14ac:dyDescent="0.5">
      <c r="C169" s="325"/>
      <c r="D169" s="326"/>
      <c r="E169" s="326"/>
      <c r="F169" s="326"/>
      <c r="G169" s="326"/>
      <c r="H169" s="327"/>
      <c r="I169" s="328"/>
      <c r="J169" s="328"/>
      <c r="K169" s="328"/>
      <c r="L169" s="329"/>
      <c r="M169" s="329"/>
      <c r="N169" s="328"/>
      <c r="O169" s="328"/>
      <c r="P169" s="328"/>
      <c r="Q169" s="328"/>
      <c r="R169" s="328"/>
      <c r="S169" s="328"/>
      <c r="T169" s="328"/>
      <c r="U169" s="328"/>
      <c r="X169" s="330"/>
      <c r="Y169" s="330"/>
      <c r="Z169" s="330"/>
      <c r="AA169" s="330"/>
      <c r="AZ169" s="331"/>
      <c r="BA169" s="332"/>
      <c r="BB169" s="334"/>
    </row>
    <row r="170" spans="3:54" s="324" customFormat="1" x14ac:dyDescent="0.5">
      <c r="C170" s="325"/>
      <c r="D170" s="326"/>
      <c r="E170" s="326"/>
      <c r="F170" s="326"/>
      <c r="G170" s="326"/>
      <c r="H170" s="327"/>
      <c r="I170" s="328"/>
      <c r="J170" s="328"/>
      <c r="K170" s="328"/>
      <c r="L170" s="329"/>
      <c r="M170" s="329"/>
      <c r="N170" s="328"/>
      <c r="O170" s="328"/>
      <c r="P170" s="328"/>
      <c r="Q170" s="328"/>
      <c r="R170" s="328"/>
      <c r="S170" s="328"/>
      <c r="T170" s="328"/>
      <c r="U170" s="328"/>
      <c r="X170" s="330"/>
      <c r="Y170" s="330"/>
      <c r="Z170" s="330"/>
      <c r="AA170" s="330"/>
      <c r="AZ170" s="331"/>
      <c r="BA170" s="332"/>
      <c r="BB170" s="334"/>
    </row>
    <row r="171" spans="3:54" s="324" customFormat="1" x14ac:dyDescent="0.5">
      <c r="C171" s="325"/>
      <c r="D171" s="326"/>
      <c r="E171" s="326"/>
      <c r="F171" s="326"/>
      <c r="G171" s="326"/>
      <c r="H171" s="327"/>
      <c r="I171" s="328"/>
      <c r="J171" s="328"/>
      <c r="K171" s="328"/>
      <c r="L171" s="329"/>
      <c r="M171" s="329"/>
      <c r="N171" s="328"/>
      <c r="O171" s="328"/>
      <c r="P171" s="328"/>
      <c r="Q171" s="328"/>
      <c r="R171" s="328"/>
      <c r="S171" s="328"/>
      <c r="T171" s="328"/>
      <c r="U171" s="328"/>
      <c r="X171" s="330"/>
      <c r="Y171" s="330"/>
      <c r="Z171" s="330"/>
      <c r="AA171" s="330"/>
      <c r="AZ171" s="331"/>
      <c r="BA171" s="332"/>
      <c r="BB171" s="334"/>
    </row>
    <row r="172" spans="3:54" s="324" customFormat="1" x14ac:dyDescent="0.5">
      <c r="C172" s="325"/>
      <c r="D172" s="326"/>
      <c r="E172" s="326"/>
      <c r="F172" s="326"/>
      <c r="G172" s="326"/>
      <c r="H172" s="327"/>
      <c r="I172" s="328"/>
      <c r="J172" s="328"/>
      <c r="K172" s="328"/>
      <c r="L172" s="329"/>
      <c r="M172" s="329"/>
      <c r="N172" s="328"/>
      <c r="O172" s="328"/>
      <c r="P172" s="328"/>
      <c r="Q172" s="328"/>
      <c r="R172" s="328"/>
      <c r="S172" s="328"/>
      <c r="T172" s="328"/>
      <c r="U172" s="328"/>
      <c r="X172" s="330"/>
      <c r="Y172" s="330"/>
      <c r="Z172" s="330"/>
      <c r="AA172" s="330"/>
      <c r="AZ172" s="331"/>
      <c r="BA172" s="332"/>
      <c r="BB172" s="334"/>
    </row>
    <row r="173" spans="3:54" s="324" customFormat="1" x14ac:dyDescent="0.5">
      <c r="C173" s="325"/>
      <c r="D173" s="326"/>
      <c r="E173" s="326"/>
      <c r="F173" s="326"/>
      <c r="G173" s="326"/>
      <c r="H173" s="327"/>
      <c r="I173" s="328"/>
      <c r="J173" s="328"/>
      <c r="K173" s="328"/>
      <c r="L173" s="329"/>
      <c r="M173" s="329"/>
      <c r="N173" s="328"/>
      <c r="O173" s="328"/>
      <c r="P173" s="328"/>
      <c r="Q173" s="328"/>
      <c r="R173" s="328"/>
      <c r="S173" s="328"/>
      <c r="T173" s="328"/>
      <c r="U173" s="328"/>
      <c r="X173" s="330"/>
      <c r="Y173" s="330"/>
      <c r="Z173" s="330"/>
      <c r="AA173" s="330"/>
      <c r="AZ173" s="331"/>
      <c r="BA173" s="332"/>
      <c r="BB173" s="334"/>
    </row>
    <row r="174" spans="3:54" s="324" customFormat="1" x14ac:dyDescent="0.5">
      <c r="C174" s="325"/>
      <c r="D174" s="326"/>
      <c r="E174" s="326"/>
      <c r="F174" s="326"/>
      <c r="G174" s="326"/>
      <c r="H174" s="327"/>
      <c r="I174" s="328"/>
      <c r="J174" s="328"/>
      <c r="K174" s="328"/>
      <c r="L174" s="329"/>
      <c r="M174" s="329"/>
      <c r="N174" s="328"/>
      <c r="O174" s="328"/>
      <c r="P174" s="328"/>
      <c r="Q174" s="328"/>
      <c r="R174" s="328"/>
      <c r="S174" s="328"/>
      <c r="T174" s="328"/>
      <c r="U174" s="328"/>
      <c r="X174" s="330"/>
      <c r="Y174" s="330"/>
      <c r="Z174" s="330"/>
      <c r="AA174" s="330"/>
      <c r="AZ174" s="331"/>
      <c r="BA174" s="332"/>
      <c r="BB174" s="334"/>
    </row>
    <row r="175" spans="3:54" s="324" customFormat="1" x14ac:dyDescent="0.5">
      <c r="C175" s="325"/>
      <c r="D175" s="326"/>
      <c r="E175" s="326"/>
      <c r="F175" s="326"/>
      <c r="G175" s="326"/>
      <c r="H175" s="327"/>
      <c r="I175" s="328"/>
      <c r="J175" s="328"/>
      <c r="K175" s="328"/>
      <c r="L175" s="329"/>
      <c r="M175" s="329"/>
      <c r="N175" s="328"/>
      <c r="O175" s="328"/>
      <c r="P175" s="328"/>
      <c r="Q175" s="328"/>
      <c r="R175" s="328"/>
      <c r="S175" s="328"/>
      <c r="T175" s="328"/>
      <c r="U175" s="328"/>
      <c r="X175" s="330"/>
      <c r="Y175" s="330"/>
      <c r="Z175" s="330"/>
      <c r="AA175" s="330"/>
      <c r="AZ175" s="331"/>
      <c r="BA175" s="332"/>
      <c r="BB175" s="334"/>
    </row>
    <row r="176" spans="3:54" s="324" customFormat="1" x14ac:dyDescent="0.5">
      <c r="C176" s="325"/>
      <c r="D176" s="326"/>
      <c r="E176" s="326"/>
      <c r="F176" s="326"/>
      <c r="G176" s="326"/>
      <c r="H176" s="327"/>
      <c r="I176" s="328"/>
      <c r="J176" s="328"/>
      <c r="K176" s="328"/>
      <c r="L176" s="329"/>
      <c r="M176" s="329"/>
      <c r="N176" s="328"/>
      <c r="O176" s="328"/>
      <c r="P176" s="328"/>
      <c r="Q176" s="328"/>
      <c r="R176" s="328"/>
      <c r="S176" s="328"/>
      <c r="T176" s="328"/>
      <c r="U176" s="328"/>
      <c r="X176" s="330"/>
      <c r="Y176" s="330"/>
      <c r="Z176" s="330"/>
      <c r="AA176" s="330"/>
      <c r="AZ176" s="331"/>
      <c r="BA176" s="332"/>
      <c r="BB176" s="334"/>
    </row>
    <row r="177" spans="3:54" s="324" customFormat="1" x14ac:dyDescent="0.5">
      <c r="C177" s="325"/>
      <c r="D177" s="326"/>
      <c r="E177" s="326"/>
      <c r="F177" s="326"/>
      <c r="G177" s="326"/>
      <c r="H177" s="327"/>
      <c r="I177" s="328"/>
      <c r="J177" s="328"/>
      <c r="K177" s="328"/>
      <c r="L177" s="329"/>
      <c r="M177" s="329"/>
      <c r="N177" s="328"/>
      <c r="O177" s="328"/>
      <c r="P177" s="328"/>
      <c r="Q177" s="328"/>
      <c r="R177" s="328"/>
      <c r="S177" s="328"/>
      <c r="T177" s="328"/>
      <c r="U177" s="328"/>
      <c r="X177" s="330"/>
      <c r="Y177" s="330"/>
      <c r="Z177" s="330"/>
      <c r="AA177" s="330"/>
      <c r="AZ177" s="331"/>
      <c r="BA177" s="332"/>
      <c r="BB177" s="334"/>
    </row>
    <row r="178" spans="3:54" s="324" customFormat="1" x14ac:dyDescent="0.5">
      <c r="C178" s="325"/>
      <c r="D178" s="326"/>
      <c r="E178" s="326"/>
      <c r="F178" s="326"/>
      <c r="G178" s="326"/>
      <c r="H178" s="327"/>
      <c r="I178" s="328"/>
      <c r="J178" s="328"/>
      <c r="K178" s="328"/>
      <c r="L178" s="329"/>
      <c r="M178" s="329"/>
      <c r="N178" s="328"/>
      <c r="O178" s="328"/>
      <c r="P178" s="328"/>
      <c r="Q178" s="328"/>
      <c r="R178" s="328"/>
      <c r="S178" s="328"/>
      <c r="T178" s="328"/>
      <c r="U178" s="328"/>
      <c r="X178" s="330"/>
      <c r="Y178" s="330"/>
      <c r="Z178" s="330"/>
      <c r="AA178" s="330"/>
      <c r="AZ178" s="331"/>
      <c r="BA178" s="332"/>
      <c r="BB178" s="334"/>
    </row>
    <row r="179" spans="3:54" s="324" customFormat="1" x14ac:dyDescent="0.5">
      <c r="C179" s="325"/>
      <c r="D179" s="326"/>
      <c r="E179" s="326"/>
      <c r="F179" s="326"/>
      <c r="G179" s="326"/>
      <c r="H179" s="327"/>
      <c r="I179" s="328"/>
      <c r="J179" s="328"/>
      <c r="K179" s="328"/>
      <c r="L179" s="329"/>
      <c r="M179" s="329"/>
      <c r="N179" s="328"/>
      <c r="O179" s="328"/>
      <c r="P179" s="328"/>
      <c r="Q179" s="328"/>
      <c r="R179" s="328"/>
      <c r="S179" s="328"/>
      <c r="T179" s="328"/>
      <c r="U179" s="328"/>
      <c r="X179" s="330"/>
      <c r="Y179" s="330"/>
      <c r="Z179" s="330"/>
      <c r="AA179" s="330"/>
      <c r="AZ179" s="331"/>
      <c r="BA179" s="332"/>
      <c r="BB179" s="334"/>
    </row>
    <row r="180" spans="3:54" s="324" customFormat="1" x14ac:dyDescent="0.5">
      <c r="C180" s="325"/>
      <c r="D180" s="326"/>
      <c r="E180" s="326"/>
      <c r="F180" s="326"/>
      <c r="G180" s="326"/>
      <c r="H180" s="327"/>
      <c r="I180" s="328"/>
      <c r="J180" s="328"/>
      <c r="K180" s="328"/>
      <c r="L180" s="329"/>
      <c r="M180" s="329"/>
      <c r="N180" s="328"/>
      <c r="O180" s="328"/>
      <c r="P180" s="328"/>
      <c r="Q180" s="328"/>
      <c r="R180" s="328"/>
      <c r="S180" s="328"/>
      <c r="T180" s="328"/>
      <c r="U180" s="328"/>
      <c r="X180" s="330"/>
      <c r="Y180" s="330"/>
      <c r="Z180" s="330"/>
      <c r="AA180" s="330"/>
      <c r="AZ180" s="331"/>
      <c r="BA180" s="332"/>
      <c r="BB180" s="334"/>
    </row>
    <row r="181" spans="3:54" s="324" customFormat="1" x14ac:dyDescent="0.5">
      <c r="C181" s="325"/>
      <c r="D181" s="326"/>
      <c r="E181" s="326"/>
      <c r="F181" s="326"/>
      <c r="G181" s="326"/>
      <c r="H181" s="327"/>
      <c r="I181" s="328"/>
      <c r="J181" s="328"/>
      <c r="K181" s="328"/>
      <c r="L181" s="329"/>
      <c r="M181" s="329"/>
      <c r="N181" s="328"/>
      <c r="O181" s="328"/>
      <c r="P181" s="328"/>
      <c r="Q181" s="328"/>
      <c r="R181" s="328"/>
      <c r="S181" s="328"/>
      <c r="T181" s="328"/>
      <c r="U181" s="328"/>
      <c r="X181" s="330"/>
      <c r="Y181" s="330"/>
      <c r="Z181" s="330"/>
      <c r="AA181" s="330"/>
      <c r="AZ181" s="331"/>
      <c r="BA181" s="332"/>
      <c r="BB181" s="334"/>
    </row>
    <row r="182" spans="3:54" s="324" customFormat="1" x14ac:dyDescent="0.5">
      <c r="C182" s="325"/>
      <c r="D182" s="326"/>
      <c r="E182" s="326"/>
      <c r="F182" s="326"/>
      <c r="G182" s="326"/>
      <c r="H182" s="327"/>
      <c r="I182" s="328"/>
      <c r="J182" s="328"/>
      <c r="K182" s="328"/>
      <c r="L182" s="329"/>
      <c r="M182" s="329"/>
      <c r="N182" s="328"/>
      <c r="O182" s="328"/>
      <c r="P182" s="328"/>
      <c r="Q182" s="328"/>
      <c r="R182" s="328"/>
      <c r="S182" s="328"/>
      <c r="T182" s="328"/>
      <c r="U182" s="328"/>
      <c r="X182" s="330"/>
      <c r="Y182" s="330"/>
      <c r="Z182" s="330"/>
      <c r="AA182" s="330"/>
      <c r="AZ182" s="331"/>
      <c r="BA182" s="332"/>
      <c r="BB182" s="334"/>
    </row>
    <row r="183" spans="3:54" s="324" customFormat="1" x14ac:dyDescent="0.5">
      <c r="C183" s="325"/>
      <c r="D183" s="326"/>
      <c r="E183" s="326"/>
      <c r="F183" s="326"/>
      <c r="G183" s="326"/>
      <c r="H183" s="327"/>
      <c r="I183" s="328"/>
      <c r="J183" s="328"/>
      <c r="K183" s="328"/>
      <c r="L183" s="329"/>
      <c r="M183" s="329"/>
      <c r="N183" s="328"/>
      <c r="O183" s="328"/>
      <c r="P183" s="328"/>
      <c r="Q183" s="328"/>
      <c r="R183" s="328"/>
      <c r="S183" s="328"/>
      <c r="T183" s="328"/>
      <c r="U183" s="328"/>
      <c r="X183" s="330"/>
      <c r="Y183" s="330"/>
      <c r="Z183" s="330"/>
      <c r="AA183" s="330"/>
      <c r="AZ183" s="331"/>
      <c r="BA183" s="332"/>
      <c r="BB183" s="334"/>
    </row>
    <row r="184" spans="3:54" s="324" customFormat="1" x14ac:dyDescent="0.5">
      <c r="C184" s="325"/>
      <c r="D184" s="326"/>
      <c r="E184" s="326"/>
      <c r="F184" s="326"/>
      <c r="G184" s="326"/>
      <c r="H184" s="327"/>
      <c r="I184" s="328"/>
      <c r="J184" s="328"/>
      <c r="K184" s="328"/>
      <c r="L184" s="329"/>
      <c r="M184" s="329"/>
      <c r="N184" s="328"/>
      <c r="O184" s="328"/>
      <c r="P184" s="328"/>
      <c r="Q184" s="328"/>
      <c r="R184" s="328"/>
      <c r="S184" s="328"/>
      <c r="T184" s="328"/>
      <c r="U184" s="328"/>
      <c r="X184" s="330"/>
      <c r="Y184" s="330"/>
      <c r="Z184" s="330"/>
      <c r="AA184" s="330"/>
      <c r="AZ184" s="331"/>
      <c r="BA184" s="332"/>
      <c r="BB184" s="334"/>
    </row>
    <row r="185" spans="3:54" s="324" customFormat="1" x14ac:dyDescent="0.5">
      <c r="C185" s="325"/>
      <c r="D185" s="326"/>
      <c r="E185" s="326"/>
      <c r="F185" s="326"/>
      <c r="G185" s="326"/>
      <c r="H185" s="327"/>
      <c r="I185" s="328"/>
      <c r="J185" s="328"/>
      <c r="K185" s="328"/>
      <c r="L185" s="329"/>
      <c r="M185" s="329"/>
      <c r="N185" s="328"/>
      <c r="O185" s="328"/>
      <c r="P185" s="328"/>
      <c r="Q185" s="328"/>
      <c r="R185" s="328"/>
      <c r="S185" s="328"/>
      <c r="T185" s="328"/>
      <c r="U185" s="328"/>
      <c r="X185" s="330"/>
      <c r="Y185" s="330"/>
      <c r="Z185" s="330"/>
      <c r="AA185" s="330"/>
      <c r="AZ185" s="331"/>
      <c r="BA185" s="332"/>
      <c r="BB185" s="334"/>
    </row>
    <row r="186" spans="3:54" s="324" customFormat="1" x14ac:dyDescent="0.5">
      <c r="C186" s="325"/>
      <c r="D186" s="326"/>
      <c r="E186" s="326"/>
      <c r="F186" s="326"/>
      <c r="G186" s="326"/>
      <c r="H186" s="327"/>
      <c r="I186" s="328"/>
      <c r="J186" s="328"/>
      <c r="K186" s="328"/>
      <c r="L186" s="329"/>
      <c r="M186" s="329"/>
      <c r="N186" s="328"/>
      <c r="O186" s="328"/>
      <c r="P186" s="328"/>
      <c r="Q186" s="328"/>
      <c r="R186" s="328"/>
      <c r="S186" s="328"/>
      <c r="T186" s="328"/>
      <c r="U186" s="328"/>
      <c r="X186" s="330"/>
      <c r="Y186" s="330"/>
      <c r="Z186" s="330"/>
      <c r="AA186" s="330"/>
      <c r="AZ186" s="331"/>
      <c r="BA186" s="332"/>
      <c r="BB186" s="334"/>
    </row>
    <row r="187" spans="3:54" s="324" customFormat="1" x14ac:dyDescent="0.5">
      <c r="C187" s="325"/>
      <c r="D187" s="326"/>
      <c r="E187" s="326"/>
      <c r="F187" s="326"/>
      <c r="G187" s="326"/>
      <c r="H187" s="327"/>
      <c r="I187" s="328"/>
      <c r="J187" s="328"/>
      <c r="K187" s="328"/>
      <c r="L187" s="329"/>
      <c r="M187" s="329"/>
      <c r="N187" s="328"/>
      <c r="O187" s="328"/>
      <c r="P187" s="328"/>
      <c r="Q187" s="328"/>
      <c r="R187" s="328"/>
      <c r="S187" s="328"/>
      <c r="T187" s="328"/>
      <c r="U187" s="328"/>
      <c r="X187" s="330"/>
      <c r="Y187" s="330"/>
      <c r="Z187" s="330"/>
      <c r="AA187" s="330"/>
      <c r="AZ187" s="331"/>
      <c r="BA187" s="332"/>
      <c r="BB187" s="334"/>
    </row>
    <row r="188" spans="3:54" s="324" customFormat="1" x14ac:dyDescent="0.5">
      <c r="C188" s="325"/>
      <c r="D188" s="326"/>
      <c r="E188" s="326"/>
      <c r="F188" s="326"/>
      <c r="G188" s="326"/>
      <c r="H188" s="327"/>
      <c r="I188" s="328"/>
      <c r="J188" s="328"/>
      <c r="K188" s="328"/>
      <c r="L188" s="329"/>
      <c r="M188" s="329"/>
      <c r="N188" s="328"/>
      <c r="O188" s="328"/>
      <c r="P188" s="328"/>
      <c r="Q188" s="328"/>
      <c r="R188" s="328"/>
      <c r="S188" s="328"/>
      <c r="T188" s="328"/>
      <c r="U188" s="328"/>
      <c r="X188" s="330"/>
      <c r="Y188" s="330"/>
      <c r="Z188" s="330"/>
      <c r="AA188" s="330"/>
      <c r="AZ188" s="331"/>
      <c r="BA188" s="332"/>
      <c r="BB188" s="334"/>
    </row>
    <row r="189" spans="3:54" s="324" customFormat="1" x14ac:dyDescent="0.5">
      <c r="C189" s="325"/>
      <c r="D189" s="326"/>
      <c r="E189" s="326"/>
      <c r="F189" s="326"/>
      <c r="G189" s="326"/>
      <c r="H189" s="327"/>
      <c r="I189" s="328"/>
      <c r="J189" s="328"/>
      <c r="K189" s="328"/>
      <c r="L189" s="329"/>
      <c r="M189" s="329"/>
      <c r="N189" s="328"/>
      <c r="O189" s="328"/>
      <c r="P189" s="328"/>
      <c r="Q189" s="328"/>
      <c r="R189" s="328"/>
      <c r="S189" s="328"/>
      <c r="T189" s="328"/>
      <c r="U189" s="328"/>
      <c r="X189" s="330"/>
      <c r="Y189" s="330"/>
      <c r="Z189" s="330"/>
      <c r="AA189" s="330"/>
      <c r="AZ189" s="331"/>
      <c r="BA189" s="332"/>
      <c r="BB189" s="334"/>
    </row>
    <row r="190" spans="3:54" s="324" customFormat="1" x14ac:dyDescent="0.5">
      <c r="C190" s="325"/>
      <c r="D190" s="326"/>
      <c r="E190" s="326"/>
      <c r="F190" s="326"/>
      <c r="G190" s="326"/>
      <c r="H190" s="327"/>
      <c r="I190" s="328"/>
      <c r="J190" s="328"/>
      <c r="K190" s="328"/>
      <c r="L190" s="329"/>
      <c r="M190" s="329"/>
      <c r="N190" s="328"/>
      <c r="O190" s="328"/>
      <c r="P190" s="328"/>
      <c r="Q190" s="328"/>
      <c r="R190" s="328"/>
      <c r="S190" s="328"/>
      <c r="T190" s="328"/>
      <c r="U190" s="328"/>
      <c r="X190" s="330"/>
      <c r="Y190" s="330"/>
      <c r="Z190" s="330"/>
      <c r="AA190" s="330"/>
      <c r="AZ190" s="331"/>
      <c r="BA190" s="332"/>
      <c r="BB190" s="334"/>
    </row>
    <row r="191" spans="3:54" s="324" customFormat="1" x14ac:dyDescent="0.5">
      <c r="C191" s="325"/>
      <c r="D191" s="326"/>
      <c r="E191" s="326"/>
      <c r="F191" s="326"/>
      <c r="G191" s="326"/>
      <c r="H191" s="327"/>
      <c r="I191" s="328"/>
      <c r="J191" s="328"/>
      <c r="K191" s="328"/>
      <c r="L191" s="329"/>
      <c r="M191" s="329"/>
      <c r="N191" s="328"/>
      <c r="O191" s="328"/>
      <c r="P191" s="328"/>
      <c r="Q191" s="328"/>
      <c r="R191" s="328"/>
      <c r="S191" s="328"/>
      <c r="T191" s="328"/>
      <c r="U191" s="328"/>
      <c r="X191" s="330"/>
      <c r="Y191" s="330"/>
      <c r="Z191" s="330"/>
      <c r="AA191" s="330"/>
      <c r="AZ191" s="331"/>
      <c r="BA191" s="332"/>
      <c r="BB191" s="334"/>
    </row>
    <row r="192" spans="3:54" s="324" customFormat="1" x14ac:dyDescent="0.5">
      <c r="C192" s="325"/>
      <c r="D192" s="326"/>
      <c r="E192" s="326"/>
      <c r="F192" s="326"/>
      <c r="G192" s="326"/>
      <c r="H192" s="327"/>
      <c r="I192" s="328"/>
      <c r="J192" s="328"/>
      <c r="K192" s="328"/>
      <c r="L192" s="329"/>
      <c r="M192" s="329"/>
      <c r="N192" s="328"/>
      <c r="O192" s="328"/>
      <c r="P192" s="328"/>
      <c r="Q192" s="328"/>
      <c r="R192" s="328"/>
      <c r="S192" s="328"/>
      <c r="T192" s="328"/>
      <c r="U192" s="328"/>
      <c r="X192" s="330"/>
      <c r="Y192" s="330"/>
      <c r="Z192" s="330"/>
      <c r="AA192" s="330"/>
      <c r="AZ192" s="331"/>
      <c r="BA192" s="332"/>
      <c r="BB192" s="334"/>
    </row>
    <row r="193" spans="3:54" s="324" customFormat="1" x14ac:dyDescent="0.5">
      <c r="C193" s="325"/>
      <c r="D193" s="326"/>
      <c r="E193" s="326"/>
      <c r="F193" s="326"/>
      <c r="G193" s="326"/>
      <c r="H193" s="327"/>
      <c r="I193" s="328"/>
      <c r="J193" s="328"/>
      <c r="K193" s="328"/>
      <c r="L193" s="329"/>
      <c r="M193" s="329"/>
      <c r="N193" s="328"/>
      <c r="O193" s="328"/>
      <c r="P193" s="328"/>
      <c r="Q193" s="328"/>
      <c r="R193" s="328"/>
      <c r="S193" s="328"/>
      <c r="T193" s="328"/>
      <c r="U193" s="328"/>
      <c r="X193" s="330"/>
      <c r="Y193" s="330"/>
      <c r="Z193" s="330"/>
      <c r="AA193" s="330"/>
      <c r="AZ193" s="331"/>
      <c r="BA193" s="332"/>
      <c r="BB193" s="334"/>
    </row>
    <row r="194" spans="3:54" s="324" customFormat="1" x14ac:dyDescent="0.5">
      <c r="C194" s="325"/>
      <c r="D194" s="326"/>
      <c r="E194" s="326"/>
      <c r="F194" s="326"/>
      <c r="G194" s="326"/>
      <c r="H194" s="327"/>
      <c r="I194" s="328"/>
      <c r="J194" s="328"/>
      <c r="K194" s="328"/>
      <c r="L194" s="329"/>
      <c r="M194" s="329"/>
      <c r="N194" s="328"/>
      <c r="O194" s="328"/>
      <c r="P194" s="328"/>
      <c r="Q194" s="328"/>
      <c r="R194" s="328"/>
      <c r="S194" s="328"/>
      <c r="T194" s="328"/>
      <c r="U194" s="328"/>
      <c r="X194" s="330"/>
      <c r="Y194" s="330"/>
      <c r="Z194" s="330"/>
      <c r="AA194" s="330"/>
      <c r="AZ194" s="331"/>
      <c r="BA194" s="332"/>
      <c r="BB194" s="334"/>
    </row>
    <row r="195" spans="3:54" s="324" customFormat="1" x14ac:dyDescent="0.5">
      <c r="C195" s="325"/>
      <c r="D195" s="326"/>
      <c r="E195" s="326"/>
      <c r="F195" s="326"/>
      <c r="G195" s="326"/>
      <c r="H195" s="327"/>
      <c r="I195" s="328"/>
      <c r="J195" s="328"/>
      <c r="K195" s="328"/>
      <c r="L195" s="329"/>
      <c r="M195" s="329"/>
      <c r="N195" s="328"/>
      <c r="O195" s="328"/>
      <c r="P195" s="328"/>
      <c r="Q195" s="328"/>
      <c r="R195" s="328"/>
      <c r="S195" s="328"/>
      <c r="T195" s="328"/>
      <c r="U195" s="328"/>
      <c r="X195" s="330"/>
      <c r="Y195" s="330"/>
      <c r="Z195" s="330"/>
      <c r="AA195" s="330"/>
      <c r="AZ195" s="331"/>
      <c r="BA195" s="332"/>
      <c r="BB195" s="334"/>
    </row>
    <row r="196" spans="3:54" s="324" customFormat="1" x14ac:dyDescent="0.5">
      <c r="C196" s="325"/>
      <c r="D196" s="326"/>
      <c r="E196" s="326"/>
      <c r="F196" s="326"/>
      <c r="G196" s="326"/>
      <c r="H196" s="327"/>
      <c r="I196" s="328"/>
      <c r="J196" s="328"/>
      <c r="K196" s="328"/>
      <c r="L196" s="329"/>
      <c r="M196" s="329"/>
      <c r="N196" s="328"/>
      <c r="O196" s="328"/>
      <c r="P196" s="328"/>
      <c r="Q196" s="328"/>
      <c r="R196" s="328"/>
      <c r="S196" s="328"/>
      <c r="T196" s="328"/>
      <c r="U196" s="328"/>
      <c r="X196" s="330"/>
      <c r="Y196" s="330"/>
      <c r="Z196" s="330"/>
      <c r="AA196" s="330"/>
      <c r="AZ196" s="331"/>
      <c r="BA196" s="332"/>
      <c r="BB196" s="334"/>
    </row>
    <row r="197" spans="3:54" s="324" customFormat="1" x14ac:dyDescent="0.5">
      <c r="C197" s="325"/>
      <c r="D197" s="326"/>
      <c r="E197" s="326"/>
      <c r="F197" s="326"/>
      <c r="G197" s="326"/>
      <c r="H197" s="327"/>
      <c r="I197" s="328"/>
      <c r="J197" s="328"/>
      <c r="K197" s="328"/>
      <c r="L197" s="329"/>
      <c r="M197" s="329"/>
      <c r="N197" s="328"/>
      <c r="O197" s="328"/>
      <c r="P197" s="328"/>
      <c r="Q197" s="328"/>
      <c r="R197" s="328"/>
      <c r="S197" s="328"/>
      <c r="T197" s="328"/>
      <c r="U197" s="328"/>
      <c r="X197" s="330"/>
      <c r="Y197" s="330"/>
      <c r="Z197" s="330"/>
      <c r="AA197" s="330"/>
      <c r="AZ197" s="331"/>
      <c r="BA197" s="332"/>
      <c r="BB197" s="334"/>
    </row>
    <row r="198" spans="3:54" s="324" customFormat="1" x14ac:dyDescent="0.5">
      <c r="C198" s="325"/>
      <c r="D198" s="326"/>
      <c r="E198" s="326"/>
      <c r="F198" s="326"/>
      <c r="G198" s="326"/>
      <c r="H198" s="327"/>
      <c r="I198" s="328"/>
      <c r="J198" s="328"/>
      <c r="K198" s="328"/>
      <c r="L198" s="329"/>
      <c r="M198" s="329"/>
      <c r="N198" s="328"/>
      <c r="O198" s="328"/>
      <c r="P198" s="328"/>
      <c r="Q198" s="328"/>
      <c r="R198" s="328"/>
      <c r="S198" s="328"/>
      <c r="T198" s="328"/>
      <c r="U198" s="328"/>
      <c r="X198" s="330"/>
      <c r="Y198" s="330"/>
      <c r="Z198" s="330"/>
      <c r="AA198" s="330"/>
      <c r="AZ198" s="331"/>
      <c r="BA198" s="332"/>
      <c r="BB198" s="334"/>
    </row>
    <row r="199" spans="3:54" s="324" customFormat="1" x14ac:dyDescent="0.5">
      <c r="C199" s="325"/>
      <c r="D199" s="326"/>
      <c r="E199" s="326"/>
      <c r="F199" s="326"/>
      <c r="G199" s="326"/>
      <c r="H199" s="327"/>
      <c r="I199" s="328"/>
      <c r="J199" s="328"/>
      <c r="K199" s="328"/>
      <c r="L199" s="329"/>
      <c r="M199" s="329"/>
      <c r="N199" s="328"/>
      <c r="O199" s="328"/>
      <c r="P199" s="328"/>
      <c r="Q199" s="328"/>
      <c r="R199" s="328"/>
      <c r="S199" s="328"/>
      <c r="T199" s="328"/>
      <c r="U199" s="328"/>
      <c r="X199" s="330"/>
      <c r="Y199" s="330"/>
      <c r="Z199" s="330"/>
      <c r="AA199" s="330"/>
      <c r="AZ199" s="331"/>
      <c r="BA199" s="332"/>
      <c r="BB199" s="334"/>
    </row>
    <row r="200" spans="3:54" s="324" customFormat="1" x14ac:dyDescent="0.5">
      <c r="C200" s="325"/>
      <c r="D200" s="326"/>
      <c r="E200" s="326"/>
      <c r="F200" s="326"/>
      <c r="G200" s="326"/>
      <c r="H200" s="327"/>
      <c r="I200" s="328"/>
      <c r="J200" s="328"/>
      <c r="K200" s="328"/>
      <c r="L200" s="329"/>
      <c r="M200" s="329"/>
      <c r="N200" s="328"/>
      <c r="O200" s="328"/>
      <c r="P200" s="328"/>
      <c r="Q200" s="328"/>
      <c r="R200" s="328"/>
      <c r="S200" s="328"/>
      <c r="T200" s="328"/>
      <c r="U200" s="328"/>
      <c r="X200" s="330"/>
      <c r="Y200" s="330"/>
      <c r="Z200" s="330"/>
      <c r="AA200" s="330"/>
      <c r="AZ200" s="331"/>
      <c r="BA200" s="332"/>
      <c r="BB200" s="334"/>
    </row>
    <row r="201" spans="3:54" s="324" customFormat="1" x14ac:dyDescent="0.5">
      <c r="C201" s="325"/>
      <c r="D201" s="326"/>
      <c r="E201" s="326"/>
      <c r="F201" s="326"/>
      <c r="G201" s="326"/>
      <c r="H201" s="327"/>
      <c r="I201" s="328"/>
      <c r="J201" s="328"/>
      <c r="K201" s="328"/>
      <c r="L201" s="329"/>
      <c r="M201" s="329"/>
      <c r="N201" s="328"/>
      <c r="O201" s="328"/>
      <c r="P201" s="328"/>
      <c r="Q201" s="328"/>
      <c r="R201" s="328"/>
      <c r="S201" s="328"/>
      <c r="T201" s="328"/>
      <c r="U201" s="328"/>
      <c r="X201" s="330"/>
      <c r="Y201" s="330"/>
      <c r="Z201" s="330"/>
      <c r="AA201" s="330"/>
      <c r="AZ201" s="331"/>
      <c r="BA201" s="332"/>
      <c r="BB201" s="334"/>
    </row>
    <row r="202" spans="3:54" s="324" customFormat="1" x14ac:dyDescent="0.5">
      <c r="C202" s="325"/>
      <c r="D202" s="326"/>
      <c r="E202" s="326"/>
      <c r="F202" s="326"/>
      <c r="G202" s="326"/>
      <c r="H202" s="327"/>
      <c r="I202" s="328"/>
      <c r="J202" s="328"/>
      <c r="K202" s="328"/>
      <c r="L202" s="329"/>
      <c r="M202" s="329"/>
      <c r="N202" s="328"/>
      <c r="O202" s="328"/>
      <c r="P202" s="328"/>
      <c r="Q202" s="328"/>
      <c r="R202" s="328"/>
      <c r="S202" s="328"/>
      <c r="T202" s="328"/>
      <c r="U202" s="328"/>
      <c r="X202" s="330"/>
      <c r="Y202" s="330"/>
      <c r="Z202" s="330"/>
      <c r="AA202" s="330"/>
      <c r="AZ202" s="331"/>
      <c r="BA202" s="332"/>
      <c r="BB202" s="334"/>
    </row>
    <row r="203" spans="3:54" s="324" customFormat="1" x14ac:dyDescent="0.5">
      <c r="C203" s="325"/>
      <c r="D203" s="326"/>
      <c r="E203" s="326"/>
      <c r="F203" s="326"/>
      <c r="G203" s="326"/>
      <c r="H203" s="327"/>
      <c r="I203" s="328"/>
      <c r="J203" s="328"/>
      <c r="K203" s="328"/>
      <c r="L203" s="329"/>
      <c r="M203" s="329"/>
      <c r="N203" s="328"/>
      <c r="O203" s="328"/>
      <c r="P203" s="328"/>
      <c r="Q203" s="328"/>
      <c r="R203" s="328"/>
      <c r="S203" s="328"/>
      <c r="T203" s="328"/>
      <c r="U203" s="328"/>
      <c r="X203" s="330"/>
      <c r="Y203" s="330"/>
      <c r="Z203" s="330"/>
      <c r="AA203" s="330"/>
      <c r="AZ203" s="331"/>
      <c r="BA203" s="332"/>
      <c r="BB203" s="334"/>
    </row>
    <row r="204" spans="3:54" s="324" customFormat="1" x14ac:dyDescent="0.5">
      <c r="C204" s="325"/>
      <c r="D204" s="326"/>
      <c r="E204" s="326"/>
      <c r="F204" s="326"/>
      <c r="G204" s="326"/>
      <c r="H204" s="327"/>
      <c r="I204" s="328"/>
      <c r="J204" s="328"/>
      <c r="K204" s="328"/>
      <c r="L204" s="329"/>
      <c r="M204" s="329"/>
      <c r="N204" s="328"/>
      <c r="O204" s="328"/>
      <c r="P204" s="328"/>
      <c r="Q204" s="328"/>
      <c r="R204" s="328"/>
      <c r="S204" s="328"/>
      <c r="T204" s="328"/>
      <c r="U204" s="328"/>
      <c r="X204" s="330"/>
      <c r="Y204" s="330"/>
      <c r="Z204" s="330"/>
      <c r="AA204" s="330"/>
      <c r="AZ204" s="331"/>
      <c r="BA204" s="332"/>
      <c r="BB204" s="334"/>
    </row>
    <row r="205" spans="3:54" s="324" customFormat="1" x14ac:dyDescent="0.5">
      <c r="C205" s="325"/>
      <c r="D205" s="326"/>
      <c r="E205" s="326"/>
      <c r="F205" s="326"/>
      <c r="G205" s="326"/>
      <c r="H205" s="327"/>
      <c r="I205" s="328"/>
      <c r="J205" s="328"/>
      <c r="K205" s="328"/>
      <c r="L205" s="329"/>
      <c r="M205" s="329"/>
      <c r="N205" s="328"/>
      <c r="O205" s="328"/>
      <c r="P205" s="328"/>
      <c r="Q205" s="328"/>
      <c r="R205" s="328"/>
      <c r="S205" s="328"/>
      <c r="T205" s="328"/>
      <c r="U205" s="328"/>
      <c r="X205" s="330"/>
      <c r="Y205" s="330"/>
      <c r="Z205" s="330"/>
      <c r="AA205" s="330"/>
      <c r="AZ205" s="331"/>
      <c r="BA205" s="332"/>
      <c r="BB205" s="334"/>
    </row>
    <row r="206" spans="3:54" s="324" customFormat="1" x14ac:dyDescent="0.5">
      <c r="C206" s="325"/>
      <c r="D206" s="326"/>
      <c r="E206" s="326"/>
      <c r="F206" s="326"/>
      <c r="G206" s="326"/>
      <c r="H206" s="327"/>
      <c r="I206" s="328"/>
      <c r="J206" s="328"/>
      <c r="K206" s="328"/>
      <c r="L206" s="329"/>
      <c r="M206" s="329"/>
      <c r="N206" s="328"/>
      <c r="O206" s="328"/>
      <c r="P206" s="328"/>
      <c r="Q206" s="328"/>
      <c r="R206" s="328"/>
      <c r="S206" s="328"/>
      <c r="T206" s="328"/>
      <c r="U206" s="328"/>
      <c r="X206" s="330"/>
      <c r="Y206" s="330"/>
      <c r="Z206" s="330"/>
      <c r="AA206" s="330"/>
      <c r="AZ206" s="331"/>
      <c r="BA206" s="332"/>
      <c r="BB206" s="334"/>
    </row>
    <row r="207" spans="3:54" s="324" customFormat="1" x14ac:dyDescent="0.5">
      <c r="C207" s="325"/>
      <c r="D207" s="326"/>
      <c r="E207" s="326"/>
      <c r="F207" s="326"/>
      <c r="G207" s="326"/>
      <c r="H207" s="327"/>
      <c r="I207" s="328"/>
      <c r="J207" s="328"/>
      <c r="K207" s="328"/>
      <c r="L207" s="329"/>
      <c r="M207" s="329"/>
      <c r="N207" s="328"/>
      <c r="O207" s="328"/>
      <c r="P207" s="328"/>
      <c r="Q207" s="328"/>
      <c r="R207" s="328"/>
      <c r="S207" s="328"/>
      <c r="T207" s="328"/>
      <c r="U207" s="328"/>
      <c r="X207" s="330"/>
      <c r="Y207" s="330"/>
      <c r="Z207" s="330"/>
      <c r="AA207" s="330"/>
      <c r="AZ207" s="331"/>
      <c r="BA207" s="332"/>
      <c r="BB207" s="334"/>
    </row>
    <row r="208" spans="3:54" s="324" customFormat="1" x14ac:dyDescent="0.5">
      <c r="C208" s="325"/>
      <c r="D208" s="326"/>
      <c r="E208" s="326"/>
      <c r="F208" s="326"/>
      <c r="G208" s="326"/>
      <c r="H208" s="327"/>
      <c r="I208" s="328"/>
      <c r="J208" s="328"/>
      <c r="K208" s="328"/>
      <c r="L208" s="329"/>
      <c r="M208" s="329"/>
      <c r="N208" s="328"/>
      <c r="O208" s="328"/>
      <c r="P208" s="328"/>
      <c r="Q208" s="328"/>
      <c r="R208" s="328"/>
      <c r="S208" s="328"/>
      <c r="T208" s="328"/>
      <c r="U208" s="328"/>
      <c r="X208" s="330"/>
      <c r="Y208" s="330"/>
      <c r="Z208" s="330"/>
      <c r="AA208" s="330"/>
      <c r="AZ208" s="331"/>
      <c r="BA208" s="332"/>
      <c r="BB208" s="334"/>
    </row>
    <row r="209" spans="3:54" s="324" customFormat="1" x14ac:dyDescent="0.5">
      <c r="C209" s="325"/>
      <c r="D209" s="326"/>
      <c r="E209" s="326"/>
      <c r="F209" s="326"/>
      <c r="G209" s="326"/>
      <c r="H209" s="327"/>
      <c r="I209" s="328"/>
      <c r="J209" s="328"/>
      <c r="K209" s="328"/>
      <c r="L209" s="329"/>
      <c r="M209" s="329"/>
      <c r="N209" s="328"/>
      <c r="O209" s="328"/>
      <c r="P209" s="328"/>
      <c r="Q209" s="328"/>
      <c r="R209" s="328"/>
      <c r="S209" s="328"/>
      <c r="T209" s="328"/>
      <c r="U209" s="328"/>
      <c r="X209" s="330"/>
      <c r="Y209" s="330"/>
      <c r="Z209" s="330"/>
      <c r="AA209" s="330"/>
      <c r="AZ209" s="331"/>
      <c r="BA209" s="332"/>
      <c r="BB209" s="334"/>
    </row>
    <row r="210" spans="3:54" s="324" customFormat="1" x14ac:dyDescent="0.5">
      <c r="C210" s="325"/>
      <c r="D210" s="326"/>
      <c r="E210" s="326"/>
      <c r="F210" s="326"/>
      <c r="G210" s="326"/>
      <c r="H210" s="327"/>
      <c r="I210" s="328"/>
      <c r="J210" s="328"/>
      <c r="K210" s="328"/>
      <c r="L210" s="329"/>
      <c r="M210" s="329"/>
      <c r="N210" s="328"/>
      <c r="O210" s="328"/>
      <c r="P210" s="328"/>
      <c r="Q210" s="328"/>
      <c r="R210" s="328"/>
      <c r="S210" s="328"/>
      <c r="T210" s="328"/>
      <c r="U210" s="328"/>
      <c r="X210" s="330"/>
      <c r="Y210" s="330"/>
      <c r="Z210" s="330"/>
      <c r="AA210" s="330"/>
      <c r="AZ210" s="331"/>
      <c r="BA210" s="332"/>
      <c r="BB210" s="334"/>
    </row>
    <row r="211" spans="3:54" s="324" customFormat="1" x14ac:dyDescent="0.5">
      <c r="C211" s="325"/>
      <c r="D211" s="326"/>
      <c r="E211" s="326"/>
      <c r="F211" s="326"/>
      <c r="G211" s="326"/>
      <c r="H211" s="327"/>
      <c r="I211" s="328"/>
      <c r="J211" s="328"/>
      <c r="K211" s="328"/>
      <c r="L211" s="329"/>
      <c r="M211" s="329"/>
      <c r="N211" s="328"/>
      <c r="O211" s="328"/>
      <c r="P211" s="328"/>
      <c r="Q211" s="328"/>
      <c r="R211" s="328"/>
      <c r="S211" s="328"/>
      <c r="T211" s="328"/>
      <c r="U211" s="328"/>
      <c r="X211" s="330"/>
      <c r="Y211" s="330"/>
      <c r="Z211" s="330"/>
      <c r="AA211" s="330"/>
      <c r="AZ211" s="331"/>
      <c r="BA211" s="332"/>
      <c r="BB211" s="334"/>
    </row>
    <row r="212" spans="3:54" s="324" customFormat="1" x14ac:dyDescent="0.5">
      <c r="C212" s="325"/>
      <c r="D212" s="326"/>
      <c r="E212" s="326"/>
      <c r="F212" s="326"/>
      <c r="G212" s="326"/>
      <c r="H212" s="327"/>
      <c r="I212" s="328"/>
      <c r="J212" s="328"/>
      <c r="K212" s="328"/>
      <c r="L212" s="329"/>
      <c r="M212" s="329"/>
      <c r="N212" s="328"/>
      <c r="O212" s="328"/>
      <c r="P212" s="328"/>
      <c r="Q212" s="328"/>
      <c r="R212" s="328"/>
      <c r="S212" s="328"/>
      <c r="T212" s="328"/>
      <c r="U212" s="328"/>
      <c r="X212" s="330"/>
      <c r="Y212" s="330"/>
      <c r="Z212" s="330"/>
      <c r="AA212" s="330"/>
      <c r="AZ212" s="331"/>
      <c r="BA212" s="332"/>
      <c r="BB212" s="334"/>
    </row>
    <row r="213" spans="3:54" s="324" customFormat="1" x14ac:dyDescent="0.5">
      <c r="C213" s="325"/>
      <c r="D213" s="326"/>
      <c r="E213" s="326"/>
      <c r="F213" s="326"/>
      <c r="G213" s="326"/>
      <c r="H213" s="327"/>
      <c r="I213" s="328"/>
      <c r="J213" s="328"/>
      <c r="K213" s="328"/>
      <c r="L213" s="329"/>
      <c r="M213" s="329"/>
      <c r="N213" s="328"/>
      <c r="O213" s="328"/>
      <c r="P213" s="328"/>
      <c r="Q213" s="328"/>
      <c r="R213" s="328"/>
      <c r="S213" s="328"/>
      <c r="T213" s="328"/>
      <c r="U213" s="328"/>
      <c r="X213" s="330"/>
      <c r="Y213" s="330"/>
      <c r="Z213" s="330"/>
      <c r="AA213" s="330"/>
      <c r="AZ213" s="331"/>
      <c r="BA213" s="332"/>
      <c r="BB213" s="334"/>
    </row>
    <row r="214" spans="3:54" s="324" customFormat="1" x14ac:dyDescent="0.5">
      <c r="C214" s="325"/>
      <c r="D214" s="326"/>
      <c r="E214" s="326"/>
      <c r="F214" s="326"/>
      <c r="G214" s="326"/>
      <c r="H214" s="327"/>
      <c r="I214" s="328"/>
      <c r="J214" s="328"/>
      <c r="K214" s="328"/>
      <c r="L214" s="329"/>
      <c r="M214" s="329"/>
      <c r="N214" s="328"/>
      <c r="O214" s="328"/>
      <c r="P214" s="328"/>
      <c r="Q214" s="328"/>
      <c r="R214" s="328"/>
      <c r="S214" s="328"/>
      <c r="T214" s="328"/>
      <c r="U214" s="328"/>
      <c r="X214" s="330"/>
      <c r="Y214" s="330"/>
      <c r="Z214" s="330"/>
      <c r="AA214" s="330"/>
      <c r="AZ214" s="331"/>
      <c r="BA214" s="332"/>
      <c r="BB214" s="334"/>
    </row>
    <row r="215" spans="3:54" s="324" customFormat="1" x14ac:dyDescent="0.5">
      <c r="C215" s="325"/>
      <c r="D215" s="326"/>
      <c r="E215" s="326"/>
      <c r="F215" s="326"/>
      <c r="G215" s="326"/>
      <c r="H215" s="327"/>
      <c r="I215" s="328"/>
      <c r="J215" s="328"/>
      <c r="K215" s="328"/>
      <c r="L215" s="329"/>
      <c r="M215" s="329"/>
      <c r="N215" s="328"/>
      <c r="O215" s="328"/>
      <c r="P215" s="328"/>
      <c r="Q215" s="328"/>
      <c r="R215" s="328"/>
      <c r="S215" s="328"/>
      <c r="T215" s="328"/>
      <c r="U215" s="328"/>
      <c r="X215" s="330"/>
      <c r="Y215" s="330"/>
      <c r="Z215" s="330"/>
      <c r="AA215" s="330"/>
      <c r="AZ215" s="331"/>
      <c r="BA215" s="332"/>
      <c r="BB215" s="334"/>
    </row>
    <row r="216" spans="3:54" s="324" customFormat="1" x14ac:dyDescent="0.5">
      <c r="C216" s="325"/>
      <c r="D216" s="326"/>
      <c r="E216" s="326"/>
      <c r="F216" s="326"/>
      <c r="G216" s="326"/>
      <c r="H216" s="327"/>
      <c r="I216" s="328"/>
      <c r="J216" s="328"/>
      <c r="K216" s="328"/>
      <c r="L216" s="329"/>
      <c r="M216" s="329"/>
      <c r="N216" s="328"/>
      <c r="O216" s="328"/>
      <c r="P216" s="328"/>
      <c r="Q216" s="328"/>
      <c r="R216" s="328"/>
      <c r="S216" s="328"/>
      <c r="T216" s="328"/>
      <c r="U216" s="328"/>
      <c r="X216" s="330"/>
      <c r="Y216" s="330"/>
      <c r="Z216" s="330"/>
      <c r="AA216" s="330"/>
      <c r="AZ216" s="331"/>
      <c r="BA216" s="332"/>
      <c r="BB216" s="334"/>
    </row>
    <row r="217" spans="3:54" s="324" customFormat="1" x14ac:dyDescent="0.5">
      <c r="C217" s="325"/>
      <c r="D217" s="326"/>
      <c r="E217" s="326"/>
      <c r="F217" s="326"/>
      <c r="G217" s="326"/>
      <c r="H217" s="327"/>
      <c r="I217" s="328"/>
      <c r="J217" s="328"/>
      <c r="K217" s="328"/>
      <c r="L217" s="329"/>
      <c r="M217" s="329"/>
      <c r="N217" s="328"/>
      <c r="O217" s="328"/>
      <c r="P217" s="328"/>
      <c r="Q217" s="328"/>
      <c r="R217" s="328"/>
      <c r="S217" s="328"/>
      <c r="T217" s="328"/>
      <c r="U217" s="328"/>
      <c r="X217" s="330"/>
      <c r="Y217" s="330"/>
      <c r="Z217" s="330"/>
      <c r="AA217" s="330"/>
      <c r="AZ217" s="331"/>
      <c r="BA217" s="332"/>
      <c r="BB217" s="334"/>
    </row>
    <row r="218" spans="3:54" s="324" customFormat="1" x14ac:dyDescent="0.5">
      <c r="C218" s="325"/>
      <c r="D218" s="326"/>
      <c r="E218" s="326"/>
      <c r="F218" s="326"/>
      <c r="G218" s="326"/>
      <c r="H218" s="327"/>
      <c r="I218" s="328"/>
      <c r="J218" s="328"/>
      <c r="K218" s="328"/>
      <c r="L218" s="329"/>
      <c r="M218" s="329"/>
      <c r="N218" s="328"/>
      <c r="O218" s="328"/>
      <c r="P218" s="328"/>
      <c r="Q218" s="328"/>
      <c r="R218" s="328"/>
      <c r="S218" s="328"/>
      <c r="T218" s="328"/>
      <c r="U218" s="328"/>
      <c r="X218" s="330"/>
      <c r="Y218" s="330"/>
      <c r="Z218" s="330"/>
      <c r="AA218" s="330"/>
      <c r="AZ218" s="331"/>
      <c r="BA218" s="332"/>
      <c r="BB218" s="334"/>
    </row>
    <row r="219" spans="3:54" s="324" customFormat="1" x14ac:dyDescent="0.5">
      <c r="C219" s="325"/>
      <c r="D219" s="326"/>
      <c r="E219" s="326"/>
      <c r="F219" s="326"/>
      <c r="G219" s="326"/>
      <c r="H219" s="327"/>
      <c r="I219" s="328"/>
      <c r="J219" s="328"/>
      <c r="K219" s="328"/>
      <c r="L219" s="329"/>
      <c r="M219" s="329"/>
      <c r="N219" s="328"/>
      <c r="O219" s="328"/>
      <c r="P219" s="328"/>
      <c r="Q219" s="328"/>
      <c r="R219" s="328"/>
      <c r="S219" s="328"/>
      <c r="T219" s="328"/>
      <c r="U219" s="328"/>
      <c r="X219" s="330"/>
      <c r="Y219" s="330"/>
      <c r="Z219" s="330"/>
      <c r="AA219" s="330"/>
      <c r="AZ219" s="331"/>
      <c r="BA219" s="332"/>
      <c r="BB219" s="334"/>
    </row>
    <row r="220" spans="3:54" s="324" customFormat="1" x14ac:dyDescent="0.5">
      <c r="C220" s="325"/>
      <c r="D220" s="326"/>
      <c r="E220" s="326"/>
      <c r="F220" s="326"/>
      <c r="G220" s="326"/>
      <c r="H220" s="327"/>
      <c r="I220" s="328"/>
      <c r="J220" s="328"/>
      <c r="K220" s="328"/>
      <c r="L220" s="329"/>
      <c r="M220" s="329"/>
      <c r="N220" s="328"/>
      <c r="O220" s="328"/>
      <c r="P220" s="328"/>
      <c r="Q220" s="328"/>
      <c r="R220" s="328"/>
      <c r="S220" s="328"/>
      <c r="T220" s="328"/>
      <c r="U220" s="328"/>
      <c r="X220" s="330"/>
      <c r="Y220" s="330"/>
      <c r="Z220" s="330"/>
      <c r="AA220" s="330"/>
      <c r="AZ220" s="331"/>
      <c r="BA220" s="332"/>
      <c r="BB220" s="334"/>
    </row>
    <row r="221" spans="3:54" s="324" customFormat="1" x14ac:dyDescent="0.5">
      <c r="C221" s="325"/>
      <c r="D221" s="326"/>
      <c r="E221" s="326"/>
      <c r="F221" s="326"/>
      <c r="G221" s="326"/>
      <c r="H221" s="327"/>
      <c r="I221" s="328"/>
      <c r="J221" s="328"/>
      <c r="K221" s="328"/>
      <c r="L221" s="329"/>
      <c r="M221" s="329"/>
      <c r="N221" s="328"/>
      <c r="O221" s="328"/>
      <c r="P221" s="328"/>
      <c r="Q221" s="328"/>
      <c r="R221" s="328"/>
      <c r="S221" s="328"/>
      <c r="T221" s="328"/>
      <c r="U221" s="328"/>
      <c r="X221" s="330"/>
      <c r="Y221" s="330"/>
      <c r="Z221" s="330"/>
      <c r="AA221" s="330"/>
      <c r="AZ221" s="331"/>
      <c r="BA221" s="332"/>
      <c r="BB221" s="334"/>
    </row>
    <row r="222" spans="3:54" s="324" customFormat="1" x14ac:dyDescent="0.5">
      <c r="C222" s="325"/>
      <c r="D222" s="326"/>
      <c r="E222" s="326"/>
      <c r="F222" s="326"/>
      <c r="G222" s="326"/>
      <c r="H222" s="327"/>
      <c r="I222" s="328"/>
      <c r="J222" s="328"/>
      <c r="K222" s="328"/>
      <c r="L222" s="329"/>
      <c r="M222" s="329"/>
      <c r="N222" s="328"/>
      <c r="O222" s="328"/>
      <c r="P222" s="328"/>
      <c r="Q222" s="328"/>
      <c r="R222" s="328"/>
      <c r="S222" s="328"/>
      <c r="T222" s="328"/>
      <c r="U222" s="328"/>
      <c r="X222" s="330"/>
      <c r="Y222" s="330"/>
      <c r="Z222" s="330"/>
      <c r="AA222" s="330"/>
      <c r="AZ222" s="331"/>
      <c r="BA222" s="332"/>
      <c r="BB222" s="334"/>
    </row>
    <row r="223" spans="3:54" s="324" customFormat="1" x14ac:dyDescent="0.5">
      <c r="C223" s="325"/>
      <c r="D223" s="326"/>
      <c r="E223" s="326"/>
      <c r="F223" s="326"/>
      <c r="G223" s="326"/>
      <c r="H223" s="327"/>
      <c r="I223" s="328"/>
      <c r="J223" s="328"/>
      <c r="K223" s="328"/>
      <c r="L223" s="329"/>
      <c r="M223" s="329"/>
      <c r="N223" s="328"/>
      <c r="O223" s="328"/>
      <c r="P223" s="328"/>
      <c r="Q223" s="328"/>
      <c r="R223" s="328"/>
      <c r="S223" s="328"/>
      <c r="T223" s="328"/>
      <c r="U223" s="328"/>
      <c r="X223" s="330"/>
      <c r="Y223" s="330"/>
      <c r="Z223" s="330"/>
      <c r="AA223" s="330"/>
      <c r="AZ223" s="331"/>
      <c r="BA223" s="332"/>
      <c r="BB223" s="334"/>
    </row>
    <row r="224" spans="3:54" s="324" customFormat="1" x14ac:dyDescent="0.5">
      <c r="C224" s="325"/>
      <c r="D224" s="326"/>
      <c r="E224" s="326"/>
      <c r="F224" s="326"/>
      <c r="G224" s="326"/>
      <c r="H224" s="327"/>
      <c r="I224" s="328"/>
      <c r="J224" s="328"/>
      <c r="K224" s="328"/>
      <c r="L224" s="329"/>
      <c r="M224" s="329"/>
      <c r="N224" s="328"/>
      <c r="O224" s="328"/>
      <c r="P224" s="328"/>
      <c r="Q224" s="328"/>
      <c r="R224" s="328"/>
      <c r="S224" s="328"/>
      <c r="T224" s="328"/>
      <c r="U224" s="328"/>
      <c r="X224" s="330"/>
      <c r="Y224" s="330"/>
      <c r="Z224" s="330"/>
      <c r="AA224" s="330"/>
      <c r="AZ224" s="331"/>
      <c r="BA224" s="332"/>
      <c r="BB224" s="334"/>
    </row>
    <row r="225" spans="3:54" s="324" customFormat="1" x14ac:dyDescent="0.5">
      <c r="C225" s="325"/>
      <c r="D225" s="326"/>
      <c r="E225" s="326"/>
      <c r="F225" s="326"/>
      <c r="G225" s="326"/>
      <c r="H225" s="327"/>
      <c r="I225" s="328"/>
      <c r="J225" s="328"/>
      <c r="K225" s="328"/>
      <c r="L225" s="329"/>
      <c r="M225" s="329"/>
      <c r="N225" s="328"/>
      <c r="O225" s="328"/>
      <c r="P225" s="328"/>
      <c r="Q225" s="328"/>
      <c r="R225" s="328"/>
      <c r="S225" s="328"/>
      <c r="T225" s="328"/>
      <c r="U225" s="328"/>
      <c r="X225" s="330"/>
      <c r="Y225" s="330"/>
      <c r="Z225" s="330"/>
      <c r="AA225" s="330"/>
      <c r="AZ225" s="331"/>
      <c r="BA225" s="332"/>
      <c r="BB225" s="334"/>
    </row>
    <row r="226" spans="3:54" s="324" customFormat="1" x14ac:dyDescent="0.5">
      <c r="C226" s="325"/>
      <c r="D226" s="326"/>
      <c r="E226" s="326"/>
      <c r="F226" s="326"/>
      <c r="G226" s="326"/>
      <c r="H226" s="327"/>
      <c r="I226" s="328"/>
      <c r="J226" s="328"/>
      <c r="K226" s="328"/>
      <c r="L226" s="329"/>
      <c r="M226" s="329"/>
      <c r="N226" s="328"/>
      <c r="O226" s="328"/>
      <c r="P226" s="328"/>
      <c r="Q226" s="328"/>
      <c r="R226" s="328"/>
      <c r="S226" s="328"/>
      <c r="T226" s="328"/>
      <c r="U226" s="328"/>
      <c r="X226" s="330"/>
      <c r="Y226" s="330"/>
      <c r="Z226" s="330"/>
      <c r="AA226" s="330"/>
      <c r="AZ226" s="331"/>
      <c r="BA226" s="332"/>
      <c r="BB226" s="334"/>
    </row>
    <row r="227" spans="3:54" s="324" customFormat="1" x14ac:dyDescent="0.5">
      <c r="C227" s="325"/>
      <c r="D227" s="326"/>
      <c r="E227" s="326"/>
      <c r="F227" s="326"/>
      <c r="G227" s="326"/>
      <c r="H227" s="327"/>
      <c r="I227" s="328"/>
      <c r="J227" s="328"/>
      <c r="K227" s="328"/>
      <c r="L227" s="329"/>
      <c r="M227" s="329"/>
      <c r="N227" s="328"/>
      <c r="O227" s="328"/>
      <c r="P227" s="328"/>
      <c r="Q227" s="328"/>
      <c r="R227" s="328"/>
      <c r="S227" s="328"/>
      <c r="T227" s="328"/>
      <c r="U227" s="328"/>
      <c r="X227" s="330"/>
      <c r="Y227" s="330"/>
      <c r="Z227" s="330"/>
      <c r="AA227" s="330"/>
      <c r="AZ227" s="331"/>
      <c r="BA227" s="332"/>
      <c r="BB227" s="334"/>
    </row>
    <row r="228" spans="3:54" s="324" customFormat="1" x14ac:dyDescent="0.5">
      <c r="C228" s="325"/>
      <c r="D228" s="326"/>
      <c r="E228" s="326"/>
      <c r="F228" s="326"/>
      <c r="G228" s="326"/>
      <c r="H228" s="327"/>
      <c r="I228" s="328"/>
      <c r="J228" s="328"/>
      <c r="K228" s="328"/>
      <c r="L228" s="329"/>
      <c r="M228" s="329"/>
      <c r="N228" s="328"/>
      <c r="O228" s="328"/>
      <c r="P228" s="328"/>
      <c r="Q228" s="328"/>
      <c r="R228" s="328"/>
      <c r="S228" s="328"/>
      <c r="T228" s="328"/>
      <c r="U228" s="328"/>
      <c r="X228" s="330"/>
      <c r="Y228" s="330"/>
      <c r="Z228" s="330"/>
      <c r="AA228" s="330"/>
      <c r="AZ228" s="331"/>
      <c r="BA228" s="332"/>
      <c r="BB228" s="334"/>
    </row>
    <row r="229" spans="3:54" s="324" customFormat="1" x14ac:dyDescent="0.5">
      <c r="C229" s="325"/>
      <c r="D229" s="326"/>
      <c r="E229" s="326"/>
      <c r="F229" s="326"/>
      <c r="G229" s="326"/>
      <c r="H229" s="327"/>
      <c r="I229" s="328"/>
      <c r="J229" s="328"/>
      <c r="K229" s="328"/>
      <c r="L229" s="329"/>
      <c r="M229" s="329"/>
      <c r="N229" s="328"/>
      <c r="O229" s="328"/>
      <c r="P229" s="328"/>
      <c r="Q229" s="328"/>
      <c r="R229" s="328"/>
      <c r="S229" s="328"/>
      <c r="T229" s="328"/>
      <c r="U229" s="328"/>
      <c r="X229" s="330"/>
      <c r="Y229" s="330"/>
      <c r="Z229" s="330"/>
      <c r="AA229" s="330"/>
      <c r="AZ229" s="331"/>
      <c r="BA229" s="332"/>
      <c r="BB229" s="334"/>
    </row>
    <row r="230" spans="3:54" s="324" customFormat="1" x14ac:dyDescent="0.5">
      <c r="C230" s="325"/>
      <c r="D230" s="326"/>
      <c r="E230" s="326"/>
      <c r="F230" s="326"/>
      <c r="G230" s="326"/>
      <c r="H230" s="327"/>
      <c r="I230" s="328"/>
      <c r="J230" s="328"/>
      <c r="K230" s="328"/>
      <c r="L230" s="329"/>
      <c r="M230" s="329"/>
      <c r="N230" s="328"/>
      <c r="O230" s="328"/>
      <c r="P230" s="328"/>
      <c r="Q230" s="328"/>
      <c r="R230" s="328"/>
      <c r="S230" s="328"/>
      <c r="T230" s="328"/>
      <c r="U230" s="328"/>
      <c r="X230" s="330"/>
      <c r="Y230" s="330"/>
      <c r="Z230" s="330"/>
      <c r="AA230" s="330"/>
      <c r="AZ230" s="331"/>
      <c r="BA230" s="332"/>
      <c r="BB230" s="334"/>
    </row>
    <row r="231" spans="3:54" s="324" customFormat="1" x14ac:dyDescent="0.5">
      <c r="C231" s="325"/>
      <c r="D231" s="326"/>
      <c r="E231" s="326"/>
      <c r="F231" s="326"/>
      <c r="G231" s="326"/>
      <c r="H231" s="327"/>
      <c r="I231" s="328"/>
      <c r="J231" s="328"/>
      <c r="K231" s="328"/>
      <c r="L231" s="329"/>
      <c r="M231" s="329"/>
      <c r="N231" s="328"/>
      <c r="O231" s="328"/>
      <c r="P231" s="328"/>
      <c r="Q231" s="328"/>
      <c r="R231" s="328"/>
      <c r="S231" s="328"/>
      <c r="T231" s="328"/>
      <c r="U231" s="328"/>
      <c r="X231" s="330"/>
      <c r="Y231" s="330"/>
      <c r="Z231" s="330"/>
      <c r="AA231" s="330"/>
      <c r="AZ231" s="331"/>
      <c r="BA231" s="332"/>
      <c r="BB231" s="334"/>
    </row>
    <row r="232" spans="3:54" s="324" customFormat="1" x14ac:dyDescent="0.5">
      <c r="C232" s="325"/>
      <c r="D232" s="326"/>
      <c r="E232" s="326"/>
      <c r="F232" s="326"/>
      <c r="G232" s="326"/>
      <c r="H232" s="327"/>
      <c r="I232" s="328"/>
      <c r="J232" s="328"/>
      <c r="K232" s="328"/>
      <c r="L232" s="329"/>
      <c r="M232" s="329"/>
      <c r="N232" s="328"/>
      <c r="O232" s="328"/>
      <c r="P232" s="328"/>
      <c r="Q232" s="328"/>
      <c r="R232" s="328"/>
      <c r="S232" s="328"/>
      <c r="T232" s="328"/>
      <c r="U232" s="328"/>
      <c r="X232" s="330"/>
      <c r="Y232" s="330"/>
      <c r="Z232" s="330"/>
      <c r="AA232" s="330"/>
      <c r="AZ232" s="331"/>
      <c r="BA232" s="332"/>
      <c r="BB232" s="334"/>
    </row>
    <row r="233" spans="3:54" s="324" customFormat="1" x14ac:dyDescent="0.5">
      <c r="C233" s="325"/>
      <c r="D233" s="326"/>
      <c r="E233" s="326"/>
      <c r="F233" s="326"/>
      <c r="G233" s="326"/>
      <c r="H233" s="327"/>
      <c r="I233" s="328"/>
      <c r="J233" s="328"/>
      <c r="K233" s="328"/>
      <c r="L233" s="329"/>
      <c r="M233" s="329"/>
      <c r="N233" s="328"/>
      <c r="O233" s="328"/>
      <c r="P233" s="328"/>
      <c r="Q233" s="328"/>
      <c r="R233" s="328"/>
      <c r="S233" s="328"/>
      <c r="T233" s="328"/>
      <c r="U233" s="328"/>
      <c r="X233" s="330"/>
      <c r="Y233" s="330"/>
      <c r="Z233" s="330"/>
      <c r="AA233" s="330"/>
      <c r="AZ233" s="331"/>
      <c r="BA233" s="332"/>
      <c r="BB233" s="334"/>
    </row>
    <row r="234" spans="3:54" s="324" customFormat="1" x14ac:dyDescent="0.5">
      <c r="C234" s="325"/>
      <c r="D234" s="326"/>
      <c r="E234" s="326"/>
      <c r="F234" s="326"/>
      <c r="G234" s="326"/>
      <c r="H234" s="327"/>
      <c r="I234" s="328"/>
      <c r="J234" s="328"/>
      <c r="K234" s="328"/>
      <c r="L234" s="329"/>
      <c r="M234" s="329"/>
      <c r="N234" s="328"/>
      <c r="O234" s="328"/>
      <c r="P234" s="328"/>
      <c r="Q234" s="328"/>
      <c r="R234" s="328"/>
      <c r="S234" s="328"/>
      <c r="T234" s="328"/>
      <c r="U234" s="328"/>
      <c r="X234" s="330"/>
      <c r="Y234" s="330"/>
      <c r="Z234" s="330"/>
      <c r="AA234" s="330"/>
      <c r="AZ234" s="331"/>
      <c r="BA234" s="332"/>
      <c r="BB234" s="334"/>
    </row>
    <row r="235" spans="3:54" s="324" customFormat="1" x14ac:dyDescent="0.5">
      <c r="C235" s="325"/>
      <c r="D235" s="326"/>
      <c r="E235" s="326"/>
      <c r="F235" s="326"/>
      <c r="G235" s="326"/>
      <c r="H235" s="327"/>
      <c r="I235" s="328"/>
      <c r="J235" s="328"/>
      <c r="K235" s="328"/>
      <c r="L235" s="329"/>
      <c r="M235" s="329"/>
      <c r="N235" s="328"/>
      <c r="O235" s="328"/>
      <c r="P235" s="328"/>
      <c r="Q235" s="328"/>
      <c r="R235" s="328"/>
      <c r="S235" s="328"/>
      <c r="T235" s="328"/>
      <c r="U235" s="328"/>
      <c r="X235" s="330"/>
      <c r="Y235" s="330"/>
      <c r="Z235" s="330"/>
      <c r="AA235" s="330"/>
      <c r="AZ235" s="331"/>
      <c r="BA235" s="332"/>
      <c r="BB235" s="334"/>
    </row>
    <row r="236" spans="3:54" s="324" customFormat="1" x14ac:dyDescent="0.5">
      <c r="C236" s="325"/>
      <c r="D236" s="326"/>
      <c r="E236" s="326"/>
      <c r="F236" s="326"/>
      <c r="G236" s="326"/>
      <c r="H236" s="327"/>
      <c r="I236" s="328"/>
      <c r="J236" s="328"/>
      <c r="K236" s="328"/>
      <c r="L236" s="329"/>
      <c r="M236" s="329"/>
      <c r="N236" s="328"/>
      <c r="O236" s="328"/>
      <c r="P236" s="328"/>
      <c r="Q236" s="328"/>
      <c r="R236" s="328"/>
      <c r="S236" s="328"/>
      <c r="T236" s="328"/>
      <c r="U236" s="328"/>
      <c r="X236" s="330"/>
      <c r="Y236" s="330"/>
      <c r="Z236" s="330"/>
      <c r="AA236" s="330"/>
      <c r="AZ236" s="331"/>
      <c r="BA236" s="332"/>
      <c r="BB236" s="334"/>
    </row>
    <row r="237" spans="3:54" s="324" customFormat="1" x14ac:dyDescent="0.5">
      <c r="C237" s="325"/>
      <c r="D237" s="326"/>
      <c r="E237" s="326"/>
      <c r="F237" s="326"/>
      <c r="G237" s="326"/>
      <c r="H237" s="327"/>
      <c r="I237" s="328"/>
      <c r="J237" s="328"/>
      <c r="K237" s="328"/>
      <c r="L237" s="329"/>
      <c r="M237" s="329"/>
      <c r="N237" s="328"/>
      <c r="O237" s="328"/>
      <c r="P237" s="328"/>
      <c r="Q237" s="328"/>
      <c r="R237" s="328"/>
      <c r="S237" s="328"/>
      <c r="T237" s="328"/>
      <c r="U237" s="328"/>
      <c r="X237" s="330"/>
      <c r="Y237" s="330"/>
      <c r="Z237" s="330"/>
      <c r="AA237" s="330"/>
      <c r="AZ237" s="331"/>
      <c r="BA237" s="332"/>
      <c r="BB237" s="334"/>
    </row>
    <row r="238" spans="3:54" s="324" customFormat="1" x14ac:dyDescent="0.5">
      <c r="C238" s="325"/>
      <c r="D238" s="326"/>
      <c r="E238" s="326"/>
      <c r="F238" s="326"/>
      <c r="G238" s="326"/>
      <c r="H238" s="327"/>
      <c r="I238" s="328"/>
      <c r="J238" s="328"/>
      <c r="K238" s="328"/>
      <c r="L238" s="329"/>
      <c r="M238" s="329"/>
      <c r="N238" s="328"/>
      <c r="O238" s="328"/>
      <c r="P238" s="328"/>
      <c r="Q238" s="328"/>
      <c r="R238" s="328"/>
      <c r="S238" s="328"/>
      <c r="T238" s="328"/>
      <c r="U238" s="328"/>
      <c r="X238" s="330"/>
      <c r="Y238" s="330"/>
      <c r="Z238" s="330"/>
      <c r="AA238" s="330"/>
      <c r="AZ238" s="331"/>
      <c r="BA238" s="332"/>
      <c r="BB238" s="334"/>
    </row>
    <row r="239" spans="3:54" s="324" customFormat="1" x14ac:dyDescent="0.5">
      <c r="C239" s="325"/>
      <c r="D239" s="326"/>
      <c r="E239" s="326"/>
      <c r="F239" s="326"/>
      <c r="G239" s="326"/>
      <c r="H239" s="327"/>
      <c r="I239" s="328"/>
      <c r="J239" s="328"/>
      <c r="K239" s="328"/>
      <c r="L239" s="329"/>
      <c r="M239" s="329"/>
      <c r="N239" s="328"/>
      <c r="O239" s="328"/>
      <c r="P239" s="328"/>
      <c r="Q239" s="328"/>
      <c r="R239" s="328"/>
      <c r="S239" s="328"/>
      <c r="T239" s="328"/>
      <c r="U239" s="328"/>
      <c r="X239" s="330"/>
      <c r="Y239" s="330"/>
      <c r="Z239" s="330"/>
      <c r="AA239" s="330"/>
      <c r="AZ239" s="331"/>
      <c r="BA239" s="332"/>
      <c r="BB239" s="334"/>
    </row>
    <row r="240" spans="3:54" s="324" customFormat="1" x14ac:dyDescent="0.5">
      <c r="C240" s="325"/>
      <c r="D240" s="326"/>
      <c r="E240" s="326"/>
      <c r="F240" s="326"/>
      <c r="G240" s="326"/>
      <c r="H240" s="327"/>
      <c r="I240" s="328"/>
      <c r="J240" s="328"/>
      <c r="K240" s="328"/>
      <c r="L240" s="329"/>
      <c r="M240" s="329"/>
      <c r="N240" s="328"/>
      <c r="O240" s="328"/>
      <c r="P240" s="328"/>
      <c r="Q240" s="328"/>
      <c r="R240" s="328"/>
      <c r="S240" s="328"/>
      <c r="T240" s="328"/>
      <c r="U240" s="328"/>
      <c r="X240" s="330"/>
      <c r="Y240" s="330"/>
      <c r="Z240" s="330"/>
      <c r="AA240" s="330"/>
      <c r="AZ240" s="331"/>
      <c r="BA240" s="332"/>
      <c r="BB240" s="334"/>
    </row>
    <row r="241" spans="3:54" s="324" customFormat="1" x14ac:dyDescent="0.5">
      <c r="C241" s="325"/>
      <c r="D241" s="326"/>
      <c r="E241" s="326"/>
      <c r="F241" s="326"/>
      <c r="G241" s="326"/>
      <c r="H241" s="327"/>
      <c r="I241" s="328"/>
      <c r="J241" s="328"/>
      <c r="K241" s="328"/>
      <c r="L241" s="329"/>
      <c r="M241" s="329"/>
      <c r="N241" s="328"/>
      <c r="O241" s="328"/>
      <c r="P241" s="328"/>
      <c r="Q241" s="328"/>
      <c r="R241" s="328"/>
      <c r="S241" s="328"/>
      <c r="T241" s="328"/>
      <c r="U241" s="328"/>
      <c r="X241" s="330"/>
      <c r="Y241" s="330"/>
      <c r="Z241" s="330"/>
      <c r="AA241" s="330"/>
      <c r="AZ241" s="331"/>
      <c r="BA241" s="332"/>
      <c r="BB241" s="334"/>
    </row>
    <row r="242" spans="3:54" s="324" customFormat="1" x14ac:dyDescent="0.5">
      <c r="C242" s="325"/>
      <c r="D242" s="326"/>
      <c r="E242" s="326"/>
      <c r="F242" s="326"/>
      <c r="G242" s="326"/>
      <c r="H242" s="327"/>
      <c r="I242" s="328"/>
      <c r="J242" s="328"/>
      <c r="K242" s="328"/>
      <c r="L242" s="329"/>
      <c r="M242" s="329"/>
      <c r="N242" s="328"/>
      <c r="O242" s="328"/>
      <c r="P242" s="328"/>
      <c r="Q242" s="328"/>
      <c r="R242" s="328"/>
      <c r="S242" s="328"/>
      <c r="T242" s="328"/>
      <c r="U242" s="328"/>
      <c r="X242" s="330"/>
      <c r="Y242" s="330"/>
      <c r="Z242" s="330"/>
      <c r="AA242" s="330"/>
      <c r="AZ242" s="331"/>
      <c r="BA242" s="332"/>
      <c r="BB242" s="334"/>
    </row>
    <row r="243" spans="3:54" s="324" customFormat="1" x14ac:dyDescent="0.5">
      <c r="C243" s="325"/>
      <c r="D243" s="326"/>
      <c r="E243" s="326"/>
      <c r="F243" s="326"/>
      <c r="G243" s="326"/>
      <c r="H243" s="327"/>
      <c r="I243" s="328"/>
      <c r="J243" s="328"/>
      <c r="K243" s="328"/>
      <c r="L243" s="329"/>
      <c r="M243" s="329"/>
      <c r="N243" s="328"/>
      <c r="O243" s="328"/>
      <c r="P243" s="328"/>
      <c r="Q243" s="328"/>
      <c r="R243" s="328"/>
      <c r="S243" s="328"/>
      <c r="T243" s="328"/>
      <c r="U243" s="328"/>
      <c r="X243" s="330"/>
      <c r="Y243" s="330"/>
      <c r="Z243" s="330"/>
      <c r="AA243" s="330"/>
      <c r="AZ243" s="331"/>
      <c r="BA243" s="332"/>
      <c r="BB243" s="334"/>
    </row>
    <row r="244" spans="3:54" s="324" customFormat="1" x14ac:dyDescent="0.5">
      <c r="C244" s="325"/>
      <c r="D244" s="326"/>
      <c r="E244" s="326"/>
      <c r="F244" s="326"/>
      <c r="G244" s="326"/>
      <c r="H244" s="327"/>
      <c r="I244" s="328"/>
      <c r="J244" s="328"/>
      <c r="K244" s="328"/>
      <c r="L244" s="329"/>
      <c r="M244" s="329"/>
      <c r="N244" s="328"/>
      <c r="O244" s="328"/>
      <c r="P244" s="328"/>
      <c r="Q244" s="328"/>
      <c r="R244" s="328"/>
      <c r="S244" s="328"/>
      <c r="T244" s="328"/>
      <c r="U244" s="328"/>
      <c r="X244" s="330"/>
      <c r="Y244" s="330"/>
      <c r="Z244" s="330"/>
      <c r="AA244" s="330"/>
      <c r="AZ244" s="331"/>
      <c r="BA244" s="332"/>
      <c r="BB244" s="334"/>
    </row>
    <row r="245" spans="3:54" s="324" customFormat="1" x14ac:dyDescent="0.5">
      <c r="C245" s="325"/>
      <c r="D245" s="326"/>
      <c r="E245" s="326"/>
      <c r="F245" s="326"/>
      <c r="G245" s="326"/>
      <c r="H245" s="327"/>
      <c r="I245" s="328"/>
      <c r="J245" s="328"/>
      <c r="K245" s="328"/>
      <c r="L245" s="329"/>
      <c r="M245" s="329"/>
      <c r="N245" s="328"/>
      <c r="O245" s="328"/>
      <c r="P245" s="328"/>
      <c r="Q245" s="328"/>
      <c r="R245" s="328"/>
      <c r="S245" s="328"/>
      <c r="T245" s="328"/>
      <c r="U245" s="328"/>
      <c r="X245" s="330"/>
      <c r="Y245" s="330"/>
      <c r="Z245" s="330"/>
      <c r="AA245" s="330"/>
      <c r="AZ245" s="331"/>
      <c r="BA245" s="332"/>
      <c r="BB245" s="334"/>
    </row>
    <row r="246" spans="3:54" s="324" customFormat="1" x14ac:dyDescent="0.5">
      <c r="C246" s="325"/>
      <c r="D246" s="326"/>
      <c r="E246" s="326"/>
      <c r="F246" s="326"/>
      <c r="G246" s="326"/>
      <c r="H246" s="327"/>
      <c r="I246" s="328"/>
      <c r="J246" s="328"/>
      <c r="K246" s="328"/>
      <c r="L246" s="329"/>
      <c r="M246" s="329"/>
      <c r="N246" s="328"/>
      <c r="O246" s="328"/>
      <c r="P246" s="328"/>
      <c r="Q246" s="328"/>
      <c r="R246" s="328"/>
      <c r="S246" s="328"/>
      <c r="T246" s="328"/>
      <c r="U246" s="328"/>
      <c r="X246" s="330"/>
      <c r="Y246" s="330"/>
      <c r="Z246" s="330"/>
      <c r="AA246" s="330"/>
      <c r="AZ246" s="331"/>
      <c r="BA246" s="332"/>
      <c r="BB246" s="334"/>
    </row>
    <row r="247" spans="3:54" s="324" customFormat="1" x14ac:dyDescent="0.5">
      <c r="C247" s="325"/>
      <c r="D247" s="326"/>
      <c r="E247" s="326"/>
      <c r="F247" s="326"/>
      <c r="G247" s="326"/>
      <c r="H247" s="327"/>
      <c r="I247" s="328"/>
      <c r="J247" s="328"/>
      <c r="K247" s="328"/>
      <c r="L247" s="329"/>
      <c r="M247" s="329"/>
      <c r="N247" s="328"/>
      <c r="O247" s="328"/>
      <c r="P247" s="328"/>
      <c r="Q247" s="328"/>
      <c r="R247" s="328"/>
      <c r="S247" s="328"/>
      <c r="T247" s="328"/>
      <c r="U247" s="328"/>
      <c r="X247" s="330"/>
      <c r="Y247" s="330"/>
      <c r="Z247" s="330"/>
      <c r="AA247" s="330"/>
      <c r="AZ247" s="331"/>
      <c r="BA247" s="332"/>
      <c r="BB247" s="334"/>
    </row>
    <row r="248" spans="3:54" s="324" customFormat="1" x14ac:dyDescent="0.5">
      <c r="C248" s="325"/>
      <c r="D248" s="326"/>
      <c r="E248" s="326"/>
      <c r="F248" s="326"/>
      <c r="G248" s="326"/>
      <c r="H248" s="327"/>
      <c r="I248" s="328"/>
      <c r="J248" s="328"/>
      <c r="K248" s="328"/>
      <c r="L248" s="329"/>
      <c r="M248" s="329"/>
      <c r="N248" s="328"/>
      <c r="O248" s="328"/>
      <c r="P248" s="328"/>
      <c r="Q248" s="328"/>
      <c r="R248" s="328"/>
      <c r="S248" s="328"/>
      <c r="T248" s="328"/>
      <c r="U248" s="328"/>
      <c r="X248" s="330"/>
      <c r="Y248" s="330"/>
      <c r="Z248" s="330"/>
      <c r="AA248" s="330"/>
      <c r="AZ248" s="331"/>
      <c r="BA248" s="332"/>
      <c r="BB248" s="334"/>
    </row>
    <row r="249" spans="3:54" s="324" customFormat="1" x14ac:dyDescent="0.5">
      <c r="C249" s="325"/>
      <c r="D249" s="326"/>
      <c r="E249" s="326"/>
      <c r="F249" s="326"/>
      <c r="G249" s="326"/>
      <c r="H249" s="327"/>
      <c r="I249" s="328"/>
      <c r="J249" s="328"/>
      <c r="K249" s="328"/>
      <c r="L249" s="329"/>
      <c r="M249" s="329"/>
      <c r="N249" s="328"/>
      <c r="O249" s="328"/>
      <c r="P249" s="328"/>
      <c r="Q249" s="328"/>
      <c r="R249" s="328"/>
      <c r="S249" s="328"/>
      <c r="T249" s="328"/>
      <c r="U249" s="328"/>
      <c r="X249" s="330"/>
      <c r="Y249" s="330"/>
      <c r="Z249" s="330"/>
      <c r="AA249" s="330"/>
      <c r="AZ249" s="331"/>
      <c r="BA249" s="332"/>
      <c r="BB249" s="334"/>
    </row>
    <row r="250" spans="3:54" s="324" customFormat="1" x14ac:dyDescent="0.5">
      <c r="C250" s="325"/>
      <c r="D250" s="326"/>
      <c r="E250" s="326"/>
      <c r="F250" s="326"/>
      <c r="G250" s="326"/>
      <c r="H250" s="327"/>
      <c r="I250" s="328"/>
      <c r="J250" s="328"/>
      <c r="K250" s="328"/>
      <c r="L250" s="329"/>
      <c r="M250" s="329"/>
      <c r="N250" s="328"/>
      <c r="O250" s="328"/>
      <c r="P250" s="328"/>
      <c r="Q250" s="328"/>
      <c r="R250" s="328"/>
      <c r="S250" s="328"/>
      <c r="T250" s="328"/>
      <c r="U250" s="328"/>
      <c r="X250" s="330"/>
      <c r="Y250" s="330"/>
      <c r="Z250" s="330"/>
      <c r="AA250" s="330"/>
      <c r="AZ250" s="331"/>
      <c r="BA250" s="332"/>
      <c r="BB250" s="334"/>
    </row>
    <row r="251" spans="3:54" s="324" customFormat="1" x14ac:dyDescent="0.5">
      <c r="C251" s="325"/>
      <c r="D251" s="326"/>
      <c r="E251" s="326"/>
      <c r="F251" s="326"/>
      <c r="G251" s="326"/>
      <c r="H251" s="327"/>
      <c r="I251" s="328"/>
      <c r="J251" s="328"/>
      <c r="K251" s="328"/>
      <c r="L251" s="329"/>
      <c r="M251" s="329"/>
      <c r="N251" s="328"/>
      <c r="O251" s="328"/>
      <c r="P251" s="328"/>
      <c r="Q251" s="328"/>
      <c r="R251" s="328"/>
      <c r="S251" s="328"/>
      <c r="T251" s="328"/>
      <c r="U251" s="328"/>
      <c r="X251" s="330"/>
      <c r="Y251" s="330"/>
      <c r="Z251" s="330"/>
      <c r="AA251" s="330"/>
      <c r="AZ251" s="331"/>
      <c r="BA251" s="332"/>
      <c r="BB251" s="334"/>
    </row>
    <row r="252" spans="3:54" s="324" customFormat="1" x14ac:dyDescent="0.5">
      <c r="C252" s="325"/>
      <c r="D252" s="326"/>
      <c r="E252" s="326"/>
      <c r="F252" s="326"/>
      <c r="G252" s="326"/>
      <c r="H252" s="327"/>
      <c r="I252" s="328"/>
      <c r="J252" s="328"/>
      <c r="K252" s="328"/>
      <c r="L252" s="329"/>
      <c r="M252" s="329"/>
      <c r="N252" s="328"/>
      <c r="O252" s="328"/>
      <c r="P252" s="328"/>
      <c r="Q252" s="328"/>
      <c r="R252" s="328"/>
      <c r="S252" s="328"/>
      <c r="T252" s="328"/>
      <c r="U252" s="328"/>
      <c r="X252" s="330"/>
      <c r="Y252" s="330"/>
      <c r="Z252" s="330"/>
      <c r="AA252" s="330"/>
      <c r="AZ252" s="331"/>
      <c r="BA252" s="332"/>
      <c r="BB252" s="334"/>
    </row>
    <row r="253" spans="3:54" s="324" customFormat="1" x14ac:dyDescent="0.5">
      <c r="C253" s="325"/>
      <c r="D253" s="326"/>
      <c r="E253" s="326"/>
      <c r="F253" s="326"/>
      <c r="G253" s="326"/>
      <c r="H253" s="327"/>
      <c r="I253" s="328"/>
      <c r="J253" s="328"/>
      <c r="K253" s="328"/>
      <c r="L253" s="329"/>
      <c r="M253" s="329"/>
      <c r="N253" s="328"/>
      <c r="O253" s="328"/>
      <c r="P253" s="328"/>
      <c r="Q253" s="328"/>
      <c r="R253" s="328"/>
      <c r="S253" s="328"/>
      <c r="T253" s="328"/>
      <c r="U253" s="328"/>
      <c r="X253" s="330"/>
      <c r="Y253" s="330"/>
      <c r="Z253" s="330"/>
      <c r="AA253" s="330"/>
      <c r="AZ253" s="331"/>
      <c r="BA253" s="332"/>
      <c r="BB253" s="334"/>
    </row>
    <row r="254" spans="3:54" s="324" customFormat="1" x14ac:dyDescent="0.5">
      <c r="C254" s="325"/>
      <c r="D254" s="326"/>
      <c r="E254" s="326"/>
      <c r="F254" s="326"/>
      <c r="G254" s="326"/>
      <c r="H254" s="327"/>
      <c r="I254" s="328"/>
      <c r="J254" s="328"/>
      <c r="K254" s="328"/>
      <c r="L254" s="329"/>
      <c r="M254" s="329"/>
      <c r="N254" s="328"/>
      <c r="O254" s="328"/>
      <c r="P254" s="328"/>
      <c r="Q254" s="328"/>
      <c r="R254" s="328"/>
      <c r="S254" s="328"/>
      <c r="T254" s="328"/>
      <c r="U254" s="328"/>
      <c r="X254" s="330"/>
      <c r="Y254" s="330"/>
      <c r="Z254" s="330"/>
      <c r="AA254" s="330"/>
      <c r="AZ254" s="331"/>
      <c r="BA254" s="332"/>
      <c r="BB254" s="334"/>
    </row>
    <row r="255" spans="3:54" s="324" customFormat="1" x14ac:dyDescent="0.5">
      <c r="C255" s="325"/>
      <c r="D255" s="326"/>
      <c r="E255" s="326"/>
      <c r="F255" s="326"/>
      <c r="G255" s="326"/>
      <c r="H255" s="327"/>
      <c r="I255" s="328"/>
      <c r="J255" s="328"/>
      <c r="K255" s="328"/>
      <c r="L255" s="329"/>
      <c r="M255" s="329"/>
      <c r="N255" s="328"/>
      <c r="O255" s="328"/>
      <c r="P255" s="328"/>
      <c r="Q255" s="328"/>
      <c r="R255" s="328"/>
      <c r="S255" s="328"/>
      <c r="T255" s="328"/>
      <c r="U255" s="328"/>
      <c r="X255" s="330"/>
      <c r="Y255" s="330"/>
      <c r="Z255" s="330"/>
      <c r="AA255" s="330"/>
      <c r="AZ255" s="331"/>
      <c r="BA255" s="332"/>
      <c r="BB255" s="334"/>
    </row>
    <row r="256" spans="3:54" s="324" customFormat="1" x14ac:dyDescent="0.5">
      <c r="C256" s="325"/>
      <c r="D256" s="326"/>
      <c r="E256" s="326"/>
      <c r="F256" s="326"/>
      <c r="G256" s="326"/>
      <c r="H256" s="327"/>
      <c r="I256" s="328"/>
      <c r="J256" s="328"/>
      <c r="K256" s="328"/>
      <c r="L256" s="329"/>
      <c r="M256" s="329"/>
      <c r="N256" s="328"/>
      <c r="O256" s="328"/>
      <c r="P256" s="328"/>
      <c r="Q256" s="328"/>
      <c r="R256" s="328"/>
      <c r="S256" s="328"/>
      <c r="T256" s="328"/>
      <c r="U256" s="328"/>
      <c r="X256" s="330"/>
      <c r="Y256" s="330"/>
      <c r="Z256" s="330"/>
      <c r="AA256" s="330"/>
      <c r="AZ256" s="331"/>
      <c r="BA256" s="332"/>
      <c r="BB256" s="334"/>
    </row>
    <row r="257" spans="3:54" s="324" customFormat="1" x14ac:dyDescent="0.5">
      <c r="C257" s="325"/>
      <c r="D257" s="326"/>
      <c r="E257" s="326"/>
      <c r="F257" s="326"/>
      <c r="G257" s="326"/>
      <c r="H257" s="327"/>
      <c r="I257" s="328"/>
      <c r="J257" s="328"/>
      <c r="K257" s="328"/>
      <c r="L257" s="329"/>
      <c r="M257" s="329"/>
      <c r="N257" s="328"/>
      <c r="O257" s="328"/>
      <c r="P257" s="328"/>
      <c r="Q257" s="328"/>
      <c r="R257" s="328"/>
      <c r="S257" s="328"/>
      <c r="T257" s="328"/>
      <c r="U257" s="328"/>
      <c r="X257" s="330"/>
      <c r="Y257" s="330"/>
      <c r="Z257" s="330"/>
      <c r="AA257" s="330"/>
      <c r="AZ257" s="331"/>
      <c r="BA257" s="332"/>
      <c r="BB257" s="334"/>
    </row>
    <row r="258" spans="3:54" s="324" customFormat="1" x14ac:dyDescent="0.5">
      <c r="C258" s="325"/>
      <c r="D258" s="326"/>
      <c r="E258" s="326"/>
      <c r="F258" s="326"/>
      <c r="G258" s="326"/>
      <c r="H258" s="327"/>
      <c r="I258" s="328"/>
      <c r="J258" s="328"/>
      <c r="K258" s="328"/>
      <c r="L258" s="329"/>
      <c r="M258" s="329"/>
      <c r="N258" s="328"/>
      <c r="O258" s="328"/>
      <c r="P258" s="328"/>
      <c r="Q258" s="328"/>
      <c r="R258" s="328"/>
      <c r="S258" s="328"/>
      <c r="T258" s="328"/>
      <c r="U258" s="328"/>
      <c r="X258" s="330"/>
      <c r="Y258" s="330"/>
      <c r="Z258" s="330"/>
      <c r="AA258" s="330"/>
      <c r="AZ258" s="331"/>
      <c r="BA258" s="332"/>
      <c r="BB258" s="334"/>
    </row>
    <row r="259" spans="3:54" s="324" customFormat="1" x14ac:dyDescent="0.5">
      <c r="C259" s="325"/>
      <c r="D259" s="326"/>
      <c r="E259" s="326"/>
      <c r="F259" s="326"/>
      <c r="G259" s="326"/>
      <c r="H259" s="327"/>
      <c r="I259" s="328"/>
      <c r="J259" s="328"/>
      <c r="K259" s="328"/>
      <c r="L259" s="329"/>
      <c r="M259" s="329"/>
      <c r="N259" s="328"/>
      <c r="O259" s="328"/>
      <c r="P259" s="328"/>
      <c r="Q259" s="328"/>
      <c r="R259" s="328"/>
      <c r="S259" s="328"/>
      <c r="T259" s="328"/>
      <c r="U259" s="328"/>
      <c r="X259" s="330"/>
      <c r="Y259" s="330"/>
      <c r="Z259" s="330"/>
      <c r="AA259" s="330"/>
      <c r="AZ259" s="331"/>
      <c r="BA259" s="332"/>
      <c r="BB259" s="334"/>
    </row>
    <row r="260" spans="3:54" s="324" customFormat="1" x14ac:dyDescent="0.5">
      <c r="C260" s="325"/>
      <c r="D260" s="326"/>
      <c r="E260" s="326"/>
      <c r="F260" s="326"/>
      <c r="G260" s="326"/>
      <c r="H260" s="327"/>
      <c r="I260" s="328"/>
      <c r="J260" s="328"/>
      <c r="K260" s="328"/>
      <c r="L260" s="329"/>
      <c r="M260" s="329"/>
      <c r="N260" s="328"/>
      <c r="O260" s="328"/>
      <c r="P260" s="328"/>
      <c r="Q260" s="328"/>
      <c r="R260" s="328"/>
      <c r="S260" s="328"/>
      <c r="T260" s="328"/>
      <c r="U260" s="328"/>
      <c r="X260" s="330"/>
      <c r="Y260" s="330"/>
      <c r="Z260" s="330"/>
      <c r="AA260" s="330"/>
      <c r="AZ260" s="331"/>
      <c r="BA260" s="332"/>
      <c r="BB260" s="334"/>
    </row>
    <row r="261" spans="3:54" s="324" customFormat="1" x14ac:dyDescent="0.5">
      <c r="C261" s="325"/>
      <c r="D261" s="326"/>
      <c r="E261" s="326"/>
      <c r="F261" s="326"/>
      <c r="G261" s="326"/>
      <c r="H261" s="327"/>
      <c r="I261" s="328"/>
      <c r="J261" s="328"/>
      <c r="K261" s="328"/>
      <c r="L261" s="329"/>
      <c r="M261" s="329"/>
      <c r="N261" s="328"/>
      <c r="O261" s="328"/>
      <c r="P261" s="328"/>
      <c r="Q261" s="328"/>
      <c r="R261" s="328"/>
      <c r="S261" s="328"/>
      <c r="T261" s="328"/>
      <c r="U261" s="328"/>
      <c r="X261" s="330"/>
      <c r="Y261" s="330"/>
      <c r="Z261" s="330"/>
      <c r="AA261" s="330"/>
      <c r="AZ261" s="331"/>
      <c r="BA261" s="332"/>
      <c r="BB261" s="334"/>
    </row>
    <row r="262" spans="3:54" s="324" customFormat="1" x14ac:dyDescent="0.5">
      <c r="C262" s="325"/>
      <c r="D262" s="326"/>
      <c r="E262" s="326"/>
      <c r="F262" s="326"/>
      <c r="G262" s="326"/>
      <c r="H262" s="327"/>
      <c r="I262" s="328"/>
      <c r="J262" s="328"/>
      <c r="K262" s="328"/>
      <c r="L262" s="329"/>
      <c r="M262" s="329"/>
      <c r="N262" s="328"/>
      <c r="O262" s="328"/>
      <c r="P262" s="328"/>
      <c r="Q262" s="328"/>
      <c r="R262" s="328"/>
      <c r="S262" s="328"/>
      <c r="T262" s="328"/>
      <c r="U262" s="328"/>
      <c r="X262" s="330"/>
      <c r="Y262" s="330"/>
      <c r="Z262" s="330"/>
      <c r="AA262" s="330"/>
      <c r="AZ262" s="331"/>
      <c r="BA262" s="332"/>
      <c r="BB262" s="334"/>
    </row>
    <row r="263" spans="3:54" s="324" customFormat="1" x14ac:dyDescent="0.5">
      <c r="C263" s="325"/>
      <c r="D263" s="326"/>
      <c r="E263" s="326"/>
      <c r="F263" s="326"/>
      <c r="G263" s="326"/>
      <c r="H263" s="327"/>
      <c r="I263" s="328"/>
      <c r="J263" s="328"/>
      <c r="K263" s="328"/>
      <c r="L263" s="329"/>
      <c r="M263" s="329"/>
      <c r="N263" s="328"/>
      <c r="O263" s="328"/>
      <c r="P263" s="328"/>
      <c r="Q263" s="328"/>
      <c r="R263" s="328"/>
      <c r="S263" s="328"/>
      <c r="T263" s="328"/>
      <c r="U263" s="328"/>
      <c r="X263" s="330"/>
      <c r="Y263" s="330"/>
      <c r="Z263" s="330"/>
      <c r="AA263" s="330"/>
      <c r="AZ263" s="331"/>
      <c r="BA263" s="332"/>
      <c r="BB263" s="334"/>
    </row>
    <row r="264" spans="3:54" s="324" customFormat="1" x14ac:dyDescent="0.5">
      <c r="C264" s="325"/>
      <c r="D264" s="326"/>
      <c r="E264" s="326"/>
      <c r="F264" s="326"/>
      <c r="G264" s="326"/>
      <c r="H264" s="327"/>
      <c r="I264" s="328"/>
      <c r="J264" s="328"/>
      <c r="K264" s="328"/>
      <c r="L264" s="329"/>
      <c r="M264" s="329"/>
      <c r="N264" s="328"/>
      <c r="O264" s="328"/>
      <c r="P264" s="328"/>
      <c r="Q264" s="328"/>
      <c r="R264" s="328"/>
      <c r="S264" s="328"/>
      <c r="T264" s="328"/>
      <c r="U264" s="328"/>
      <c r="X264" s="330"/>
      <c r="Y264" s="330"/>
      <c r="Z264" s="330"/>
      <c r="AA264" s="330"/>
      <c r="AZ264" s="331"/>
      <c r="BA264" s="332"/>
      <c r="BB264" s="334"/>
    </row>
    <row r="265" spans="3:54" s="324" customFormat="1" x14ac:dyDescent="0.5">
      <c r="C265" s="325"/>
      <c r="D265" s="326"/>
      <c r="E265" s="326"/>
      <c r="F265" s="326"/>
      <c r="G265" s="326"/>
      <c r="H265" s="327"/>
      <c r="I265" s="328"/>
      <c r="J265" s="328"/>
      <c r="K265" s="328"/>
      <c r="L265" s="329"/>
      <c r="M265" s="329"/>
      <c r="N265" s="328"/>
      <c r="O265" s="328"/>
      <c r="P265" s="328"/>
      <c r="Q265" s="328"/>
      <c r="R265" s="328"/>
      <c r="S265" s="328"/>
      <c r="T265" s="328"/>
      <c r="U265" s="328"/>
      <c r="X265" s="330"/>
      <c r="Y265" s="330"/>
      <c r="Z265" s="330"/>
      <c r="AA265" s="330"/>
      <c r="AZ265" s="331"/>
      <c r="BA265" s="332"/>
      <c r="BB265" s="334"/>
    </row>
    <row r="266" spans="3:54" s="324" customFormat="1" x14ac:dyDescent="0.5">
      <c r="C266" s="325"/>
      <c r="D266" s="326"/>
      <c r="E266" s="326"/>
      <c r="F266" s="326"/>
      <c r="G266" s="326"/>
      <c r="H266" s="327"/>
      <c r="I266" s="328"/>
      <c r="J266" s="328"/>
      <c r="K266" s="328"/>
      <c r="L266" s="329"/>
      <c r="M266" s="329"/>
      <c r="N266" s="328"/>
      <c r="O266" s="328"/>
      <c r="P266" s="328"/>
      <c r="Q266" s="328"/>
      <c r="R266" s="328"/>
      <c r="S266" s="328"/>
      <c r="T266" s="328"/>
      <c r="U266" s="328"/>
      <c r="X266" s="330"/>
      <c r="Y266" s="330"/>
      <c r="Z266" s="330"/>
      <c r="AA266" s="330"/>
      <c r="AZ266" s="331"/>
      <c r="BA266" s="332"/>
      <c r="BB266" s="334"/>
    </row>
    <row r="267" spans="3:54" s="324" customFormat="1" x14ac:dyDescent="0.5">
      <c r="C267" s="325"/>
      <c r="D267" s="326"/>
      <c r="E267" s="326"/>
      <c r="F267" s="326"/>
      <c r="G267" s="326"/>
      <c r="H267" s="327"/>
      <c r="I267" s="328"/>
      <c r="J267" s="328"/>
      <c r="K267" s="328"/>
      <c r="L267" s="329"/>
      <c r="M267" s="329"/>
      <c r="N267" s="328"/>
      <c r="O267" s="328"/>
      <c r="P267" s="328"/>
      <c r="Q267" s="328"/>
      <c r="R267" s="328"/>
      <c r="S267" s="328"/>
      <c r="T267" s="328"/>
      <c r="U267" s="328"/>
      <c r="X267" s="330"/>
      <c r="Y267" s="330"/>
      <c r="Z267" s="330"/>
      <c r="AA267" s="330"/>
      <c r="AZ267" s="331"/>
      <c r="BA267" s="332"/>
      <c r="BB267" s="334"/>
    </row>
    <row r="268" spans="3:54" s="324" customFormat="1" x14ac:dyDescent="0.5">
      <c r="C268" s="325"/>
      <c r="D268" s="326"/>
      <c r="E268" s="326"/>
      <c r="F268" s="326"/>
      <c r="G268" s="326"/>
      <c r="H268" s="327"/>
      <c r="I268" s="328"/>
      <c r="J268" s="328"/>
      <c r="K268" s="328"/>
      <c r="L268" s="329"/>
      <c r="M268" s="329"/>
      <c r="N268" s="328"/>
      <c r="O268" s="328"/>
      <c r="P268" s="328"/>
      <c r="Q268" s="328"/>
      <c r="R268" s="328"/>
      <c r="S268" s="328"/>
      <c r="T268" s="328"/>
      <c r="U268" s="328"/>
      <c r="X268" s="330"/>
      <c r="Y268" s="330"/>
      <c r="Z268" s="330"/>
      <c r="AA268" s="330"/>
      <c r="AZ268" s="331"/>
      <c r="BA268" s="332"/>
      <c r="BB268" s="334"/>
    </row>
    <row r="269" spans="3:54" s="324" customFormat="1" x14ac:dyDescent="0.5">
      <c r="C269" s="325"/>
      <c r="D269" s="326"/>
      <c r="E269" s="326"/>
      <c r="F269" s="326"/>
      <c r="G269" s="326"/>
      <c r="H269" s="327"/>
      <c r="I269" s="328"/>
      <c r="J269" s="328"/>
      <c r="K269" s="328"/>
      <c r="L269" s="329"/>
      <c r="M269" s="329"/>
      <c r="N269" s="328"/>
      <c r="O269" s="328"/>
      <c r="P269" s="328"/>
      <c r="Q269" s="328"/>
      <c r="R269" s="328"/>
      <c r="S269" s="328"/>
      <c r="T269" s="328"/>
      <c r="U269" s="328"/>
      <c r="X269" s="330"/>
      <c r="Y269" s="330"/>
      <c r="Z269" s="330"/>
      <c r="AA269" s="330"/>
      <c r="AZ269" s="331"/>
      <c r="BA269" s="332"/>
      <c r="BB269" s="334"/>
    </row>
    <row r="270" spans="3:54" s="324" customFormat="1" x14ac:dyDescent="0.5">
      <c r="C270" s="325"/>
      <c r="D270" s="326"/>
      <c r="E270" s="326"/>
      <c r="F270" s="326"/>
      <c r="G270" s="326"/>
      <c r="H270" s="327"/>
      <c r="I270" s="328"/>
      <c r="J270" s="328"/>
      <c r="K270" s="328"/>
      <c r="L270" s="329"/>
      <c r="M270" s="329"/>
      <c r="N270" s="328"/>
      <c r="O270" s="328"/>
      <c r="P270" s="328"/>
      <c r="Q270" s="328"/>
      <c r="R270" s="328"/>
      <c r="S270" s="328"/>
      <c r="T270" s="328"/>
      <c r="U270" s="328"/>
      <c r="X270" s="330"/>
      <c r="Y270" s="330"/>
      <c r="Z270" s="330"/>
      <c r="AA270" s="330"/>
      <c r="AZ270" s="331"/>
      <c r="BA270" s="332"/>
      <c r="BB270" s="334"/>
    </row>
    <row r="271" spans="3:54" s="324" customFormat="1" x14ac:dyDescent="0.5">
      <c r="C271" s="325"/>
      <c r="D271" s="326"/>
      <c r="E271" s="326"/>
      <c r="F271" s="326"/>
      <c r="G271" s="326"/>
      <c r="H271" s="327"/>
      <c r="I271" s="328"/>
      <c r="J271" s="328"/>
      <c r="K271" s="328"/>
      <c r="L271" s="329"/>
      <c r="M271" s="329"/>
      <c r="N271" s="328"/>
      <c r="O271" s="328"/>
      <c r="P271" s="328"/>
      <c r="Q271" s="328"/>
      <c r="R271" s="328"/>
      <c r="S271" s="328"/>
      <c r="T271" s="328"/>
      <c r="U271" s="328"/>
      <c r="X271" s="330"/>
      <c r="Y271" s="330"/>
      <c r="Z271" s="330"/>
      <c r="AA271" s="330"/>
      <c r="AZ271" s="331"/>
      <c r="BA271" s="332"/>
      <c r="BB271" s="334"/>
    </row>
    <row r="272" spans="3:54" s="324" customFormat="1" x14ac:dyDescent="0.5">
      <c r="C272" s="325"/>
      <c r="D272" s="326"/>
      <c r="E272" s="326"/>
      <c r="F272" s="326"/>
      <c r="G272" s="326"/>
      <c r="H272" s="327"/>
      <c r="I272" s="328"/>
      <c r="J272" s="328"/>
      <c r="K272" s="328"/>
      <c r="L272" s="329"/>
      <c r="M272" s="329"/>
      <c r="N272" s="328"/>
      <c r="O272" s="328"/>
      <c r="P272" s="328"/>
      <c r="Q272" s="328"/>
      <c r="R272" s="328"/>
      <c r="S272" s="328"/>
      <c r="T272" s="328"/>
      <c r="U272" s="328"/>
      <c r="X272" s="330"/>
      <c r="Y272" s="330"/>
      <c r="Z272" s="330"/>
      <c r="AA272" s="330"/>
      <c r="AZ272" s="331"/>
      <c r="BA272" s="332"/>
      <c r="BB272" s="334"/>
    </row>
    <row r="273" spans="3:54" s="324" customFormat="1" x14ac:dyDescent="0.5">
      <c r="C273" s="325"/>
      <c r="D273" s="326"/>
      <c r="E273" s="326"/>
      <c r="F273" s="326"/>
      <c r="G273" s="326"/>
      <c r="H273" s="327"/>
      <c r="I273" s="328"/>
      <c r="J273" s="328"/>
      <c r="K273" s="328"/>
      <c r="L273" s="329"/>
      <c r="M273" s="329"/>
      <c r="N273" s="328"/>
      <c r="O273" s="328"/>
      <c r="P273" s="328"/>
      <c r="Q273" s="328"/>
      <c r="R273" s="328"/>
      <c r="S273" s="328"/>
      <c r="T273" s="328"/>
      <c r="U273" s="328"/>
      <c r="X273" s="330"/>
      <c r="Y273" s="330"/>
      <c r="Z273" s="330"/>
      <c r="AA273" s="330"/>
      <c r="AZ273" s="331"/>
      <c r="BA273" s="332"/>
      <c r="BB273" s="334"/>
    </row>
    <row r="274" spans="3:54" s="324" customFormat="1" x14ac:dyDescent="0.5">
      <c r="C274" s="325"/>
      <c r="D274" s="326"/>
      <c r="E274" s="326"/>
      <c r="F274" s="326"/>
      <c r="G274" s="326"/>
      <c r="H274" s="327"/>
      <c r="I274" s="328"/>
      <c r="J274" s="328"/>
      <c r="K274" s="328"/>
      <c r="L274" s="329"/>
      <c r="M274" s="329"/>
      <c r="N274" s="328"/>
      <c r="O274" s="328"/>
      <c r="P274" s="328"/>
      <c r="Q274" s="328"/>
      <c r="R274" s="328"/>
      <c r="S274" s="328"/>
      <c r="T274" s="328"/>
      <c r="U274" s="328"/>
      <c r="X274" s="330"/>
      <c r="Y274" s="330"/>
      <c r="Z274" s="330"/>
      <c r="AA274" s="330"/>
      <c r="AZ274" s="331"/>
      <c r="BA274" s="332"/>
      <c r="BB274" s="334"/>
    </row>
    <row r="275" spans="3:54" s="324" customFormat="1" x14ac:dyDescent="0.5">
      <c r="C275" s="325"/>
      <c r="D275" s="326"/>
      <c r="E275" s="326"/>
      <c r="F275" s="326"/>
      <c r="G275" s="326"/>
      <c r="H275" s="327"/>
      <c r="I275" s="328"/>
      <c r="J275" s="328"/>
      <c r="K275" s="328"/>
      <c r="L275" s="329"/>
      <c r="M275" s="329"/>
      <c r="N275" s="328"/>
      <c r="O275" s="328"/>
      <c r="P275" s="328"/>
      <c r="Q275" s="328"/>
      <c r="R275" s="328"/>
      <c r="S275" s="328"/>
      <c r="T275" s="328"/>
      <c r="U275" s="328"/>
      <c r="X275" s="330"/>
      <c r="Y275" s="330"/>
      <c r="Z275" s="330"/>
      <c r="AA275" s="330"/>
      <c r="AZ275" s="331"/>
      <c r="BA275" s="332"/>
      <c r="BB275" s="334"/>
    </row>
    <row r="276" spans="3:54" s="324" customFormat="1" x14ac:dyDescent="0.5">
      <c r="C276" s="325"/>
      <c r="D276" s="326"/>
      <c r="E276" s="326"/>
      <c r="F276" s="326"/>
      <c r="G276" s="326"/>
      <c r="H276" s="327"/>
      <c r="I276" s="328"/>
      <c r="J276" s="328"/>
      <c r="K276" s="328"/>
      <c r="L276" s="329"/>
      <c r="M276" s="329"/>
      <c r="N276" s="328"/>
      <c r="O276" s="328"/>
      <c r="P276" s="328"/>
      <c r="Q276" s="328"/>
      <c r="R276" s="328"/>
      <c r="S276" s="328"/>
      <c r="T276" s="328"/>
      <c r="U276" s="328"/>
      <c r="X276" s="330"/>
      <c r="Y276" s="330"/>
      <c r="Z276" s="330"/>
      <c r="AA276" s="330"/>
      <c r="AZ276" s="331"/>
      <c r="BA276" s="332"/>
      <c r="BB276" s="334"/>
    </row>
    <row r="277" spans="3:54" s="324" customFormat="1" x14ac:dyDescent="0.5">
      <c r="C277" s="325"/>
      <c r="D277" s="326"/>
      <c r="E277" s="326"/>
      <c r="F277" s="326"/>
      <c r="G277" s="326"/>
      <c r="H277" s="327"/>
      <c r="I277" s="328"/>
      <c r="J277" s="328"/>
      <c r="K277" s="328"/>
      <c r="L277" s="329"/>
      <c r="M277" s="329"/>
      <c r="N277" s="328"/>
      <c r="O277" s="328"/>
      <c r="P277" s="328"/>
      <c r="Q277" s="328"/>
      <c r="R277" s="328"/>
      <c r="S277" s="328"/>
      <c r="T277" s="328"/>
      <c r="U277" s="328"/>
      <c r="X277" s="330"/>
      <c r="Y277" s="330"/>
      <c r="Z277" s="330"/>
      <c r="AA277" s="330"/>
      <c r="AZ277" s="331"/>
      <c r="BA277" s="332"/>
      <c r="BB277" s="334"/>
    </row>
    <row r="278" spans="3:54" s="324" customFormat="1" x14ac:dyDescent="0.5">
      <c r="C278" s="325"/>
      <c r="D278" s="326"/>
      <c r="E278" s="326"/>
      <c r="F278" s="326"/>
      <c r="G278" s="326"/>
      <c r="H278" s="327"/>
      <c r="I278" s="328"/>
      <c r="J278" s="328"/>
      <c r="K278" s="328"/>
      <c r="L278" s="329"/>
      <c r="M278" s="329"/>
      <c r="N278" s="328"/>
      <c r="O278" s="328"/>
      <c r="P278" s="328"/>
      <c r="Q278" s="328"/>
      <c r="R278" s="328"/>
      <c r="S278" s="328"/>
      <c r="T278" s="328"/>
      <c r="U278" s="328"/>
      <c r="X278" s="330"/>
      <c r="Y278" s="330"/>
      <c r="Z278" s="330"/>
      <c r="AA278" s="330"/>
      <c r="AZ278" s="331"/>
      <c r="BA278" s="332"/>
      <c r="BB278" s="334"/>
    </row>
    <row r="279" spans="3:54" s="324" customFormat="1" x14ac:dyDescent="0.5">
      <c r="C279" s="325"/>
      <c r="D279" s="326"/>
      <c r="E279" s="326"/>
      <c r="F279" s="326"/>
      <c r="G279" s="326"/>
      <c r="H279" s="327"/>
      <c r="I279" s="328"/>
      <c r="J279" s="328"/>
      <c r="K279" s="328"/>
      <c r="L279" s="329"/>
      <c r="M279" s="329"/>
      <c r="N279" s="328"/>
      <c r="O279" s="328"/>
      <c r="P279" s="328"/>
      <c r="Q279" s="328"/>
      <c r="R279" s="328"/>
      <c r="S279" s="328"/>
      <c r="T279" s="328"/>
      <c r="U279" s="328"/>
      <c r="X279" s="330"/>
      <c r="Y279" s="330"/>
      <c r="Z279" s="330"/>
      <c r="AA279" s="330"/>
      <c r="AZ279" s="331"/>
      <c r="BA279" s="332"/>
      <c r="BB279" s="334"/>
    </row>
    <row r="280" spans="3:54" s="324" customFormat="1" x14ac:dyDescent="0.5">
      <c r="C280" s="325"/>
      <c r="D280" s="326"/>
      <c r="E280" s="326"/>
      <c r="F280" s="326"/>
      <c r="G280" s="326"/>
      <c r="H280" s="327"/>
      <c r="I280" s="328"/>
      <c r="J280" s="328"/>
      <c r="K280" s="328"/>
      <c r="L280" s="329"/>
      <c r="M280" s="329"/>
      <c r="N280" s="328"/>
      <c r="O280" s="328"/>
      <c r="P280" s="328"/>
      <c r="Q280" s="328"/>
      <c r="R280" s="328"/>
      <c r="S280" s="328"/>
      <c r="T280" s="328"/>
      <c r="U280" s="328"/>
      <c r="X280" s="330"/>
      <c r="Y280" s="330"/>
      <c r="Z280" s="330"/>
      <c r="AA280" s="330"/>
      <c r="AZ280" s="331"/>
      <c r="BA280" s="332"/>
      <c r="BB280" s="334"/>
    </row>
    <row r="281" spans="3:54" s="324" customFormat="1" x14ac:dyDescent="0.5">
      <c r="C281" s="325"/>
      <c r="D281" s="326"/>
      <c r="E281" s="326"/>
      <c r="F281" s="326"/>
      <c r="G281" s="326"/>
      <c r="H281" s="327"/>
      <c r="I281" s="328"/>
      <c r="J281" s="328"/>
      <c r="K281" s="328"/>
      <c r="L281" s="329"/>
      <c r="M281" s="329"/>
      <c r="N281" s="328"/>
      <c r="O281" s="328"/>
      <c r="P281" s="328"/>
      <c r="Q281" s="328"/>
      <c r="R281" s="328"/>
      <c r="S281" s="328"/>
      <c r="T281" s="328"/>
      <c r="U281" s="328"/>
      <c r="X281" s="330"/>
      <c r="Y281" s="330"/>
      <c r="Z281" s="330"/>
      <c r="AA281" s="330"/>
      <c r="AZ281" s="331"/>
      <c r="BA281" s="332"/>
      <c r="BB281" s="334"/>
    </row>
    <row r="282" spans="3:54" s="324" customFormat="1" x14ac:dyDescent="0.5">
      <c r="C282" s="325"/>
      <c r="D282" s="326"/>
      <c r="E282" s="326"/>
      <c r="F282" s="326"/>
      <c r="G282" s="326"/>
      <c r="H282" s="327"/>
      <c r="I282" s="328"/>
      <c r="J282" s="328"/>
      <c r="K282" s="328"/>
      <c r="L282" s="329"/>
      <c r="M282" s="329"/>
      <c r="N282" s="328"/>
      <c r="O282" s="328"/>
      <c r="P282" s="328"/>
      <c r="Q282" s="328"/>
      <c r="R282" s="328"/>
      <c r="S282" s="328"/>
      <c r="T282" s="328"/>
      <c r="U282" s="328"/>
      <c r="X282" s="330"/>
      <c r="Y282" s="330"/>
      <c r="Z282" s="330"/>
      <c r="AA282" s="330"/>
      <c r="AZ282" s="331"/>
      <c r="BA282" s="332"/>
      <c r="BB282" s="334"/>
    </row>
    <row r="283" spans="3:54" s="324" customFormat="1" x14ac:dyDescent="0.5">
      <c r="C283" s="325"/>
      <c r="D283" s="326"/>
      <c r="E283" s="326"/>
      <c r="F283" s="326"/>
      <c r="G283" s="326"/>
      <c r="H283" s="327"/>
      <c r="I283" s="328"/>
      <c r="J283" s="328"/>
      <c r="K283" s="328"/>
      <c r="L283" s="329"/>
      <c r="M283" s="329"/>
      <c r="N283" s="328"/>
      <c r="O283" s="328"/>
      <c r="P283" s="328"/>
      <c r="Q283" s="328"/>
      <c r="R283" s="328"/>
      <c r="S283" s="328"/>
      <c r="T283" s="328"/>
      <c r="U283" s="328"/>
      <c r="X283" s="330"/>
      <c r="Y283" s="330"/>
      <c r="Z283" s="330"/>
      <c r="AA283" s="330"/>
      <c r="AZ283" s="331"/>
      <c r="BA283" s="332"/>
      <c r="BB283" s="334"/>
    </row>
    <row r="284" spans="3:54" s="324" customFormat="1" x14ac:dyDescent="0.5">
      <c r="C284" s="325"/>
      <c r="D284" s="326"/>
      <c r="E284" s="326"/>
      <c r="F284" s="326"/>
      <c r="G284" s="326"/>
      <c r="H284" s="327"/>
      <c r="I284" s="328"/>
      <c r="J284" s="328"/>
      <c r="K284" s="328"/>
      <c r="L284" s="329"/>
      <c r="M284" s="329"/>
      <c r="N284" s="328"/>
      <c r="O284" s="328"/>
      <c r="P284" s="328"/>
      <c r="Q284" s="328"/>
      <c r="R284" s="328"/>
      <c r="S284" s="328"/>
      <c r="T284" s="328"/>
      <c r="U284" s="328"/>
      <c r="X284" s="330"/>
      <c r="Y284" s="330"/>
      <c r="Z284" s="330"/>
      <c r="AA284" s="330"/>
      <c r="AZ284" s="331"/>
      <c r="BA284" s="332"/>
      <c r="BB284" s="334"/>
    </row>
    <row r="285" spans="3:54" s="324" customFormat="1" x14ac:dyDescent="0.5">
      <c r="C285" s="325"/>
      <c r="D285" s="326"/>
      <c r="E285" s="326"/>
      <c r="F285" s="326"/>
      <c r="G285" s="326"/>
      <c r="H285" s="327"/>
      <c r="I285" s="328"/>
      <c r="J285" s="328"/>
      <c r="K285" s="328"/>
      <c r="L285" s="329"/>
      <c r="M285" s="329"/>
      <c r="N285" s="328"/>
      <c r="O285" s="328"/>
      <c r="P285" s="328"/>
      <c r="Q285" s="328"/>
      <c r="R285" s="328"/>
      <c r="S285" s="328"/>
      <c r="T285" s="328"/>
      <c r="U285" s="328"/>
      <c r="X285" s="330"/>
      <c r="Y285" s="330"/>
      <c r="Z285" s="330"/>
      <c r="AA285" s="330"/>
      <c r="AZ285" s="331"/>
      <c r="BA285" s="332"/>
      <c r="BB285" s="334"/>
    </row>
    <row r="286" spans="3:54" s="324" customFormat="1" x14ac:dyDescent="0.5">
      <c r="C286" s="325"/>
      <c r="D286" s="326"/>
      <c r="E286" s="326"/>
      <c r="F286" s="326"/>
      <c r="G286" s="326"/>
      <c r="H286" s="327"/>
      <c r="I286" s="328"/>
      <c r="J286" s="328"/>
      <c r="K286" s="328"/>
      <c r="L286" s="329"/>
      <c r="M286" s="329"/>
      <c r="N286" s="328"/>
      <c r="O286" s="328"/>
      <c r="P286" s="328"/>
      <c r="Q286" s="328"/>
      <c r="R286" s="328"/>
      <c r="S286" s="328"/>
      <c r="T286" s="328"/>
      <c r="U286" s="328"/>
      <c r="X286" s="330"/>
      <c r="Y286" s="330"/>
      <c r="Z286" s="330"/>
      <c r="AA286" s="330"/>
      <c r="AZ286" s="331"/>
      <c r="BA286" s="332"/>
      <c r="BB286" s="334"/>
    </row>
    <row r="287" spans="3:54" s="324" customFormat="1" x14ac:dyDescent="0.5">
      <c r="C287" s="325"/>
      <c r="D287" s="326"/>
      <c r="E287" s="326"/>
      <c r="F287" s="326"/>
      <c r="G287" s="326"/>
      <c r="H287" s="327"/>
      <c r="I287" s="328"/>
      <c r="J287" s="328"/>
      <c r="K287" s="328"/>
      <c r="L287" s="329"/>
      <c r="M287" s="329"/>
      <c r="N287" s="328"/>
      <c r="O287" s="328"/>
      <c r="P287" s="328"/>
      <c r="Q287" s="328"/>
      <c r="R287" s="328"/>
      <c r="S287" s="328"/>
      <c r="T287" s="328"/>
      <c r="U287" s="328"/>
      <c r="X287" s="330"/>
      <c r="Y287" s="330"/>
      <c r="Z287" s="330"/>
      <c r="AA287" s="330"/>
      <c r="AZ287" s="331"/>
      <c r="BA287" s="332"/>
      <c r="BB287" s="334"/>
    </row>
    <row r="288" spans="3:54" s="324" customFormat="1" x14ac:dyDescent="0.5">
      <c r="C288" s="325"/>
      <c r="D288" s="326"/>
      <c r="E288" s="326"/>
      <c r="F288" s="326"/>
      <c r="G288" s="326"/>
      <c r="H288" s="327"/>
      <c r="I288" s="328"/>
      <c r="J288" s="328"/>
      <c r="K288" s="328"/>
      <c r="L288" s="329"/>
      <c r="M288" s="329"/>
      <c r="N288" s="328"/>
      <c r="O288" s="328"/>
      <c r="P288" s="328"/>
      <c r="Q288" s="328"/>
      <c r="R288" s="328"/>
      <c r="S288" s="328"/>
      <c r="T288" s="328"/>
      <c r="U288" s="328"/>
      <c r="X288" s="330"/>
      <c r="Y288" s="330"/>
      <c r="Z288" s="330"/>
      <c r="AA288" s="330"/>
      <c r="AZ288" s="331"/>
      <c r="BA288" s="332"/>
      <c r="BB288" s="334"/>
    </row>
    <row r="289" spans="3:54" s="324" customFormat="1" x14ac:dyDescent="0.5">
      <c r="C289" s="325"/>
      <c r="D289" s="326"/>
      <c r="E289" s="326"/>
      <c r="F289" s="326"/>
      <c r="G289" s="326"/>
      <c r="H289" s="327"/>
      <c r="I289" s="328"/>
      <c r="J289" s="328"/>
      <c r="K289" s="328"/>
      <c r="L289" s="329"/>
      <c r="M289" s="329"/>
      <c r="N289" s="328"/>
      <c r="O289" s="328"/>
      <c r="P289" s="328"/>
      <c r="Q289" s="328"/>
      <c r="R289" s="328"/>
      <c r="S289" s="328"/>
      <c r="T289" s="328"/>
      <c r="U289" s="328"/>
      <c r="X289" s="330"/>
      <c r="Y289" s="330"/>
      <c r="Z289" s="330"/>
      <c r="AA289" s="330"/>
      <c r="AZ289" s="331"/>
      <c r="BA289" s="332"/>
      <c r="BB289" s="334"/>
    </row>
    <row r="290" spans="3:54" s="324" customFormat="1" x14ac:dyDescent="0.5">
      <c r="C290" s="325"/>
      <c r="D290" s="326"/>
      <c r="E290" s="326"/>
      <c r="F290" s="326"/>
      <c r="G290" s="326"/>
      <c r="H290" s="327"/>
      <c r="I290" s="328"/>
      <c r="J290" s="328"/>
      <c r="K290" s="328"/>
      <c r="L290" s="329"/>
      <c r="M290" s="329"/>
      <c r="N290" s="328"/>
      <c r="O290" s="328"/>
      <c r="P290" s="328"/>
      <c r="Q290" s="328"/>
      <c r="R290" s="328"/>
      <c r="S290" s="328"/>
      <c r="T290" s="328"/>
      <c r="U290" s="328"/>
      <c r="X290" s="330"/>
      <c r="Y290" s="330"/>
      <c r="Z290" s="330"/>
      <c r="AA290" s="330"/>
      <c r="AZ290" s="331"/>
      <c r="BA290" s="332"/>
      <c r="BB290" s="334"/>
    </row>
    <row r="291" spans="3:54" s="324" customFormat="1" x14ac:dyDescent="0.5">
      <c r="C291" s="325"/>
      <c r="D291" s="326"/>
      <c r="E291" s="326"/>
      <c r="F291" s="326"/>
      <c r="G291" s="326"/>
      <c r="H291" s="327"/>
      <c r="I291" s="328"/>
      <c r="J291" s="328"/>
      <c r="K291" s="328"/>
      <c r="L291" s="329"/>
      <c r="M291" s="329"/>
      <c r="N291" s="328"/>
      <c r="O291" s="328"/>
      <c r="P291" s="328"/>
      <c r="Q291" s="328"/>
      <c r="R291" s="328"/>
      <c r="S291" s="328"/>
      <c r="T291" s="328"/>
      <c r="U291" s="328"/>
      <c r="X291" s="330"/>
      <c r="Y291" s="330"/>
      <c r="Z291" s="330"/>
      <c r="AA291" s="330"/>
      <c r="AZ291" s="331"/>
      <c r="BA291" s="332"/>
      <c r="BB291" s="334"/>
    </row>
    <row r="292" spans="3:54" s="324" customFormat="1" x14ac:dyDescent="0.5">
      <c r="C292" s="325"/>
      <c r="D292" s="326"/>
      <c r="E292" s="326"/>
      <c r="F292" s="326"/>
      <c r="G292" s="326"/>
      <c r="H292" s="327"/>
      <c r="I292" s="328"/>
      <c r="J292" s="328"/>
      <c r="K292" s="328"/>
      <c r="L292" s="329"/>
      <c r="M292" s="329"/>
      <c r="N292" s="328"/>
      <c r="O292" s="328"/>
      <c r="P292" s="328"/>
      <c r="Q292" s="328"/>
      <c r="R292" s="328"/>
      <c r="S292" s="328"/>
      <c r="T292" s="328"/>
      <c r="U292" s="328"/>
      <c r="X292" s="330"/>
      <c r="Y292" s="330"/>
      <c r="Z292" s="330"/>
      <c r="AA292" s="330"/>
      <c r="AZ292" s="331"/>
      <c r="BA292" s="332"/>
      <c r="BB292" s="334"/>
    </row>
    <row r="293" spans="3:54" s="324" customFormat="1" x14ac:dyDescent="0.5">
      <c r="C293" s="325"/>
      <c r="D293" s="326"/>
      <c r="E293" s="326"/>
      <c r="F293" s="326"/>
      <c r="G293" s="326"/>
      <c r="H293" s="327"/>
      <c r="I293" s="328"/>
      <c r="J293" s="328"/>
      <c r="K293" s="328"/>
      <c r="L293" s="329"/>
      <c r="M293" s="329"/>
      <c r="N293" s="328"/>
      <c r="O293" s="328"/>
      <c r="P293" s="328"/>
      <c r="Q293" s="328"/>
      <c r="R293" s="328"/>
      <c r="S293" s="328"/>
      <c r="T293" s="328"/>
      <c r="U293" s="328"/>
      <c r="X293" s="330"/>
      <c r="Y293" s="330"/>
      <c r="Z293" s="330"/>
      <c r="AA293" s="330"/>
      <c r="AZ293" s="331"/>
      <c r="BA293" s="332"/>
      <c r="BB293" s="334"/>
    </row>
    <row r="294" spans="3:54" s="324" customFormat="1" x14ac:dyDescent="0.5">
      <c r="C294" s="325"/>
      <c r="D294" s="326"/>
      <c r="E294" s="326"/>
      <c r="F294" s="326"/>
      <c r="G294" s="326"/>
      <c r="H294" s="327"/>
      <c r="I294" s="328"/>
      <c r="J294" s="328"/>
      <c r="K294" s="328"/>
      <c r="L294" s="329"/>
      <c r="M294" s="329"/>
      <c r="N294" s="328"/>
      <c r="O294" s="328"/>
      <c r="P294" s="328"/>
      <c r="Q294" s="328"/>
      <c r="R294" s="328"/>
      <c r="S294" s="328"/>
      <c r="T294" s="328"/>
      <c r="U294" s="328"/>
      <c r="X294" s="330"/>
      <c r="Y294" s="330"/>
      <c r="Z294" s="330"/>
      <c r="AA294" s="330"/>
      <c r="AZ294" s="331"/>
      <c r="BA294" s="332"/>
      <c r="BB294" s="334"/>
    </row>
    <row r="295" spans="3:54" s="324" customFormat="1" x14ac:dyDescent="0.5">
      <c r="C295" s="325"/>
      <c r="D295" s="326"/>
      <c r="E295" s="326"/>
      <c r="F295" s="326"/>
      <c r="G295" s="326"/>
      <c r="H295" s="327"/>
      <c r="I295" s="328"/>
      <c r="J295" s="328"/>
      <c r="K295" s="328"/>
      <c r="L295" s="329"/>
      <c r="M295" s="329"/>
      <c r="N295" s="328"/>
      <c r="O295" s="328"/>
      <c r="P295" s="328"/>
      <c r="Q295" s="328"/>
      <c r="R295" s="328"/>
      <c r="S295" s="328"/>
      <c r="T295" s="328"/>
      <c r="U295" s="328"/>
      <c r="X295" s="330"/>
      <c r="Y295" s="330"/>
      <c r="Z295" s="330"/>
      <c r="AA295" s="330"/>
      <c r="AZ295" s="331"/>
      <c r="BA295" s="332"/>
      <c r="BB295" s="334"/>
    </row>
    <row r="296" spans="3:54" s="324" customFormat="1" x14ac:dyDescent="0.5">
      <c r="C296" s="325"/>
      <c r="D296" s="326"/>
      <c r="E296" s="326"/>
      <c r="F296" s="326"/>
      <c r="G296" s="326"/>
      <c r="H296" s="327"/>
      <c r="I296" s="328"/>
      <c r="J296" s="328"/>
      <c r="K296" s="328"/>
      <c r="L296" s="329"/>
      <c r="M296" s="329"/>
      <c r="N296" s="328"/>
      <c r="O296" s="328"/>
      <c r="P296" s="328"/>
      <c r="Q296" s="328"/>
      <c r="R296" s="328"/>
      <c r="S296" s="328"/>
      <c r="T296" s="328"/>
      <c r="U296" s="328"/>
      <c r="X296" s="330"/>
      <c r="Y296" s="330"/>
      <c r="Z296" s="330"/>
      <c r="AA296" s="330"/>
      <c r="AZ296" s="331"/>
      <c r="BA296" s="332"/>
      <c r="BB296" s="334"/>
    </row>
    <row r="297" spans="3:54" s="324" customFormat="1" x14ac:dyDescent="0.5">
      <c r="C297" s="325"/>
      <c r="D297" s="326"/>
      <c r="E297" s="326"/>
      <c r="F297" s="326"/>
      <c r="G297" s="326"/>
      <c r="H297" s="327"/>
      <c r="I297" s="328"/>
      <c r="J297" s="328"/>
      <c r="K297" s="328"/>
      <c r="L297" s="329"/>
      <c r="M297" s="329"/>
      <c r="N297" s="328"/>
      <c r="O297" s="328"/>
      <c r="P297" s="328"/>
      <c r="Q297" s="328"/>
      <c r="R297" s="328"/>
      <c r="S297" s="328"/>
      <c r="T297" s="328"/>
      <c r="U297" s="328"/>
      <c r="X297" s="330"/>
      <c r="Y297" s="330"/>
      <c r="Z297" s="330"/>
      <c r="AA297" s="330"/>
      <c r="AZ297" s="331"/>
      <c r="BA297" s="332"/>
      <c r="BB297" s="334"/>
    </row>
    <row r="298" spans="3:54" s="324" customFormat="1" x14ac:dyDescent="0.5">
      <c r="C298" s="325"/>
      <c r="D298" s="326"/>
      <c r="E298" s="326"/>
      <c r="F298" s="326"/>
      <c r="G298" s="326"/>
      <c r="H298" s="327"/>
      <c r="I298" s="328"/>
      <c r="J298" s="328"/>
      <c r="K298" s="328"/>
      <c r="L298" s="329"/>
      <c r="M298" s="329"/>
      <c r="N298" s="328"/>
      <c r="O298" s="328"/>
      <c r="P298" s="328"/>
      <c r="Q298" s="328"/>
      <c r="R298" s="328"/>
      <c r="S298" s="328"/>
      <c r="T298" s="328"/>
      <c r="U298" s="328"/>
      <c r="X298" s="330"/>
      <c r="Y298" s="330"/>
      <c r="Z298" s="330"/>
      <c r="AA298" s="330"/>
      <c r="AZ298" s="331"/>
      <c r="BA298" s="332"/>
      <c r="BB298" s="334"/>
    </row>
    <row r="299" spans="3:54" s="324" customFormat="1" x14ac:dyDescent="0.5">
      <c r="C299" s="325"/>
      <c r="D299" s="326"/>
      <c r="E299" s="326"/>
      <c r="F299" s="326"/>
      <c r="G299" s="326"/>
      <c r="H299" s="327"/>
      <c r="I299" s="328"/>
      <c r="J299" s="328"/>
      <c r="K299" s="328"/>
      <c r="L299" s="329"/>
      <c r="M299" s="329"/>
      <c r="N299" s="328"/>
      <c r="O299" s="328"/>
      <c r="P299" s="328"/>
      <c r="Q299" s="328"/>
      <c r="R299" s="328"/>
      <c r="S299" s="328"/>
      <c r="T299" s="328"/>
      <c r="U299" s="328"/>
      <c r="X299" s="330"/>
      <c r="Y299" s="330"/>
      <c r="Z299" s="330"/>
      <c r="AA299" s="330"/>
      <c r="AZ299" s="331"/>
      <c r="BA299" s="332"/>
      <c r="BB299" s="334"/>
    </row>
    <row r="300" spans="3:54" s="324" customFormat="1" x14ac:dyDescent="0.5">
      <c r="C300" s="325"/>
      <c r="D300" s="326"/>
      <c r="E300" s="326"/>
      <c r="F300" s="326"/>
      <c r="G300" s="326"/>
      <c r="H300" s="327"/>
      <c r="I300" s="328"/>
      <c r="J300" s="328"/>
      <c r="K300" s="328"/>
      <c r="L300" s="329"/>
      <c r="M300" s="329"/>
      <c r="N300" s="328"/>
      <c r="O300" s="328"/>
      <c r="P300" s="328"/>
      <c r="Q300" s="328"/>
      <c r="R300" s="328"/>
      <c r="S300" s="328"/>
      <c r="T300" s="328"/>
      <c r="U300" s="328"/>
      <c r="X300" s="330"/>
      <c r="Y300" s="330"/>
      <c r="Z300" s="330"/>
      <c r="AA300" s="330"/>
      <c r="AZ300" s="331"/>
      <c r="BA300" s="332"/>
      <c r="BB300" s="334"/>
    </row>
    <row r="301" spans="3:54" s="324" customFormat="1" x14ac:dyDescent="0.5">
      <c r="C301" s="325"/>
      <c r="D301" s="326"/>
      <c r="E301" s="326"/>
      <c r="F301" s="326"/>
      <c r="G301" s="326"/>
      <c r="H301" s="327"/>
      <c r="I301" s="328"/>
      <c r="J301" s="328"/>
      <c r="K301" s="328"/>
      <c r="L301" s="329"/>
      <c r="M301" s="329"/>
      <c r="N301" s="328"/>
      <c r="O301" s="328"/>
      <c r="P301" s="328"/>
      <c r="Q301" s="328"/>
      <c r="R301" s="328"/>
      <c r="S301" s="328"/>
      <c r="T301" s="328"/>
      <c r="U301" s="328"/>
      <c r="X301" s="330"/>
      <c r="Y301" s="330"/>
      <c r="Z301" s="330"/>
      <c r="AA301" s="330"/>
      <c r="AZ301" s="331"/>
      <c r="BA301" s="332"/>
      <c r="BB301" s="334"/>
    </row>
    <row r="302" spans="3:54" s="324" customFormat="1" x14ac:dyDescent="0.5">
      <c r="C302" s="325"/>
      <c r="D302" s="326"/>
      <c r="E302" s="326"/>
      <c r="F302" s="326"/>
      <c r="G302" s="326"/>
      <c r="H302" s="327"/>
      <c r="I302" s="328"/>
      <c r="J302" s="328"/>
      <c r="K302" s="328"/>
      <c r="L302" s="329"/>
      <c r="M302" s="329"/>
      <c r="N302" s="328"/>
      <c r="O302" s="328"/>
      <c r="P302" s="328"/>
      <c r="Q302" s="328"/>
      <c r="R302" s="328"/>
      <c r="S302" s="328"/>
      <c r="T302" s="328"/>
      <c r="U302" s="328"/>
      <c r="X302" s="330"/>
      <c r="Y302" s="330"/>
      <c r="Z302" s="330"/>
      <c r="AA302" s="330"/>
      <c r="AZ302" s="331"/>
      <c r="BA302" s="332"/>
      <c r="BB302" s="334"/>
    </row>
    <row r="303" spans="3:54" s="324" customFormat="1" x14ac:dyDescent="0.5">
      <c r="C303" s="325"/>
      <c r="D303" s="326"/>
      <c r="E303" s="326"/>
      <c r="F303" s="326"/>
      <c r="G303" s="326"/>
      <c r="H303" s="327"/>
      <c r="I303" s="328"/>
      <c r="J303" s="328"/>
      <c r="K303" s="328"/>
      <c r="L303" s="329"/>
      <c r="M303" s="329"/>
      <c r="N303" s="328"/>
      <c r="O303" s="328"/>
      <c r="P303" s="328"/>
      <c r="Q303" s="328"/>
      <c r="R303" s="328"/>
      <c r="S303" s="328"/>
      <c r="T303" s="328"/>
      <c r="U303" s="328"/>
      <c r="X303" s="330"/>
      <c r="Y303" s="330"/>
      <c r="Z303" s="330"/>
      <c r="AA303" s="330"/>
      <c r="AZ303" s="331"/>
      <c r="BA303" s="332"/>
      <c r="BB303" s="334"/>
    </row>
    <row r="304" spans="3:54" s="324" customFormat="1" x14ac:dyDescent="0.5">
      <c r="C304" s="325"/>
      <c r="D304" s="326"/>
      <c r="E304" s="326"/>
      <c r="F304" s="326"/>
      <c r="G304" s="326"/>
      <c r="H304" s="327"/>
      <c r="I304" s="328"/>
      <c r="J304" s="328"/>
      <c r="K304" s="328"/>
      <c r="L304" s="329"/>
      <c r="M304" s="329"/>
      <c r="N304" s="328"/>
      <c r="O304" s="328"/>
      <c r="P304" s="328"/>
      <c r="Q304" s="328"/>
      <c r="R304" s="328"/>
      <c r="S304" s="328"/>
      <c r="T304" s="328"/>
      <c r="U304" s="328"/>
      <c r="X304" s="330"/>
      <c r="Y304" s="330"/>
      <c r="Z304" s="330"/>
      <c r="AA304" s="330"/>
      <c r="AZ304" s="331"/>
      <c r="BA304" s="332"/>
      <c r="BB304" s="334"/>
    </row>
    <row r="305" spans="3:54" s="324" customFormat="1" x14ac:dyDescent="0.5">
      <c r="C305" s="325"/>
      <c r="D305" s="326"/>
      <c r="E305" s="326"/>
      <c r="F305" s="326"/>
      <c r="G305" s="326"/>
      <c r="H305" s="327"/>
      <c r="I305" s="328"/>
      <c r="J305" s="328"/>
      <c r="K305" s="328"/>
      <c r="L305" s="329"/>
      <c r="M305" s="329"/>
      <c r="N305" s="328"/>
      <c r="O305" s="328"/>
      <c r="P305" s="328"/>
      <c r="Q305" s="328"/>
      <c r="R305" s="328"/>
      <c r="S305" s="328"/>
      <c r="T305" s="328"/>
      <c r="U305" s="328"/>
      <c r="X305" s="330"/>
      <c r="Y305" s="330"/>
      <c r="Z305" s="330"/>
      <c r="AA305" s="330"/>
      <c r="AZ305" s="331"/>
      <c r="BA305" s="332"/>
      <c r="BB305" s="334"/>
    </row>
    <row r="306" spans="3:54" s="324" customFormat="1" x14ac:dyDescent="0.5">
      <c r="C306" s="325"/>
      <c r="D306" s="326"/>
      <c r="E306" s="326"/>
      <c r="F306" s="326"/>
      <c r="G306" s="326"/>
      <c r="H306" s="327"/>
      <c r="I306" s="328"/>
      <c r="J306" s="328"/>
      <c r="K306" s="328"/>
      <c r="L306" s="329"/>
      <c r="M306" s="329"/>
      <c r="N306" s="328"/>
      <c r="O306" s="328"/>
      <c r="P306" s="328"/>
      <c r="Q306" s="328"/>
      <c r="R306" s="328"/>
      <c r="S306" s="328"/>
      <c r="T306" s="328"/>
      <c r="U306" s="328"/>
      <c r="X306" s="330"/>
      <c r="Y306" s="330"/>
      <c r="Z306" s="330"/>
      <c r="AA306" s="330"/>
      <c r="AZ306" s="331"/>
      <c r="BA306" s="332"/>
      <c r="BB306" s="334"/>
    </row>
    <row r="307" spans="3:54" s="324" customFormat="1" x14ac:dyDescent="0.5">
      <c r="C307" s="325"/>
      <c r="D307" s="326"/>
      <c r="E307" s="326"/>
      <c r="F307" s="326"/>
      <c r="G307" s="326"/>
      <c r="H307" s="327"/>
      <c r="I307" s="328"/>
      <c r="J307" s="328"/>
      <c r="K307" s="328"/>
      <c r="L307" s="329"/>
      <c r="M307" s="329"/>
      <c r="N307" s="328"/>
      <c r="O307" s="328"/>
      <c r="P307" s="328"/>
      <c r="Q307" s="328"/>
      <c r="R307" s="328"/>
      <c r="S307" s="328"/>
      <c r="T307" s="328"/>
      <c r="U307" s="328"/>
      <c r="X307" s="330"/>
      <c r="Y307" s="330"/>
      <c r="Z307" s="330"/>
      <c r="AA307" s="330"/>
      <c r="AZ307" s="331"/>
      <c r="BA307" s="332"/>
      <c r="BB307" s="334"/>
    </row>
    <row r="308" spans="3:54" s="324" customFormat="1" x14ac:dyDescent="0.5">
      <c r="C308" s="325"/>
      <c r="D308" s="326"/>
      <c r="E308" s="326"/>
      <c r="F308" s="326"/>
      <c r="G308" s="326"/>
      <c r="H308" s="327"/>
      <c r="I308" s="328"/>
      <c r="J308" s="328"/>
      <c r="K308" s="328"/>
      <c r="L308" s="329"/>
      <c r="M308" s="329"/>
      <c r="N308" s="328"/>
      <c r="O308" s="328"/>
      <c r="P308" s="328"/>
      <c r="Q308" s="328"/>
      <c r="R308" s="328"/>
      <c r="S308" s="328"/>
      <c r="T308" s="328"/>
      <c r="U308" s="328"/>
      <c r="X308" s="330"/>
      <c r="Y308" s="330"/>
      <c r="Z308" s="330"/>
      <c r="AA308" s="330"/>
      <c r="AZ308" s="331"/>
      <c r="BA308" s="332"/>
      <c r="BB308" s="334"/>
    </row>
    <row r="309" spans="3:54" s="324" customFormat="1" x14ac:dyDescent="0.5">
      <c r="C309" s="325"/>
      <c r="D309" s="326"/>
      <c r="E309" s="326"/>
      <c r="F309" s="326"/>
      <c r="G309" s="326"/>
      <c r="H309" s="327"/>
      <c r="I309" s="328"/>
      <c r="J309" s="328"/>
      <c r="K309" s="328"/>
      <c r="L309" s="329"/>
      <c r="M309" s="329"/>
      <c r="N309" s="328"/>
      <c r="O309" s="328"/>
      <c r="P309" s="328"/>
      <c r="Q309" s="328"/>
      <c r="R309" s="328"/>
      <c r="S309" s="328"/>
      <c r="T309" s="328"/>
      <c r="U309" s="328"/>
      <c r="X309" s="330"/>
      <c r="Y309" s="330"/>
      <c r="Z309" s="330"/>
      <c r="AA309" s="330"/>
      <c r="AZ309" s="331"/>
      <c r="BA309" s="332"/>
      <c r="BB309" s="334"/>
    </row>
    <row r="310" spans="3:54" s="324" customFormat="1" x14ac:dyDescent="0.5">
      <c r="C310" s="325"/>
      <c r="D310" s="326"/>
      <c r="E310" s="326"/>
      <c r="F310" s="326"/>
      <c r="G310" s="326"/>
      <c r="H310" s="327"/>
      <c r="I310" s="328"/>
      <c r="J310" s="328"/>
      <c r="K310" s="328"/>
      <c r="L310" s="329"/>
      <c r="M310" s="329"/>
      <c r="N310" s="328"/>
      <c r="O310" s="328"/>
      <c r="P310" s="328"/>
      <c r="Q310" s="328"/>
      <c r="R310" s="328"/>
      <c r="S310" s="328"/>
      <c r="T310" s="328"/>
      <c r="U310" s="328"/>
      <c r="X310" s="330"/>
      <c r="Y310" s="330"/>
      <c r="Z310" s="330"/>
      <c r="AA310" s="330"/>
      <c r="AZ310" s="331"/>
      <c r="BA310" s="332"/>
      <c r="BB310" s="334"/>
    </row>
    <row r="311" spans="3:54" s="324" customFormat="1" x14ac:dyDescent="0.5">
      <c r="C311" s="325"/>
      <c r="D311" s="326"/>
      <c r="E311" s="326"/>
      <c r="F311" s="326"/>
      <c r="G311" s="326"/>
      <c r="H311" s="327"/>
      <c r="I311" s="328"/>
      <c r="J311" s="328"/>
      <c r="K311" s="328"/>
      <c r="L311" s="329"/>
      <c r="M311" s="329"/>
      <c r="N311" s="328"/>
      <c r="O311" s="328"/>
      <c r="P311" s="328"/>
      <c r="Q311" s="328"/>
      <c r="R311" s="328"/>
      <c r="S311" s="328"/>
      <c r="T311" s="328"/>
      <c r="U311" s="328"/>
      <c r="X311" s="330"/>
      <c r="Y311" s="330"/>
      <c r="Z311" s="330"/>
      <c r="AA311" s="330"/>
      <c r="AZ311" s="331"/>
      <c r="BA311" s="332"/>
      <c r="BB311" s="334"/>
    </row>
    <row r="312" spans="3:54" s="324" customFormat="1" x14ac:dyDescent="0.5">
      <c r="C312" s="325"/>
      <c r="D312" s="326"/>
      <c r="E312" s="326"/>
      <c r="F312" s="326"/>
      <c r="G312" s="326"/>
      <c r="H312" s="327"/>
      <c r="I312" s="328"/>
      <c r="J312" s="328"/>
      <c r="K312" s="328"/>
      <c r="L312" s="329"/>
      <c r="M312" s="329"/>
      <c r="N312" s="328"/>
      <c r="O312" s="328"/>
      <c r="P312" s="328"/>
      <c r="Q312" s="328"/>
      <c r="R312" s="328"/>
      <c r="S312" s="328"/>
      <c r="T312" s="328"/>
      <c r="U312" s="328"/>
      <c r="X312" s="330"/>
      <c r="Y312" s="330"/>
      <c r="Z312" s="330"/>
      <c r="AA312" s="330"/>
      <c r="AZ312" s="331"/>
      <c r="BA312" s="332"/>
      <c r="BB312" s="334"/>
    </row>
    <row r="313" spans="3:54" s="324" customFormat="1" x14ac:dyDescent="0.5">
      <c r="C313" s="325"/>
      <c r="D313" s="326"/>
      <c r="E313" s="326"/>
      <c r="F313" s="326"/>
      <c r="G313" s="326"/>
      <c r="H313" s="327"/>
      <c r="I313" s="328"/>
      <c r="J313" s="328"/>
      <c r="K313" s="328"/>
      <c r="L313" s="329"/>
      <c r="M313" s="329"/>
      <c r="N313" s="328"/>
      <c r="O313" s="328"/>
      <c r="P313" s="328"/>
      <c r="Q313" s="328"/>
      <c r="R313" s="328"/>
      <c r="S313" s="328"/>
      <c r="T313" s="328"/>
      <c r="U313" s="328"/>
      <c r="X313" s="330"/>
      <c r="Y313" s="330"/>
      <c r="Z313" s="330"/>
      <c r="AA313" s="330"/>
      <c r="AZ313" s="331"/>
      <c r="BA313" s="332"/>
      <c r="BB313" s="334"/>
    </row>
    <row r="314" spans="3:54" s="324" customFormat="1" x14ac:dyDescent="0.5">
      <c r="C314" s="325"/>
      <c r="D314" s="326"/>
      <c r="E314" s="326"/>
      <c r="F314" s="326"/>
      <c r="G314" s="326"/>
      <c r="H314" s="327"/>
      <c r="I314" s="328"/>
      <c r="J314" s="328"/>
      <c r="K314" s="328"/>
      <c r="L314" s="329"/>
      <c r="M314" s="329"/>
      <c r="N314" s="328"/>
      <c r="O314" s="328"/>
      <c r="P314" s="328"/>
      <c r="Q314" s="328"/>
      <c r="R314" s="328"/>
      <c r="S314" s="328"/>
      <c r="T314" s="328"/>
      <c r="U314" s="328"/>
      <c r="X314" s="330"/>
      <c r="Y314" s="330"/>
      <c r="Z314" s="330"/>
      <c r="AA314" s="330"/>
      <c r="AZ314" s="331"/>
      <c r="BA314" s="332"/>
      <c r="BB314" s="334"/>
    </row>
    <row r="315" spans="3:54" s="324" customFormat="1" x14ac:dyDescent="0.5">
      <c r="C315" s="325"/>
      <c r="D315" s="326"/>
      <c r="E315" s="326"/>
      <c r="F315" s="326"/>
      <c r="G315" s="326"/>
      <c r="H315" s="327"/>
      <c r="I315" s="328"/>
      <c r="J315" s="328"/>
      <c r="K315" s="328"/>
      <c r="L315" s="329"/>
      <c r="M315" s="329"/>
      <c r="N315" s="328"/>
      <c r="O315" s="328"/>
      <c r="P315" s="328"/>
      <c r="Q315" s="328"/>
      <c r="R315" s="328"/>
      <c r="S315" s="328"/>
      <c r="T315" s="328"/>
      <c r="U315" s="328"/>
      <c r="X315" s="330"/>
      <c r="Y315" s="330"/>
      <c r="Z315" s="330"/>
      <c r="AA315" s="330"/>
      <c r="AZ315" s="331"/>
      <c r="BA315" s="332"/>
      <c r="BB315" s="334"/>
    </row>
    <row r="316" spans="3:54" s="324" customFormat="1" x14ac:dyDescent="0.5">
      <c r="C316" s="325"/>
      <c r="D316" s="326"/>
      <c r="E316" s="326"/>
      <c r="F316" s="326"/>
      <c r="G316" s="326"/>
      <c r="H316" s="327"/>
      <c r="I316" s="328"/>
      <c r="J316" s="328"/>
      <c r="K316" s="328"/>
      <c r="L316" s="329"/>
      <c r="M316" s="329"/>
      <c r="N316" s="328"/>
      <c r="O316" s="328"/>
      <c r="P316" s="328"/>
      <c r="Q316" s="328"/>
      <c r="R316" s="328"/>
      <c r="S316" s="328"/>
      <c r="T316" s="328"/>
      <c r="U316" s="328"/>
      <c r="X316" s="330"/>
      <c r="Y316" s="330"/>
      <c r="Z316" s="330"/>
      <c r="AA316" s="330"/>
      <c r="AZ316" s="331"/>
      <c r="BA316" s="332"/>
      <c r="BB316" s="334"/>
    </row>
    <row r="317" spans="3:54" s="324" customFormat="1" x14ac:dyDescent="0.5">
      <c r="C317" s="325"/>
      <c r="D317" s="326"/>
      <c r="E317" s="326"/>
      <c r="F317" s="326"/>
      <c r="G317" s="326"/>
      <c r="H317" s="327"/>
      <c r="I317" s="328"/>
      <c r="J317" s="328"/>
      <c r="K317" s="328"/>
      <c r="L317" s="329"/>
      <c r="M317" s="329"/>
      <c r="N317" s="328"/>
      <c r="O317" s="328"/>
      <c r="P317" s="328"/>
      <c r="Q317" s="328"/>
      <c r="R317" s="328"/>
      <c r="S317" s="328"/>
      <c r="T317" s="328"/>
      <c r="U317" s="328"/>
      <c r="X317" s="330"/>
      <c r="Y317" s="330"/>
      <c r="Z317" s="330"/>
      <c r="AA317" s="330"/>
      <c r="AZ317" s="331"/>
      <c r="BA317" s="332"/>
      <c r="BB317" s="334"/>
    </row>
    <row r="318" spans="3:54" s="324" customFormat="1" x14ac:dyDescent="0.5">
      <c r="C318" s="325"/>
      <c r="D318" s="326"/>
      <c r="E318" s="326"/>
      <c r="F318" s="326"/>
      <c r="G318" s="326"/>
      <c r="H318" s="327"/>
      <c r="I318" s="328"/>
      <c r="J318" s="328"/>
      <c r="K318" s="328"/>
      <c r="L318" s="329"/>
      <c r="M318" s="329"/>
      <c r="N318" s="328"/>
      <c r="O318" s="328"/>
      <c r="P318" s="328"/>
      <c r="Q318" s="328"/>
      <c r="R318" s="328"/>
      <c r="S318" s="328"/>
      <c r="T318" s="328"/>
      <c r="U318" s="328"/>
      <c r="X318" s="330"/>
      <c r="Y318" s="330"/>
      <c r="Z318" s="330"/>
      <c r="AA318" s="330"/>
      <c r="AZ318" s="331"/>
      <c r="BA318" s="332"/>
      <c r="BB318" s="334"/>
    </row>
    <row r="319" spans="3:54" s="324" customFormat="1" x14ac:dyDescent="0.5">
      <c r="C319" s="325"/>
      <c r="D319" s="326"/>
      <c r="E319" s="326"/>
      <c r="F319" s="326"/>
      <c r="G319" s="326"/>
      <c r="H319" s="327"/>
      <c r="I319" s="328"/>
      <c r="J319" s="328"/>
      <c r="K319" s="328"/>
      <c r="L319" s="329"/>
      <c r="M319" s="329"/>
      <c r="N319" s="328"/>
      <c r="O319" s="328"/>
      <c r="P319" s="328"/>
      <c r="Q319" s="328"/>
      <c r="R319" s="328"/>
      <c r="S319" s="328"/>
      <c r="T319" s="328"/>
      <c r="U319" s="328"/>
      <c r="X319" s="330"/>
      <c r="Y319" s="330"/>
      <c r="Z319" s="330"/>
      <c r="AA319" s="330"/>
      <c r="AZ319" s="331"/>
      <c r="BA319" s="332"/>
      <c r="BB319" s="334"/>
    </row>
    <row r="320" spans="3:54" s="324" customFormat="1" x14ac:dyDescent="0.5">
      <c r="C320" s="325"/>
      <c r="D320" s="326"/>
      <c r="E320" s="326"/>
      <c r="F320" s="326"/>
      <c r="G320" s="326"/>
      <c r="H320" s="327"/>
      <c r="I320" s="328"/>
      <c r="J320" s="328"/>
      <c r="K320" s="328"/>
      <c r="L320" s="329"/>
      <c r="M320" s="329"/>
      <c r="N320" s="328"/>
      <c r="O320" s="328"/>
      <c r="P320" s="328"/>
      <c r="Q320" s="328"/>
      <c r="R320" s="328"/>
      <c r="S320" s="328"/>
      <c r="T320" s="328"/>
      <c r="U320" s="328"/>
      <c r="X320" s="330"/>
      <c r="Y320" s="330"/>
      <c r="Z320" s="330"/>
      <c r="AA320" s="330"/>
      <c r="AZ320" s="331"/>
      <c r="BA320" s="332"/>
      <c r="BB320" s="334"/>
    </row>
    <row r="321" spans="3:54" s="324" customFormat="1" x14ac:dyDescent="0.5">
      <c r="C321" s="325"/>
      <c r="D321" s="326"/>
      <c r="E321" s="326"/>
      <c r="F321" s="326"/>
      <c r="G321" s="326"/>
      <c r="H321" s="327"/>
      <c r="I321" s="328"/>
      <c r="J321" s="328"/>
      <c r="K321" s="328"/>
      <c r="L321" s="329"/>
      <c r="M321" s="329"/>
      <c r="N321" s="328"/>
      <c r="O321" s="328"/>
      <c r="P321" s="328"/>
      <c r="Q321" s="328"/>
      <c r="R321" s="328"/>
      <c r="S321" s="328"/>
      <c r="T321" s="328"/>
      <c r="U321" s="328"/>
      <c r="X321" s="330"/>
      <c r="Y321" s="330"/>
      <c r="Z321" s="330"/>
      <c r="AA321" s="330"/>
      <c r="AZ321" s="331"/>
      <c r="BA321" s="332"/>
      <c r="BB321" s="334"/>
    </row>
    <row r="322" spans="3:54" s="324" customFormat="1" x14ac:dyDescent="0.5">
      <c r="C322" s="325"/>
      <c r="D322" s="326"/>
      <c r="E322" s="326"/>
      <c r="F322" s="326"/>
      <c r="G322" s="326"/>
      <c r="H322" s="327"/>
      <c r="I322" s="328"/>
      <c r="J322" s="328"/>
      <c r="K322" s="328"/>
      <c r="L322" s="329"/>
      <c r="M322" s="329"/>
      <c r="N322" s="328"/>
      <c r="O322" s="328"/>
      <c r="P322" s="328"/>
      <c r="Q322" s="328"/>
      <c r="R322" s="328"/>
      <c r="S322" s="328"/>
      <c r="T322" s="328"/>
      <c r="U322" s="328"/>
      <c r="X322" s="330"/>
      <c r="Y322" s="330"/>
      <c r="Z322" s="330"/>
      <c r="AA322" s="330"/>
      <c r="AZ322" s="331"/>
      <c r="BA322" s="332"/>
      <c r="BB322" s="334"/>
    </row>
    <row r="323" spans="3:54" s="324" customFormat="1" x14ac:dyDescent="0.5">
      <c r="C323" s="325"/>
      <c r="D323" s="326"/>
      <c r="E323" s="326"/>
      <c r="F323" s="326"/>
      <c r="G323" s="326"/>
      <c r="H323" s="327"/>
      <c r="I323" s="328"/>
      <c r="J323" s="328"/>
      <c r="K323" s="328"/>
      <c r="L323" s="329"/>
      <c r="M323" s="329"/>
      <c r="N323" s="328"/>
      <c r="O323" s="328"/>
      <c r="P323" s="328"/>
      <c r="Q323" s="328"/>
      <c r="R323" s="328"/>
      <c r="S323" s="328"/>
      <c r="T323" s="328"/>
      <c r="U323" s="328"/>
      <c r="X323" s="330"/>
      <c r="Y323" s="330"/>
      <c r="Z323" s="330"/>
      <c r="AA323" s="330"/>
      <c r="AZ323" s="331"/>
      <c r="BA323" s="332"/>
      <c r="BB323" s="334"/>
    </row>
    <row r="324" spans="3:54" s="324" customFormat="1" x14ac:dyDescent="0.5">
      <c r="C324" s="325"/>
      <c r="D324" s="326"/>
      <c r="E324" s="326"/>
      <c r="F324" s="326"/>
      <c r="G324" s="326"/>
      <c r="H324" s="327"/>
      <c r="I324" s="328"/>
      <c r="J324" s="328"/>
      <c r="K324" s="328"/>
      <c r="L324" s="329"/>
      <c r="M324" s="329"/>
      <c r="N324" s="328"/>
      <c r="O324" s="328"/>
      <c r="P324" s="328"/>
      <c r="Q324" s="328"/>
      <c r="R324" s="328"/>
      <c r="S324" s="328"/>
      <c r="T324" s="328"/>
      <c r="U324" s="328"/>
      <c r="X324" s="330"/>
      <c r="Y324" s="330"/>
      <c r="Z324" s="330"/>
      <c r="AA324" s="330"/>
      <c r="AZ324" s="331"/>
      <c r="BA324" s="332"/>
      <c r="BB324" s="334"/>
    </row>
    <row r="325" spans="3:54" s="324" customFormat="1" x14ac:dyDescent="0.5">
      <c r="C325" s="325"/>
      <c r="D325" s="326"/>
      <c r="E325" s="326"/>
      <c r="F325" s="326"/>
      <c r="G325" s="326"/>
      <c r="H325" s="327"/>
      <c r="I325" s="328"/>
      <c r="J325" s="328"/>
      <c r="K325" s="328"/>
      <c r="L325" s="329"/>
      <c r="M325" s="329"/>
      <c r="N325" s="328"/>
      <c r="O325" s="328"/>
      <c r="P325" s="328"/>
      <c r="Q325" s="328"/>
      <c r="R325" s="328"/>
      <c r="S325" s="328"/>
      <c r="T325" s="328"/>
      <c r="U325" s="328"/>
      <c r="X325" s="330"/>
      <c r="Y325" s="330"/>
      <c r="Z325" s="330"/>
      <c r="AA325" s="330"/>
      <c r="AZ325" s="331"/>
      <c r="BA325" s="332"/>
      <c r="BB325" s="334"/>
    </row>
    <row r="326" spans="3:54" s="324" customFormat="1" x14ac:dyDescent="0.5">
      <c r="C326" s="325"/>
      <c r="D326" s="326"/>
      <c r="E326" s="326"/>
      <c r="F326" s="326"/>
      <c r="G326" s="326"/>
      <c r="H326" s="327"/>
      <c r="I326" s="328"/>
      <c r="J326" s="328"/>
      <c r="K326" s="328"/>
      <c r="L326" s="329"/>
      <c r="M326" s="329"/>
      <c r="N326" s="328"/>
      <c r="O326" s="328"/>
      <c r="P326" s="328"/>
      <c r="Q326" s="328"/>
      <c r="R326" s="328"/>
      <c r="S326" s="328"/>
      <c r="T326" s="328"/>
      <c r="U326" s="328"/>
      <c r="X326" s="330"/>
      <c r="Y326" s="330"/>
      <c r="Z326" s="330"/>
      <c r="AA326" s="330"/>
      <c r="AZ326" s="331"/>
      <c r="BA326" s="332"/>
      <c r="BB326" s="334"/>
    </row>
    <row r="327" spans="3:54" s="324" customFormat="1" x14ac:dyDescent="0.5">
      <c r="C327" s="325"/>
      <c r="D327" s="326"/>
      <c r="E327" s="326"/>
      <c r="F327" s="326"/>
      <c r="G327" s="326"/>
      <c r="H327" s="327"/>
      <c r="I327" s="328"/>
      <c r="J327" s="328"/>
      <c r="K327" s="328"/>
      <c r="L327" s="329"/>
      <c r="M327" s="329"/>
      <c r="N327" s="328"/>
      <c r="O327" s="328"/>
      <c r="P327" s="328"/>
      <c r="Q327" s="328"/>
      <c r="R327" s="328"/>
      <c r="S327" s="328"/>
      <c r="T327" s="328"/>
      <c r="U327" s="328"/>
      <c r="X327" s="330"/>
      <c r="Y327" s="330"/>
      <c r="Z327" s="330"/>
      <c r="AA327" s="330"/>
      <c r="AZ327" s="331"/>
      <c r="BA327" s="332"/>
      <c r="BB327" s="334"/>
    </row>
    <row r="328" spans="3:54" s="324" customFormat="1" x14ac:dyDescent="0.5">
      <c r="C328" s="325"/>
      <c r="D328" s="326"/>
      <c r="E328" s="326"/>
      <c r="F328" s="326"/>
      <c r="G328" s="326"/>
      <c r="H328" s="327"/>
      <c r="I328" s="328"/>
      <c r="J328" s="328"/>
      <c r="K328" s="328"/>
      <c r="L328" s="329"/>
      <c r="M328" s="329"/>
      <c r="N328" s="328"/>
      <c r="O328" s="328"/>
      <c r="P328" s="328"/>
      <c r="Q328" s="328"/>
      <c r="R328" s="328"/>
      <c r="S328" s="328"/>
      <c r="T328" s="328"/>
      <c r="U328" s="328"/>
      <c r="X328" s="330"/>
      <c r="Y328" s="330"/>
      <c r="Z328" s="330"/>
      <c r="AA328" s="330"/>
      <c r="AZ328" s="331"/>
      <c r="BA328" s="332"/>
      <c r="BB328" s="334"/>
    </row>
    <row r="329" spans="3:54" s="324" customFormat="1" x14ac:dyDescent="0.5">
      <c r="C329" s="325"/>
      <c r="D329" s="326"/>
      <c r="E329" s="326"/>
      <c r="F329" s="326"/>
      <c r="G329" s="326"/>
      <c r="H329" s="327"/>
      <c r="I329" s="328"/>
      <c r="J329" s="328"/>
      <c r="K329" s="328"/>
      <c r="L329" s="329"/>
      <c r="M329" s="329"/>
      <c r="N329" s="328"/>
      <c r="O329" s="328"/>
      <c r="P329" s="328"/>
      <c r="Q329" s="328"/>
      <c r="R329" s="328"/>
      <c r="S329" s="328"/>
      <c r="T329" s="328"/>
      <c r="U329" s="328"/>
      <c r="X329" s="330"/>
      <c r="Y329" s="330"/>
      <c r="Z329" s="330"/>
      <c r="AA329" s="330"/>
      <c r="AZ329" s="331"/>
      <c r="BA329" s="332"/>
      <c r="BB329" s="334"/>
    </row>
    <row r="330" spans="3:54" s="324" customFormat="1" x14ac:dyDescent="0.5">
      <c r="C330" s="325"/>
      <c r="D330" s="326"/>
      <c r="E330" s="326"/>
      <c r="F330" s="326"/>
      <c r="G330" s="326"/>
      <c r="H330" s="327"/>
      <c r="I330" s="328"/>
      <c r="J330" s="328"/>
      <c r="K330" s="328"/>
      <c r="L330" s="329"/>
      <c r="M330" s="329"/>
      <c r="N330" s="328"/>
      <c r="O330" s="328"/>
      <c r="P330" s="328"/>
      <c r="Q330" s="328"/>
      <c r="R330" s="328"/>
      <c r="S330" s="328"/>
      <c r="T330" s="328"/>
      <c r="U330" s="328"/>
      <c r="X330" s="330"/>
      <c r="Y330" s="330"/>
      <c r="Z330" s="330"/>
      <c r="AA330" s="330"/>
      <c r="AZ330" s="331"/>
      <c r="BA330" s="332"/>
      <c r="BB330" s="334"/>
    </row>
    <row r="331" spans="3:54" s="324" customFormat="1" x14ac:dyDescent="0.5">
      <c r="C331" s="325"/>
      <c r="D331" s="326"/>
      <c r="E331" s="326"/>
      <c r="F331" s="326"/>
      <c r="G331" s="326"/>
      <c r="H331" s="327"/>
      <c r="I331" s="328"/>
      <c r="J331" s="328"/>
      <c r="K331" s="328"/>
      <c r="L331" s="329"/>
      <c r="M331" s="329"/>
      <c r="N331" s="328"/>
      <c r="O331" s="328"/>
      <c r="P331" s="328"/>
      <c r="Q331" s="328"/>
      <c r="R331" s="328"/>
      <c r="S331" s="328"/>
      <c r="T331" s="328"/>
      <c r="U331" s="328"/>
      <c r="X331" s="330"/>
      <c r="Y331" s="330"/>
      <c r="Z331" s="330"/>
      <c r="AA331" s="330"/>
      <c r="AZ331" s="331"/>
      <c r="BA331" s="332"/>
      <c r="BB331" s="334"/>
    </row>
    <row r="332" spans="3:54" s="324" customFormat="1" x14ac:dyDescent="0.5">
      <c r="C332" s="325"/>
      <c r="D332" s="326"/>
      <c r="E332" s="326"/>
      <c r="F332" s="326"/>
      <c r="G332" s="326"/>
      <c r="H332" s="327"/>
      <c r="I332" s="328"/>
      <c r="J332" s="328"/>
      <c r="K332" s="328"/>
      <c r="L332" s="329"/>
      <c r="M332" s="329"/>
      <c r="N332" s="328"/>
      <c r="O332" s="328"/>
      <c r="P332" s="328"/>
      <c r="Q332" s="328"/>
      <c r="R332" s="328"/>
      <c r="S332" s="328"/>
      <c r="T332" s="328"/>
      <c r="U332" s="328"/>
      <c r="X332" s="330"/>
      <c r="Y332" s="330"/>
      <c r="Z332" s="330"/>
      <c r="AA332" s="330"/>
      <c r="AZ332" s="331"/>
      <c r="BA332" s="332"/>
      <c r="BB332" s="334"/>
    </row>
    <row r="333" spans="3:54" s="324" customFormat="1" x14ac:dyDescent="0.5">
      <c r="C333" s="325"/>
      <c r="D333" s="326"/>
      <c r="E333" s="326"/>
      <c r="F333" s="326"/>
      <c r="G333" s="326"/>
      <c r="H333" s="327"/>
      <c r="I333" s="328"/>
      <c r="J333" s="328"/>
      <c r="K333" s="328"/>
      <c r="L333" s="329"/>
      <c r="M333" s="329"/>
      <c r="N333" s="328"/>
      <c r="O333" s="328"/>
      <c r="P333" s="328"/>
      <c r="Q333" s="328"/>
      <c r="R333" s="328"/>
      <c r="S333" s="328"/>
      <c r="T333" s="328"/>
      <c r="U333" s="328"/>
      <c r="X333" s="330"/>
      <c r="Y333" s="330"/>
      <c r="Z333" s="330"/>
      <c r="AA333" s="330"/>
      <c r="AZ333" s="331"/>
      <c r="BA333" s="332"/>
      <c r="BB333" s="334"/>
    </row>
    <row r="334" spans="3:54" s="324" customFormat="1" x14ac:dyDescent="0.5">
      <c r="C334" s="325"/>
      <c r="D334" s="326"/>
      <c r="E334" s="326"/>
      <c r="F334" s="326"/>
      <c r="G334" s="326"/>
      <c r="H334" s="327"/>
      <c r="I334" s="328"/>
      <c r="J334" s="328"/>
      <c r="K334" s="328"/>
      <c r="L334" s="329"/>
      <c r="M334" s="329"/>
      <c r="N334" s="328"/>
      <c r="O334" s="328"/>
      <c r="P334" s="328"/>
      <c r="Q334" s="328"/>
      <c r="R334" s="328"/>
      <c r="S334" s="328"/>
      <c r="T334" s="328"/>
      <c r="U334" s="328"/>
      <c r="X334" s="330"/>
      <c r="Y334" s="330"/>
      <c r="Z334" s="330"/>
      <c r="AA334" s="330"/>
      <c r="AZ334" s="331"/>
      <c r="BA334" s="332"/>
      <c r="BB334" s="334"/>
    </row>
    <row r="335" spans="3:54" s="324" customFormat="1" x14ac:dyDescent="0.5">
      <c r="C335" s="325"/>
      <c r="D335" s="326"/>
      <c r="E335" s="326"/>
      <c r="F335" s="326"/>
      <c r="G335" s="326"/>
      <c r="H335" s="327"/>
      <c r="I335" s="328"/>
      <c r="J335" s="328"/>
      <c r="K335" s="328"/>
      <c r="L335" s="329"/>
      <c r="M335" s="329"/>
      <c r="N335" s="328"/>
      <c r="O335" s="328"/>
      <c r="P335" s="328"/>
      <c r="Q335" s="328"/>
      <c r="R335" s="328"/>
      <c r="S335" s="328"/>
      <c r="T335" s="328"/>
      <c r="U335" s="328"/>
      <c r="X335" s="330"/>
      <c r="Y335" s="330"/>
      <c r="Z335" s="330"/>
      <c r="AA335" s="330"/>
      <c r="AZ335" s="331"/>
      <c r="BA335" s="332"/>
      <c r="BB335" s="334"/>
    </row>
    <row r="336" spans="3:54" s="324" customFormat="1" x14ac:dyDescent="0.5">
      <c r="C336" s="325"/>
      <c r="D336" s="326"/>
      <c r="E336" s="326"/>
      <c r="F336" s="326"/>
      <c r="G336" s="326"/>
      <c r="H336" s="327"/>
      <c r="I336" s="328"/>
      <c r="J336" s="328"/>
      <c r="K336" s="328"/>
      <c r="L336" s="329"/>
      <c r="M336" s="329"/>
      <c r="N336" s="328"/>
      <c r="O336" s="328"/>
      <c r="P336" s="328"/>
      <c r="Q336" s="328"/>
      <c r="R336" s="328"/>
      <c r="S336" s="328"/>
      <c r="T336" s="328"/>
      <c r="U336" s="328"/>
      <c r="X336" s="330"/>
      <c r="Y336" s="330"/>
      <c r="Z336" s="330"/>
      <c r="AA336" s="330"/>
      <c r="AZ336" s="331"/>
      <c r="BA336" s="332"/>
      <c r="BB336" s="334"/>
    </row>
    <row r="337" spans="3:54" s="324" customFormat="1" x14ac:dyDescent="0.5">
      <c r="C337" s="325"/>
      <c r="D337" s="326"/>
      <c r="E337" s="326"/>
      <c r="F337" s="326"/>
      <c r="G337" s="326"/>
      <c r="H337" s="327"/>
      <c r="I337" s="328"/>
      <c r="J337" s="328"/>
      <c r="K337" s="328"/>
      <c r="L337" s="329"/>
      <c r="M337" s="329"/>
      <c r="N337" s="328"/>
      <c r="O337" s="328"/>
      <c r="P337" s="328"/>
      <c r="Q337" s="328"/>
      <c r="R337" s="328"/>
      <c r="S337" s="328"/>
      <c r="T337" s="328"/>
      <c r="U337" s="328"/>
      <c r="X337" s="330"/>
      <c r="Y337" s="330"/>
      <c r="Z337" s="330"/>
      <c r="AA337" s="330"/>
      <c r="AZ337" s="331"/>
      <c r="BA337" s="332"/>
      <c r="BB337" s="334"/>
    </row>
    <row r="338" spans="3:54" s="324" customFormat="1" x14ac:dyDescent="0.5">
      <c r="C338" s="325"/>
      <c r="D338" s="326"/>
      <c r="E338" s="326"/>
      <c r="F338" s="326"/>
      <c r="G338" s="326"/>
      <c r="H338" s="327"/>
      <c r="I338" s="328"/>
      <c r="J338" s="328"/>
      <c r="K338" s="328"/>
      <c r="L338" s="329"/>
      <c r="M338" s="329"/>
      <c r="N338" s="328"/>
      <c r="O338" s="328"/>
      <c r="P338" s="328"/>
      <c r="Q338" s="328"/>
      <c r="R338" s="328"/>
      <c r="S338" s="328"/>
      <c r="T338" s="328"/>
      <c r="U338" s="328"/>
      <c r="X338" s="330"/>
      <c r="Y338" s="330"/>
      <c r="Z338" s="330"/>
      <c r="AA338" s="330"/>
      <c r="AZ338" s="331"/>
      <c r="BA338" s="332"/>
      <c r="BB338" s="334"/>
    </row>
    <row r="339" spans="3:54" s="324" customFormat="1" x14ac:dyDescent="0.5">
      <c r="C339" s="325"/>
      <c r="D339" s="326"/>
      <c r="E339" s="326"/>
      <c r="F339" s="326"/>
      <c r="G339" s="326"/>
      <c r="H339" s="327"/>
      <c r="I339" s="328"/>
      <c r="J339" s="328"/>
      <c r="K339" s="328"/>
      <c r="L339" s="329"/>
      <c r="M339" s="329"/>
      <c r="N339" s="328"/>
      <c r="O339" s="328"/>
      <c r="P339" s="328"/>
      <c r="Q339" s="328"/>
      <c r="R339" s="328"/>
      <c r="S339" s="328"/>
      <c r="T339" s="328"/>
      <c r="U339" s="328"/>
      <c r="X339" s="330"/>
      <c r="Y339" s="330"/>
      <c r="Z339" s="330"/>
      <c r="AA339" s="330"/>
      <c r="AZ339" s="331"/>
      <c r="BA339" s="332"/>
      <c r="BB339" s="334"/>
    </row>
    <row r="340" spans="3:54" s="324" customFormat="1" x14ac:dyDescent="0.5">
      <c r="C340" s="325"/>
      <c r="D340" s="326"/>
      <c r="E340" s="326"/>
      <c r="F340" s="326"/>
      <c r="G340" s="326"/>
      <c r="H340" s="327"/>
      <c r="I340" s="328"/>
      <c r="J340" s="328"/>
      <c r="K340" s="328"/>
      <c r="L340" s="329"/>
      <c r="M340" s="329"/>
      <c r="N340" s="328"/>
      <c r="O340" s="328"/>
      <c r="P340" s="328"/>
      <c r="Q340" s="328"/>
      <c r="R340" s="328"/>
      <c r="S340" s="328"/>
      <c r="T340" s="328"/>
      <c r="U340" s="328"/>
      <c r="X340" s="330"/>
      <c r="Y340" s="330"/>
      <c r="Z340" s="330"/>
      <c r="AA340" s="330"/>
      <c r="AZ340" s="331"/>
      <c r="BA340" s="332"/>
      <c r="BB340" s="334"/>
    </row>
    <row r="341" spans="3:54" s="324" customFormat="1" x14ac:dyDescent="0.5">
      <c r="C341" s="325"/>
      <c r="D341" s="326"/>
      <c r="E341" s="326"/>
      <c r="F341" s="326"/>
      <c r="G341" s="326"/>
      <c r="H341" s="327"/>
      <c r="I341" s="328"/>
      <c r="J341" s="328"/>
      <c r="K341" s="328"/>
      <c r="L341" s="329"/>
      <c r="M341" s="329"/>
      <c r="N341" s="328"/>
      <c r="O341" s="328"/>
      <c r="P341" s="328"/>
      <c r="Q341" s="328"/>
      <c r="R341" s="328"/>
      <c r="S341" s="328"/>
      <c r="T341" s="328"/>
      <c r="U341" s="328"/>
      <c r="X341" s="330"/>
      <c r="Y341" s="330"/>
      <c r="Z341" s="330"/>
      <c r="AA341" s="330"/>
      <c r="AZ341" s="331"/>
      <c r="BA341" s="332"/>
      <c r="BB341" s="334"/>
    </row>
    <row r="342" spans="3:54" s="324" customFormat="1" x14ac:dyDescent="0.5">
      <c r="C342" s="325"/>
      <c r="D342" s="326"/>
      <c r="E342" s="326"/>
      <c r="F342" s="326"/>
      <c r="G342" s="326"/>
      <c r="H342" s="327"/>
      <c r="I342" s="328"/>
      <c r="J342" s="328"/>
      <c r="K342" s="328"/>
      <c r="L342" s="329"/>
      <c r="M342" s="329"/>
      <c r="N342" s="328"/>
      <c r="O342" s="328"/>
      <c r="P342" s="328"/>
      <c r="Q342" s="328"/>
      <c r="R342" s="328"/>
      <c r="S342" s="328"/>
      <c r="T342" s="328"/>
      <c r="U342" s="328"/>
      <c r="X342" s="330"/>
      <c r="Y342" s="330"/>
      <c r="Z342" s="330"/>
      <c r="AA342" s="330"/>
      <c r="AZ342" s="331"/>
      <c r="BA342" s="332"/>
      <c r="BB342" s="334"/>
    </row>
    <row r="343" spans="3:54" s="324" customFormat="1" x14ac:dyDescent="0.5">
      <c r="C343" s="325"/>
      <c r="D343" s="326"/>
      <c r="E343" s="326"/>
      <c r="F343" s="326"/>
      <c r="G343" s="326"/>
      <c r="H343" s="327"/>
      <c r="I343" s="328"/>
      <c r="J343" s="328"/>
      <c r="K343" s="328"/>
      <c r="L343" s="329"/>
      <c r="M343" s="329"/>
      <c r="N343" s="328"/>
      <c r="O343" s="328"/>
      <c r="P343" s="328"/>
      <c r="Q343" s="328"/>
      <c r="R343" s="328"/>
      <c r="S343" s="328"/>
      <c r="T343" s="328"/>
      <c r="U343" s="328"/>
      <c r="X343" s="330"/>
      <c r="Y343" s="330"/>
      <c r="Z343" s="330"/>
      <c r="AA343" s="330"/>
      <c r="AZ343" s="331"/>
      <c r="BA343" s="332"/>
      <c r="BB343" s="334"/>
    </row>
    <row r="344" spans="3:54" s="324" customFormat="1" x14ac:dyDescent="0.5">
      <c r="C344" s="325"/>
      <c r="D344" s="326"/>
      <c r="E344" s="326"/>
      <c r="F344" s="326"/>
      <c r="G344" s="326"/>
      <c r="H344" s="327"/>
      <c r="I344" s="328"/>
      <c r="J344" s="328"/>
      <c r="K344" s="328"/>
      <c r="L344" s="329"/>
      <c r="M344" s="329"/>
      <c r="N344" s="328"/>
      <c r="O344" s="328"/>
      <c r="P344" s="328"/>
      <c r="Q344" s="328"/>
      <c r="R344" s="328"/>
      <c r="S344" s="328"/>
      <c r="T344" s="328"/>
      <c r="U344" s="328"/>
      <c r="X344" s="330"/>
      <c r="Y344" s="330"/>
      <c r="Z344" s="330"/>
      <c r="AA344" s="330"/>
      <c r="AZ344" s="331"/>
      <c r="BA344" s="332"/>
      <c r="BB344" s="334"/>
    </row>
    <row r="345" spans="3:54" s="324" customFormat="1" x14ac:dyDescent="0.5">
      <c r="C345" s="325"/>
      <c r="D345" s="326"/>
      <c r="E345" s="326"/>
      <c r="F345" s="326"/>
      <c r="G345" s="326"/>
      <c r="H345" s="327"/>
      <c r="I345" s="328"/>
      <c r="J345" s="328"/>
      <c r="K345" s="328"/>
      <c r="L345" s="329"/>
      <c r="M345" s="329"/>
      <c r="N345" s="328"/>
      <c r="O345" s="328"/>
      <c r="P345" s="328"/>
      <c r="Q345" s="328"/>
      <c r="R345" s="328"/>
      <c r="S345" s="328"/>
      <c r="T345" s="328"/>
      <c r="U345" s="328"/>
      <c r="X345" s="330"/>
      <c r="Y345" s="330"/>
      <c r="Z345" s="330"/>
      <c r="AA345" s="330"/>
      <c r="AZ345" s="331"/>
      <c r="BA345" s="332"/>
      <c r="BB345" s="334"/>
    </row>
    <row r="346" spans="3:54" s="324" customFormat="1" x14ac:dyDescent="0.5">
      <c r="C346" s="325"/>
      <c r="D346" s="326"/>
      <c r="E346" s="326"/>
      <c r="F346" s="326"/>
      <c r="G346" s="326"/>
      <c r="H346" s="327"/>
      <c r="I346" s="328"/>
      <c r="J346" s="328"/>
      <c r="K346" s="328"/>
      <c r="L346" s="329"/>
      <c r="M346" s="329"/>
      <c r="N346" s="328"/>
      <c r="O346" s="328"/>
      <c r="P346" s="328"/>
      <c r="Q346" s="328"/>
      <c r="R346" s="328"/>
      <c r="S346" s="328"/>
      <c r="T346" s="328"/>
      <c r="U346" s="328"/>
      <c r="X346" s="330"/>
      <c r="Y346" s="330"/>
      <c r="Z346" s="330"/>
      <c r="AA346" s="330"/>
      <c r="AZ346" s="331"/>
      <c r="BA346" s="332"/>
      <c r="BB346" s="334"/>
    </row>
    <row r="347" spans="3:54" s="324" customFormat="1" x14ac:dyDescent="0.5">
      <c r="C347" s="325"/>
      <c r="D347" s="326"/>
      <c r="E347" s="326"/>
      <c r="F347" s="326"/>
      <c r="G347" s="326"/>
      <c r="H347" s="327"/>
      <c r="I347" s="328"/>
      <c r="J347" s="328"/>
      <c r="K347" s="328"/>
      <c r="L347" s="329"/>
      <c r="M347" s="329"/>
      <c r="N347" s="328"/>
      <c r="O347" s="328"/>
      <c r="P347" s="328"/>
      <c r="Q347" s="328"/>
      <c r="R347" s="328"/>
      <c r="S347" s="328"/>
      <c r="T347" s="328"/>
      <c r="U347" s="328"/>
      <c r="X347" s="330"/>
      <c r="Y347" s="330"/>
      <c r="Z347" s="330"/>
      <c r="AA347" s="330"/>
      <c r="AZ347" s="331"/>
      <c r="BA347" s="332"/>
      <c r="BB347" s="334"/>
    </row>
    <row r="348" spans="3:54" s="324" customFormat="1" x14ac:dyDescent="0.5">
      <c r="C348" s="325"/>
      <c r="D348" s="326"/>
      <c r="E348" s="326"/>
      <c r="F348" s="326"/>
      <c r="G348" s="326"/>
      <c r="H348" s="327"/>
      <c r="I348" s="328"/>
      <c r="J348" s="328"/>
      <c r="K348" s="328"/>
      <c r="L348" s="329"/>
      <c r="M348" s="329"/>
      <c r="N348" s="328"/>
      <c r="O348" s="328"/>
      <c r="P348" s="328"/>
      <c r="Q348" s="328"/>
      <c r="R348" s="328"/>
      <c r="S348" s="328"/>
      <c r="T348" s="328"/>
      <c r="U348" s="328"/>
      <c r="X348" s="330"/>
      <c r="Y348" s="330"/>
      <c r="Z348" s="330"/>
      <c r="AA348" s="330"/>
      <c r="AZ348" s="331"/>
      <c r="BA348" s="332"/>
      <c r="BB348" s="334"/>
    </row>
    <row r="349" spans="3:54" s="324" customFormat="1" x14ac:dyDescent="0.5">
      <c r="C349" s="325"/>
      <c r="D349" s="326"/>
      <c r="E349" s="326"/>
      <c r="F349" s="326"/>
      <c r="G349" s="326"/>
      <c r="H349" s="327"/>
      <c r="I349" s="328"/>
      <c r="J349" s="328"/>
      <c r="K349" s="328"/>
      <c r="L349" s="329"/>
      <c r="M349" s="329"/>
      <c r="N349" s="328"/>
      <c r="O349" s="328"/>
      <c r="P349" s="328"/>
      <c r="Q349" s="328"/>
      <c r="R349" s="328"/>
      <c r="S349" s="328"/>
      <c r="T349" s="328"/>
      <c r="U349" s="328"/>
      <c r="X349" s="330"/>
      <c r="Y349" s="330"/>
      <c r="Z349" s="330"/>
      <c r="AA349" s="330"/>
      <c r="AZ349" s="331"/>
      <c r="BA349" s="332"/>
      <c r="BB349" s="334"/>
    </row>
    <row r="350" spans="3:54" s="324" customFormat="1" x14ac:dyDescent="0.5">
      <c r="C350" s="325"/>
      <c r="D350" s="326"/>
      <c r="E350" s="326"/>
      <c r="F350" s="326"/>
      <c r="G350" s="326"/>
      <c r="H350" s="327"/>
      <c r="I350" s="328"/>
      <c r="J350" s="328"/>
      <c r="K350" s="328"/>
      <c r="L350" s="329"/>
      <c r="M350" s="329"/>
      <c r="N350" s="328"/>
      <c r="O350" s="328"/>
      <c r="P350" s="328"/>
      <c r="Q350" s="328"/>
      <c r="R350" s="328"/>
      <c r="S350" s="328"/>
      <c r="T350" s="328"/>
      <c r="U350" s="328"/>
      <c r="X350" s="330"/>
      <c r="Y350" s="330"/>
      <c r="Z350" s="330"/>
      <c r="AA350" s="330"/>
      <c r="AZ350" s="331"/>
      <c r="BA350" s="332"/>
      <c r="BB350" s="334"/>
    </row>
    <row r="351" spans="3:54" s="324" customFormat="1" x14ac:dyDescent="0.5">
      <c r="C351" s="325"/>
      <c r="D351" s="326"/>
      <c r="E351" s="326"/>
      <c r="F351" s="326"/>
      <c r="G351" s="326"/>
      <c r="H351" s="327"/>
      <c r="I351" s="328"/>
      <c r="J351" s="328"/>
      <c r="K351" s="328"/>
      <c r="L351" s="329"/>
      <c r="M351" s="329"/>
      <c r="N351" s="328"/>
      <c r="O351" s="328"/>
      <c r="P351" s="328"/>
      <c r="Q351" s="328"/>
      <c r="R351" s="328"/>
      <c r="S351" s="328"/>
      <c r="T351" s="328"/>
      <c r="U351" s="328"/>
      <c r="X351" s="330"/>
      <c r="Y351" s="330"/>
      <c r="Z351" s="330"/>
      <c r="AA351" s="330"/>
      <c r="AZ351" s="331"/>
      <c r="BA351" s="332"/>
      <c r="BB351" s="334"/>
    </row>
    <row r="352" spans="3:54" s="324" customFormat="1" x14ac:dyDescent="0.5">
      <c r="C352" s="325"/>
      <c r="D352" s="326"/>
      <c r="E352" s="326"/>
      <c r="F352" s="326"/>
      <c r="G352" s="326"/>
      <c r="H352" s="327"/>
      <c r="I352" s="328"/>
      <c r="J352" s="328"/>
      <c r="K352" s="328"/>
      <c r="L352" s="329"/>
      <c r="M352" s="329"/>
      <c r="N352" s="328"/>
      <c r="O352" s="328"/>
      <c r="P352" s="328"/>
      <c r="Q352" s="328"/>
      <c r="R352" s="328"/>
      <c r="S352" s="328"/>
      <c r="T352" s="328"/>
      <c r="U352" s="328"/>
      <c r="X352" s="330"/>
      <c r="Y352" s="330"/>
      <c r="Z352" s="330"/>
      <c r="AA352" s="330"/>
      <c r="AZ352" s="331"/>
      <c r="BA352" s="332"/>
      <c r="BB352" s="334"/>
    </row>
    <row r="353" spans="3:54" s="324" customFormat="1" x14ac:dyDescent="0.5">
      <c r="C353" s="325"/>
      <c r="D353" s="326"/>
      <c r="E353" s="326"/>
      <c r="F353" s="326"/>
      <c r="G353" s="326"/>
      <c r="H353" s="327"/>
      <c r="I353" s="328"/>
      <c r="J353" s="328"/>
      <c r="K353" s="328"/>
      <c r="L353" s="329"/>
      <c r="M353" s="329"/>
      <c r="N353" s="328"/>
      <c r="O353" s="328"/>
      <c r="P353" s="328"/>
      <c r="Q353" s="328"/>
      <c r="R353" s="328"/>
      <c r="S353" s="328"/>
      <c r="T353" s="328"/>
      <c r="U353" s="328"/>
      <c r="X353" s="330"/>
      <c r="Y353" s="330"/>
      <c r="Z353" s="330"/>
      <c r="AA353" s="330"/>
      <c r="AZ353" s="331"/>
      <c r="BA353" s="332"/>
      <c r="BB353" s="334"/>
    </row>
    <row r="354" spans="3:54" s="324" customFormat="1" x14ac:dyDescent="0.5">
      <c r="C354" s="325"/>
      <c r="D354" s="326"/>
      <c r="E354" s="326"/>
      <c r="F354" s="326"/>
      <c r="G354" s="326"/>
      <c r="H354" s="327"/>
      <c r="I354" s="328"/>
      <c r="J354" s="328"/>
      <c r="K354" s="328"/>
      <c r="L354" s="329"/>
      <c r="M354" s="329"/>
      <c r="N354" s="328"/>
      <c r="O354" s="328"/>
      <c r="P354" s="328"/>
      <c r="Q354" s="328"/>
      <c r="R354" s="328"/>
      <c r="S354" s="328"/>
      <c r="T354" s="328"/>
      <c r="U354" s="328"/>
      <c r="X354" s="330"/>
      <c r="Y354" s="330"/>
      <c r="Z354" s="330"/>
      <c r="AA354" s="330"/>
      <c r="AZ354" s="331"/>
      <c r="BA354" s="332"/>
      <c r="BB354" s="334"/>
    </row>
    <row r="355" spans="3:54" s="324" customFormat="1" x14ac:dyDescent="0.5">
      <c r="C355" s="325"/>
      <c r="D355" s="326"/>
      <c r="E355" s="326"/>
      <c r="F355" s="326"/>
      <c r="G355" s="326"/>
      <c r="H355" s="327"/>
      <c r="I355" s="328"/>
      <c r="J355" s="328"/>
      <c r="K355" s="328"/>
      <c r="L355" s="329"/>
      <c r="M355" s="329"/>
      <c r="N355" s="328"/>
      <c r="O355" s="328"/>
      <c r="P355" s="328"/>
      <c r="Q355" s="328"/>
      <c r="R355" s="328"/>
      <c r="S355" s="328"/>
      <c r="T355" s="328"/>
      <c r="U355" s="328"/>
      <c r="X355" s="330"/>
      <c r="Y355" s="330"/>
      <c r="Z355" s="330"/>
      <c r="AA355" s="330"/>
      <c r="AZ355" s="331"/>
      <c r="BA355" s="332"/>
      <c r="BB355" s="334"/>
    </row>
    <row r="356" spans="3:54" s="324" customFormat="1" x14ac:dyDescent="0.5">
      <c r="C356" s="325"/>
      <c r="D356" s="326"/>
      <c r="E356" s="326"/>
      <c r="F356" s="326"/>
      <c r="G356" s="326"/>
      <c r="H356" s="327"/>
      <c r="I356" s="328"/>
      <c r="J356" s="328"/>
      <c r="K356" s="328"/>
      <c r="L356" s="329"/>
      <c r="M356" s="329"/>
      <c r="N356" s="328"/>
      <c r="O356" s="328"/>
      <c r="P356" s="328"/>
      <c r="Q356" s="328"/>
      <c r="R356" s="328"/>
      <c r="S356" s="328"/>
      <c r="T356" s="328"/>
      <c r="U356" s="328"/>
      <c r="X356" s="330"/>
      <c r="Y356" s="330"/>
      <c r="Z356" s="330"/>
      <c r="AA356" s="330"/>
      <c r="AZ356" s="331"/>
      <c r="BA356" s="332"/>
      <c r="BB356" s="334"/>
    </row>
    <row r="357" spans="3:54" s="324" customFormat="1" x14ac:dyDescent="0.5">
      <c r="C357" s="325"/>
      <c r="D357" s="326"/>
      <c r="E357" s="326"/>
      <c r="F357" s="326"/>
      <c r="G357" s="326"/>
      <c r="H357" s="327"/>
      <c r="I357" s="328"/>
      <c r="J357" s="328"/>
      <c r="K357" s="328"/>
      <c r="L357" s="329"/>
      <c r="M357" s="329"/>
      <c r="N357" s="328"/>
      <c r="O357" s="328"/>
      <c r="P357" s="328"/>
      <c r="Q357" s="328"/>
      <c r="R357" s="328"/>
      <c r="S357" s="328"/>
      <c r="T357" s="328"/>
      <c r="U357" s="328"/>
      <c r="X357" s="330"/>
      <c r="Y357" s="330"/>
      <c r="Z357" s="330"/>
      <c r="AA357" s="330"/>
      <c r="AZ357" s="331"/>
      <c r="BA357" s="332"/>
      <c r="BB357" s="334"/>
    </row>
    <row r="358" spans="3:54" s="324" customFormat="1" x14ac:dyDescent="0.5">
      <c r="C358" s="325"/>
      <c r="D358" s="326"/>
      <c r="E358" s="326"/>
      <c r="F358" s="326"/>
      <c r="G358" s="326"/>
      <c r="H358" s="327"/>
      <c r="I358" s="328"/>
      <c r="J358" s="328"/>
      <c r="K358" s="328"/>
      <c r="L358" s="329"/>
      <c r="M358" s="329"/>
      <c r="N358" s="328"/>
      <c r="O358" s="328"/>
      <c r="P358" s="328"/>
      <c r="Q358" s="328"/>
      <c r="R358" s="328"/>
      <c r="S358" s="328"/>
      <c r="T358" s="328"/>
      <c r="U358" s="328"/>
      <c r="X358" s="330"/>
      <c r="Y358" s="330"/>
      <c r="Z358" s="330"/>
      <c r="AA358" s="330"/>
      <c r="AZ358" s="331"/>
      <c r="BA358" s="332"/>
      <c r="BB358" s="334"/>
    </row>
    <row r="359" spans="3:54" s="324" customFormat="1" x14ac:dyDescent="0.5">
      <c r="C359" s="325"/>
      <c r="D359" s="326"/>
      <c r="E359" s="326"/>
      <c r="F359" s="326"/>
      <c r="G359" s="326"/>
      <c r="H359" s="327"/>
      <c r="I359" s="328"/>
      <c r="J359" s="328"/>
      <c r="K359" s="328"/>
      <c r="L359" s="329"/>
      <c r="M359" s="329"/>
      <c r="N359" s="328"/>
      <c r="O359" s="328"/>
      <c r="P359" s="328"/>
      <c r="Q359" s="328"/>
      <c r="R359" s="328"/>
      <c r="S359" s="328"/>
      <c r="T359" s="328"/>
      <c r="U359" s="328"/>
      <c r="X359" s="330"/>
      <c r="Y359" s="330"/>
      <c r="Z359" s="330"/>
      <c r="AA359" s="330"/>
      <c r="AZ359" s="331"/>
      <c r="BA359" s="332"/>
      <c r="BB359" s="334"/>
    </row>
    <row r="360" spans="3:54" s="324" customFormat="1" x14ac:dyDescent="0.5">
      <c r="C360" s="325"/>
      <c r="D360" s="326"/>
      <c r="E360" s="326"/>
      <c r="F360" s="326"/>
      <c r="G360" s="326"/>
      <c r="H360" s="327"/>
      <c r="I360" s="328"/>
      <c r="J360" s="328"/>
      <c r="K360" s="328"/>
      <c r="L360" s="329"/>
      <c r="M360" s="329"/>
      <c r="N360" s="328"/>
      <c r="O360" s="328"/>
      <c r="P360" s="328"/>
      <c r="Q360" s="328"/>
      <c r="R360" s="328"/>
      <c r="S360" s="328"/>
      <c r="T360" s="328"/>
      <c r="U360" s="328"/>
      <c r="X360" s="330"/>
      <c r="Y360" s="330"/>
      <c r="Z360" s="330"/>
      <c r="AA360" s="330"/>
      <c r="AZ360" s="331"/>
      <c r="BA360" s="332"/>
      <c r="BB360" s="334"/>
    </row>
    <row r="361" spans="3:54" s="324" customFormat="1" x14ac:dyDescent="0.5">
      <c r="C361" s="325"/>
      <c r="D361" s="326"/>
      <c r="E361" s="326"/>
      <c r="F361" s="326"/>
      <c r="G361" s="326"/>
      <c r="H361" s="327"/>
      <c r="I361" s="328"/>
      <c r="J361" s="328"/>
      <c r="K361" s="328"/>
      <c r="L361" s="329"/>
      <c r="M361" s="329"/>
      <c r="N361" s="328"/>
      <c r="O361" s="328"/>
      <c r="P361" s="328"/>
      <c r="Q361" s="328"/>
      <c r="R361" s="328"/>
      <c r="S361" s="328"/>
      <c r="T361" s="328"/>
      <c r="U361" s="328"/>
      <c r="X361" s="330"/>
      <c r="Y361" s="330"/>
      <c r="Z361" s="330"/>
      <c r="AA361" s="330"/>
      <c r="AZ361" s="331"/>
      <c r="BA361" s="332"/>
      <c r="BB361" s="334"/>
    </row>
    <row r="362" spans="3:54" s="324" customFormat="1" x14ac:dyDescent="0.5">
      <c r="C362" s="325"/>
      <c r="D362" s="326"/>
      <c r="E362" s="326"/>
      <c r="F362" s="326"/>
      <c r="G362" s="326"/>
      <c r="H362" s="327"/>
      <c r="I362" s="328"/>
      <c r="J362" s="328"/>
      <c r="K362" s="328"/>
      <c r="L362" s="329"/>
      <c r="M362" s="329"/>
      <c r="N362" s="328"/>
      <c r="O362" s="328"/>
      <c r="P362" s="328"/>
      <c r="Q362" s="328"/>
      <c r="R362" s="328"/>
      <c r="S362" s="328"/>
      <c r="T362" s="328"/>
      <c r="U362" s="328"/>
      <c r="X362" s="330"/>
      <c r="Y362" s="330"/>
      <c r="Z362" s="330"/>
      <c r="AA362" s="330"/>
      <c r="AZ362" s="331"/>
      <c r="BA362" s="332"/>
      <c r="BB362" s="334"/>
    </row>
    <row r="363" spans="3:54" s="324" customFormat="1" x14ac:dyDescent="0.5">
      <c r="C363" s="325"/>
      <c r="D363" s="326"/>
      <c r="E363" s="326"/>
      <c r="F363" s="326"/>
      <c r="G363" s="326"/>
      <c r="H363" s="327"/>
      <c r="I363" s="328"/>
      <c r="J363" s="328"/>
      <c r="K363" s="328"/>
      <c r="L363" s="329"/>
      <c r="M363" s="329"/>
      <c r="N363" s="328"/>
      <c r="O363" s="328"/>
      <c r="P363" s="328"/>
      <c r="Q363" s="328"/>
      <c r="R363" s="328"/>
      <c r="S363" s="328"/>
      <c r="T363" s="328"/>
      <c r="U363" s="328"/>
      <c r="X363" s="330"/>
      <c r="Y363" s="330"/>
      <c r="Z363" s="330"/>
      <c r="AA363" s="330"/>
      <c r="AZ363" s="331"/>
      <c r="BA363" s="332"/>
      <c r="BB363" s="334"/>
    </row>
    <row r="364" spans="3:54" s="324" customFormat="1" x14ac:dyDescent="0.5">
      <c r="C364" s="325"/>
      <c r="D364" s="326"/>
      <c r="E364" s="326"/>
      <c r="F364" s="326"/>
      <c r="G364" s="326"/>
      <c r="H364" s="327"/>
      <c r="I364" s="328"/>
      <c r="J364" s="328"/>
      <c r="K364" s="328"/>
      <c r="L364" s="329"/>
      <c r="M364" s="329"/>
      <c r="N364" s="328"/>
      <c r="O364" s="328"/>
      <c r="P364" s="328"/>
      <c r="Q364" s="328"/>
      <c r="R364" s="328"/>
      <c r="S364" s="328"/>
      <c r="T364" s="328"/>
      <c r="U364" s="328"/>
      <c r="X364" s="330"/>
      <c r="Y364" s="330"/>
      <c r="Z364" s="330"/>
      <c r="AA364" s="330"/>
      <c r="AZ364" s="331"/>
      <c r="BA364" s="332"/>
      <c r="BB364" s="334"/>
    </row>
    <row r="365" spans="3:54" s="324" customFormat="1" x14ac:dyDescent="0.5">
      <c r="C365" s="325"/>
      <c r="D365" s="326"/>
      <c r="E365" s="326"/>
      <c r="F365" s="326"/>
      <c r="G365" s="326"/>
      <c r="H365" s="327"/>
      <c r="I365" s="328"/>
      <c r="J365" s="328"/>
      <c r="K365" s="328"/>
      <c r="L365" s="329"/>
      <c r="M365" s="329"/>
      <c r="N365" s="328"/>
      <c r="O365" s="328"/>
      <c r="P365" s="328"/>
      <c r="Q365" s="328"/>
      <c r="R365" s="328"/>
      <c r="S365" s="328"/>
      <c r="T365" s="328"/>
      <c r="U365" s="328"/>
      <c r="X365" s="330"/>
      <c r="Y365" s="330"/>
      <c r="Z365" s="330"/>
      <c r="AA365" s="330"/>
      <c r="AZ365" s="331"/>
      <c r="BA365" s="332"/>
      <c r="BB365" s="334"/>
    </row>
    <row r="366" spans="3:54" s="324" customFormat="1" x14ac:dyDescent="0.5">
      <c r="C366" s="325"/>
      <c r="D366" s="326"/>
      <c r="E366" s="326"/>
      <c r="F366" s="326"/>
      <c r="G366" s="326"/>
      <c r="H366" s="327"/>
      <c r="I366" s="328"/>
      <c r="J366" s="328"/>
      <c r="K366" s="328"/>
      <c r="L366" s="329"/>
      <c r="M366" s="329"/>
      <c r="N366" s="328"/>
      <c r="O366" s="328"/>
      <c r="P366" s="328"/>
      <c r="Q366" s="328"/>
      <c r="R366" s="328"/>
      <c r="S366" s="328"/>
      <c r="T366" s="328"/>
      <c r="U366" s="328"/>
      <c r="X366" s="330"/>
      <c r="Y366" s="330"/>
      <c r="Z366" s="330"/>
      <c r="AA366" s="330"/>
      <c r="AZ366" s="331"/>
      <c r="BA366" s="332"/>
      <c r="BB366" s="334"/>
    </row>
    <row r="367" spans="3:54" s="324" customFormat="1" x14ac:dyDescent="0.5">
      <c r="C367" s="325"/>
      <c r="D367" s="326"/>
      <c r="E367" s="326"/>
      <c r="F367" s="326"/>
      <c r="G367" s="326"/>
      <c r="H367" s="327"/>
      <c r="I367" s="328"/>
      <c r="J367" s="328"/>
      <c r="K367" s="328"/>
      <c r="L367" s="329"/>
      <c r="M367" s="329"/>
      <c r="N367" s="328"/>
      <c r="O367" s="328"/>
      <c r="P367" s="328"/>
      <c r="Q367" s="328"/>
      <c r="R367" s="328"/>
      <c r="S367" s="328"/>
      <c r="T367" s="328"/>
      <c r="U367" s="328"/>
      <c r="X367" s="330"/>
      <c r="Y367" s="330"/>
      <c r="Z367" s="330"/>
      <c r="AA367" s="330"/>
      <c r="AZ367" s="331"/>
      <c r="BA367" s="332"/>
      <c r="BB367" s="334"/>
    </row>
    <row r="368" spans="3:54" s="324" customFormat="1" x14ac:dyDescent="0.5">
      <c r="C368" s="325"/>
      <c r="D368" s="326"/>
      <c r="E368" s="326"/>
      <c r="F368" s="326"/>
      <c r="G368" s="326"/>
      <c r="H368" s="327"/>
      <c r="I368" s="328"/>
      <c r="J368" s="328"/>
      <c r="K368" s="328"/>
      <c r="L368" s="329"/>
      <c r="M368" s="329"/>
      <c r="N368" s="328"/>
      <c r="O368" s="328"/>
      <c r="P368" s="328"/>
      <c r="Q368" s="328"/>
      <c r="R368" s="328"/>
      <c r="S368" s="328"/>
      <c r="T368" s="328"/>
      <c r="U368" s="328"/>
      <c r="X368" s="330"/>
      <c r="Y368" s="330"/>
      <c r="Z368" s="330"/>
      <c r="AA368" s="330"/>
      <c r="AZ368" s="331"/>
      <c r="BA368" s="332"/>
      <c r="BB368" s="334"/>
    </row>
    <row r="369" spans="3:54" s="324" customFormat="1" x14ac:dyDescent="0.5">
      <c r="C369" s="325"/>
      <c r="D369" s="326"/>
      <c r="E369" s="326"/>
      <c r="F369" s="326"/>
      <c r="G369" s="326"/>
      <c r="H369" s="327"/>
      <c r="I369" s="328"/>
      <c r="J369" s="328"/>
      <c r="K369" s="328"/>
      <c r="L369" s="329"/>
      <c r="M369" s="329"/>
      <c r="N369" s="328"/>
      <c r="O369" s="328"/>
      <c r="P369" s="328"/>
      <c r="Q369" s="328"/>
      <c r="R369" s="328"/>
      <c r="S369" s="328"/>
      <c r="T369" s="328"/>
      <c r="U369" s="328"/>
      <c r="X369" s="330"/>
      <c r="Y369" s="330"/>
      <c r="Z369" s="330"/>
      <c r="AA369" s="330"/>
      <c r="AZ369" s="331"/>
      <c r="BA369" s="332"/>
      <c r="BB369" s="334"/>
    </row>
    <row r="370" spans="3:54" s="324" customFormat="1" x14ac:dyDescent="0.5">
      <c r="C370" s="325"/>
      <c r="D370" s="326"/>
      <c r="E370" s="326"/>
      <c r="F370" s="326"/>
      <c r="G370" s="326"/>
      <c r="H370" s="327"/>
      <c r="I370" s="328"/>
      <c r="J370" s="328"/>
      <c r="K370" s="328"/>
      <c r="L370" s="329"/>
      <c r="M370" s="329"/>
      <c r="N370" s="328"/>
      <c r="O370" s="328"/>
      <c r="P370" s="328"/>
      <c r="Q370" s="328"/>
      <c r="R370" s="328"/>
      <c r="S370" s="328"/>
      <c r="T370" s="328"/>
      <c r="U370" s="328"/>
      <c r="X370" s="330"/>
      <c r="Y370" s="330"/>
      <c r="Z370" s="330"/>
      <c r="AA370" s="330"/>
      <c r="AZ370" s="331"/>
      <c r="BA370" s="332"/>
      <c r="BB370" s="334"/>
    </row>
    <row r="371" spans="3:54" s="324" customFormat="1" x14ac:dyDescent="0.5">
      <c r="C371" s="325"/>
      <c r="D371" s="326"/>
      <c r="E371" s="326"/>
      <c r="F371" s="326"/>
      <c r="G371" s="326"/>
      <c r="H371" s="327"/>
      <c r="I371" s="328"/>
      <c r="J371" s="328"/>
      <c r="K371" s="328"/>
      <c r="L371" s="329"/>
      <c r="M371" s="329"/>
      <c r="N371" s="328"/>
      <c r="O371" s="328"/>
      <c r="P371" s="328"/>
      <c r="Q371" s="328"/>
      <c r="R371" s="328"/>
      <c r="S371" s="328"/>
      <c r="T371" s="328"/>
      <c r="U371" s="328"/>
      <c r="X371" s="330"/>
      <c r="Y371" s="330"/>
      <c r="Z371" s="330"/>
      <c r="AA371" s="330"/>
      <c r="AZ371" s="331"/>
      <c r="BA371" s="332"/>
      <c r="BB371" s="334"/>
    </row>
    <row r="372" spans="3:54" s="324" customFormat="1" x14ac:dyDescent="0.5">
      <c r="C372" s="325"/>
      <c r="D372" s="326"/>
      <c r="E372" s="326"/>
      <c r="F372" s="326"/>
      <c r="G372" s="326"/>
      <c r="H372" s="327"/>
      <c r="I372" s="328"/>
      <c r="J372" s="328"/>
      <c r="K372" s="328"/>
      <c r="L372" s="329"/>
      <c r="M372" s="329"/>
      <c r="N372" s="328"/>
      <c r="O372" s="328"/>
      <c r="P372" s="328"/>
      <c r="Q372" s="328"/>
      <c r="R372" s="328"/>
      <c r="S372" s="328"/>
      <c r="T372" s="328"/>
      <c r="U372" s="328"/>
      <c r="X372" s="330"/>
      <c r="Y372" s="330"/>
      <c r="Z372" s="330"/>
      <c r="AA372" s="330"/>
      <c r="AZ372" s="331"/>
      <c r="BA372" s="332"/>
      <c r="BB372" s="334"/>
    </row>
    <row r="373" spans="3:54" s="324" customFormat="1" x14ac:dyDescent="0.5">
      <c r="C373" s="325"/>
      <c r="D373" s="326"/>
      <c r="E373" s="326"/>
      <c r="F373" s="326"/>
      <c r="G373" s="326"/>
      <c r="H373" s="327"/>
      <c r="I373" s="328"/>
      <c r="J373" s="328"/>
      <c r="K373" s="328"/>
      <c r="L373" s="329"/>
      <c r="M373" s="329"/>
      <c r="N373" s="328"/>
      <c r="O373" s="328"/>
      <c r="P373" s="328"/>
      <c r="Q373" s="328"/>
      <c r="R373" s="328"/>
      <c r="S373" s="328"/>
      <c r="T373" s="328"/>
      <c r="U373" s="328"/>
      <c r="X373" s="330"/>
      <c r="Y373" s="330"/>
      <c r="Z373" s="330"/>
      <c r="AA373" s="330"/>
      <c r="AZ373" s="331"/>
      <c r="BA373" s="332"/>
      <c r="BB373" s="334"/>
    </row>
    <row r="374" spans="3:54" s="324" customFormat="1" x14ac:dyDescent="0.5">
      <c r="C374" s="325"/>
      <c r="D374" s="326"/>
      <c r="E374" s="326"/>
      <c r="F374" s="326"/>
      <c r="G374" s="326"/>
      <c r="H374" s="327"/>
      <c r="I374" s="328"/>
      <c r="J374" s="328"/>
      <c r="K374" s="328"/>
      <c r="L374" s="329"/>
      <c r="M374" s="329"/>
      <c r="N374" s="328"/>
      <c r="O374" s="328"/>
      <c r="P374" s="328"/>
      <c r="Q374" s="328"/>
      <c r="R374" s="328"/>
      <c r="S374" s="328"/>
      <c r="T374" s="328"/>
      <c r="U374" s="328"/>
      <c r="X374" s="330"/>
      <c r="Y374" s="330"/>
      <c r="Z374" s="330"/>
      <c r="AA374" s="330"/>
      <c r="AZ374" s="331"/>
      <c r="BA374" s="332"/>
      <c r="BB374" s="334"/>
    </row>
    <row r="375" spans="3:54" s="324" customFormat="1" x14ac:dyDescent="0.5">
      <c r="C375" s="325"/>
      <c r="D375" s="326"/>
      <c r="E375" s="326"/>
      <c r="F375" s="326"/>
      <c r="G375" s="326"/>
      <c r="H375" s="327"/>
      <c r="I375" s="328"/>
      <c r="J375" s="328"/>
      <c r="K375" s="328"/>
      <c r="L375" s="329"/>
      <c r="M375" s="329"/>
      <c r="N375" s="328"/>
      <c r="O375" s="328"/>
      <c r="P375" s="328"/>
      <c r="Q375" s="328"/>
      <c r="R375" s="328"/>
      <c r="S375" s="328"/>
      <c r="T375" s="328"/>
      <c r="U375" s="328"/>
      <c r="X375" s="330"/>
      <c r="Y375" s="330"/>
      <c r="Z375" s="330"/>
      <c r="AA375" s="330"/>
      <c r="AZ375" s="331"/>
      <c r="BA375" s="332"/>
      <c r="BB375" s="334"/>
    </row>
    <row r="376" spans="3:54" s="324" customFormat="1" x14ac:dyDescent="0.5">
      <c r="C376" s="325"/>
      <c r="D376" s="326"/>
      <c r="E376" s="326"/>
      <c r="F376" s="326"/>
      <c r="G376" s="326"/>
      <c r="H376" s="327"/>
      <c r="I376" s="328"/>
      <c r="J376" s="328"/>
      <c r="K376" s="328"/>
      <c r="L376" s="329"/>
      <c r="M376" s="329"/>
      <c r="N376" s="328"/>
      <c r="O376" s="328"/>
      <c r="P376" s="328"/>
      <c r="Q376" s="328"/>
      <c r="R376" s="328"/>
      <c r="S376" s="328"/>
      <c r="T376" s="328"/>
      <c r="U376" s="328"/>
      <c r="X376" s="330"/>
      <c r="Y376" s="330"/>
      <c r="Z376" s="330"/>
      <c r="AA376" s="330"/>
      <c r="AZ376" s="331"/>
      <c r="BA376" s="332"/>
      <c r="BB376" s="334"/>
    </row>
    <row r="377" spans="3:54" s="324" customFormat="1" x14ac:dyDescent="0.5">
      <c r="C377" s="325"/>
      <c r="D377" s="326"/>
      <c r="E377" s="326"/>
      <c r="F377" s="326"/>
      <c r="G377" s="326"/>
      <c r="H377" s="327"/>
      <c r="I377" s="328"/>
      <c r="J377" s="328"/>
      <c r="K377" s="328"/>
      <c r="L377" s="329"/>
      <c r="M377" s="329"/>
      <c r="N377" s="328"/>
      <c r="O377" s="328"/>
      <c r="P377" s="328"/>
      <c r="Q377" s="328"/>
      <c r="R377" s="328"/>
      <c r="S377" s="328"/>
      <c r="T377" s="328"/>
      <c r="U377" s="328"/>
      <c r="X377" s="330"/>
      <c r="Y377" s="330"/>
      <c r="Z377" s="330"/>
      <c r="AA377" s="330"/>
      <c r="AZ377" s="331"/>
      <c r="BA377" s="332"/>
      <c r="BB377" s="334"/>
    </row>
    <row r="378" spans="3:54" s="324" customFormat="1" x14ac:dyDescent="0.5">
      <c r="C378" s="325"/>
      <c r="D378" s="326"/>
      <c r="E378" s="326"/>
      <c r="F378" s="326"/>
      <c r="G378" s="326"/>
      <c r="H378" s="327"/>
      <c r="I378" s="328"/>
      <c r="J378" s="328"/>
      <c r="K378" s="328"/>
      <c r="L378" s="329"/>
      <c r="M378" s="329"/>
      <c r="N378" s="328"/>
      <c r="O378" s="328"/>
      <c r="P378" s="328"/>
      <c r="Q378" s="328"/>
      <c r="R378" s="328"/>
      <c r="S378" s="328"/>
      <c r="T378" s="328"/>
      <c r="U378" s="328"/>
      <c r="X378" s="330"/>
      <c r="Y378" s="330"/>
      <c r="Z378" s="330"/>
      <c r="AA378" s="330"/>
      <c r="AZ378" s="331"/>
      <c r="BA378" s="332"/>
      <c r="BB378" s="334"/>
    </row>
    <row r="379" spans="3:54" s="324" customFormat="1" x14ac:dyDescent="0.5">
      <c r="C379" s="325"/>
      <c r="D379" s="326"/>
      <c r="E379" s="326"/>
      <c r="F379" s="326"/>
      <c r="G379" s="326"/>
      <c r="H379" s="327"/>
      <c r="I379" s="328"/>
      <c r="J379" s="328"/>
      <c r="K379" s="328"/>
      <c r="L379" s="329"/>
      <c r="M379" s="329"/>
      <c r="N379" s="328"/>
      <c r="O379" s="328"/>
      <c r="P379" s="328"/>
      <c r="Q379" s="328"/>
      <c r="R379" s="328"/>
      <c r="S379" s="328"/>
      <c r="T379" s="328"/>
      <c r="U379" s="328"/>
      <c r="X379" s="330"/>
      <c r="Y379" s="330"/>
      <c r="Z379" s="330"/>
      <c r="AA379" s="330"/>
      <c r="AZ379" s="331"/>
      <c r="BA379" s="332"/>
      <c r="BB379" s="334"/>
    </row>
    <row r="380" spans="3:54" s="324" customFormat="1" x14ac:dyDescent="0.5">
      <c r="C380" s="325"/>
      <c r="D380" s="326"/>
      <c r="E380" s="326"/>
      <c r="F380" s="326"/>
      <c r="G380" s="326"/>
      <c r="H380" s="327"/>
      <c r="I380" s="328"/>
      <c r="J380" s="328"/>
      <c r="K380" s="328"/>
      <c r="L380" s="329"/>
      <c r="M380" s="329"/>
      <c r="N380" s="328"/>
      <c r="O380" s="328"/>
      <c r="P380" s="328"/>
      <c r="Q380" s="328"/>
      <c r="R380" s="328"/>
      <c r="S380" s="328"/>
      <c r="T380" s="328"/>
      <c r="U380" s="328"/>
      <c r="X380" s="330"/>
      <c r="Y380" s="330"/>
      <c r="Z380" s="330"/>
      <c r="AA380" s="330"/>
      <c r="AZ380" s="331"/>
      <c r="BA380" s="332"/>
      <c r="BB380" s="334"/>
    </row>
    <row r="381" spans="3:54" s="324" customFormat="1" x14ac:dyDescent="0.5">
      <c r="C381" s="325"/>
      <c r="D381" s="326"/>
      <c r="E381" s="326"/>
      <c r="F381" s="326"/>
      <c r="G381" s="326"/>
      <c r="H381" s="327"/>
      <c r="I381" s="328"/>
      <c r="J381" s="328"/>
      <c r="K381" s="328"/>
      <c r="L381" s="329"/>
      <c r="M381" s="329"/>
      <c r="N381" s="328"/>
      <c r="O381" s="328"/>
      <c r="P381" s="328"/>
      <c r="Q381" s="328"/>
      <c r="R381" s="328"/>
      <c r="S381" s="328"/>
      <c r="T381" s="328"/>
      <c r="U381" s="328"/>
      <c r="X381" s="330"/>
      <c r="Y381" s="330"/>
      <c r="Z381" s="330"/>
      <c r="AA381" s="330"/>
      <c r="AZ381" s="331"/>
      <c r="BA381" s="332"/>
      <c r="BB381" s="334"/>
    </row>
    <row r="382" spans="3:54" s="324" customFormat="1" x14ac:dyDescent="0.5">
      <c r="C382" s="325"/>
      <c r="D382" s="326"/>
      <c r="E382" s="326"/>
      <c r="F382" s="326"/>
      <c r="G382" s="326"/>
      <c r="H382" s="327"/>
      <c r="I382" s="328"/>
      <c r="J382" s="328"/>
      <c r="K382" s="328"/>
      <c r="L382" s="329"/>
      <c r="M382" s="329"/>
      <c r="N382" s="328"/>
      <c r="O382" s="328"/>
      <c r="P382" s="328"/>
      <c r="Q382" s="328"/>
      <c r="R382" s="328"/>
      <c r="S382" s="328"/>
      <c r="T382" s="328"/>
      <c r="U382" s="328"/>
      <c r="X382" s="330"/>
      <c r="Y382" s="330"/>
      <c r="Z382" s="330"/>
      <c r="AA382" s="330"/>
      <c r="AZ382" s="331"/>
      <c r="BA382" s="332"/>
      <c r="BB382" s="334"/>
    </row>
    <row r="383" spans="3:54" s="324" customFormat="1" x14ac:dyDescent="0.5">
      <c r="C383" s="325"/>
      <c r="D383" s="326"/>
      <c r="E383" s="326"/>
      <c r="F383" s="326"/>
      <c r="G383" s="326"/>
      <c r="H383" s="327"/>
      <c r="I383" s="328"/>
      <c r="J383" s="328"/>
      <c r="K383" s="328"/>
      <c r="L383" s="329"/>
      <c r="M383" s="329"/>
      <c r="N383" s="328"/>
      <c r="O383" s="328"/>
      <c r="P383" s="328"/>
      <c r="Q383" s="328"/>
      <c r="R383" s="328"/>
      <c r="S383" s="328"/>
      <c r="T383" s="328"/>
      <c r="U383" s="328"/>
      <c r="X383" s="330"/>
      <c r="Y383" s="330"/>
      <c r="Z383" s="330"/>
      <c r="AA383" s="330"/>
      <c r="AZ383" s="331"/>
      <c r="BA383" s="332"/>
      <c r="BB383" s="334"/>
    </row>
    <row r="384" spans="3:54" s="324" customFormat="1" x14ac:dyDescent="0.5">
      <c r="C384" s="325"/>
      <c r="D384" s="326"/>
      <c r="E384" s="326"/>
      <c r="F384" s="326"/>
      <c r="G384" s="326"/>
      <c r="H384" s="327"/>
      <c r="I384" s="328"/>
      <c r="J384" s="328"/>
      <c r="K384" s="328"/>
      <c r="L384" s="329"/>
      <c r="M384" s="329"/>
      <c r="N384" s="328"/>
      <c r="O384" s="328"/>
      <c r="P384" s="328"/>
      <c r="Q384" s="328"/>
      <c r="R384" s="328"/>
      <c r="S384" s="328"/>
      <c r="T384" s="328"/>
      <c r="U384" s="328"/>
      <c r="X384" s="330"/>
      <c r="Y384" s="330"/>
      <c r="Z384" s="330"/>
      <c r="AA384" s="330"/>
      <c r="AZ384" s="331"/>
      <c r="BA384" s="332"/>
      <c r="BB384" s="334"/>
    </row>
    <row r="385" spans="3:54" s="324" customFormat="1" x14ac:dyDescent="0.5">
      <c r="C385" s="325"/>
      <c r="D385" s="326"/>
      <c r="E385" s="326"/>
      <c r="F385" s="326"/>
      <c r="G385" s="326"/>
      <c r="H385" s="327"/>
      <c r="I385" s="328"/>
      <c r="J385" s="328"/>
      <c r="K385" s="328"/>
      <c r="L385" s="329"/>
      <c r="M385" s="329"/>
      <c r="N385" s="328"/>
      <c r="O385" s="328"/>
      <c r="P385" s="328"/>
      <c r="Q385" s="328"/>
      <c r="R385" s="328"/>
      <c r="S385" s="328"/>
      <c r="T385" s="328"/>
      <c r="U385" s="328"/>
      <c r="X385" s="330"/>
      <c r="Y385" s="330"/>
      <c r="Z385" s="330"/>
      <c r="AA385" s="330"/>
      <c r="AZ385" s="331"/>
      <c r="BA385" s="332"/>
      <c r="BB385" s="334"/>
    </row>
    <row r="386" spans="3:54" s="324" customFormat="1" x14ac:dyDescent="0.5">
      <c r="C386" s="325"/>
      <c r="D386" s="326"/>
      <c r="E386" s="326"/>
      <c r="F386" s="326"/>
      <c r="G386" s="326"/>
      <c r="H386" s="327"/>
      <c r="I386" s="328"/>
      <c r="J386" s="328"/>
      <c r="K386" s="328"/>
      <c r="L386" s="329"/>
      <c r="M386" s="329"/>
      <c r="N386" s="328"/>
      <c r="O386" s="328"/>
      <c r="P386" s="328"/>
      <c r="Q386" s="328"/>
      <c r="R386" s="328"/>
      <c r="S386" s="328"/>
      <c r="T386" s="328"/>
      <c r="U386" s="328"/>
      <c r="X386" s="330"/>
      <c r="Y386" s="330"/>
      <c r="Z386" s="330"/>
      <c r="AA386" s="330"/>
      <c r="AZ386" s="331"/>
      <c r="BA386" s="332"/>
      <c r="BB386" s="334"/>
    </row>
    <row r="387" spans="3:54" s="324" customFormat="1" x14ac:dyDescent="0.5">
      <c r="C387" s="325"/>
      <c r="D387" s="326"/>
      <c r="E387" s="326"/>
      <c r="F387" s="326"/>
      <c r="G387" s="326"/>
      <c r="H387" s="327"/>
      <c r="I387" s="328"/>
      <c r="J387" s="328"/>
      <c r="K387" s="328"/>
      <c r="L387" s="329"/>
      <c r="M387" s="329"/>
      <c r="N387" s="328"/>
      <c r="O387" s="328"/>
      <c r="P387" s="328"/>
      <c r="Q387" s="328"/>
      <c r="R387" s="328"/>
      <c r="S387" s="328"/>
      <c r="T387" s="328"/>
      <c r="U387" s="328"/>
      <c r="X387" s="330"/>
      <c r="Y387" s="330"/>
      <c r="Z387" s="330"/>
      <c r="AA387" s="330"/>
      <c r="AZ387" s="331"/>
      <c r="BA387" s="332"/>
      <c r="BB387" s="334"/>
    </row>
    <row r="388" spans="3:54" s="324" customFormat="1" x14ac:dyDescent="0.5">
      <c r="C388" s="325"/>
      <c r="D388" s="326"/>
      <c r="E388" s="326"/>
      <c r="F388" s="326"/>
      <c r="G388" s="326"/>
      <c r="H388" s="327"/>
      <c r="I388" s="328"/>
      <c r="J388" s="328"/>
      <c r="K388" s="328"/>
      <c r="L388" s="329"/>
      <c r="M388" s="329"/>
      <c r="N388" s="328"/>
      <c r="O388" s="328"/>
      <c r="P388" s="328"/>
      <c r="Q388" s="328"/>
      <c r="R388" s="328"/>
      <c r="S388" s="328"/>
      <c r="T388" s="328"/>
      <c r="U388" s="328"/>
      <c r="X388" s="330"/>
      <c r="Y388" s="330"/>
      <c r="Z388" s="330"/>
      <c r="AA388" s="330"/>
      <c r="AZ388" s="331"/>
      <c r="BA388" s="332"/>
      <c r="BB388" s="334"/>
    </row>
    <row r="389" spans="3:54" s="324" customFormat="1" x14ac:dyDescent="0.5">
      <c r="C389" s="325"/>
      <c r="D389" s="326"/>
      <c r="E389" s="326"/>
      <c r="F389" s="326"/>
      <c r="G389" s="326"/>
      <c r="H389" s="327"/>
      <c r="I389" s="328"/>
      <c r="J389" s="328"/>
      <c r="K389" s="328"/>
      <c r="L389" s="329"/>
      <c r="M389" s="329"/>
      <c r="N389" s="328"/>
      <c r="O389" s="328"/>
      <c r="P389" s="328"/>
      <c r="Q389" s="328"/>
      <c r="R389" s="328"/>
      <c r="S389" s="328"/>
      <c r="T389" s="328"/>
      <c r="U389" s="328"/>
      <c r="X389" s="330"/>
      <c r="Y389" s="330"/>
      <c r="Z389" s="330"/>
      <c r="AA389" s="330"/>
      <c r="AZ389" s="331"/>
      <c r="BA389" s="332"/>
      <c r="BB389" s="334"/>
    </row>
    <row r="390" spans="3:54" s="324" customFormat="1" x14ac:dyDescent="0.5">
      <c r="C390" s="325"/>
      <c r="D390" s="326"/>
      <c r="E390" s="326"/>
      <c r="F390" s="326"/>
      <c r="G390" s="326"/>
      <c r="H390" s="327"/>
      <c r="I390" s="328"/>
      <c r="J390" s="328"/>
      <c r="K390" s="328"/>
      <c r="L390" s="329"/>
      <c r="M390" s="329"/>
      <c r="N390" s="328"/>
      <c r="O390" s="328"/>
      <c r="P390" s="328"/>
      <c r="Q390" s="328"/>
      <c r="R390" s="328"/>
      <c r="S390" s="328"/>
      <c r="T390" s="328"/>
      <c r="U390" s="328"/>
      <c r="X390" s="330"/>
      <c r="Y390" s="330"/>
      <c r="Z390" s="330"/>
      <c r="AA390" s="330"/>
      <c r="AZ390" s="331"/>
      <c r="BA390" s="332"/>
      <c r="BB390" s="334"/>
    </row>
    <row r="391" spans="3:54" s="324" customFormat="1" x14ac:dyDescent="0.5">
      <c r="C391" s="325"/>
      <c r="D391" s="326"/>
      <c r="E391" s="326"/>
      <c r="F391" s="326"/>
      <c r="G391" s="326"/>
      <c r="H391" s="327"/>
      <c r="I391" s="328"/>
      <c r="J391" s="328"/>
      <c r="K391" s="328"/>
      <c r="L391" s="329"/>
      <c r="M391" s="329"/>
      <c r="N391" s="328"/>
      <c r="O391" s="328"/>
      <c r="P391" s="328"/>
      <c r="Q391" s="328"/>
      <c r="R391" s="328"/>
      <c r="S391" s="328"/>
      <c r="T391" s="328"/>
      <c r="U391" s="328"/>
      <c r="X391" s="330"/>
      <c r="Y391" s="330"/>
      <c r="Z391" s="330"/>
      <c r="AA391" s="330"/>
      <c r="AZ391" s="331"/>
      <c r="BA391" s="332"/>
      <c r="BB391" s="334"/>
    </row>
    <row r="392" spans="3:54" s="324" customFormat="1" x14ac:dyDescent="0.5">
      <c r="C392" s="325"/>
      <c r="D392" s="326"/>
      <c r="E392" s="326"/>
      <c r="F392" s="326"/>
      <c r="G392" s="326"/>
      <c r="H392" s="327"/>
      <c r="I392" s="328"/>
      <c r="J392" s="328"/>
      <c r="K392" s="328"/>
      <c r="L392" s="329"/>
      <c r="M392" s="329"/>
      <c r="N392" s="328"/>
      <c r="O392" s="328"/>
      <c r="P392" s="328"/>
      <c r="Q392" s="328"/>
      <c r="R392" s="328"/>
      <c r="S392" s="328"/>
      <c r="T392" s="328"/>
      <c r="U392" s="328"/>
      <c r="X392" s="330"/>
      <c r="Y392" s="330"/>
      <c r="Z392" s="330"/>
      <c r="AA392" s="330"/>
      <c r="AZ392" s="331"/>
      <c r="BA392" s="332"/>
      <c r="BB392" s="334"/>
    </row>
    <row r="393" spans="3:54" s="324" customFormat="1" x14ac:dyDescent="0.5">
      <c r="C393" s="325"/>
      <c r="D393" s="326"/>
      <c r="E393" s="326"/>
      <c r="F393" s="326"/>
      <c r="G393" s="326"/>
      <c r="H393" s="327"/>
      <c r="I393" s="328"/>
      <c r="J393" s="328"/>
      <c r="K393" s="328"/>
      <c r="L393" s="329"/>
      <c r="M393" s="329"/>
      <c r="N393" s="328"/>
      <c r="O393" s="328"/>
      <c r="P393" s="328"/>
      <c r="Q393" s="328"/>
      <c r="R393" s="328"/>
      <c r="S393" s="328"/>
      <c r="T393" s="328"/>
      <c r="U393" s="328"/>
      <c r="X393" s="330"/>
      <c r="Y393" s="330"/>
      <c r="Z393" s="330"/>
      <c r="AA393" s="330"/>
      <c r="AZ393" s="331"/>
      <c r="BA393" s="332"/>
      <c r="BB393" s="334"/>
    </row>
    <row r="394" spans="3:54" s="324" customFormat="1" x14ac:dyDescent="0.5">
      <c r="C394" s="325"/>
      <c r="D394" s="326"/>
      <c r="E394" s="326"/>
      <c r="F394" s="326"/>
      <c r="G394" s="326"/>
      <c r="H394" s="327"/>
      <c r="I394" s="328"/>
      <c r="J394" s="328"/>
      <c r="K394" s="328"/>
      <c r="L394" s="329"/>
      <c r="M394" s="329"/>
      <c r="N394" s="328"/>
      <c r="O394" s="328"/>
      <c r="P394" s="328"/>
      <c r="Q394" s="328"/>
      <c r="R394" s="328"/>
      <c r="S394" s="328"/>
      <c r="T394" s="328"/>
      <c r="U394" s="328"/>
      <c r="X394" s="330"/>
      <c r="Y394" s="330"/>
      <c r="Z394" s="330"/>
      <c r="AA394" s="330"/>
      <c r="AZ394" s="331"/>
      <c r="BA394" s="332"/>
      <c r="BB394" s="334"/>
    </row>
    <row r="395" spans="3:54" s="324" customFormat="1" x14ac:dyDescent="0.5">
      <c r="C395" s="325"/>
      <c r="D395" s="326"/>
      <c r="E395" s="326"/>
      <c r="F395" s="326"/>
      <c r="G395" s="326"/>
      <c r="H395" s="327"/>
      <c r="I395" s="328"/>
      <c r="J395" s="328"/>
      <c r="K395" s="328"/>
      <c r="L395" s="329"/>
      <c r="M395" s="329"/>
      <c r="N395" s="328"/>
      <c r="O395" s="328"/>
      <c r="P395" s="328"/>
      <c r="Q395" s="328"/>
      <c r="R395" s="328"/>
      <c r="S395" s="328"/>
      <c r="T395" s="328"/>
      <c r="U395" s="328"/>
      <c r="X395" s="330"/>
      <c r="Y395" s="330"/>
      <c r="Z395" s="330"/>
      <c r="AA395" s="330"/>
      <c r="AZ395" s="331"/>
      <c r="BA395" s="332"/>
      <c r="BB395" s="334"/>
    </row>
    <row r="396" spans="3:54" s="324" customFormat="1" x14ac:dyDescent="0.5">
      <c r="C396" s="325"/>
      <c r="D396" s="326"/>
      <c r="E396" s="326"/>
      <c r="F396" s="326"/>
      <c r="G396" s="326"/>
      <c r="H396" s="327"/>
      <c r="I396" s="328"/>
      <c r="J396" s="328"/>
      <c r="K396" s="328"/>
      <c r="L396" s="329"/>
      <c r="M396" s="329"/>
      <c r="N396" s="328"/>
      <c r="O396" s="328"/>
      <c r="P396" s="328"/>
      <c r="Q396" s="328"/>
      <c r="R396" s="328"/>
      <c r="S396" s="328"/>
      <c r="T396" s="328"/>
      <c r="U396" s="328"/>
      <c r="X396" s="330"/>
      <c r="Y396" s="330"/>
      <c r="Z396" s="330"/>
      <c r="AA396" s="330"/>
      <c r="AZ396" s="331"/>
      <c r="BA396" s="332"/>
      <c r="BB396" s="334"/>
    </row>
    <row r="397" spans="3:54" s="324" customFormat="1" x14ac:dyDescent="0.5">
      <c r="C397" s="325"/>
      <c r="D397" s="326"/>
      <c r="E397" s="326"/>
      <c r="F397" s="326"/>
      <c r="G397" s="326"/>
      <c r="H397" s="327"/>
      <c r="I397" s="328"/>
      <c r="J397" s="328"/>
      <c r="K397" s="328"/>
      <c r="L397" s="329"/>
      <c r="M397" s="329"/>
      <c r="N397" s="328"/>
      <c r="O397" s="328"/>
      <c r="P397" s="328"/>
      <c r="Q397" s="328"/>
      <c r="R397" s="328"/>
      <c r="S397" s="328"/>
      <c r="T397" s="328"/>
      <c r="U397" s="328"/>
      <c r="X397" s="330"/>
      <c r="Y397" s="330"/>
      <c r="Z397" s="330"/>
      <c r="AA397" s="330"/>
      <c r="AZ397" s="331"/>
      <c r="BA397" s="332"/>
      <c r="BB397" s="334"/>
    </row>
    <row r="398" spans="3:54" s="324" customFormat="1" x14ac:dyDescent="0.5">
      <c r="C398" s="325"/>
      <c r="D398" s="326"/>
      <c r="E398" s="326"/>
      <c r="F398" s="326"/>
      <c r="G398" s="326"/>
      <c r="H398" s="327"/>
      <c r="I398" s="328"/>
      <c r="J398" s="328"/>
      <c r="K398" s="328"/>
      <c r="L398" s="329"/>
      <c r="M398" s="329"/>
      <c r="N398" s="328"/>
      <c r="O398" s="328"/>
      <c r="P398" s="328"/>
      <c r="Q398" s="328"/>
      <c r="R398" s="328"/>
      <c r="S398" s="328"/>
      <c r="T398" s="328"/>
      <c r="U398" s="328"/>
      <c r="X398" s="330"/>
      <c r="Y398" s="330"/>
      <c r="Z398" s="330"/>
      <c r="AA398" s="330"/>
      <c r="AZ398" s="331"/>
      <c r="BA398" s="332"/>
      <c r="BB398" s="334"/>
    </row>
    <row r="399" spans="3:54" s="324" customFormat="1" x14ac:dyDescent="0.5">
      <c r="C399" s="325"/>
      <c r="D399" s="326"/>
      <c r="E399" s="326"/>
      <c r="F399" s="326"/>
      <c r="G399" s="326"/>
      <c r="H399" s="327"/>
      <c r="I399" s="328"/>
      <c r="J399" s="328"/>
      <c r="K399" s="328"/>
      <c r="L399" s="329"/>
      <c r="M399" s="329"/>
      <c r="N399" s="328"/>
      <c r="O399" s="328"/>
      <c r="P399" s="328"/>
      <c r="Q399" s="328"/>
      <c r="R399" s="328"/>
      <c r="S399" s="328"/>
      <c r="T399" s="328"/>
      <c r="U399" s="328"/>
      <c r="X399" s="330"/>
      <c r="Y399" s="330"/>
      <c r="Z399" s="330"/>
      <c r="AA399" s="330"/>
      <c r="AZ399" s="331"/>
      <c r="BA399" s="332"/>
      <c r="BB399" s="334"/>
    </row>
    <row r="400" spans="3:54" s="324" customFormat="1" x14ac:dyDescent="0.5">
      <c r="C400" s="325"/>
      <c r="D400" s="326"/>
      <c r="E400" s="326"/>
      <c r="F400" s="326"/>
      <c r="G400" s="326"/>
      <c r="H400" s="327"/>
      <c r="I400" s="328"/>
      <c r="J400" s="328"/>
      <c r="K400" s="328"/>
      <c r="L400" s="329"/>
      <c r="M400" s="329"/>
      <c r="N400" s="328"/>
      <c r="O400" s="328"/>
      <c r="P400" s="328"/>
      <c r="Q400" s="328"/>
      <c r="R400" s="328"/>
      <c r="S400" s="328"/>
      <c r="T400" s="328"/>
      <c r="U400" s="328"/>
      <c r="X400" s="330"/>
      <c r="Y400" s="330"/>
      <c r="Z400" s="330"/>
      <c r="AA400" s="330"/>
      <c r="AZ400" s="331"/>
      <c r="BA400" s="332"/>
      <c r="BB400" s="334"/>
    </row>
    <row r="401" spans="3:54" s="324" customFormat="1" x14ac:dyDescent="0.5">
      <c r="C401" s="325"/>
      <c r="D401" s="326"/>
      <c r="E401" s="326"/>
      <c r="F401" s="326"/>
      <c r="G401" s="326"/>
      <c r="H401" s="327"/>
      <c r="I401" s="328"/>
      <c r="J401" s="328"/>
      <c r="K401" s="328"/>
      <c r="L401" s="329"/>
      <c r="M401" s="329"/>
      <c r="N401" s="328"/>
      <c r="O401" s="328"/>
      <c r="P401" s="328"/>
      <c r="Q401" s="328"/>
      <c r="R401" s="328"/>
      <c r="S401" s="328"/>
      <c r="T401" s="328"/>
      <c r="U401" s="328"/>
      <c r="X401" s="330"/>
      <c r="Y401" s="330"/>
      <c r="Z401" s="330"/>
      <c r="AA401" s="330"/>
      <c r="AZ401" s="331"/>
      <c r="BA401" s="332"/>
      <c r="BB401" s="334"/>
    </row>
    <row r="402" spans="3:54" s="324" customFormat="1" x14ac:dyDescent="0.5">
      <c r="C402" s="325"/>
      <c r="D402" s="326"/>
      <c r="E402" s="326"/>
      <c r="F402" s="326"/>
      <c r="G402" s="326"/>
      <c r="H402" s="327"/>
      <c r="I402" s="328"/>
      <c r="J402" s="328"/>
      <c r="K402" s="328"/>
      <c r="L402" s="329"/>
      <c r="M402" s="329"/>
      <c r="N402" s="328"/>
      <c r="O402" s="328"/>
      <c r="P402" s="328"/>
      <c r="Q402" s="328"/>
      <c r="R402" s="328"/>
      <c r="S402" s="328"/>
      <c r="T402" s="328"/>
      <c r="U402" s="328"/>
      <c r="X402" s="330"/>
      <c r="Y402" s="330"/>
      <c r="Z402" s="330"/>
      <c r="AA402" s="330"/>
      <c r="AZ402" s="331"/>
      <c r="BA402" s="332"/>
      <c r="BB402" s="334"/>
    </row>
    <row r="403" spans="3:54" s="324" customFormat="1" x14ac:dyDescent="0.5">
      <c r="C403" s="325"/>
      <c r="D403" s="326"/>
      <c r="E403" s="326"/>
      <c r="F403" s="326"/>
      <c r="G403" s="326"/>
      <c r="H403" s="327"/>
      <c r="I403" s="328"/>
      <c r="J403" s="328"/>
      <c r="K403" s="328"/>
      <c r="L403" s="329"/>
      <c r="M403" s="329"/>
      <c r="N403" s="328"/>
      <c r="O403" s="328"/>
      <c r="P403" s="328"/>
      <c r="Q403" s="328"/>
      <c r="R403" s="328"/>
      <c r="S403" s="328"/>
      <c r="T403" s="328"/>
      <c r="U403" s="328"/>
      <c r="X403" s="330"/>
      <c r="Y403" s="330"/>
      <c r="Z403" s="330"/>
      <c r="AA403" s="330"/>
      <c r="AZ403" s="331"/>
      <c r="BA403" s="332"/>
      <c r="BB403" s="334"/>
    </row>
    <row r="404" spans="3:54" s="324" customFormat="1" x14ac:dyDescent="0.5">
      <c r="C404" s="325"/>
      <c r="D404" s="326"/>
      <c r="E404" s="326"/>
      <c r="F404" s="326"/>
      <c r="G404" s="326"/>
      <c r="H404" s="327"/>
      <c r="I404" s="328"/>
      <c r="J404" s="328"/>
      <c r="K404" s="328"/>
      <c r="L404" s="329"/>
      <c r="M404" s="329"/>
      <c r="N404" s="328"/>
      <c r="O404" s="328"/>
      <c r="P404" s="328"/>
      <c r="Q404" s="328"/>
      <c r="R404" s="328"/>
      <c r="S404" s="328"/>
      <c r="T404" s="328"/>
      <c r="U404" s="328"/>
      <c r="X404" s="330"/>
      <c r="Y404" s="330"/>
      <c r="Z404" s="330"/>
      <c r="AA404" s="330"/>
      <c r="AZ404" s="331"/>
      <c r="BA404" s="332"/>
      <c r="BB404" s="334"/>
    </row>
    <row r="405" spans="3:54" s="324" customFormat="1" x14ac:dyDescent="0.5">
      <c r="C405" s="325"/>
      <c r="D405" s="326"/>
      <c r="E405" s="326"/>
      <c r="F405" s="326"/>
      <c r="G405" s="326"/>
      <c r="H405" s="327"/>
      <c r="I405" s="328"/>
      <c r="J405" s="328"/>
      <c r="K405" s="328"/>
      <c r="L405" s="329"/>
      <c r="M405" s="329"/>
      <c r="N405" s="328"/>
      <c r="O405" s="328"/>
      <c r="P405" s="328"/>
      <c r="Q405" s="328"/>
      <c r="R405" s="328"/>
      <c r="S405" s="328"/>
      <c r="T405" s="328"/>
      <c r="U405" s="328"/>
      <c r="X405" s="330"/>
      <c r="Y405" s="330"/>
      <c r="Z405" s="330"/>
      <c r="AA405" s="330"/>
      <c r="AZ405" s="331"/>
      <c r="BA405" s="332"/>
      <c r="BB405" s="334"/>
    </row>
    <row r="406" spans="3:54" s="324" customFormat="1" x14ac:dyDescent="0.5">
      <c r="C406" s="325"/>
      <c r="D406" s="326"/>
      <c r="E406" s="326"/>
      <c r="F406" s="326"/>
      <c r="G406" s="326"/>
      <c r="H406" s="327"/>
      <c r="I406" s="328"/>
      <c r="J406" s="328"/>
      <c r="K406" s="328"/>
      <c r="L406" s="329"/>
      <c r="M406" s="329"/>
      <c r="N406" s="328"/>
      <c r="O406" s="328"/>
      <c r="P406" s="328"/>
      <c r="Q406" s="328"/>
      <c r="R406" s="328"/>
      <c r="S406" s="328"/>
      <c r="T406" s="328"/>
      <c r="U406" s="328"/>
      <c r="X406" s="330"/>
      <c r="Y406" s="330"/>
      <c r="Z406" s="330"/>
      <c r="AA406" s="330"/>
      <c r="AZ406" s="331"/>
      <c r="BA406" s="332"/>
      <c r="BB406" s="334"/>
    </row>
    <row r="407" spans="3:54" s="324" customFormat="1" x14ac:dyDescent="0.5">
      <c r="C407" s="325"/>
      <c r="D407" s="326"/>
      <c r="E407" s="326"/>
      <c r="F407" s="326"/>
      <c r="G407" s="326"/>
      <c r="H407" s="327"/>
      <c r="I407" s="328"/>
      <c r="J407" s="328"/>
      <c r="K407" s="328"/>
      <c r="L407" s="329"/>
      <c r="M407" s="329"/>
      <c r="N407" s="328"/>
      <c r="O407" s="328"/>
      <c r="P407" s="328"/>
      <c r="Q407" s="328"/>
      <c r="R407" s="328"/>
      <c r="S407" s="328"/>
      <c r="T407" s="328"/>
      <c r="U407" s="328"/>
      <c r="X407" s="330"/>
      <c r="Y407" s="330"/>
      <c r="Z407" s="330"/>
      <c r="AA407" s="330"/>
      <c r="AZ407" s="331"/>
      <c r="BA407" s="332"/>
      <c r="BB407" s="334"/>
    </row>
    <row r="408" spans="3:54" s="324" customFormat="1" x14ac:dyDescent="0.5">
      <c r="C408" s="325"/>
      <c r="D408" s="326"/>
      <c r="E408" s="326"/>
      <c r="F408" s="326"/>
      <c r="G408" s="326"/>
      <c r="H408" s="327"/>
      <c r="I408" s="328"/>
      <c r="J408" s="328"/>
      <c r="K408" s="328"/>
      <c r="L408" s="329"/>
      <c r="M408" s="329"/>
      <c r="N408" s="328"/>
      <c r="O408" s="328"/>
      <c r="P408" s="328"/>
      <c r="Q408" s="328"/>
      <c r="R408" s="328"/>
      <c r="S408" s="328"/>
      <c r="T408" s="328"/>
      <c r="U408" s="328"/>
      <c r="X408" s="330"/>
      <c r="Y408" s="330"/>
      <c r="Z408" s="330"/>
      <c r="AA408" s="330"/>
      <c r="AZ408" s="331"/>
      <c r="BA408" s="332"/>
      <c r="BB408" s="334"/>
    </row>
    <row r="409" spans="3:54" s="324" customFormat="1" x14ac:dyDescent="0.5">
      <c r="C409" s="325"/>
      <c r="D409" s="326"/>
      <c r="E409" s="326"/>
      <c r="F409" s="326"/>
      <c r="G409" s="326"/>
      <c r="H409" s="327"/>
      <c r="I409" s="328"/>
      <c r="J409" s="328"/>
      <c r="K409" s="328"/>
      <c r="L409" s="329"/>
      <c r="M409" s="329"/>
      <c r="N409" s="328"/>
      <c r="O409" s="328"/>
      <c r="P409" s="328"/>
      <c r="Q409" s="328"/>
      <c r="R409" s="328"/>
      <c r="S409" s="328"/>
      <c r="T409" s="328"/>
      <c r="U409" s="328"/>
      <c r="X409" s="330"/>
      <c r="Y409" s="330"/>
      <c r="Z409" s="330"/>
      <c r="AA409" s="330"/>
      <c r="AZ409" s="331"/>
      <c r="BA409" s="332"/>
      <c r="BB409" s="334"/>
    </row>
    <row r="410" spans="3:54" s="324" customFormat="1" x14ac:dyDescent="0.5">
      <c r="C410" s="325"/>
      <c r="D410" s="326"/>
      <c r="E410" s="326"/>
      <c r="F410" s="326"/>
      <c r="G410" s="326"/>
      <c r="H410" s="327"/>
      <c r="I410" s="328"/>
      <c r="J410" s="328"/>
      <c r="K410" s="328"/>
      <c r="L410" s="329"/>
      <c r="M410" s="329"/>
      <c r="N410" s="328"/>
      <c r="O410" s="328"/>
      <c r="P410" s="328"/>
      <c r="Q410" s="328"/>
      <c r="R410" s="328"/>
      <c r="S410" s="328"/>
      <c r="T410" s="328"/>
      <c r="U410" s="328"/>
      <c r="X410" s="330"/>
      <c r="Y410" s="330"/>
      <c r="Z410" s="330"/>
      <c r="AA410" s="330"/>
      <c r="AZ410" s="331"/>
      <c r="BA410" s="332"/>
      <c r="BB410" s="334"/>
    </row>
    <row r="411" spans="3:54" s="324" customFormat="1" x14ac:dyDescent="0.5">
      <c r="C411" s="325"/>
      <c r="D411" s="326"/>
      <c r="E411" s="326"/>
      <c r="F411" s="326"/>
      <c r="G411" s="326"/>
      <c r="H411" s="327"/>
      <c r="I411" s="328"/>
      <c r="J411" s="328"/>
      <c r="K411" s="328"/>
      <c r="L411" s="329"/>
      <c r="M411" s="329"/>
      <c r="N411" s="328"/>
      <c r="O411" s="328"/>
      <c r="P411" s="328"/>
      <c r="Q411" s="328"/>
      <c r="R411" s="328"/>
      <c r="S411" s="328"/>
      <c r="T411" s="328"/>
      <c r="U411" s="328"/>
      <c r="X411" s="330"/>
      <c r="Y411" s="330"/>
      <c r="Z411" s="330"/>
      <c r="AA411" s="330"/>
      <c r="AZ411" s="331"/>
      <c r="BA411" s="332"/>
      <c r="BB411" s="334"/>
    </row>
    <row r="412" spans="3:54" s="324" customFormat="1" x14ac:dyDescent="0.5">
      <c r="C412" s="325"/>
      <c r="D412" s="326"/>
      <c r="E412" s="326"/>
      <c r="F412" s="326"/>
      <c r="G412" s="326"/>
      <c r="H412" s="327"/>
      <c r="I412" s="328"/>
      <c r="J412" s="328"/>
      <c r="K412" s="328"/>
      <c r="L412" s="329"/>
      <c r="M412" s="329"/>
      <c r="N412" s="328"/>
      <c r="O412" s="328"/>
      <c r="P412" s="328"/>
      <c r="Q412" s="328"/>
      <c r="R412" s="328"/>
      <c r="S412" s="328"/>
      <c r="T412" s="328"/>
      <c r="U412" s="328"/>
      <c r="X412" s="330"/>
      <c r="Y412" s="330"/>
      <c r="Z412" s="330"/>
      <c r="AA412" s="330"/>
      <c r="AZ412" s="331"/>
      <c r="BA412" s="332"/>
      <c r="BB412" s="334"/>
    </row>
    <row r="413" spans="3:54" s="324" customFormat="1" x14ac:dyDescent="0.5">
      <c r="C413" s="325"/>
      <c r="D413" s="326"/>
      <c r="E413" s="326"/>
      <c r="F413" s="326"/>
      <c r="G413" s="326"/>
      <c r="H413" s="327"/>
      <c r="I413" s="328"/>
      <c r="J413" s="328"/>
      <c r="K413" s="328"/>
      <c r="L413" s="329"/>
      <c r="M413" s="329"/>
      <c r="N413" s="328"/>
      <c r="O413" s="328"/>
      <c r="P413" s="328"/>
      <c r="Q413" s="328"/>
      <c r="R413" s="328"/>
      <c r="S413" s="328"/>
      <c r="T413" s="328"/>
      <c r="U413" s="328"/>
      <c r="X413" s="330"/>
      <c r="Y413" s="330"/>
      <c r="Z413" s="330"/>
      <c r="AA413" s="330"/>
      <c r="AZ413" s="331"/>
      <c r="BA413" s="332"/>
      <c r="BB413" s="334"/>
    </row>
    <row r="414" spans="3:54" s="324" customFormat="1" x14ac:dyDescent="0.5">
      <c r="C414" s="325"/>
      <c r="D414" s="326"/>
      <c r="E414" s="326"/>
      <c r="F414" s="326"/>
      <c r="G414" s="326"/>
      <c r="H414" s="327"/>
      <c r="I414" s="328"/>
      <c r="J414" s="328"/>
      <c r="K414" s="328"/>
      <c r="L414" s="329"/>
      <c r="M414" s="329"/>
      <c r="N414" s="328"/>
      <c r="O414" s="328"/>
      <c r="P414" s="328"/>
      <c r="Q414" s="328"/>
      <c r="R414" s="328"/>
      <c r="S414" s="328"/>
      <c r="T414" s="328"/>
      <c r="U414" s="328"/>
      <c r="X414" s="330"/>
      <c r="Y414" s="330"/>
      <c r="Z414" s="330"/>
      <c r="AA414" s="330"/>
      <c r="AZ414" s="331"/>
      <c r="BA414" s="332"/>
      <c r="BB414" s="334"/>
    </row>
    <row r="415" spans="3:54" s="324" customFormat="1" x14ac:dyDescent="0.5">
      <c r="C415" s="325"/>
      <c r="D415" s="326"/>
      <c r="E415" s="326"/>
      <c r="F415" s="326"/>
      <c r="G415" s="326"/>
      <c r="H415" s="327"/>
      <c r="I415" s="328"/>
      <c r="J415" s="328"/>
      <c r="K415" s="328"/>
      <c r="L415" s="329"/>
      <c r="M415" s="329"/>
      <c r="N415" s="328"/>
      <c r="O415" s="328"/>
      <c r="P415" s="328"/>
      <c r="Q415" s="328"/>
      <c r="R415" s="328"/>
      <c r="S415" s="328"/>
      <c r="T415" s="328"/>
      <c r="U415" s="328"/>
      <c r="X415" s="330"/>
      <c r="Y415" s="330"/>
      <c r="Z415" s="330"/>
      <c r="AA415" s="330"/>
      <c r="AZ415" s="331"/>
      <c r="BA415" s="332"/>
      <c r="BB415" s="334"/>
    </row>
    <row r="416" spans="3:54" s="324" customFormat="1" x14ac:dyDescent="0.5">
      <c r="C416" s="325"/>
      <c r="D416" s="326"/>
      <c r="E416" s="326"/>
      <c r="F416" s="326"/>
      <c r="G416" s="326"/>
      <c r="H416" s="327"/>
      <c r="I416" s="328"/>
      <c r="J416" s="328"/>
      <c r="K416" s="328"/>
      <c r="L416" s="329"/>
      <c r="M416" s="329"/>
      <c r="N416" s="328"/>
      <c r="O416" s="328"/>
      <c r="P416" s="328"/>
      <c r="Q416" s="328"/>
      <c r="R416" s="328"/>
      <c r="S416" s="328"/>
      <c r="T416" s="328"/>
      <c r="U416" s="328"/>
      <c r="X416" s="330"/>
      <c r="Y416" s="330"/>
      <c r="Z416" s="330"/>
      <c r="AA416" s="330"/>
      <c r="AZ416" s="331"/>
      <c r="BA416" s="332"/>
      <c r="BB416" s="334"/>
    </row>
    <row r="417" spans="3:54" s="324" customFormat="1" x14ac:dyDescent="0.5">
      <c r="C417" s="325"/>
      <c r="D417" s="326"/>
      <c r="E417" s="326"/>
      <c r="F417" s="326"/>
      <c r="G417" s="326"/>
      <c r="H417" s="327"/>
      <c r="I417" s="328"/>
      <c r="J417" s="328"/>
      <c r="K417" s="328"/>
      <c r="L417" s="329"/>
      <c r="M417" s="329"/>
      <c r="N417" s="328"/>
      <c r="O417" s="328"/>
      <c r="P417" s="328"/>
      <c r="Q417" s="328"/>
      <c r="R417" s="328"/>
      <c r="S417" s="328"/>
      <c r="T417" s="328"/>
      <c r="U417" s="328"/>
      <c r="X417" s="330"/>
      <c r="Y417" s="330"/>
      <c r="Z417" s="330"/>
      <c r="AA417" s="330"/>
      <c r="AZ417" s="331"/>
      <c r="BA417" s="332"/>
      <c r="BB417" s="334"/>
    </row>
    <row r="418" spans="3:54" s="324" customFormat="1" x14ac:dyDescent="0.5">
      <c r="C418" s="325"/>
      <c r="D418" s="326"/>
      <c r="E418" s="326"/>
      <c r="F418" s="326"/>
      <c r="G418" s="326"/>
      <c r="H418" s="327"/>
      <c r="I418" s="328"/>
      <c r="J418" s="328"/>
      <c r="K418" s="328"/>
      <c r="L418" s="329"/>
      <c r="M418" s="329"/>
      <c r="N418" s="328"/>
      <c r="O418" s="328"/>
      <c r="P418" s="328"/>
      <c r="Q418" s="328"/>
      <c r="R418" s="328"/>
      <c r="S418" s="328"/>
      <c r="T418" s="328"/>
      <c r="U418" s="328"/>
      <c r="X418" s="330"/>
      <c r="Y418" s="330"/>
      <c r="Z418" s="330"/>
      <c r="AA418" s="330"/>
      <c r="AZ418" s="331"/>
      <c r="BA418" s="332"/>
      <c r="BB418" s="334"/>
    </row>
    <row r="419" spans="3:54" s="324" customFormat="1" x14ac:dyDescent="0.5">
      <c r="C419" s="325"/>
      <c r="D419" s="326"/>
      <c r="E419" s="326"/>
      <c r="F419" s="326"/>
      <c r="G419" s="326"/>
      <c r="H419" s="327"/>
      <c r="I419" s="328"/>
      <c r="J419" s="328"/>
      <c r="K419" s="328"/>
      <c r="L419" s="329"/>
      <c r="M419" s="329"/>
      <c r="N419" s="328"/>
      <c r="O419" s="328"/>
      <c r="P419" s="328"/>
      <c r="Q419" s="328"/>
      <c r="R419" s="328"/>
      <c r="S419" s="328"/>
      <c r="T419" s="328"/>
      <c r="U419" s="328"/>
      <c r="X419" s="330"/>
      <c r="Y419" s="330"/>
      <c r="Z419" s="330"/>
      <c r="AA419" s="330"/>
      <c r="AZ419" s="331"/>
      <c r="BA419" s="332"/>
      <c r="BB419" s="334"/>
    </row>
    <row r="420" spans="3:54" s="324" customFormat="1" x14ac:dyDescent="0.5">
      <c r="C420" s="325"/>
      <c r="D420" s="326"/>
      <c r="E420" s="326"/>
      <c r="F420" s="326"/>
      <c r="G420" s="326"/>
      <c r="H420" s="327"/>
      <c r="I420" s="328"/>
      <c r="J420" s="328"/>
      <c r="K420" s="328"/>
      <c r="L420" s="329"/>
      <c r="M420" s="329"/>
      <c r="N420" s="328"/>
      <c r="O420" s="328"/>
      <c r="P420" s="328"/>
      <c r="Q420" s="328"/>
      <c r="R420" s="328"/>
      <c r="S420" s="328"/>
      <c r="T420" s="328"/>
      <c r="U420" s="328"/>
      <c r="X420" s="330"/>
      <c r="Y420" s="330"/>
      <c r="Z420" s="330"/>
      <c r="AA420" s="330"/>
      <c r="AZ420" s="331"/>
      <c r="BA420" s="332"/>
      <c r="BB420" s="334"/>
    </row>
    <row r="421" spans="3:54" s="324" customFormat="1" x14ac:dyDescent="0.5">
      <c r="C421" s="325"/>
      <c r="D421" s="326"/>
      <c r="E421" s="326"/>
      <c r="F421" s="326"/>
      <c r="G421" s="326"/>
      <c r="H421" s="327"/>
      <c r="I421" s="328"/>
      <c r="J421" s="328"/>
      <c r="K421" s="328"/>
      <c r="L421" s="329"/>
      <c r="M421" s="329"/>
      <c r="N421" s="328"/>
      <c r="O421" s="328"/>
      <c r="P421" s="328"/>
      <c r="Q421" s="328"/>
      <c r="R421" s="328"/>
      <c r="S421" s="328"/>
      <c r="T421" s="328"/>
      <c r="U421" s="328"/>
      <c r="X421" s="330"/>
      <c r="Y421" s="330"/>
      <c r="Z421" s="330"/>
      <c r="AA421" s="330"/>
      <c r="AZ421" s="331"/>
      <c r="BA421" s="332"/>
      <c r="BB421" s="334"/>
    </row>
    <row r="422" spans="3:54" s="324" customFormat="1" x14ac:dyDescent="0.5">
      <c r="C422" s="325"/>
      <c r="D422" s="326"/>
      <c r="E422" s="326"/>
      <c r="F422" s="326"/>
      <c r="G422" s="326"/>
      <c r="H422" s="327"/>
      <c r="I422" s="328"/>
      <c r="J422" s="328"/>
      <c r="K422" s="328"/>
      <c r="L422" s="329"/>
      <c r="M422" s="329"/>
      <c r="N422" s="328"/>
      <c r="O422" s="328"/>
      <c r="P422" s="328"/>
      <c r="Q422" s="328"/>
      <c r="R422" s="328"/>
      <c r="S422" s="328"/>
      <c r="T422" s="328"/>
      <c r="U422" s="328"/>
      <c r="X422" s="330"/>
      <c r="Y422" s="330"/>
      <c r="Z422" s="330"/>
      <c r="AA422" s="330"/>
      <c r="AZ422" s="331"/>
      <c r="BA422" s="332"/>
      <c r="BB422" s="334"/>
    </row>
    <row r="423" spans="3:54" s="324" customFormat="1" x14ac:dyDescent="0.5">
      <c r="C423" s="325"/>
      <c r="D423" s="326"/>
      <c r="E423" s="326"/>
      <c r="F423" s="326"/>
      <c r="G423" s="326"/>
      <c r="H423" s="327"/>
      <c r="I423" s="328"/>
      <c r="J423" s="328"/>
      <c r="K423" s="328"/>
      <c r="L423" s="329"/>
      <c r="M423" s="329"/>
      <c r="N423" s="328"/>
      <c r="O423" s="328"/>
      <c r="P423" s="328"/>
      <c r="Q423" s="328"/>
      <c r="R423" s="328"/>
      <c r="S423" s="328"/>
      <c r="T423" s="328"/>
      <c r="U423" s="328"/>
      <c r="X423" s="330"/>
      <c r="Y423" s="330"/>
      <c r="Z423" s="330"/>
      <c r="AA423" s="330"/>
      <c r="AZ423" s="331"/>
      <c r="BA423" s="332"/>
      <c r="BB423" s="334"/>
    </row>
    <row r="424" spans="3:54" s="324" customFormat="1" x14ac:dyDescent="0.5">
      <c r="C424" s="325"/>
      <c r="D424" s="326"/>
      <c r="E424" s="326"/>
      <c r="F424" s="326"/>
      <c r="G424" s="326"/>
      <c r="H424" s="327"/>
      <c r="I424" s="328"/>
      <c r="J424" s="328"/>
      <c r="K424" s="328"/>
      <c r="L424" s="329"/>
      <c r="M424" s="329"/>
      <c r="N424" s="328"/>
      <c r="O424" s="328"/>
      <c r="P424" s="328"/>
      <c r="Q424" s="328"/>
      <c r="R424" s="328"/>
      <c r="S424" s="328"/>
      <c r="T424" s="328"/>
      <c r="U424" s="328"/>
      <c r="X424" s="330"/>
      <c r="Y424" s="330"/>
      <c r="Z424" s="330"/>
      <c r="AA424" s="330"/>
      <c r="AZ424" s="331"/>
      <c r="BA424" s="332"/>
      <c r="BB424" s="334"/>
    </row>
    <row r="425" spans="3:54" s="324" customFormat="1" x14ac:dyDescent="0.5">
      <c r="C425" s="325"/>
      <c r="D425" s="326"/>
      <c r="E425" s="326"/>
      <c r="F425" s="326"/>
      <c r="G425" s="326"/>
      <c r="H425" s="327"/>
      <c r="I425" s="328"/>
      <c r="J425" s="328"/>
      <c r="K425" s="328"/>
      <c r="L425" s="329"/>
      <c r="M425" s="329"/>
      <c r="N425" s="328"/>
      <c r="O425" s="328"/>
      <c r="P425" s="328"/>
      <c r="Q425" s="328"/>
      <c r="R425" s="328"/>
      <c r="S425" s="328"/>
      <c r="T425" s="328"/>
      <c r="U425" s="328"/>
      <c r="X425" s="330"/>
      <c r="Y425" s="330"/>
      <c r="Z425" s="330"/>
      <c r="AA425" s="330"/>
      <c r="AZ425" s="331"/>
      <c r="BA425" s="332"/>
      <c r="BB425" s="334"/>
    </row>
    <row r="426" spans="3:54" s="324" customFormat="1" x14ac:dyDescent="0.5">
      <c r="C426" s="325"/>
      <c r="D426" s="326"/>
      <c r="E426" s="326"/>
      <c r="F426" s="326"/>
      <c r="G426" s="326"/>
      <c r="H426" s="327"/>
      <c r="I426" s="328"/>
      <c r="J426" s="328"/>
      <c r="K426" s="328"/>
      <c r="L426" s="329"/>
      <c r="M426" s="329"/>
      <c r="N426" s="328"/>
      <c r="O426" s="328"/>
      <c r="P426" s="328"/>
      <c r="Q426" s="328"/>
      <c r="R426" s="328"/>
      <c r="S426" s="328"/>
      <c r="T426" s="328"/>
      <c r="U426" s="328"/>
      <c r="X426" s="330"/>
      <c r="Y426" s="330"/>
      <c r="Z426" s="330"/>
      <c r="AA426" s="330"/>
      <c r="AZ426" s="331"/>
      <c r="BA426" s="332"/>
      <c r="BB426" s="334"/>
    </row>
    <row r="427" spans="3:54" s="324" customFormat="1" x14ac:dyDescent="0.5">
      <c r="C427" s="325"/>
      <c r="D427" s="326"/>
      <c r="E427" s="326"/>
      <c r="F427" s="326"/>
      <c r="G427" s="326"/>
      <c r="H427" s="327"/>
      <c r="I427" s="328"/>
      <c r="J427" s="328"/>
      <c r="K427" s="328"/>
      <c r="L427" s="329"/>
      <c r="M427" s="329"/>
      <c r="N427" s="328"/>
      <c r="O427" s="328"/>
      <c r="P427" s="328"/>
      <c r="Q427" s="328"/>
      <c r="R427" s="328"/>
      <c r="S427" s="328"/>
      <c r="T427" s="328"/>
      <c r="U427" s="328"/>
      <c r="X427" s="330"/>
      <c r="Y427" s="330"/>
      <c r="Z427" s="330"/>
      <c r="AA427" s="330"/>
      <c r="AZ427" s="331"/>
      <c r="BA427" s="332"/>
      <c r="BB427" s="334"/>
    </row>
    <row r="428" spans="3:54" s="324" customFormat="1" x14ac:dyDescent="0.5">
      <c r="C428" s="325"/>
      <c r="D428" s="326"/>
      <c r="E428" s="326"/>
      <c r="F428" s="326"/>
      <c r="G428" s="326"/>
      <c r="H428" s="327"/>
      <c r="I428" s="328"/>
      <c r="J428" s="328"/>
      <c r="K428" s="328"/>
      <c r="L428" s="329"/>
      <c r="M428" s="329"/>
      <c r="N428" s="328"/>
      <c r="O428" s="328"/>
      <c r="P428" s="328"/>
      <c r="Q428" s="328"/>
      <c r="R428" s="328"/>
      <c r="S428" s="328"/>
      <c r="T428" s="328"/>
      <c r="U428" s="328"/>
      <c r="X428" s="330"/>
      <c r="Y428" s="330"/>
      <c r="Z428" s="330"/>
      <c r="AA428" s="330"/>
      <c r="AZ428" s="331"/>
      <c r="BA428" s="332"/>
      <c r="BB428" s="334"/>
    </row>
    <row r="429" spans="3:54" s="324" customFormat="1" x14ac:dyDescent="0.5">
      <c r="C429" s="325"/>
      <c r="D429" s="326"/>
      <c r="E429" s="326"/>
      <c r="F429" s="326"/>
      <c r="G429" s="326"/>
      <c r="H429" s="327"/>
      <c r="I429" s="328"/>
      <c r="J429" s="328"/>
      <c r="K429" s="328"/>
      <c r="L429" s="329"/>
      <c r="M429" s="329"/>
      <c r="N429" s="328"/>
      <c r="O429" s="328"/>
      <c r="P429" s="328"/>
      <c r="Q429" s="328"/>
      <c r="R429" s="328"/>
      <c r="S429" s="328"/>
      <c r="T429" s="328"/>
      <c r="U429" s="328"/>
      <c r="X429" s="330"/>
      <c r="Y429" s="330"/>
      <c r="Z429" s="330"/>
      <c r="AA429" s="330"/>
      <c r="AZ429" s="331"/>
      <c r="BA429" s="332"/>
      <c r="BB429" s="334"/>
    </row>
    <row r="430" spans="3:54" s="324" customFormat="1" x14ac:dyDescent="0.5">
      <c r="C430" s="325"/>
      <c r="D430" s="326"/>
      <c r="E430" s="326"/>
      <c r="F430" s="326"/>
      <c r="G430" s="326"/>
      <c r="H430" s="327"/>
      <c r="I430" s="328"/>
      <c r="J430" s="328"/>
      <c r="K430" s="328"/>
      <c r="L430" s="329"/>
      <c r="M430" s="329"/>
      <c r="N430" s="328"/>
      <c r="O430" s="328"/>
      <c r="P430" s="328"/>
      <c r="Q430" s="328"/>
      <c r="R430" s="328"/>
      <c r="S430" s="328"/>
      <c r="T430" s="328"/>
      <c r="U430" s="328"/>
      <c r="X430" s="330"/>
      <c r="Y430" s="330"/>
      <c r="Z430" s="330"/>
      <c r="AA430" s="330"/>
      <c r="AZ430" s="331"/>
      <c r="BA430" s="332"/>
      <c r="BB430" s="334"/>
    </row>
    <row r="431" spans="3:54" s="324" customFormat="1" x14ac:dyDescent="0.5">
      <c r="C431" s="325"/>
      <c r="D431" s="326"/>
      <c r="E431" s="326"/>
      <c r="F431" s="326"/>
      <c r="G431" s="326"/>
      <c r="H431" s="327"/>
      <c r="I431" s="328"/>
      <c r="J431" s="328"/>
      <c r="K431" s="328"/>
      <c r="L431" s="329"/>
      <c r="M431" s="329"/>
      <c r="N431" s="328"/>
      <c r="O431" s="328"/>
      <c r="P431" s="328"/>
      <c r="Q431" s="328"/>
      <c r="R431" s="328"/>
      <c r="S431" s="328"/>
      <c r="T431" s="328"/>
      <c r="U431" s="328"/>
      <c r="X431" s="330"/>
      <c r="Y431" s="330"/>
      <c r="Z431" s="330"/>
      <c r="AA431" s="330"/>
      <c r="AZ431" s="331"/>
      <c r="BA431" s="332"/>
      <c r="BB431" s="334"/>
    </row>
    <row r="432" spans="3:54" s="324" customFormat="1" x14ac:dyDescent="0.5">
      <c r="C432" s="325"/>
      <c r="D432" s="326"/>
      <c r="E432" s="326"/>
      <c r="F432" s="326"/>
      <c r="G432" s="326"/>
      <c r="H432" s="327"/>
      <c r="I432" s="328"/>
      <c r="J432" s="328"/>
      <c r="K432" s="328"/>
      <c r="L432" s="329"/>
      <c r="M432" s="329"/>
      <c r="N432" s="328"/>
      <c r="O432" s="328"/>
      <c r="P432" s="328"/>
      <c r="Q432" s="328"/>
      <c r="R432" s="328"/>
      <c r="S432" s="328"/>
      <c r="T432" s="328"/>
      <c r="U432" s="328"/>
      <c r="X432" s="330"/>
      <c r="Y432" s="330"/>
      <c r="Z432" s="330"/>
      <c r="AA432" s="330"/>
      <c r="AZ432" s="331"/>
      <c r="BA432" s="332"/>
      <c r="BB432" s="334"/>
    </row>
    <row r="433" spans="3:54" s="324" customFormat="1" x14ac:dyDescent="0.5">
      <c r="C433" s="325"/>
      <c r="D433" s="326"/>
      <c r="E433" s="326"/>
      <c r="F433" s="326"/>
      <c r="G433" s="326"/>
      <c r="H433" s="327"/>
      <c r="I433" s="328"/>
      <c r="J433" s="328"/>
      <c r="K433" s="328"/>
      <c r="L433" s="329"/>
      <c r="M433" s="329"/>
      <c r="N433" s="328"/>
      <c r="O433" s="328"/>
      <c r="P433" s="328"/>
      <c r="Q433" s="328"/>
      <c r="R433" s="328"/>
      <c r="S433" s="328"/>
      <c r="T433" s="328"/>
      <c r="U433" s="328"/>
      <c r="X433" s="330"/>
      <c r="Y433" s="330"/>
      <c r="Z433" s="330"/>
      <c r="AA433" s="330"/>
      <c r="AZ433" s="331"/>
      <c r="BA433" s="332"/>
      <c r="BB433" s="334"/>
    </row>
    <row r="434" spans="3:54" s="324" customFormat="1" x14ac:dyDescent="0.5">
      <c r="C434" s="325"/>
      <c r="D434" s="326"/>
      <c r="E434" s="326"/>
      <c r="F434" s="326"/>
      <c r="G434" s="326"/>
      <c r="H434" s="327"/>
      <c r="I434" s="328"/>
      <c r="J434" s="328"/>
      <c r="K434" s="328"/>
      <c r="L434" s="329"/>
      <c r="M434" s="329"/>
      <c r="N434" s="328"/>
      <c r="O434" s="328"/>
      <c r="P434" s="328"/>
      <c r="Q434" s="328"/>
      <c r="R434" s="328"/>
      <c r="S434" s="328"/>
      <c r="T434" s="328"/>
      <c r="U434" s="328"/>
      <c r="X434" s="330"/>
      <c r="Y434" s="330"/>
      <c r="Z434" s="330"/>
      <c r="AA434" s="330"/>
      <c r="AZ434" s="331"/>
      <c r="BA434" s="332"/>
      <c r="BB434" s="334"/>
    </row>
    <row r="435" spans="3:54" s="324" customFormat="1" x14ac:dyDescent="0.5">
      <c r="C435" s="325"/>
      <c r="D435" s="326"/>
      <c r="E435" s="326"/>
      <c r="F435" s="326"/>
      <c r="G435" s="326"/>
      <c r="H435" s="327"/>
      <c r="I435" s="328"/>
      <c r="J435" s="328"/>
      <c r="K435" s="328"/>
      <c r="L435" s="329"/>
      <c r="M435" s="329"/>
      <c r="N435" s="328"/>
      <c r="O435" s="328"/>
      <c r="P435" s="328"/>
      <c r="Q435" s="328"/>
      <c r="R435" s="328"/>
      <c r="S435" s="328"/>
      <c r="T435" s="328"/>
      <c r="U435" s="328"/>
      <c r="X435" s="330"/>
      <c r="Y435" s="330"/>
      <c r="Z435" s="330"/>
      <c r="AA435" s="330"/>
      <c r="AZ435" s="331"/>
      <c r="BA435" s="332"/>
      <c r="BB435" s="334"/>
    </row>
    <row r="436" spans="3:54" s="324" customFormat="1" x14ac:dyDescent="0.5">
      <c r="C436" s="325"/>
      <c r="D436" s="326"/>
      <c r="E436" s="326"/>
      <c r="F436" s="326"/>
      <c r="G436" s="326"/>
      <c r="H436" s="327"/>
      <c r="I436" s="328"/>
      <c r="J436" s="328"/>
      <c r="K436" s="328"/>
      <c r="L436" s="329"/>
      <c r="M436" s="329"/>
      <c r="N436" s="328"/>
      <c r="O436" s="328"/>
      <c r="P436" s="328"/>
      <c r="Q436" s="328"/>
      <c r="R436" s="328"/>
      <c r="S436" s="328"/>
      <c r="T436" s="328"/>
      <c r="U436" s="328"/>
      <c r="X436" s="330"/>
      <c r="Y436" s="330"/>
      <c r="Z436" s="330"/>
      <c r="AA436" s="330"/>
      <c r="AZ436" s="331"/>
      <c r="BA436" s="332"/>
      <c r="BB436" s="334"/>
    </row>
    <row r="437" spans="3:54" s="324" customFormat="1" x14ac:dyDescent="0.5">
      <c r="C437" s="325"/>
      <c r="D437" s="326"/>
      <c r="E437" s="326"/>
      <c r="F437" s="326"/>
      <c r="G437" s="326"/>
      <c r="H437" s="327"/>
      <c r="I437" s="328"/>
      <c r="J437" s="328"/>
      <c r="K437" s="328"/>
      <c r="L437" s="329"/>
      <c r="M437" s="329"/>
      <c r="N437" s="328"/>
      <c r="O437" s="328"/>
      <c r="P437" s="328"/>
      <c r="Q437" s="328"/>
      <c r="R437" s="328"/>
      <c r="S437" s="328"/>
      <c r="T437" s="328"/>
      <c r="U437" s="328"/>
      <c r="X437" s="330"/>
      <c r="Y437" s="330"/>
      <c r="Z437" s="330"/>
      <c r="AA437" s="330"/>
      <c r="AZ437" s="331"/>
      <c r="BA437" s="332"/>
      <c r="BB437" s="334"/>
    </row>
    <row r="438" spans="3:54" s="324" customFormat="1" x14ac:dyDescent="0.5">
      <c r="C438" s="325"/>
      <c r="D438" s="326"/>
      <c r="E438" s="326"/>
      <c r="F438" s="326"/>
      <c r="G438" s="326"/>
      <c r="H438" s="327"/>
      <c r="I438" s="328"/>
      <c r="J438" s="328"/>
      <c r="K438" s="328"/>
      <c r="L438" s="329"/>
      <c r="M438" s="329"/>
      <c r="N438" s="328"/>
      <c r="O438" s="328"/>
      <c r="P438" s="328"/>
      <c r="Q438" s="328"/>
      <c r="R438" s="328"/>
      <c r="S438" s="328"/>
      <c r="T438" s="328"/>
      <c r="U438" s="328"/>
      <c r="X438" s="330"/>
      <c r="Y438" s="330"/>
      <c r="Z438" s="330"/>
      <c r="AA438" s="330"/>
      <c r="AZ438" s="331"/>
      <c r="BA438" s="332"/>
      <c r="BB438" s="334"/>
    </row>
    <row r="439" spans="3:54" s="324" customFormat="1" x14ac:dyDescent="0.5">
      <c r="C439" s="325"/>
      <c r="D439" s="326"/>
      <c r="E439" s="326"/>
      <c r="F439" s="326"/>
      <c r="G439" s="326"/>
      <c r="H439" s="327"/>
      <c r="I439" s="328"/>
      <c r="J439" s="328"/>
      <c r="K439" s="328"/>
      <c r="L439" s="329"/>
      <c r="M439" s="329"/>
      <c r="N439" s="328"/>
      <c r="O439" s="328"/>
      <c r="P439" s="328"/>
      <c r="Q439" s="328"/>
      <c r="R439" s="328"/>
      <c r="S439" s="328"/>
      <c r="T439" s="328"/>
      <c r="U439" s="328"/>
      <c r="X439" s="330"/>
      <c r="Y439" s="330"/>
      <c r="Z439" s="330"/>
      <c r="AA439" s="330"/>
      <c r="AZ439" s="331"/>
      <c r="BA439" s="332"/>
      <c r="BB439" s="334"/>
    </row>
    <row r="440" spans="3:54" s="324" customFormat="1" x14ac:dyDescent="0.5">
      <c r="C440" s="325"/>
      <c r="D440" s="326"/>
      <c r="E440" s="326"/>
      <c r="F440" s="326"/>
      <c r="G440" s="326"/>
      <c r="H440" s="327"/>
      <c r="I440" s="328"/>
      <c r="J440" s="328"/>
      <c r="K440" s="328"/>
      <c r="L440" s="329"/>
      <c r="M440" s="329"/>
      <c r="N440" s="328"/>
      <c r="O440" s="328"/>
      <c r="P440" s="328"/>
      <c r="Q440" s="328"/>
      <c r="R440" s="328"/>
      <c r="S440" s="328"/>
      <c r="T440" s="328"/>
      <c r="U440" s="328"/>
      <c r="X440" s="330"/>
      <c r="Y440" s="330"/>
      <c r="Z440" s="330"/>
      <c r="AA440" s="330"/>
      <c r="AZ440" s="331"/>
      <c r="BA440" s="332"/>
      <c r="BB440" s="334"/>
    </row>
    <row r="441" spans="3:54" s="324" customFormat="1" x14ac:dyDescent="0.5">
      <c r="C441" s="325"/>
      <c r="D441" s="326"/>
      <c r="E441" s="326"/>
      <c r="F441" s="326"/>
      <c r="G441" s="326"/>
      <c r="H441" s="327"/>
      <c r="I441" s="328"/>
      <c r="J441" s="328"/>
      <c r="K441" s="328"/>
      <c r="L441" s="329"/>
      <c r="M441" s="329"/>
      <c r="N441" s="328"/>
      <c r="O441" s="328"/>
      <c r="P441" s="328"/>
      <c r="Q441" s="328"/>
      <c r="R441" s="328"/>
      <c r="S441" s="328"/>
      <c r="T441" s="328"/>
      <c r="U441" s="328"/>
      <c r="X441" s="330"/>
      <c r="Y441" s="330"/>
      <c r="Z441" s="330"/>
      <c r="AA441" s="330"/>
      <c r="AZ441" s="331"/>
      <c r="BA441" s="332"/>
      <c r="BB441" s="334"/>
    </row>
    <row r="442" spans="3:54" s="324" customFormat="1" x14ac:dyDescent="0.5">
      <c r="C442" s="325"/>
      <c r="D442" s="326"/>
      <c r="E442" s="326"/>
      <c r="F442" s="326"/>
      <c r="G442" s="326"/>
      <c r="H442" s="327"/>
      <c r="I442" s="328"/>
      <c r="J442" s="328"/>
      <c r="K442" s="328"/>
      <c r="L442" s="329"/>
      <c r="M442" s="329"/>
      <c r="N442" s="328"/>
      <c r="O442" s="328"/>
      <c r="P442" s="328"/>
      <c r="Q442" s="328"/>
      <c r="R442" s="328"/>
      <c r="S442" s="328"/>
      <c r="T442" s="328"/>
      <c r="U442" s="328"/>
      <c r="X442" s="330"/>
      <c r="Y442" s="330"/>
      <c r="Z442" s="330"/>
      <c r="AA442" s="330"/>
      <c r="AZ442" s="331"/>
      <c r="BA442" s="332"/>
      <c r="BB442" s="334"/>
    </row>
    <row r="443" spans="3:54" s="324" customFormat="1" x14ac:dyDescent="0.5">
      <c r="C443" s="325"/>
      <c r="D443" s="326"/>
      <c r="E443" s="326"/>
      <c r="F443" s="326"/>
      <c r="G443" s="326"/>
      <c r="H443" s="327"/>
      <c r="I443" s="328"/>
      <c r="J443" s="328"/>
      <c r="K443" s="328"/>
      <c r="L443" s="329"/>
      <c r="M443" s="329"/>
      <c r="N443" s="328"/>
      <c r="O443" s="328"/>
      <c r="P443" s="328"/>
      <c r="Q443" s="328"/>
      <c r="R443" s="328"/>
      <c r="S443" s="328"/>
      <c r="T443" s="328"/>
      <c r="U443" s="328"/>
      <c r="X443" s="330"/>
      <c r="Y443" s="330"/>
      <c r="Z443" s="330"/>
      <c r="AA443" s="330"/>
      <c r="AZ443" s="331"/>
      <c r="BA443" s="332"/>
      <c r="BB443" s="334"/>
    </row>
    <row r="444" spans="3:54" s="324" customFormat="1" x14ac:dyDescent="0.5">
      <c r="C444" s="325"/>
      <c r="D444" s="326"/>
      <c r="E444" s="326"/>
      <c r="F444" s="326"/>
      <c r="G444" s="326"/>
      <c r="H444" s="327"/>
      <c r="I444" s="328"/>
      <c r="J444" s="328"/>
      <c r="K444" s="328"/>
      <c r="L444" s="329"/>
      <c r="M444" s="329"/>
      <c r="N444" s="328"/>
      <c r="O444" s="328"/>
      <c r="P444" s="328"/>
      <c r="Q444" s="328"/>
      <c r="R444" s="328"/>
      <c r="S444" s="328"/>
      <c r="T444" s="328"/>
      <c r="U444" s="328"/>
      <c r="X444" s="330"/>
      <c r="Y444" s="330"/>
      <c r="Z444" s="330"/>
      <c r="AA444" s="330"/>
      <c r="AZ444" s="331"/>
      <c r="BA444" s="332"/>
      <c r="BB444" s="334"/>
    </row>
    <row r="445" spans="3:54" s="324" customFormat="1" x14ac:dyDescent="0.5">
      <c r="C445" s="325"/>
      <c r="D445" s="326"/>
      <c r="E445" s="326"/>
      <c r="F445" s="326"/>
      <c r="G445" s="326"/>
      <c r="H445" s="327"/>
      <c r="I445" s="328"/>
      <c r="J445" s="328"/>
      <c r="K445" s="328"/>
      <c r="L445" s="329"/>
      <c r="M445" s="329"/>
      <c r="N445" s="328"/>
      <c r="O445" s="328"/>
      <c r="P445" s="328"/>
      <c r="Q445" s="328"/>
      <c r="R445" s="328"/>
      <c r="S445" s="328"/>
      <c r="T445" s="328"/>
      <c r="U445" s="328"/>
      <c r="X445" s="330"/>
      <c r="Y445" s="330"/>
      <c r="Z445" s="330"/>
      <c r="AA445" s="330"/>
      <c r="AZ445" s="331"/>
      <c r="BA445" s="332"/>
      <c r="BB445" s="334"/>
    </row>
    <row r="446" spans="3:54" s="324" customFormat="1" x14ac:dyDescent="0.5">
      <c r="C446" s="325"/>
      <c r="D446" s="326"/>
      <c r="E446" s="326"/>
      <c r="F446" s="326"/>
      <c r="G446" s="326"/>
      <c r="H446" s="327"/>
      <c r="I446" s="328"/>
      <c r="J446" s="328"/>
      <c r="K446" s="328"/>
      <c r="L446" s="329"/>
      <c r="M446" s="329"/>
      <c r="N446" s="328"/>
      <c r="O446" s="328"/>
      <c r="P446" s="328"/>
      <c r="Q446" s="328"/>
      <c r="R446" s="328"/>
      <c r="S446" s="328"/>
      <c r="T446" s="328"/>
      <c r="U446" s="328"/>
      <c r="X446" s="330"/>
      <c r="Y446" s="330"/>
      <c r="Z446" s="330"/>
      <c r="AA446" s="330"/>
      <c r="AZ446" s="331"/>
      <c r="BA446" s="332"/>
      <c r="BB446" s="334"/>
    </row>
    <row r="447" spans="3:54" s="324" customFormat="1" x14ac:dyDescent="0.5">
      <c r="C447" s="325"/>
      <c r="D447" s="326"/>
      <c r="E447" s="326"/>
      <c r="F447" s="326"/>
      <c r="G447" s="326"/>
      <c r="H447" s="327"/>
      <c r="I447" s="328"/>
      <c r="J447" s="328"/>
      <c r="K447" s="328"/>
      <c r="L447" s="329"/>
      <c r="M447" s="329"/>
      <c r="N447" s="328"/>
      <c r="O447" s="328"/>
      <c r="P447" s="328"/>
      <c r="Q447" s="328"/>
      <c r="R447" s="328"/>
      <c r="S447" s="328"/>
      <c r="T447" s="328"/>
      <c r="U447" s="328"/>
      <c r="X447" s="330"/>
      <c r="Y447" s="330"/>
      <c r="Z447" s="330"/>
      <c r="AA447" s="330"/>
      <c r="AZ447" s="331"/>
      <c r="BA447" s="332"/>
      <c r="BB447" s="334"/>
    </row>
    <row r="448" spans="3:54" s="324" customFormat="1" x14ac:dyDescent="0.5">
      <c r="C448" s="325"/>
      <c r="D448" s="326"/>
      <c r="E448" s="326"/>
      <c r="F448" s="326"/>
      <c r="G448" s="326"/>
      <c r="H448" s="327"/>
      <c r="I448" s="328"/>
      <c r="J448" s="328"/>
      <c r="K448" s="328"/>
      <c r="L448" s="329"/>
      <c r="M448" s="329"/>
      <c r="N448" s="328"/>
      <c r="O448" s="328"/>
      <c r="P448" s="328"/>
      <c r="Q448" s="328"/>
      <c r="R448" s="328"/>
      <c r="S448" s="328"/>
      <c r="T448" s="328"/>
      <c r="U448" s="328"/>
      <c r="X448" s="330"/>
      <c r="Y448" s="330"/>
      <c r="Z448" s="330"/>
      <c r="AA448" s="330"/>
      <c r="AZ448" s="331"/>
      <c r="BA448" s="332"/>
      <c r="BB448" s="334"/>
    </row>
    <row r="449" spans="3:54" s="324" customFormat="1" x14ac:dyDescent="0.5">
      <c r="C449" s="325"/>
      <c r="D449" s="326"/>
      <c r="E449" s="326"/>
      <c r="F449" s="326"/>
      <c r="G449" s="326"/>
      <c r="H449" s="327"/>
      <c r="I449" s="328"/>
      <c r="J449" s="328"/>
      <c r="K449" s="328"/>
      <c r="L449" s="329"/>
      <c r="M449" s="329"/>
      <c r="N449" s="328"/>
      <c r="O449" s="328"/>
      <c r="P449" s="328"/>
      <c r="Q449" s="328"/>
      <c r="R449" s="328"/>
      <c r="S449" s="328"/>
      <c r="T449" s="328"/>
      <c r="U449" s="328"/>
      <c r="X449" s="330"/>
      <c r="Y449" s="330"/>
      <c r="Z449" s="330"/>
      <c r="AA449" s="330"/>
      <c r="AZ449" s="331"/>
      <c r="BA449" s="332"/>
      <c r="BB449" s="334"/>
    </row>
    <row r="450" spans="3:54" s="324" customFormat="1" x14ac:dyDescent="0.5">
      <c r="C450" s="325"/>
      <c r="D450" s="326"/>
      <c r="E450" s="326"/>
      <c r="F450" s="326"/>
      <c r="G450" s="326"/>
      <c r="H450" s="327"/>
      <c r="I450" s="328"/>
      <c r="J450" s="328"/>
      <c r="K450" s="328"/>
      <c r="L450" s="329"/>
      <c r="M450" s="329"/>
      <c r="N450" s="328"/>
      <c r="O450" s="328"/>
      <c r="P450" s="328"/>
      <c r="Q450" s="328"/>
      <c r="R450" s="328"/>
      <c r="S450" s="328"/>
      <c r="T450" s="328"/>
      <c r="U450" s="328"/>
      <c r="X450" s="330"/>
      <c r="Y450" s="330"/>
      <c r="Z450" s="330"/>
      <c r="AA450" s="330"/>
      <c r="AZ450" s="331"/>
      <c r="BA450" s="332"/>
      <c r="BB450" s="334"/>
    </row>
    <row r="451" spans="3:54" s="324" customFormat="1" x14ac:dyDescent="0.5">
      <c r="C451" s="325"/>
      <c r="D451" s="326"/>
      <c r="E451" s="326"/>
      <c r="F451" s="326"/>
      <c r="G451" s="326"/>
      <c r="H451" s="327"/>
      <c r="I451" s="328"/>
      <c r="J451" s="328"/>
      <c r="K451" s="328"/>
      <c r="L451" s="329"/>
      <c r="M451" s="329"/>
      <c r="N451" s="328"/>
      <c r="O451" s="328"/>
      <c r="P451" s="328"/>
      <c r="Q451" s="328"/>
      <c r="R451" s="328"/>
      <c r="S451" s="328"/>
      <c r="T451" s="328"/>
      <c r="U451" s="328"/>
      <c r="X451" s="330"/>
      <c r="Y451" s="330"/>
      <c r="Z451" s="330"/>
      <c r="AA451" s="330"/>
      <c r="AZ451" s="331"/>
      <c r="BA451" s="332"/>
      <c r="BB451" s="334"/>
    </row>
    <row r="452" spans="3:54" s="324" customFormat="1" x14ac:dyDescent="0.5">
      <c r="C452" s="325"/>
      <c r="D452" s="326"/>
      <c r="E452" s="326"/>
      <c r="F452" s="326"/>
      <c r="G452" s="326"/>
      <c r="H452" s="327"/>
      <c r="I452" s="328"/>
      <c r="J452" s="328"/>
      <c r="K452" s="328"/>
      <c r="L452" s="329"/>
      <c r="M452" s="329"/>
      <c r="N452" s="328"/>
      <c r="O452" s="328"/>
      <c r="P452" s="328"/>
      <c r="Q452" s="328"/>
      <c r="R452" s="328"/>
      <c r="S452" s="328"/>
      <c r="T452" s="328"/>
      <c r="U452" s="328"/>
      <c r="X452" s="330"/>
      <c r="Y452" s="330"/>
      <c r="Z452" s="330"/>
      <c r="AA452" s="330"/>
      <c r="AZ452" s="331"/>
      <c r="BA452" s="332"/>
      <c r="BB452" s="334"/>
    </row>
    <row r="453" spans="3:54" s="324" customFormat="1" x14ac:dyDescent="0.5">
      <c r="C453" s="325"/>
      <c r="D453" s="326"/>
      <c r="E453" s="326"/>
      <c r="F453" s="326"/>
      <c r="G453" s="326"/>
      <c r="H453" s="327"/>
      <c r="I453" s="328"/>
      <c r="J453" s="328"/>
      <c r="K453" s="328"/>
      <c r="L453" s="329"/>
      <c r="M453" s="329"/>
      <c r="N453" s="328"/>
      <c r="O453" s="328"/>
      <c r="P453" s="328"/>
      <c r="Q453" s="328"/>
      <c r="R453" s="328"/>
      <c r="S453" s="328"/>
      <c r="T453" s="328"/>
      <c r="U453" s="328"/>
      <c r="X453" s="330"/>
      <c r="Y453" s="330"/>
      <c r="Z453" s="330"/>
      <c r="AA453" s="330"/>
      <c r="AZ453" s="331"/>
      <c r="BA453" s="332"/>
      <c r="BB453" s="334"/>
    </row>
    <row r="454" spans="3:54" s="324" customFormat="1" x14ac:dyDescent="0.5">
      <c r="C454" s="325"/>
      <c r="D454" s="326"/>
      <c r="E454" s="326"/>
      <c r="F454" s="326"/>
      <c r="G454" s="326"/>
      <c r="H454" s="327"/>
      <c r="I454" s="328"/>
      <c r="J454" s="328"/>
      <c r="K454" s="328"/>
      <c r="L454" s="329"/>
      <c r="M454" s="329"/>
      <c r="N454" s="328"/>
      <c r="O454" s="328"/>
      <c r="P454" s="328"/>
      <c r="Q454" s="328"/>
      <c r="R454" s="328"/>
      <c r="S454" s="328"/>
      <c r="T454" s="328"/>
      <c r="U454" s="328"/>
      <c r="X454" s="330"/>
      <c r="Y454" s="330"/>
      <c r="Z454" s="330"/>
      <c r="AA454" s="330"/>
      <c r="AZ454" s="331"/>
      <c r="BA454" s="332"/>
      <c r="BB454" s="334"/>
    </row>
    <row r="455" spans="3:54" s="324" customFormat="1" x14ac:dyDescent="0.5">
      <c r="C455" s="325"/>
      <c r="D455" s="326"/>
      <c r="E455" s="326"/>
      <c r="F455" s="326"/>
      <c r="G455" s="326"/>
      <c r="H455" s="327"/>
      <c r="I455" s="328"/>
      <c r="J455" s="328"/>
      <c r="K455" s="328"/>
      <c r="L455" s="329"/>
      <c r="M455" s="329"/>
      <c r="N455" s="328"/>
      <c r="O455" s="328"/>
      <c r="P455" s="328"/>
      <c r="Q455" s="328"/>
      <c r="R455" s="328"/>
      <c r="S455" s="328"/>
      <c r="T455" s="328"/>
      <c r="U455" s="328"/>
      <c r="X455" s="330"/>
      <c r="Y455" s="330"/>
      <c r="Z455" s="330"/>
      <c r="AA455" s="330"/>
      <c r="AZ455" s="331"/>
      <c r="BA455" s="332"/>
      <c r="BB455" s="334"/>
    </row>
    <row r="456" spans="3:54" s="324" customFormat="1" x14ac:dyDescent="0.5">
      <c r="C456" s="325"/>
      <c r="D456" s="326"/>
      <c r="E456" s="326"/>
      <c r="F456" s="326"/>
      <c r="G456" s="326"/>
      <c r="H456" s="327"/>
      <c r="I456" s="328"/>
      <c r="J456" s="328"/>
      <c r="K456" s="328"/>
      <c r="L456" s="329"/>
      <c r="M456" s="329"/>
      <c r="N456" s="328"/>
      <c r="O456" s="328"/>
      <c r="P456" s="328"/>
      <c r="Q456" s="328"/>
      <c r="R456" s="328"/>
      <c r="S456" s="328"/>
      <c r="T456" s="328"/>
      <c r="U456" s="328"/>
      <c r="X456" s="330"/>
      <c r="Y456" s="330"/>
      <c r="Z456" s="330"/>
      <c r="AA456" s="330"/>
      <c r="AZ456" s="331"/>
      <c r="BA456" s="332"/>
      <c r="BB456" s="334"/>
    </row>
    <row r="457" spans="3:54" s="324" customFormat="1" x14ac:dyDescent="0.5">
      <c r="C457" s="325"/>
      <c r="D457" s="326"/>
      <c r="E457" s="326"/>
      <c r="F457" s="326"/>
      <c r="G457" s="326"/>
      <c r="H457" s="327"/>
      <c r="I457" s="328"/>
      <c r="J457" s="328"/>
      <c r="K457" s="328"/>
      <c r="L457" s="329"/>
      <c r="M457" s="329"/>
      <c r="N457" s="328"/>
      <c r="O457" s="328"/>
      <c r="P457" s="328"/>
      <c r="Q457" s="328"/>
      <c r="R457" s="328"/>
      <c r="S457" s="328"/>
      <c r="T457" s="328"/>
      <c r="U457" s="328"/>
      <c r="X457" s="330"/>
      <c r="Y457" s="330"/>
      <c r="Z457" s="330"/>
      <c r="AA457" s="330"/>
      <c r="AZ457" s="331"/>
      <c r="BA457" s="332"/>
      <c r="BB457" s="334"/>
    </row>
    <row r="458" spans="3:54" s="324" customFormat="1" x14ac:dyDescent="0.5">
      <c r="C458" s="325"/>
      <c r="D458" s="326"/>
      <c r="E458" s="326"/>
      <c r="F458" s="326"/>
      <c r="G458" s="326"/>
      <c r="H458" s="327"/>
      <c r="I458" s="328"/>
      <c r="J458" s="328"/>
      <c r="K458" s="328"/>
      <c r="L458" s="329"/>
      <c r="M458" s="329"/>
      <c r="N458" s="328"/>
      <c r="O458" s="328"/>
      <c r="P458" s="328"/>
      <c r="Q458" s="328"/>
      <c r="R458" s="328"/>
      <c r="S458" s="328"/>
      <c r="T458" s="328"/>
      <c r="U458" s="328"/>
      <c r="X458" s="330"/>
      <c r="Y458" s="330"/>
      <c r="Z458" s="330"/>
      <c r="AA458" s="330"/>
      <c r="AZ458" s="331"/>
      <c r="BA458" s="332"/>
      <c r="BB458" s="334"/>
    </row>
    <row r="459" spans="3:54" s="324" customFormat="1" x14ac:dyDescent="0.5">
      <c r="C459" s="325"/>
      <c r="D459" s="326"/>
      <c r="E459" s="326"/>
      <c r="F459" s="326"/>
      <c r="G459" s="326"/>
      <c r="H459" s="327"/>
      <c r="I459" s="328"/>
      <c r="J459" s="328"/>
      <c r="K459" s="328"/>
      <c r="L459" s="329"/>
      <c r="M459" s="329"/>
      <c r="N459" s="328"/>
      <c r="O459" s="328"/>
      <c r="P459" s="328"/>
      <c r="Q459" s="328"/>
      <c r="R459" s="328"/>
      <c r="S459" s="328"/>
      <c r="T459" s="328"/>
      <c r="U459" s="328"/>
      <c r="X459" s="330"/>
      <c r="Y459" s="330"/>
      <c r="Z459" s="330"/>
      <c r="AA459" s="330"/>
      <c r="AZ459" s="331"/>
      <c r="BA459" s="332"/>
      <c r="BB459" s="334"/>
    </row>
    <row r="460" spans="3:54" s="324" customFormat="1" x14ac:dyDescent="0.5">
      <c r="C460" s="325"/>
      <c r="D460" s="326"/>
      <c r="E460" s="326"/>
      <c r="F460" s="326"/>
      <c r="G460" s="326"/>
      <c r="H460" s="327"/>
      <c r="I460" s="328"/>
      <c r="J460" s="328"/>
      <c r="K460" s="328"/>
      <c r="L460" s="329"/>
      <c r="M460" s="329"/>
      <c r="N460" s="328"/>
      <c r="O460" s="328"/>
      <c r="P460" s="328"/>
      <c r="Q460" s="328"/>
      <c r="R460" s="328"/>
      <c r="S460" s="328"/>
      <c r="T460" s="328"/>
      <c r="U460" s="328"/>
      <c r="X460" s="330"/>
      <c r="Y460" s="330"/>
      <c r="Z460" s="330"/>
      <c r="AA460" s="330"/>
      <c r="AZ460" s="331"/>
      <c r="BA460" s="332"/>
      <c r="BB460" s="334"/>
    </row>
    <row r="461" spans="3:54" s="324" customFormat="1" x14ac:dyDescent="0.5">
      <c r="C461" s="325"/>
      <c r="D461" s="326"/>
      <c r="E461" s="326"/>
      <c r="F461" s="326"/>
      <c r="G461" s="326"/>
      <c r="H461" s="327"/>
      <c r="I461" s="328"/>
      <c r="J461" s="328"/>
      <c r="K461" s="328"/>
      <c r="L461" s="329"/>
      <c r="M461" s="329"/>
      <c r="N461" s="328"/>
      <c r="O461" s="328"/>
      <c r="P461" s="328"/>
      <c r="Q461" s="328"/>
      <c r="R461" s="328"/>
      <c r="S461" s="328"/>
      <c r="T461" s="328"/>
      <c r="U461" s="328"/>
      <c r="X461" s="330"/>
      <c r="Y461" s="330"/>
      <c r="Z461" s="330"/>
      <c r="AA461" s="330"/>
      <c r="AZ461" s="331"/>
      <c r="BA461" s="332"/>
      <c r="BB461" s="334"/>
    </row>
    <row r="462" spans="3:54" s="324" customFormat="1" x14ac:dyDescent="0.5">
      <c r="C462" s="325"/>
      <c r="D462" s="326"/>
      <c r="E462" s="326"/>
      <c r="F462" s="326"/>
      <c r="G462" s="326"/>
      <c r="H462" s="327"/>
      <c r="I462" s="328"/>
      <c r="J462" s="328"/>
      <c r="K462" s="328"/>
      <c r="L462" s="329"/>
      <c r="M462" s="329"/>
      <c r="N462" s="328"/>
      <c r="O462" s="328"/>
      <c r="P462" s="328"/>
      <c r="Q462" s="328"/>
      <c r="R462" s="328"/>
      <c r="S462" s="328"/>
      <c r="T462" s="328"/>
      <c r="U462" s="328"/>
      <c r="X462" s="330"/>
      <c r="Y462" s="330"/>
      <c r="Z462" s="330"/>
      <c r="AA462" s="330"/>
      <c r="AZ462" s="331"/>
      <c r="BA462" s="332"/>
      <c r="BB462" s="334"/>
    </row>
    <row r="463" spans="3:54" s="324" customFormat="1" x14ac:dyDescent="0.5">
      <c r="C463" s="325"/>
      <c r="D463" s="326"/>
      <c r="E463" s="326"/>
      <c r="F463" s="326"/>
      <c r="G463" s="326"/>
      <c r="H463" s="327"/>
      <c r="I463" s="328"/>
      <c r="J463" s="328"/>
      <c r="K463" s="328"/>
      <c r="L463" s="329"/>
      <c r="M463" s="329"/>
      <c r="N463" s="328"/>
      <c r="O463" s="328"/>
      <c r="P463" s="328"/>
      <c r="Q463" s="328"/>
      <c r="R463" s="328"/>
      <c r="S463" s="328"/>
      <c r="T463" s="328"/>
      <c r="U463" s="328"/>
      <c r="X463" s="330"/>
      <c r="Y463" s="330"/>
      <c r="Z463" s="330"/>
      <c r="AA463" s="330"/>
      <c r="AZ463" s="331"/>
      <c r="BA463" s="332"/>
      <c r="BB463" s="334"/>
    </row>
    <row r="464" spans="3:54" s="324" customFormat="1" x14ac:dyDescent="0.5">
      <c r="C464" s="325"/>
      <c r="D464" s="326"/>
      <c r="E464" s="326"/>
      <c r="F464" s="326"/>
      <c r="G464" s="326"/>
      <c r="H464" s="327"/>
      <c r="I464" s="328"/>
      <c r="J464" s="328"/>
      <c r="K464" s="328"/>
      <c r="L464" s="329"/>
      <c r="M464" s="329"/>
      <c r="N464" s="328"/>
      <c r="O464" s="328"/>
      <c r="P464" s="328"/>
      <c r="Q464" s="328"/>
      <c r="R464" s="328"/>
      <c r="S464" s="328"/>
      <c r="T464" s="328"/>
      <c r="U464" s="328"/>
      <c r="X464" s="330"/>
      <c r="Y464" s="330"/>
      <c r="Z464" s="330"/>
      <c r="AA464" s="330"/>
      <c r="AZ464" s="331"/>
      <c r="BA464" s="332"/>
      <c r="BB464" s="334"/>
    </row>
    <row r="465" spans="3:54" s="324" customFormat="1" x14ac:dyDescent="0.5">
      <c r="C465" s="325"/>
      <c r="D465" s="326"/>
      <c r="E465" s="326"/>
      <c r="F465" s="326"/>
      <c r="G465" s="326"/>
      <c r="H465" s="327"/>
      <c r="I465" s="328"/>
      <c r="J465" s="328"/>
      <c r="K465" s="328"/>
      <c r="L465" s="329"/>
      <c r="M465" s="329"/>
      <c r="N465" s="328"/>
      <c r="O465" s="328"/>
      <c r="P465" s="328"/>
      <c r="Q465" s="328"/>
      <c r="R465" s="328"/>
      <c r="S465" s="328"/>
      <c r="T465" s="328"/>
      <c r="U465" s="328"/>
      <c r="X465" s="330"/>
      <c r="Y465" s="330"/>
      <c r="Z465" s="330"/>
      <c r="AA465" s="330"/>
      <c r="AZ465" s="331"/>
      <c r="BA465" s="332"/>
      <c r="BB465" s="334"/>
    </row>
    <row r="466" spans="3:54" s="324" customFormat="1" x14ac:dyDescent="0.5">
      <c r="C466" s="325"/>
      <c r="D466" s="326"/>
      <c r="E466" s="326"/>
      <c r="F466" s="326"/>
      <c r="G466" s="326"/>
      <c r="H466" s="327"/>
      <c r="I466" s="328"/>
      <c r="J466" s="328"/>
      <c r="K466" s="328"/>
      <c r="L466" s="329"/>
      <c r="M466" s="329"/>
      <c r="N466" s="328"/>
      <c r="O466" s="328"/>
      <c r="P466" s="328"/>
      <c r="Q466" s="328"/>
      <c r="R466" s="328"/>
      <c r="S466" s="328"/>
      <c r="T466" s="328"/>
      <c r="U466" s="328"/>
      <c r="X466" s="330"/>
      <c r="Y466" s="330"/>
      <c r="Z466" s="330"/>
      <c r="AA466" s="330"/>
      <c r="AZ466" s="331"/>
      <c r="BA466" s="332"/>
      <c r="BB466" s="334"/>
    </row>
    <row r="467" spans="3:54" s="324" customFormat="1" x14ac:dyDescent="0.5">
      <c r="C467" s="325"/>
      <c r="D467" s="326"/>
      <c r="E467" s="326"/>
      <c r="F467" s="326"/>
      <c r="G467" s="326"/>
      <c r="H467" s="327"/>
      <c r="I467" s="328"/>
      <c r="J467" s="328"/>
      <c r="K467" s="328"/>
      <c r="L467" s="329"/>
      <c r="M467" s="329"/>
      <c r="N467" s="328"/>
      <c r="O467" s="328"/>
      <c r="P467" s="328"/>
      <c r="Q467" s="328"/>
      <c r="R467" s="328"/>
      <c r="S467" s="328"/>
      <c r="T467" s="328"/>
      <c r="U467" s="328"/>
      <c r="X467" s="330"/>
      <c r="Y467" s="330"/>
      <c r="Z467" s="330"/>
      <c r="AA467" s="330"/>
      <c r="AZ467" s="331"/>
      <c r="BA467" s="332"/>
      <c r="BB467" s="334"/>
    </row>
    <row r="468" spans="3:54" s="324" customFormat="1" x14ac:dyDescent="0.5">
      <c r="C468" s="325"/>
      <c r="D468" s="326"/>
      <c r="E468" s="326"/>
      <c r="F468" s="326"/>
      <c r="G468" s="326"/>
      <c r="H468" s="327"/>
      <c r="I468" s="328"/>
      <c r="J468" s="328"/>
      <c r="K468" s="328"/>
      <c r="L468" s="329"/>
      <c r="M468" s="329"/>
      <c r="N468" s="328"/>
      <c r="O468" s="328"/>
      <c r="P468" s="328"/>
      <c r="Q468" s="328"/>
      <c r="R468" s="328"/>
      <c r="S468" s="328"/>
      <c r="T468" s="328"/>
      <c r="U468" s="328"/>
      <c r="X468" s="330"/>
      <c r="Y468" s="330"/>
      <c r="Z468" s="330"/>
      <c r="AA468" s="330"/>
      <c r="AZ468" s="331"/>
      <c r="BA468" s="332"/>
      <c r="BB468" s="334"/>
    </row>
    <row r="469" spans="3:54" s="324" customFormat="1" x14ac:dyDescent="0.5">
      <c r="C469" s="325"/>
      <c r="D469" s="326"/>
      <c r="E469" s="326"/>
      <c r="F469" s="326"/>
      <c r="G469" s="326"/>
      <c r="H469" s="327"/>
      <c r="I469" s="328"/>
      <c r="J469" s="328"/>
      <c r="K469" s="328"/>
      <c r="L469" s="329"/>
      <c r="M469" s="329"/>
      <c r="N469" s="328"/>
      <c r="O469" s="328"/>
      <c r="P469" s="328"/>
      <c r="Q469" s="328"/>
      <c r="R469" s="328"/>
      <c r="S469" s="328"/>
      <c r="T469" s="328"/>
      <c r="U469" s="328"/>
      <c r="X469" s="330"/>
      <c r="Y469" s="330"/>
      <c r="Z469" s="330"/>
      <c r="AA469" s="330"/>
      <c r="AZ469" s="331"/>
      <c r="BA469" s="332"/>
      <c r="BB469" s="334"/>
    </row>
    <row r="470" spans="3:54" s="324" customFormat="1" x14ac:dyDescent="0.5">
      <c r="C470" s="325"/>
      <c r="D470" s="326"/>
      <c r="E470" s="326"/>
      <c r="F470" s="326"/>
      <c r="G470" s="326"/>
      <c r="H470" s="327"/>
      <c r="I470" s="328"/>
      <c r="J470" s="328"/>
      <c r="K470" s="328"/>
      <c r="L470" s="329"/>
      <c r="M470" s="329"/>
      <c r="N470" s="328"/>
      <c r="O470" s="328"/>
      <c r="P470" s="328"/>
      <c r="Q470" s="328"/>
      <c r="R470" s="328"/>
      <c r="S470" s="328"/>
      <c r="T470" s="328"/>
      <c r="U470" s="328"/>
      <c r="X470" s="330"/>
      <c r="Y470" s="330"/>
      <c r="Z470" s="330"/>
      <c r="AA470" s="330"/>
      <c r="AZ470" s="331"/>
      <c r="BA470" s="332"/>
      <c r="BB470" s="334"/>
    </row>
    <row r="471" spans="3:54" s="324" customFormat="1" x14ac:dyDescent="0.5">
      <c r="C471" s="325"/>
      <c r="D471" s="326"/>
      <c r="E471" s="326"/>
      <c r="F471" s="326"/>
      <c r="G471" s="326"/>
      <c r="H471" s="327"/>
      <c r="I471" s="328"/>
      <c r="J471" s="328"/>
      <c r="K471" s="328"/>
      <c r="L471" s="329"/>
      <c r="M471" s="329"/>
      <c r="N471" s="328"/>
      <c r="O471" s="328"/>
      <c r="P471" s="328"/>
      <c r="Q471" s="328"/>
      <c r="R471" s="328"/>
      <c r="S471" s="328"/>
      <c r="T471" s="328"/>
      <c r="U471" s="328"/>
      <c r="X471" s="330"/>
      <c r="Y471" s="330"/>
      <c r="Z471" s="330"/>
      <c r="AA471" s="330"/>
      <c r="AZ471" s="331"/>
      <c r="BA471" s="332"/>
      <c r="BB471" s="334"/>
    </row>
    <row r="472" spans="3:54" s="324" customFormat="1" x14ac:dyDescent="0.5">
      <c r="C472" s="325"/>
      <c r="D472" s="326"/>
      <c r="E472" s="326"/>
      <c r="F472" s="326"/>
      <c r="G472" s="326"/>
      <c r="H472" s="327"/>
      <c r="I472" s="328"/>
      <c r="J472" s="328"/>
      <c r="K472" s="328"/>
      <c r="L472" s="329"/>
      <c r="M472" s="329"/>
      <c r="N472" s="328"/>
      <c r="O472" s="328"/>
      <c r="P472" s="328"/>
      <c r="Q472" s="328"/>
      <c r="R472" s="328"/>
      <c r="S472" s="328"/>
      <c r="T472" s="328"/>
      <c r="U472" s="328"/>
      <c r="X472" s="330"/>
      <c r="Y472" s="330"/>
      <c r="Z472" s="330"/>
      <c r="AA472" s="330"/>
      <c r="AZ472" s="331"/>
      <c r="BA472" s="332"/>
      <c r="BB472" s="334"/>
    </row>
    <row r="473" spans="3:54" s="324" customFormat="1" x14ac:dyDescent="0.5">
      <c r="C473" s="325"/>
      <c r="D473" s="326"/>
      <c r="E473" s="326"/>
      <c r="F473" s="326"/>
      <c r="G473" s="326"/>
      <c r="H473" s="327"/>
      <c r="I473" s="328"/>
      <c r="J473" s="328"/>
      <c r="K473" s="328"/>
      <c r="L473" s="329"/>
      <c r="M473" s="329"/>
      <c r="N473" s="328"/>
      <c r="O473" s="328"/>
      <c r="P473" s="328"/>
      <c r="Q473" s="328"/>
      <c r="R473" s="328"/>
      <c r="S473" s="328"/>
      <c r="T473" s="328"/>
      <c r="U473" s="328"/>
      <c r="X473" s="330"/>
      <c r="Y473" s="330"/>
      <c r="Z473" s="330"/>
      <c r="AA473" s="330"/>
      <c r="AZ473" s="331"/>
      <c r="BA473" s="332"/>
      <c r="BB473" s="334"/>
    </row>
    <row r="474" spans="3:54" s="324" customFormat="1" x14ac:dyDescent="0.5">
      <c r="C474" s="325"/>
      <c r="D474" s="326"/>
      <c r="E474" s="326"/>
      <c r="F474" s="326"/>
      <c r="G474" s="326"/>
      <c r="H474" s="327"/>
      <c r="I474" s="328"/>
      <c r="J474" s="328"/>
      <c r="K474" s="328"/>
      <c r="L474" s="329"/>
      <c r="M474" s="329"/>
      <c r="N474" s="328"/>
      <c r="O474" s="328"/>
      <c r="P474" s="328"/>
      <c r="Q474" s="328"/>
      <c r="R474" s="328"/>
      <c r="S474" s="328"/>
      <c r="T474" s="328"/>
      <c r="U474" s="328"/>
      <c r="X474" s="330"/>
      <c r="Y474" s="330"/>
      <c r="Z474" s="330"/>
      <c r="AA474" s="330"/>
      <c r="AZ474" s="331"/>
      <c r="BA474" s="332"/>
      <c r="BB474" s="334"/>
    </row>
    <row r="475" spans="3:54" s="324" customFormat="1" x14ac:dyDescent="0.5">
      <c r="C475" s="325"/>
      <c r="D475" s="326"/>
      <c r="E475" s="326"/>
      <c r="F475" s="326"/>
      <c r="G475" s="326"/>
      <c r="H475" s="327"/>
      <c r="I475" s="328"/>
      <c r="J475" s="328"/>
      <c r="K475" s="328"/>
      <c r="L475" s="329"/>
      <c r="M475" s="329"/>
      <c r="N475" s="328"/>
      <c r="O475" s="328"/>
      <c r="P475" s="328"/>
      <c r="Q475" s="328"/>
      <c r="R475" s="328"/>
      <c r="S475" s="328"/>
      <c r="T475" s="328"/>
      <c r="U475" s="328"/>
      <c r="X475" s="330"/>
      <c r="Y475" s="330"/>
      <c r="Z475" s="330"/>
      <c r="AA475" s="330"/>
      <c r="AZ475" s="331"/>
      <c r="BA475" s="332"/>
      <c r="BB475" s="334"/>
    </row>
    <row r="476" spans="3:54" s="324" customFormat="1" x14ac:dyDescent="0.5">
      <c r="C476" s="325"/>
      <c r="D476" s="326"/>
      <c r="E476" s="326"/>
      <c r="F476" s="326"/>
      <c r="G476" s="326"/>
      <c r="H476" s="327"/>
      <c r="I476" s="328"/>
      <c r="J476" s="328"/>
      <c r="K476" s="328"/>
      <c r="L476" s="329"/>
      <c r="M476" s="329"/>
      <c r="N476" s="328"/>
      <c r="O476" s="328"/>
      <c r="P476" s="328"/>
      <c r="Q476" s="328"/>
      <c r="R476" s="328"/>
      <c r="S476" s="328"/>
      <c r="T476" s="328"/>
      <c r="U476" s="328"/>
      <c r="X476" s="330"/>
      <c r="Y476" s="330"/>
      <c r="Z476" s="330"/>
      <c r="AA476" s="330"/>
      <c r="AZ476" s="331"/>
      <c r="BA476" s="332"/>
      <c r="BB476" s="334"/>
    </row>
    <row r="477" spans="3:54" s="324" customFormat="1" x14ac:dyDescent="0.5">
      <c r="C477" s="325"/>
      <c r="D477" s="326"/>
      <c r="E477" s="326"/>
      <c r="F477" s="326"/>
      <c r="G477" s="326"/>
      <c r="H477" s="327"/>
      <c r="I477" s="328"/>
      <c r="J477" s="328"/>
      <c r="K477" s="328"/>
      <c r="L477" s="329"/>
      <c r="M477" s="329"/>
      <c r="N477" s="328"/>
      <c r="O477" s="328"/>
      <c r="P477" s="328"/>
      <c r="Q477" s="328"/>
      <c r="R477" s="328"/>
      <c r="S477" s="328"/>
      <c r="T477" s="328"/>
      <c r="U477" s="328"/>
      <c r="X477" s="330"/>
      <c r="Y477" s="330"/>
      <c r="Z477" s="330"/>
      <c r="AA477" s="330"/>
      <c r="AZ477" s="331"/>
      <c r="BA477" s="332"/>
      <c r="BB477" s="334"/>
    </row>
    <row r="478" spans="3:54" s="324" customFormat="1" x14ac:dyDescent="0.5">
      <c r="C478" s="325"/>
      <c r="D478" s="326"/>
      <c r="E478" s="326"/>
      <c r="F478" s="326"/>
      <c r="G478" s="326"/>
      <c r="H478" s="327"/>
      <c r="I478" s="328"/>
      <c r="J478" s="328"/>
      <c r="K478" s="328"/>
      <c r="L478" s="329"/>
      <c r="M478" s="329"/>
      <c r="N478" s="328"/>
      <c r="O478" s="328"/>
      <c r="P478" s="328"/>
      <c r="Q478" s="328"/>
      <c r="R478" s="328"/>
      <c r="S478" s="328"/>
      <c r="T478" s="328"/>
      <c r="U478" s="328"/>
      <c r="X478" s="330"/>
      <c r="Y478" s="330"/>
      <c r="Z478" s="330"/>
      <c r="AA478" s="330"/>
      <c r="AZ478" s="331"/>
      <c r="BA478" s="332"/>
      <c r="BB478" s="334"/>
    </row>
    <row r="479" spans="3:54" s="324" customFormat="1" x14ac:dyDescent="0.5">
      <c r="C479" s="325"/>
      <c r="D479" s="326"/>
      <c r="E479" s="326"/>
      <c r="F479" s="326"/>
      <c r="G479" s="326"/>
      <c r="H479" s="327"/>
      <c r="I479" s="328"/>
      <c r="J479" s="328"/>
      <c r="K479" s="328"/>
      <c r="L479" s="329"/>
      <c r="M479" s="329"/>
      <c r="N479" s="328"/>
      <c r="O479" s="328"/>
      <c r="P479" s="328"/>
      <c r="Q479" s="328"/>
      <c r="R479" s="328"/>
      <c r="S479" s="328"/>
      <c r="T479" s="328"/>
      <c r="U479" s="328"/>
      <c r="X479" s="330"/>
      <c r="Y479" s="330"/>
      <c r="Z479" s="330"/>
      <c r="AA479" s="330"/>
      <c r="AZ479" s="331"/>
      <c r="BA479" s="332"/>
      <c r="BB479" s="334"/>
    </row>
    <row r="480" spans="3:54" s="324" customFormat="1" x14ac:dyDescent="0.5">
      <c r="C480" s="325"/>
      <c r="D480" s="326"/>
      <c r="E480" s="326"/>
      <c r="F480" s="326"/>
      <c r="G480" s="326"/>
      <c r="H480" s="327"/>
      <c r="I480" s="328"/>
      <c r="J480" s="328"/>
      <c r="K480" s="328"/>
      <c r="L480" s="329"/>
      <c r="M480" s="329"/>
      <c r="N480" s="328"/>
      <c r="O480" s="328"/>
      <c r="P480" s="328"/>
      <c r="Q480" s="328"/>
      <c r="R480" s="328"/>
      <c r="S480" s="328"/>
      <c r="T480" s="328"/>
      <c r="U480" s="328"/>
      <c r="X480" s="330"/>
      <c r="Y480" s="330"/>
      <c r="Z480" s="330"/>
      <c r="AA480" s="330"/>
      <c r="AZ480" s="331"/>
      <c r="BA480" s="332"/>
      <c r="BB480" s="334"/>
    </row>
    <row r="481" spans="3:54" s="324" customFormat="1" x14ac:dyDescent="0.5">
      <c r="C481" s="325"/>
      <c r="D481" s="326"/>
      <c r="E481" s="326"/>
      <c r="F481" s="326"/>
      <c r="G481" s="326"/>
      <c r="H481" s="327"/>
      <c r="I481" s="328"/>
      <c r="J481" s="328"/>
      <c r="K481" s="328"/>
      <c r="L481" s="329"/>
      <c r="M481" s="329"/>
      <c r="N481" s="328"/>
      <c r="O481" s="328"/>
      <c r="P481" s="328"/>
      <c r="Q481" s="328"/>
      <c r="R481" s="328"/>
      <c r="S481" s="328"/>
      <c r="T481" s="328"/>
      <c r="U481" s="328"/>
      <c r="X481" s="330"/>
      <c r="Y481" s="330"/>
      <c r="Z481" s="330"/>
      <c r="AA481" s="330"/>
      <c r="AZ481" s="331"/>
      <c r="BA481" s="332"/>
      <c r="BB481" s="334"/>
    </row>
    <row r="482" spans="3:54" s="324" customFormat="1" x14ac:dyDescent="0.5">
      <c r="C482" s="325"/>
      <c r="D482" s="326"/>
      <c r="E482" s="326"/>
      <c r="F482" s="326"/>
      <c r="G482" s="326"/>
      <c r="H482" s="327"/>
      <c r="I482" s="328"/>
      <c r="J482" s="328"/>
      <c r="K482" s="328"/>
      <c r="L482" s="329"/>
      <c r="M482" s="329"/>
      <c r="N482" s="328"/>
      <c r="O482" s="328"/>
      <c r="P482" s="328"/>
      <c r="Q482" s="328"/>
      <c r="R482" s="328"/>
      <c r="S482" s="328"/>
      <c r="T482" s="328"/>
      <c r="U482" s="328"/>
      <c r="X482" s="330"/>
      <c r="Y482" s="330"/>
      <c r="Z482" s="330"/>
      <c r="AA482" s="330"/>
      <c r="AZ482" s="331"/>
      <c r="BA482" s="332"/>
      <c r="BB482" s="334"/>
    </row>
    <row r="483" spans="3:54" s="324" customFormat="1" x14ac:dyDescent="0.5">
      <c r="C483" s="325"/>
      <c r="D483" s="326"/>
      <c r="E483" s="326"/>
      <c r="F483" s="326"/>
      <c r="G483" s="326"/>
      <c r="H483" s="327"/>
      <c r="I483" s="328"/>
      <c r="J483" s="328"/>
      <c r="K483" s="328"/>
      <c r="L483" s="329"/>
      <c r="M483" s="329"/>
      <c r="N483" s="328"/>
      <c r="O483" s="328"/>
      <c r="P483" s="328"/>
      <c r="Q483" s="328"/>
      <c r="R483" s="328"/>
      <c r="S483" s="328"/>
      <c r="T483" s="328"/>
      <c r="U483" s="328"/>
      <c r="X483" s="330"/>
      <c r="Y483" s="330"/>
      <c r="Z483" s="330"/>
      <c r="AA483" s="330"/>
      <c r="AZ483" s="331"/>
      <c r="BA483" s="332"/>
      <c r="BB483" s="334"/>
    </row>
    <row r="484" spans="3:54" s="324" customFormat="1" x14ac:dyDescent="0.5">
      <c r="C484" s="325"/>
      <c r="D484" s="326"/>
      <c r="E484" s="326"/>
      <c r="F484" s="326"/>
      <c r="G484" s="326"/>
      <c r="H484" s="327"/>
      <c r="I484" s="328"/>
      <c r="J484" s="328"/>
      <c r="K484" s="328"/>
      <c r="L484" s="329"/>
      <c r="M484" s="329"/>
      <c r="N484" s="328"/>
      <c r="O484" s="328"/>
      <c r="P484" s="328"/>
      <c r="Q484" s="328"/>
      <c r="R484" s="328"/>
      <c r="S484" s="328"/>
      <c r="T484" s="328"/>
      <c r="U484" s="328"/>
      <c r="X484" s="330"/>
      <c r="Y484" s="330"/>
      <c r="Z484" s="330"/>
      <c r="AA484" s="330"/>
      <c r="AZ484" s="331"/>
      <c r="BA484" s="332"/>
      <c r="BB484" s="334"/>
    </row>
    <row r="485" spans="3:54" s="324" customFormat="1" x14ac:dyDescent="0.5">
      <c r="C485" s="325"/>
      <c r="D485" s="326"/>
      <c r="E485" s="326"/>
      <c r="F485" s="326"/>
      <c r="G485" s="326"/>
      <c r="H485" s="327"/>
      <c r="I485" s="328"/>
      <c r="J485" s="328"/>
      <c r="K485" s="328"/>
      <c r="L485" s="329"/>
      <c r="M485" s="329"/>
      <c r="N485" s="328"/>
      <c r="O485" s="328"/>
      <c r="P485" s="328"/>
      <c r="Q485" s="328"/>
      <c r="R485" s="328"/>
      <c r="S485" s="328"/>
      <c r="T485" s="328"/>
      <c r="U485" s="328"/>
      <c r="X485" s="330"/>
      <c r="Y485" s="330"/>
      <c r="Z485" s="330"/>
      <c r="AA485" s="330"/>
      <c r="AZ485" s="331"/>
      <c r="BA485" s="332"/>
      <c r="BB485" s="334"/>
    </row>
    <row r="486" spans="3:54" s="324" customFormat="1" x14ac:dyDescent="0.5">
      <c r="C486" s="325"/>
      <c r="D486" s="326"/>
      <c r="E486" s="326"/>
      <c r="F486" s="326"/>
      <c r="G486" s="326"/>
      <c r="H486" s="327"/>
      <c r="I486" s="328"/>
      <c r="J486" s="328"/>
      <c r="K486" s="328"/>
      <c r="L486" s="329"/>
      <c r="M486" s="329"/>
      <c r="N486" s="328"/>
      <c r="O486" s="328"/>
      <c r="P486" s="328"/>
      <c r="Q486" s="328"/>
      <c r="R486" s="328"/>
      <c r="S486" s="328"/>
      <c r="T486" s="328"/>
      <c r="U486" s="328"/>
      <c r="X486" s="330"/>
      <c r="Y486" s="330"/>
      <c r="Z486" s="330"/>
      <c r="AA486" s="330"/>
      <c r="AZ486" s="331"/>
      <c r="BA486" s="332"/>
      <c r="BB486" s="334"/>
    </row>
    <row r="487" spans="3:54" s="324" customFormat="1" x14ac:dyDescent="0.5">
      <c r="C487" s="325"/>
      <c r="D487" s="326"/>
      <c r="E487" s="326"/>
      <c r="F487" s="326"/>
      <c r="G487" s="326"/>
      <c r="H487" s="327"/>
      <c r="I487" s="328"/>
      <c r="J487" s="328"/>
      <c r="K487" s="328"/>
      <c r="L487" s="329"/>
      <c r="M487" s="329"/>
      <c r="N487" s="328"/>
      <c r="O487" s="328"/>
      <c r="P487" s="328"/>
      <c r="Q487" s="328"/>
      <c r="R487" s="328"/>
      <c r="S487" s="328"/>
      <c r="T487" s="328"/>
      <c r="U487" s="328"/>
      <c r="X487" s="330"/>
      <c r="Y487" s="330"/>
      <c r="Z487" s="330"/>
      <c r="AA487" s="330"/>
      <c r="AZ487" s="331"/>
      <c r="BA487" s="332"/>
      <c r="BB487" s="334"/>
    </row>
    <row r="488" spans="3:54" s="324" customFormat="1" x14ac:dyDescent="0.5">
      <c r="C488" s="325"/>
      <c r="D488" s="326"/>
      <c r="E488" s="326"/>
      <c r="F488" s="326"/>
      <c r="G488" s="326"/>
      <c r="H488" s="327"/>
      <c r="I488" s="328"/>
      <c r="J488" s="328"/>
      <c r="K488" s="328"/>
      <c r="L488" s="329"/>
      <c r="M488" s="329"/>
      <c r="N488" s="328"/>
      <c r="O488" s="328"/>
      <c r="P488" s="328"/>
      <c r="Q488" s="328"/>
      <c r="R488" s="328"/>
      <c r="S488" s="328"/>
      <c r="T488" s="328"/>
      <c r="U488" s="328"/>
      <c r="X488" s="330"/>
      <c r="Y488" s="330"/>
      <c r="Z488" s="330"/>
      <c r="AA488" s="330"/>
      <c r="AZ488" s="331"/>
      <c r="BA488" s="332"/>
      <c r="BB488" s="334"/>
    </row>
    <row r="489" spans="3:54" s="324" customFormat="1" x14ac:dyDescent="0.5">
      <c r="C489" s="325"/>
      <c r="D489" s="326"/>
      <c r="E489" s="326"/>
      <c r="F489" s="326"/>
      <c r="G489" s="326"/>
      <c r="H489" s="327"/>
      <c r="I489" s="328"/>
      <c r="J489" s="328"/>
      <c r="K489" s="328"/>
      <c r="L489" s="329"/>
      <c r="M489" s="329"/>
      <c r="N489" s="328"/>
      <c r="O489" s="328"/>
      <c r="P489" s="328"/>
      <c r="Q489" s="328"/>
      <c r="R489" s="328"/>
      <c r="S489" s="328"/>
      <c r="T489" s="328"/>
      <c r="U489" s="328"/>
      <c r="X489" s="330"/>
      <c r="Y489" s="330"/>
      <c r="Z489" s="330"/>
      <c r="AA489" s="330"/>
      <c r="AZ489" s="331"/>
      <c r="BA489" s="332"/>
      <c r="BB489" s="334"/>
    </row>
    <row r="490" spans="3:54" s="324" customFormat="1" x14ac:dyDescent="0.5">
      <c r="C490" s="325"/>
      <c r="D490" s="326"/>
      <c r="E490" s="326"/>
      <c r="F490" s="326"/>
      <c r="G490" s="326"/>
      <c r="H490" s="327"/>
      <c r="I490" s="328"/>
      <c r="J490" s="328"/>
      <c r="K490" s="328"/>
      <c r="L490" s="329"/>
      <c r="M490" s="329"/>
      <c r="N490" s="328"/>
      <c r="O490" s="328"/>
      <c r="P490" s="328"/>
      <c r="Q490" s="328"/>
      <c r="R490" s="328"/>
      <c r="S490" s="328"/>
      <c r="T490" s="328"/>
      <c r="U490" s="328"/>
      <c r="X490" s="330"/>
      <c r="Y490" s="330"/>
      <c r="Z490" s="330"/>
      <c r="AA490" s="330"/>
      <c r="AZ490" s="331"/>
      <c r="BA490" s="332"/>
      <c r="BB490" s="334"/>
    </row>
    <row r="491" spans="3:54" s="324" customFormat="1" x14ac:dyDescent="0.5">
      <c r="C491" s="325"/>
      <c r="D491" s="326"/>
      <c r="E491" s="326"/>
      <c r="F491" s="326"/>
      <c r="G491" s="326"/>
      <c r="H491" s="327"/>
      <c r="I491" s="328"/>
      <c r="J491" s="328"/>
      <c r="K491" s="328"/>
      <c r="L491" s="329"/>
      <c r="M491" s="329"/>
      <c r="N491" s="328"/>
      <c r="O491" s="328"/>
      <c r="P491" s="328"/>
      <c r="Q491" s="328"/>
      <c r="R491" s="328"/>
      <c r="S491" s="328"/>
      <c r="T491" s="328"/>
      <c r="U491" s="328"/>
      <c r="X491" s="330"/>
      <c r="Y491" s="330"/>
      <c r="Z491" s="330"/>
      <c r="AA491" s="330"/>
      <c r="AZ491" s="331"/>
      <c r="BA491" s="332"/>
      <c r="BB491" s="334"/>
    </row>
    <row r="492" spans="3:54" s="324" customFormat="1" x14ac:dyDescent="0.5">
      <c r="C492" s="325"/>
      <c r="D492" s="326"/>
      <c r="E492" s="326"/>
      <c r="F492" s="326"/>
      <c r="G492" s="326"/>
      <c r="H492" s="327"/>
      <c r="I492" s="328"/>
      <c r="J492" s="328"/>
      <c r="K492" s="328"/>
      <c r="L492" s="329"/>
      <c r="M492" s="329"/>
      <c r="N492" s="328"/>
      <c r="O492" s="328"/>
      <c r="P492" s="328"/>
      <c r="Q492" s="328"/>
      <c r="R492" s="328"/>
      <c r="S492" s="328"/>
      <c r="T492" s="328"/>
      <c r="U492" s="328"/>
      <c r="X492" s="330"/>
      <c r="Y492" s="330"/>
      <c r="Z492" s="330"/>
      <c r="AA492" s="330"/>
      <c r="AZ492" s="331"/>
      <c r="BA492" s="332"/>
      <c r="BB492" s="334"/>
    </row>
    <row r="493" spans="3:54" s="324" customFormat="1" x14ac:dyDescent="0.5">
      <c r="C493" s="325"/>
      <c r="D493" s="326"/>
      <c r="E493" s="326"/>
      <c r="F493" s="326"/>
      <c r="G493" s="326"/>
      <c r="H493" s="327"/>
      <c r="I493" s="328"/>
      <c r="J493" s="328"/>
      <c r="K493" s="328"/>
      <c r="L493" s="329"/>
      <c r="M493" s="329"/>
      <c r="N493" s="328"/>
      <c r="O493" s="328"/>
      <c r="P493" s="328"/>
      <c r="Q493" s="328"/>
      <c r="R493" s="328"/>
      <c r="S493" s="328"/>
      <c r="T493" s="328"/>
      <c r="U493" s="328"/>
      <c r="X493" s="330"/>
      <c r="Y493" s="330"/>
      <c r="Z493" s="330"/>
      <c r="AA493" s="330"/>
      <c r="AZ493" s="331"/>
      <c r="BA493" s="332"/>
      <c r="BB493" s="334"/>
    </row>
    <row r="494" spans="3:54" s="324" customFormat="1" x14ac:dyDescent="0.5">
      <c r="C494" s="325"/>
      <c r="D494" s="326"/>
      <c r="E494" s="326"/>
      <c r="F494" s="326"/>
      <c r="G494" s="326"/>
      <c r="H494" s="327"/>
      <c r="I494" s="328"/>
      <c r="J494" s="328"/>
      <c r="K494" s="328"/>
      <c r="L494" s="329"/>
      <c r="M494" s="329"/>
      <c r="N494" s="328"/>
      <c r="O494" s="328"/>
      <c r="P494" s="328"/>
      <c r="Q494" s="328"/>
      <c r="R494" s="328"/>
      <c r="S494" s="328"/>
      <c r="T494" s="328"/>
      <c r="U494" s="328"/>
      <c r="X494" s="330"/>
      <c r="Y494" s="330"/>
      <c r="Z494" s="330"/>
      <c r="AA494" s="330"/>
      <c r="AZ494" s="331"/>
      <c r="BA494" s="332"/>
      <c r="BB494" s="334"/>
    </row>
    <row r="495" spans="3:54" s="324" customFormat="1" x14ac:dyDescent="0.5">
      <c r="C495" s="325"/>
      <c r="D495" s="326"/>
      <c r="E495" s="326"/>
      <c r="F495" s="326"/>
      <c r="G495" s="326"/>
      <c r="H495" s="327"/>
      <c r="I495" s="328"/>
      <c r="J495" s="328"/>
      <c r="K495" s="328"/>
      <c r="L495" s="329"/>
      <c r="M495" s="329"/>
      <c r="N495" s="328"/>
      <c r="O495" s="328"/>
      <c r="P495" s="328"/>
      <c r="Q495" s="328"/>
      <c r="R495" s="328"/>
      <c r="S495" s="328"/>
      <c r="T495" s="328"/>
      <c r="U495" s="328"/>
      <c r="X495" s="330"/>
      <c r="Y495" s="330"/>
      <c r="Z495" s="330"/>
      <c r="AA495" s="330"/>
      <c r="AZ495" s="331"/>
      <c r="BA495" s="332"/>
      <c r="BB495" s="334"/>
    </row>
    <row r="496" spans="3:54" s="324" customFormat="1" x14ac:dyDescent="0.5">
      <c r="C496" s="325"/>
      <c r="D496" s="326"/>
      <c r="E496" s="326"/>
      <c r="F496" s="326"/>
      <c r="G496" s="326"/>
      <c r="H496" s="327"/>
      <c r="I496" s="328"/>
      <c r="J496" s="328"/>
      <c r="K496" s="328"/>
      <c r="L496" s="329"/>
      <c r="M496" s="329"/>
      <c r="N496" s="328"/>
      <c r="O496" s="328"/>
      <c r="P496" s="328"/>
      <c r="Q496" s="328"/>
      <c r="R496" s="328"/>
      <c r="S496" s="328"/>
      <c r="T496" s="328"/>
      <c r="U496" s="328"/>
      <c r="X496" s="330"/>
      <c r="Y496" s="330"/>
      <c r="Z496" s="330"/>
      <c r="AA496" s="330"/>
      <c r="AZ496" s="331"/>
      <c r="BA496" s="332"/>
      <c r="BB496" s="334"/>
    </row>
    <row r="497" spans="3:54" s="324" customFormat="1" x14ac:dyDescent="0.5">
      <c r="C497" s="325"/>
      <c r="D497" s="326"/>
      <c r="E497" s="326"/>
      <c r="F497" s="326"/>
      <c r="G497" s="326"/>
      <c r="H497" s="327"/>
      <c r="I497" s="328"/>
      <c r="J497" s="328"/>
      <c r="K497" s="328"/>
      <c r="L497" s="329"/>
      <c r="M497" s="329"/>
      <c r="N497" s="328"/>
      <c r="O497" s="328"/>
      <c r="P497" s="328"/>
      <c r="Q497" s="328"/>
      <c r="R497" s="328"/>
      <c r="S497" s="328"/>
      <c r="T497" s="328"/>
      <c r="U497" s="328"/>
      <c r="X497" s="330"/>
      <c r="Y497" s="330"/>
      <c r="Z497" s="330"/>
      <c r="AA497" s="330"/>
      <c r="AZ497" s="331"/>
      <c r="BA497" s="332"/>
      <c r="BB497" s="334"/>
    </row>
    <row r="498" spans="3:54" s="324" customFormat="1" x14ac:dyDescent="0.5">
      <c r="C498" s="325"/>
      <c r="D498" s="326"/>
      <c r="E498" s="326"/>
      <c r="F498" s="326"/>
      <c r="G498" s="326"/>
      <c r="H498" s="327"/>
      <c r="I498" s="328"/>
      <c r="J498" s="328"/>
      <c r="K498" s="328"/>
      <c r="L498" s="329"/>
      <c r="M498" s="329"/>
      <c r="N498" s="328"/>
      <c r="O498" s="328"/>
      <c r="P498" s="328"/>
      <c r="Q498" s="328"/>
      <c r="R498" s="328"/>
      <c r="S498" s="328"/>
      <c r="T498" s="328"/>
      <c r="U498" s="328"/>
      <c r="X498" s="330"/>
      <c r="Y498" s="330"/>
      <c r="Z498" s="330"/>
      <c r="AA498" s="330"/>
      <c r="AZ498" s="331"/>
      <c r="BA498" s="332"/>
      <c r="BB498" s="334"/>
    </row>
    <row r="499" spans="3:54" s="324" customFormat="1" x14ac:dyDescent="0.5">
      <c r="C499" s="325"/>
      <c r="D499" s="326"/>
      <c r="E499" s="326"/>
      <c r="F499" s="326"/>
      <c r="G499" s="326"/>
      <c r="H499" s="327"/>
      <c r="I499" s="328"/>
      <c r="J499" s="328"/>
      <c r="K499" s="328"/>
      <c r="L499" s="329"/>
      <c r="M499" s="329"/>
      <c r="N499" s="328"/>
      <c r="O499" s="328"/>
      <c r="P499" s="328"/>
      <c r="Q499" s="328"/>
      <c r="R499" s="328"/>
      <c r="S499" s="328"/>
      <c r="T499" s="328"/>
      <c r="U499" s="328"/>
      <c r="X499" s="330"/>
      <c r="Y499" s="330"/>
      <c r="Z499" s="330"/>
      <c r="AA499" s="330"/>
      <c r="AZ499" s="331"/>
      <c r="BA499" s="332"/>
      <c r="BB499" s="334"/>
    </row>
    <row r="500" spans="3:54" s="324" customFormat="1" x14ac:dyDescent="0.5">
      <c r="C500" s="325"/>
      <c r="D500" s="326"/>
      <c r="E500" s="326"/>
      <c r="F500" s="326"/>
      <c r="G500" s="326"/>
      <c r="H500" s="327"/>
      <c r="I500" s="328"/>
      <c r="J500" s="328"/>
      <c r="K500" s="328"/>
      <c r="L500" s="329"/>
      <c r="M500" s="329"/>
      <c r="N500" s="328"/>
      <c r="O500" s="328"/>
      <c r="P500" s="328"/>
      <c r="Q500" s="328"/>
      <c r="R500" s="328"/>
      <c r="S500" s="328"/>
      <c r="T500" s="328"/>
      <c r="U500" s="328"/>
      <c r="X500" s="330"/>
      <c r="Y500" s="330"/>
      <c r="Z500" s="330"/>
      <c r="AA500" s="330"/>
      <c r="AZ500" s="331"/>
      <c r="BA500" s="332"/>
      <c r="BB500" s="334"/>
    </row>
    <row r="501" spans="3:54" s="324" customFormat="1" x14ac:dyDescent="0.5">
      <c r="C501" s="325"/>
      <c r="D501" s="326"/>
      <c r="E501" s="326"/>
      <c r="F501" s="326"/>
      <c r="G501" s="326"/>
      <c r="H501" s="327"/>
      <c r="I501" s="328"/>
      <c r="J501" s="328"/>
      <c r="K501" s="328"/>
      <c r="L501" s="329"/>
      <c r="M501" s="329"/>
      <c r="N501" s="328"/>
      <c r="O501" s="328"/>
      <c r="P501" s="328"/>
      <c r="Q501" s="328"/>
      <c r="R501" s="328"/>
      <c r="S501" s="328"/>
      <c r="T501" s="328"/>
      <c r="U501" s="328"/>
      <c r="X501" s="330"/>
      <c r="Y501" s="330"/>
      <c r="Z501" s="330"/>
      <c r="AA501" s="330"/>
      <c r="AZ501" s="331"/>
      <c r="BA501" s="332"/>
      <c r="BB501" s="334"/>
    </row>
    <row r="502" spans="3:54" s="324" customFormat="1" x14ac:dyDescent="0.5">
      <c r="C502" s="325"/>
      <c r="D502" s="326"/>
      <c r="E502" s="326"/>
      <c r="F502" s="326"/>
      <c r="G502" s="326"/>
      <c r="H502" s="327"/>
      <c r="I502" s="328"/>
      <c r="J502" s="328"/>
      <c r="K502" s="328"/>
      <c r="L502" s="329"/>
      <c r="M502" s="329"/>
      <c r="N502" s="328"/>
      <c r="O502" s="328"/>
      <c r="P502" s="328"/>
      <c r="Q502" s="328"/>
      <c r="R502" s="328"/>
      <c r="S502" s="328"/>
      <c r="T502" s="328"/>
      <c r="U502" s="328"/>
      <c r="X502" s="330"/>
      <c r="Y502" s="330"/>
      <c r="Z502" s="330"/>
      <c r="AA502" s="330"/>
      <c r="AZ502" s="331"/>
      <c r="BA502" s="332"/>
      <c r="BB502" s="334"/>
    </row>
    <row r="503" spans="3:54" s="324" customFormat="1" x14ac:dyDescent="0.5">
      <c r="C503" s="325"/>
      <c r="D503" s="326"/>
      <c r="E503" s="326"/>
      <c r="F503" s="326"/>
      <c r="G503" s="326"/>
      <c r="H503" s="327"/>
      <c r="I503" s="328"/>
      <c r="J503" s="328"/>
      <c r="K503" s="328"/>
      <c r="L503" s="329"/>
      <c r="M503" s="329"/>
      <c r="N503" s="328"/>
      <c r="O503" s="328"/>
      <c r="P503" s="328"/>
      <c r="Q503" s="328"/>
      <c r="R503" s="328"/>
      <c r="S503" s="328"/>
      <c r="T503" s="328"/>
      <c r="U503" s="328"/>
      <c r="X503" s="330"/>
      <c r="Y503" s="330"/>
      <c r="Z503" s="330"/>
      <c r="AA503" s="330"/>
      <c r="AZ503" s="331"/>
      <c r="BA503" s="332"/>
      <c r="BB503" s="334"/>
    </row>
    <row r="504" spans="3:54" s="324" customFormat="1" x14ac:dyDescent="0.5">
      <c r="C504" s="325"/>
      <c r="D504" s="326"/>
      <c r="E504" s="326"/>
      <c r="F504" s="326"/>
      <c r="G504" s="326"/>
      <c r="H504" s="327"/>
      <c r="I504" s="328"/>
      <c r="J504" s="328"/>
      <c r="K504" s="328"/>
      <c r="L504" s="329"/>
      <c r="M504" s="329"/>
      <c r="N504" s="328"/>
      <c r="O504" s="328"/>
      <c r="P504" s="328"/>
      <c r="Q504" s="328"/>
      <c r="R504" s="328"/>
      <c r="S504" s="328"/>
      <c r="T504" s="328"/>
      <c r="U504" s="328"/>
      <c r="X504" s="330"/>
      <c r="Y504" s="330"/>
      <c r="Z504" s="330"/>
      <c r="AA504" s="330"/>
      <c r="AZ504" s="331"/>
      <c r="BA504" s="332"/>
      <c r="BB504" s="334"/>
    </row>
    <row r="505" spans="3:54" s="324" customFormat="1" x14ac:dyDescent="0.5">
      <c r="C505" s="325"/>
      <c r="D505" s="326"/>
      <c r="E505" s="326"/>
      <c r="F505" s="326"/>
      <c r="G505" s="326"/>
      <c r="H505" s="327"/>
      <c r="I505" s="328"/>
      <c r="J505" s="328"/>
      <c r="K505" s="328"/>
      <c r="L505" s="329"/>
      <c r="M505" s="329"/>
      <c r="N505" s="328"/>
      <c r="O505" s="328"/>
      <c r="P505" s="328"/>
      <c r="Q505" s="328"/>
      <c r="R505" s="328"/>
      <c r="S505" s="328"/>
      <c r="T505" s="328"/>
      <c r="U505" s="328"/>
      <c r="X505" s="330"/>
      <c r="Y505" s="330"/>
      <c r="Z505" s="330"/>
      <c r="AA505" s="330"/>
      <c r="AZ505" s="331"/>
      <c r="BA505" s="332"/>
      <c r="BB505" s="334"/>
    </row>
    <row r="506" spans="3:54" s="324" customFormat="1" x14ac:dyDescent="0.5">
      <c r="C506" s="325"/>
      <c r="D506" s="326"/>
      <c r="E506" s="326"/>
      <c r="F506" s="326"/>
      <c r="G506" s="326"/>
      <c r="H506" s="327"/>
      <c r="I506" s="328"/>
      <c r="J506" s="328"/>
      <c r="K506" s="328"/>
      <c r="L506" s="329"/>
      <c r="M506" s="329"/>
      <c r="N506" s="328"/>
      <c r="O506" s="328"/>
      <c r="P506" s="328"/>
      <c r="Q506" s="328"/>
      <c r="R506" s="328"/>
      <c r="S506" s="328"/>
      <c r="T506" s="328"/>
      <c r="U506" s="328"/>
      <c r="X506" s="330"/>
      <c r="Y506" s="330"/>
      <c r="Z506" s="330"/>
      <c r="AA506" s="330"/>
      <c r="AZ506" s="331"/>
      <c r="BA506" s="332"/>
      <c r="BB506" s="334"/>
    </row>
    <row r="507" spans="3:54" s="324" customFormat="1" x14ac:dyDescent="0.5">
      <c r="C507" s="325"/>
      <c r="D507" s="326"/>
      <c r="E507" s="326"/>
      <c r="F507" s="326"/>
      <c r="G507" s="326"/>
      <c r="H507" s="327"/>
      <c r="I507" s="328"/>
      <c r="J507" s="328"/>
      <c r="K507" s="328"/>
      <c r="L507" s="329"/>
      <c r="M507" s="329"/>
      <c r="N507" s="328"/>
      <c r="O507" s="328"/>
      <c r="P507" s="328"/>
      <c r="Q507" s="328"/>
      <c r="R507" s="328"/>
      <c r="S507" s="328"/>
      <c r="T507" s="328"/>
      <c r="U507" s="328"/>
      <c r="X507" s="330"/>
      <c r="Y507" s="330"/>
      <c r="Z507" s="330"/>
      <c r="AA507" s="330"/>
      <c r="AZ507" s="331"/>
      <c r="BA507" s="332"/>
      <c r="BB507" s="334"/>
    </row>
    <row r="508" spans="3:54" s="324" customFormat="1" x14ac:dyDescent="0.5">
      <c r="C508" s="325"/>
      <c r="D508" s="326"/>
      <c r="E508" s="326"/>
      <c r="F508" s="326"/>
      <c r="G508" s="326"/>
      <c r="H508" s="327"/>
      <c r="I508" s="328"/>
      <c r="J508" s="328"/>
      <c r="K508" s="328"/>
      <c r="L508" s="329"/>
      <c r="M508" s="329"/>
      <c r="N508" s="328"/>
      <c r="O508" s="328"/>
      <c r="P508" s="328"/>
      <c r="Q508" s="328"/>
      <c r="R508" s="328"/>
      <c r="S508" s="328"/>
      <c r="T508" s="328"/>
      <c r="U508" s="328"/>
      <c r="X508" s="330"/>
      <c r="Y508" s="330"/>
      <c r="Z508" s="330"/>
      <c r="AA508" s="330"/>
      <c r="AZ508" s="331"/>
      <c r="BA508" s="332"/>
      <c r="BB508" s="334"/>
    </row>
    <row r="509" spans="3:54" s="324" customFormat="1" x14ac:dyDescent="0.5">
      <c r="C509" s="325"/>
      <c r="D509" s="326"/>
      <c r="E509" s="326"/>
      <c r="F509" s="326"/>
      <c r="G509" s="326"/>
      <c r="H509" s="327"/>
      <c r="I509" s="328"/>
      <c r="J509" s="328"/>
      <c r="K509" s="328"/>
      <c r="L509" s="329"/>
      <c r="M509" s="329"/>
      <c r="N509" s="328"/>
      <c r="O509" s="328"/>
      <c r="P509" s="328"/>
      <c r="Q509" s="328"/>
      <c r="R509" s="328"/>
      <c r="S509" s="328"/>
      <c r="T509" s="328"/>
      <c r="U509" s="328"/>
      <c r="X509" s="330"/>
      <c r="Y509" s="330"/>
      <c r="Z509" s="330"/>
      <c r="AA509" s="330"/>
      <c r="AZ509" s="331"/>
      <c r="BA509" s="332"/>
      <c r="BB509" s="334"/>
    </row>
    <row r="510" spans="3:54" s="324" customFormat="1" x14ac:dyDescent="0.5">
      <c r="C510" s="325"/>
      <c r="D510" s="326"/>
      <c r="E510" s="326"/>
      <c r="F510" s="326"/>
      <c r="G510" s="326"/>
      <c r="H510" s="327"/>
      <c r="I510" s="328"/>
      <c r="J510" s="328"/>
      <c r="K510" s="328"/>
      <c r="L510" s="329"/>
      <c r="M510" s="329"/>
      <c r="N510" s="328"/>
      <c r="O510" s="328"/>
      <c r="P510" s="328"/>
      <c r="Q510" s="328"/>
      <c r="R510" s="328"/>
      <c r="S510" s="328"/>
      <c r="T510" s="328"/>
      <c r="U510" s="328"/>
      <c r="X510" s="330"/>
      <c r="Y510" s="330"/>
      <c r="Z510" s="330"/>
      <c r="AA510" s="330"/>
      <c r="AZ510" s="331"/>
      <c r="BA510" s="332"/>
      <c r="BB510" s="334"/>
    </row>
    <row r="511" spans="3:54" s="324" customFormat="1" x14ac:dyDescent="0.5">
      <c r="C511" s="325"/>
      <c r="D511" s="326"/>
      <c r="E511" s="326"/>
      <c r="F511" s="326"/>
      <c r="G511" s="326"/>
      <c r="H511" s="327"/>
      <c r="I511" s="328"/>
      <c r="J511" s="328"/>
      <c r="K511" s="328"/>
      <c r="L511" s="329"/>
      <c r="M511" s="329"/>
      <c r="N511" s="328"/>
      <c r="O511" s="328"/>
      <c r="P511" s="328"/>
      <c r="Q511" s="328"/>
      <c r="R511" s="328"/>
      <c r="S511" s="328"/>
      <c r="T511" s="328"/>
      <c r="U511" s="328"/>
      <c r="X511" s="330"/>
      <c r="Y511" s="330"/>
      <c r="Z511" s="330"/>
      <c r="AA511" s="330"/>
      <c r="AZ511" s="331"/>
      <c r="BA511" s="332"/>
      <c r="BB511" s="334"/>
    </row>
    <row r="512" spans="3:54" s="324" customFormat="1" x14ac:dyDescent="0.5">
      <c r="C512" s="325"/>
      <c r="D512" s="326"/>
      <c r="E512" s="326"/>
      <c r="F512" s="326"/>
      <c r="G512" s="326"/>
      <c r="H512" s="327"/>
      <c r="I512" s="328"/>
      <c r="J512" s="328"/>
      <c r="K512" s="328"/>
      <c r="L512" s="329"/>
      <c r="M512" s="329"/>
      <c r="N512" s="328"/>
      <c r="O512" s="328"/>
      <c r="P512" s="328"/>
      <c r="Q512" s="328"/>
      <c r="R512" s="328"/>
      <c r="S512" s="328"/>
      <c r="T512" s="328"/>
      <c r="U512" s="328"/>
      <c r="X512" s="330"/>
      <c r="Y512" s="330"/>
      <c r="Z512" s="330"/>
      <c r="AA512" s="330"/>
      <c r="AZ512" s="331"/>
      <c r="BA512" s="332"/>
      <c r="BB512" s="334"/>
    </row>
    <row r="513" spans="3:54" s="324" customFormat="1" x14ac:dyDescent="0.5">
      <c r="C513" s="325"/>
      <c r="D513" s="326"/>
      <c r="E513" s="326"/>
      <c r="F513" s="326"/>
      <c r="G513" s="326"/>
      <c r="H513" s="327"/>
      <c r="I513" s="328"/>
      <c r="J513" s="328"/>
      <c r="K513" s="328"/>
      <c r="L513" s="329"/>
      <c r="M513" s="329"/>
      <c r="N513" s="328"/>
      <c r="O513" s="328"/>
      <c r="P513" s="328"/>
      <c r="Q513" s="328"/>
      <c r="R513" s="328"/>
      <c r="S513" s="328"/>
      <c r="T513" s="328"/>
      <c r="U513" s="328"/>
      <c r="X513" s="330"/>
      <c r="Y513" s="330"/>
      <c r="Z513" s="330"/>
      <c r="AA513" s="330"/>
      <c r="AZ513" s="331"/>
      <c r="BA513" s="332"/>
      <c r="BB513" s="334"/>
    </row>
    <row r="514" spans="3:54" s="324" customFormat="1" x14ac:dyDescent="0.5">
      <c r="C514" s="325"/>
      <c r="D514" s="326"/>
      <c r="E514" s="326"/>
      <c r="F514" s="326"/>
      <c r="G514" s="326"/>
      <c r="H514" s="327"/>
      <c r="I514" s="328"/>
      <c r="J514" s="328"/>
      <c r="K514" s="328"/>
      <c r="L514" s="329"/>
      <c r="M514" s="329"/>
      <c r="N514" s="328"/>
      <c r="O514" s="328"/>
      <c r="P514" s="328"/>
      <c r="Q514" s="328"/>
      <c r="R514" s="328"/>
      <c r="S514" s="328"/>
      <c r="T514" s="328"/>
      <c r="U514" s="328"/>
      <c r="X514" s="330"/>
      <c r="Y514" s="330"/>
      <c r="Z514" s="330"/>
      <c r="AA514" s="330"/>
      <c r="AZ514" s="331"/>
      <c r="BA514" s="332"/>
      <c r="BB514" s="334"/>
    </row>
    <row r="515" spans="3:54" s="324" customFormat="1" x14ac:dyDescent="0.5">
      <c r="C515" s="325"/>
      <c r="D515" s="326"/>
      <c r="E515" s="326"/>
      <c r="F515" s="326"/>
      <c r="G515" s="326"/>
      <c r="H515" s="327"/>
      <c r="I515" s="328"/>
      <c r="J515" s="328"/>
      <c r="K515" s="328"/>
      <c r="L515" s="329"/>
      <c r="M515" s="329"/>
      <c r="N515" s="328"/>
      <c r="O515" s="328"/>
      <c r="P515" s="328"/>
      <c r="Q515" s="328"/>
      <c r="R515" s="328"/>
      <c r="S515" s="328"/>
      <c r="T515" s="328"/>
      <c r="U515" s="328"/>
      <c r="X515" s="330"/>
      <c r="Y515" s="330"/>
      <c r="Z515" s="330"/>
      <c r="AA515" s="330"/>
      <c r="AZ515" s="331"/>
      <c r="BA515" s="332"/>
      <c r="BB515" s="334"/>
    </row>
    <row r="516" spans="3:54" s="324" customFormat="1" x14ac:dyDescent="0.5">
      <c r="C516" s="325"/>
      <c r="D516" s="326"/>
      <c r="E516" s="326"/>
      <c r="F516" s="326"/>
      <c r="G516" s="326"/>
      <c r="H516" s="327"/>
      <c r="I516" s="328"/>
      <c r="J516" s="328"/>
      <c r="K516" s="328"/>
      <c r="L516" s="329"/>
      <c r="M516" s="329"/>
      <c r="N516" s="328"/>
      <c r="O516" s="328"/>
      <c r="P516" s="328"/>
      <c r="Q516" s="328"/>
      <c r="R516" s="328"/>
      <c r="S516" s="328"/>
      <c r="T516" s="328"/>
      <c r="U516" s="328"/>
      <c r="X516" s="330"/>
      <c r="Y516" s="330"/>
      <c r="Z516" s="330"/>
      <c r="AA516" s="330"/>
      <c r="AZ516" s="331"/>
      <c r="BA516" s="332"/>
      <c r="BB516" s="334"/>
    </row>
    <row r="517" spans="3:54" s="324" customFormat="1" x14ac:dyDescent="0.5">
      <c r="C517" s="325"/>
      <c r="D517" s="326"/>
      <c r="E517" s="326"/>
      <c r="F517" s="326"/>
      <c r="G517" s="326"/>
      <c r="H517" s="327"/>
      <c r="I517" s="328"/>
      <c r="J517" s="328"/>
      <c r="K517" s="328"/>
      <c r="L517" s="329"/>
      <c r="M517" s="329"/>
      <c r="N517" s="328"/>
      <c r="O517" s="328"/>
      <c r="P517" s="328"/>
      <c r="Q517" s="328"/>
      <c r="R517" s="328"/>
      <c r="S517" s="328"/>
      <c r="T517" s="328"/>
      <c r="U517" s="328"/>
      <c r="X517" s="330"/>
      <c r="Y517" s="330"/>
      <c r="Z517" s="330"/>
      <c r="AA517" s="330"/>
      <c r="AZ517" s="331"/>
      <c r="BA517" s="332"/>
      <c r="BB517" s="334"/>
    </row>
    <row r="518" spans="3:54" s="324" customFormat="1" x14ac:dyDescent="0.5">
      <c r="C518" s="325"/>
      <c r="D518" s="326"/>
      <c r="E518" s="326"/>
      <c r="F518" s="326"/>
      <c r="G518" s="326"/>
      <c r="H518" s="327"/>
      <c r="I518" s="328"/>
      <c r="J518" s="328"/>
      <c r="K518" s="328"/>
      <c r="L518" s="329"/>
      <c r="M518" s="329"/>
      <c r="N518" s="328"/>
      <c r="O518" s="328"/>
      <c r="P518" s="328"/>
      <c r="Q518" s="328"/>
      <c r="R518" s="328"/>
      <c r="S518" s="328"/>
      <c r="T518" s="328"/>
      <c r="U518" s="328"/>
      <c r="X518" s="330"/>
      <c r="Y518" s="330"/>
      <c r="Z518" s="330"/>
      <c r="AA518" s="330"/>
      <c r="AZ518" s="331"/>
      <c r="BA518" s="332"/>
      <c r="BB518" s="334"/>
    </row>
    <row r="519" spans="3:54" s="324" customFormat="1" x14ac:dyDescent="0.5">
      <c r="C519" s="325"/>
      <c r="D519" s="326"/>
      <c r="E519" s="326"/>
      <c r="F519" s="326"/>
      <c r="G519" s="326"/>
      <c r="H519" s="327"/>
      <c r="I519" s="328"/>
      <c r="J519" s="328"/>
      <c r="K519" s="328"/>
      <c r="L519" s="329"/>
      <c r="M519" s="329"/>
      <c r="N519" s="328"/>
      <c r="O519" s="328"/>
      <c r="P519" s="328"/>
      <c r="Q519" s="328"/>
      <c r="R519" s="328"/>
      <c r="S519" s="328"/>
      <c r="T519" s="328"/>
      <c r="U519" s="328"/>
      <c r="X519" s="330"/>
      <c r="Y519" s="330"/>
      <c r="Z519" s="330"/>
      <c r="AA519" s="330"/>
      <c r="AZ519" s="331"/>
      <c r="BA519" s="332"/>
      <c r="BB519" s="334"/>
    </row>
    <row r="520" spans="3:54" s="324" customFormat="1" x14ac:dyDescent="0.5">
      <c r="C520" s="325"/>
      <c r="D520" s="326"/>
      <c r="E520" s="326"/>
      <c r="F520" s="326"/>
      <c r="G520" s="326"/>
      <c r="H520" s="327"/>
      <c r="I520" s="328"/>
      <c r="J520" s="328"/>
      <c r="K520" s="328"/>
      <c r="L520" s="329"/>
      <c r="M520" s="329"/>
      <c r="N520" s="328"/>
      <c r="O520" s="328"/>
      <c r="P520" s="328"/>
      <c r="Q520" s="328"/>
      <c r="R520" s="328"/>
      <c r="S520" s="328"/>
      <c r="T520" s="328"/>
      <c r="U520" s="328"/>
      <c r="X520" s="330"/>
      <c r="Y520" s="330"/>
      <c r="Z520" s="330"/>
      <c r="AA520" s="330"/>
      <c r="AZ520" s="331"/>
      <c r="BA520" s="332"/>
      <c r="BB520" s="334"/>
    </row>
    <row r="521" spans="3:54" s="324" customFormat="1" x14ac:dyDescent="0.5">
      <c r="C521" s="325"/>
      <c r="D521" s="326"/>
      <c r="E521" s="326"/>
      <c r="F521" s="326"/>
      <c r="G521" s="326"/>
      <c r="H521" s="327"/>
      <c r="I521" s="328"/>
      <c r="J521" s="328"/>
      <c r="K521" s="328"/>
      <c r="L521" s="329"/>
      <c r="M521" s="329"/>
      <c r="N521" s="328"/>
      <c r="O521" s="328"/>
      <c r="P521" s="328"/>
      <c r="Q521" s="328"/>
      <c r="R521" s="328"/>
      <c r="S521" s="328"/>
      <c r="T521" s="328"/>
      <c r="U521" s="328"/>
      <c r="X521" s="330"/>
      <c r="Y521" s="330"/>
      <c r="Z521" s="330"/>
      <c r="AA521" s="330"/>
      <c r="AZ521" s="331"/>
      <c r="BA521" s="332"/>
      <c r="BB521" s="334"/>
    </row>
    <row r="522" spans="3:54" s="324" customFormat="1" x14ac:dyDescent="0.5">
      <c r="C522" s="325"/>
      <c r="D522" s="326"/>
      <c r="E522" s="326"/>
      <c r="F522" s="326"/>
      <c r="G522" s="326"/>
      <c r="H522" s="327"/>
      <c r="I522" s="328"/>
      <c r="J522" s="328"/>
      <c r="K522" s="328"/>
      <c r="L522" s="329"/>
      <c r="M522" s="329"/>
      <c r="N522" s="328"/>
      <c r="O522" s="328"/>
      <c r="P522" s="328"/>
      <c r="Q522" s="328"/>
      <c r="R522" s="328"/>
      <c r="S522" s="328"/>
      <c r="T522" s="328"/>
      <c r="U522" s="328"/>
      <c r="X522" s="330"/>
      <c r="Y522" s="330"/>
      <c r="Z522" s="330"/>
      <c r="AA522" s="330"/>
      <c r="AZ522" s="331"/>
      <c r="BA522" s="332"/>
      <c r="BB522" s="334"/>
    </row>
    <row r="523" spans="3:54" s="324" customFormat="1" x14ac:dyDescent="0.5">
      <c r="C523" s="325"/>
      <c r="D523" s="326"/>
      <c r="E523" s="326"/>
      <c r="F523" s="326"/>
      <c r="G523" s="326"/>
      <c r="H523" s="327"/>
      <c r="I523" s="328"/>
      <c r="J523" s="328"/>
      <c r="K523" s="328"/>
      <c r="L523" s="329"/>
      <c r="M523" s="329"/>
      <c r="N523" s="328"/>
      <c r="O523" s="328"/>
      <c r="P523" s="328"/>
      <c r="Q523" s="328"/>
      <c r="R523" s="328"/>
      <c r="S523" s="328"/>
      <c r="T523" s="328"/>
      <c r="U523" s="328"/>
      <c r="X523" s="330"/>
      <c r="Y523" s="330"/>
      <c r="Z523" s="330"/>
      <c r="AA523" s="330"/>
      <c r="AZ523" s="331"/>
      <c r="BA523" s="332"/>
      <c r="BB523" s="334"/>
    </row>
    <row r="524" spans="3:54" s="324" customFormat="1" x14ac:dyDescent="0.5">
      <c r="C524" s="325"/>
      <c r="D524" s="326"/>
      <c r="E524" s="326"/>
      <c r="F524" s="326"/>
      <c r="G524" s="326"/>
      <c r="H524" s="327"/>
      <c r="I524" s="328"/>
      <c r="J524" s="328"/>
      <c r="K524" s="328"/>
      <c r="L524" s="329"/>
      <c r="M524" s="329"/>
      <c r="N524" s="328"/>
      <c r="O524" s="328"/>
      <c r="P524" s="328"/>
      <c r="Q524" s="328"/>
      <c r="R524" s="328"/>
      <c r="S524" s="328"/>
      <c r="T524" s="328"/>
      <c r="U524" s="328"/>
      <c r="X524" s="330"/>
      <c r="Y524" s="330"/>
      <c r="Z524" s="330"/>
      <c r="AA524" s="330"/>
      <c r="AZ524" s="331"/>
      <c r="BA524" s="332"/>
      <c r="BB524" s="334"/>
    </row>
    <row r="525" spans="3:54" s="324" customFormat="1" x14ac:dyDescent="0.5">
      <c r="C525" s="325"/>
      <c r="D525" s="326"/>
      <c r="E525" s="326"/>
      <c r="F525" s="326"/>
      <c r="G525" s="326"/>
      <c r="H525" s="327"/>
      <c r="I525" s="328"/>
      <c r="J525" s="328"/>
      <c r="K525" s="328"/>
      <c r="L525" s="329"/>
      <c r="M525" s="329"/>
      <c r="N525" s="328"/>
      <c r="O525" s="328"/>
      <c r="P525" s="328"/>
      <c r="Q525" s="328"/>
      <c r="R525" s="328"/>
      <c r="S525" s="328"/>
      <c r="T525" s="328"/>
      <c r="U525" s="328"/>
      <c r="X525" s="330"/>
      <c r="Y525" s="330"/>
      <c r="Z525" s="330"/>
      <c r="AA525" s="330"/>
      <c r="AZ525" s="331"/>
      <c r="BA525" s="332"/>
      <c r="BB525" s="334"/>
    </row>
    <row r="526" spans="3:54" s="324" customFormat="1" x14ac:dyDescent="0.5">
      <c r="C526" s="325"/>
      <c r="D526" s="326"/>
      <c r="E526" s="326"/>
      <c r="F526" s="326"/>
      <c r="G526" s="326"/>
      <c r="H526" s="327"/>
      <c r="I526" s="328"/>
      <c r="J526" s="328"/>
      <c r="K526" s="328"/>
      <c r="L526" s="329"/>
      <c r="M526" s="329"/>
      <c r="N526" s="328"/>
      <c r="O526" s="328"/>
      <c r="P526" s="328"/>
      <c r="Q526" s="328"/>
      <c r="R526" s="328"/>
      <c r="S526" s="328"/>
      <c r="T526" s="328"/>
      <c r="U526" s="328"/>
      <c r="X526" s="330"/>
      <c r="Y526" s="330"/>
      <c r="Z526" s="330"/>
      <c r="AA526" s="330"/>
      <c r="AZ526" s="331"/>
      <c r="BA526" s="332"/>
      <c r="BB526" s="334"/>
    </row>
    <row r="527" spans="3:54" s="324" customFormat="1" x14ac:dyDescent="0.5">
      <c r="C527" s="325"/>
      <c r="D527" s="326"/>
      <c r="E527" s="326"/>
      <c r="F527" s="326"/>
      <c r="G527" s="326"/>
      <c r="H527" s="327"/>
      <c r="I527" s="328"/>
      <c r="J527" s="328"/>
      <c r="K527" s="328"/>
      <c r="L527" s="329"/>
      <c r="M527" s="329"/>
      <c r="N527" s="328"/>
      <c r="O527" s="328"/>
      <c r="P527" s="328"/>
      <c r="Q527" s="328"/>
      <c r="R527" s="328"/>
      <c r="S527" s="328"/>
      <c r="T527" s="328"/>
      <c r="U527" s="328"/>
      <c r="X527" s="330"/>
      <c r="Y527" s="330"/>
      <c r="Z527" s="330"/>
      <c r="AA527" s="330"/>
      <c r="AZ527" s="331"/>
      <c r="BA527" s="332"/>
      <c r="BB527" s="334"/>
    </row>
    <row r="528" spans="3:54" s="324" customFormat="1" x14ac:dyDescent="0.5">
      <c r="C528" s="325"/>
      <c r="D528" s="326"/>
      <c r="E528" s="326"/>
      <c r="F528" s="326"/>
      <c r="G528" s="326"/>
      <c r="H528" s="327"/>
      <c r="I528" s="328"/>
      <c r="J528" s="328"/>
      <c r="K528" s="328"/>
      <c r="L528" s="329"/>
      <c r="M528" s="329"/>
      <c r="N528" s="328"/>
      <c r="O528" s="328"/>
      <c r="P528" s="328"/>
      <c r="Q528" s="328"/>
      <c r="R528" s="328"/>
      <c r="S528" s="328"/>
      <c r="T528" s="328"/>
      <c r="U528" s="328"/>
      <c r="X528" s="330"/>
      <c r="Y528" s="330"/>
      <c r="Z528" s="330"/>
      <c r="AA528" s="330"/>
      <c r="AZ528" s="331"/>
      <c r="BA528" s="332"/>
      <c r="BB528" s="334"/>
    </row>
    <row r="529" spans="3:54" s="324" customFormat="1" x14ac:dyDescent="0.5">
      <c r="C529" s="325"/>
      <c r="D529" s="326"/>
      <c r="E529" s="326"/>
      <c r="F529" s="326"/>
      <c r="G529" s="326"/>
      <c r="H529" s="327"/>
      <c r="I529" s="328"/>
      <c r="J529" s="328"/>
      <c r="K529" s="328"/>
      <c r="L529" s="329"/>
      <c r="M529" s="329"/>
      <c r="N529" s="328"/>
      <c r="O529" s="328"/>
      <c r="P529" s="328"/>
      <c r="Q529" s="328"/>
      <c r="R529" s="328"/>
      <c r="S529" s="328"/>
      <c r="T529" s="328"/>
      <c r="U529" s="328"/>
      <c r="X529" s="330"/>
      <c r="Y529" s="330"/>
      <c r="Z529" s="330"/>
      <c r="AA529" s="330"/>
      <c r="AZ529" s="331"/>
      <c r="BA529" s="332"/>
      <c r="BB529" s="334"/>
    </row>
    <row r="530" spans="3:54" s="324" customFormat="1" x14ac:dyDescent="0.5">
      <c r="C530" s="325"/>
      <c r="D530" s="326"/>
      <c r="E530" s="326"/>
      <c r="F530" s="326"/>
      <c r="G530" s="326"/>
      <c r="H530" s="327"/>
      <c r="I530" s="328"/>
      <c r="J530" s="328"/>
      <c r="K530" s="328"/>
      <c r="L530" s="329"/>
      <c r="M530" s="329"/>
      <c r="N530" s="328"/>
      <c r="O530" s="328"/>
      <c r="P530" s="328"/>
      <c r="Q530" s="328"/>
      <c r="R530" s="328"/>
      <c r="S530" s="328"/>
      <c r="T530" s="328"/>
      <c r="U530" s="328"/>
      <c r="X530" s="330"/>
      <c r="Y530" s="330"/>
      <c r="Z530" s="330"/>
      <c r="AA530" s="330"/>
      <c r="AZ530" s="331"/>
      <c r="BA530" s="332"/>
      <c r="BB530" s="334"/>
    </row>
    <row r="531" spans="3:54" s="324" customFormat="1" x14ac:dyDescent="0.5">
      <c r="C531" s="325"/>
      <c r="D531" s="326"/>
      <c r="E531" s="326"/>
      <c r="F531" s="326"/>
      <c r="G531" s="326"/>
      <c r="H531" s="327"/>
      <c r="I531" s="328"/>
      <c r="J531" s="328"/>
      <c r="K531" s="328"/>
      <c r="L531" s="329"/>
      <c r="M531" s="329"/>
      <c r="N531" s="328"/>
      <c r="O531" s="328"/>
      <c r="P531" s="328"/>
      <c r="Q531" s="328"/>
      <c r="R531" s="328"/>
      <c r="S531" s="328"/>
      <c r="T531" s="328"/>
      <c r="U531" s="328"/>
      <c r="X531" s="330"/>
      <c r="Y531" s="330"/>
      <c r="Z531" s="330"/>
      <c r="AA531" s="330"/>
      <c r="AZ531" s="331"/>
      <c r="BA531" s="332"/>
      <c r="BB531" s="334"/>
    </row>
    <row r="532" spans="3:54" s="324" customFormat="1" x14ac:dyDescent="0.5">
      <c r="C532" s="325"/>
      <c r="D532" s="326"/>
      <c r="E532" s="326"/>
      <c r="F532" s="326"/>
      <c r="G532" s="326"/>
      <c r="H532" s="327"/>
      <c r="I532" s="328"/>
      <c r="J532" s="328"/>
      <c r="K532" s="328"/>
      <c r="L532" s="329"/>
      <c r="M532" s="329"/>
      <c r="N532" s="328"/>
      <c r="O532" s="328"/>
      <c r="P532" s="328"/>
      <c r="Q532" s="328"/>
      <c r="R532" s="328"/>
      <c r="S532" s="328"/>
      <c r="T532" s="328"/>
      <c r="U532" s="328"/>
      <c r="X532" s="330"/>
      <c r="Y532" s="330"/>
      <c r="Z532" s="330"/>
      <c r="AA532" s="330"/>
      <c r="AZ532" s="331"/>
      <c r="BA532" s="332"/>
      <c r="BB532" s="334"/>
    </row>
    <row r="533" spans="3:54" s="324" customFormat="1" x14ac:dyDescent="0.5">
      <c r="C533" s="325"/>
      <c r="D533" s="326"/>
      <c r="E533" s="326"/>
      <c r="F533" s="326"/>
      <c r="G533" s="326"/>
      <c r="H533" s="327"/>
      <c r="I533" s="328"/>
      <c r="J533" s="328"/>
      <c r="K533" s="328"/>
      <c r="L533" s="329"/>
      <c r="M533" s="329"/>
      <c r="N533" s="328"/>
      <c r="O533" s="328"/>
      <c r="P533" s="328"/>
      <c r="Q533" s="328"/>
      <c r="R533" s="328"/>
      <c r="S533" s="328"/>
      <c r="T533" s="328"/>
      <c r="U533" s="328"/>
      <c r="X533" s="330"/>
      <c r="Y533" s="330"/>
      <c r="Z533" s="330"/>
      <c r="AA533" s="330"/>
      <c r="AZ533" s="331"/>
      <c r="BA533" s="332"/>
      <c r="BB533" s="334"/>
    </row>
    <row r="534" spans="3:54" s="324" customFormat="1" x14ac:dyDescent="0.5">
      <c r="C534" s="325"/>
      <c r="D534" s="326"/>
      <c r="E534" s="326"/>
      <c r="F534" s="326"/>
      <c r="G534" s="326"/>
      <c r="H534" s="327"/>
      <c r="I534" s="328"/>
      <c r="J534" s="328"/>
      <c r="K534" s="328"/>
      <c r="L534" s="329"/>
      <c r="M534" s="329"/>
      <c r="N534" s="328"/>
      <c r="O534" s="328"/>
      <c r="P534" s="328"/>
      <c r="Q534" s="328"/>
      <c r="R534" s="328"/>
      <c r="S534" s="328"/>
      <c r="T534" s="328"/>
      <c r="U534" s="328"/>
      <c r="X534" s="330"/>
      <c r="Y534" s="330"/>
      <c r="Z534" s="330"/>
      <c r="AA534" s="330"/>
      <c r="AZ534" s="331"/>
      <c r="BA534" s="332"/>
      <c r="BB534" s="334"/>
    </row>
    <row r="535" spans="3:54" s="324" customFormat="1" x14ac:dyDescent="0.5">
      <c r="C535" s="325"/>
      <c r="D535" s="326"/>
      <c r="E535" s="326"/>
      <c r="F535" s="326"/>
      <c r="G535" s="326"/>
      <c r="H535" s="327"/>
      <c r="I535" s="328"/>
      <c r="J535" s="328"/>
      <c r="K535" s="328"/>
      <c r="L535" s="329"/>
      <c r="M535" s="329"/>
      <c r="N535" s="328"/>
      <c r="O535" s="328"/>
      <c r="P535" s="328"/>
      <c r="Q535" s="328"/>
      <c r="R535" s="328"/>
      <c r="S535" s="328"/>
      <c r="T535" s="328"/>
      <c r="U535" s="328"/>
      <c r="X535" s="330"/>
      <c r="Y535" s="330"/>
      <c r="Z535" s="330"/>
      <c r="AA535" s="330"/>
      <c r="AZ535" s="331"/>
      <c r="BA535" s="332"/>
      <c r="BB535" s="334"/>
    </row>
    <row r="536" spans="3:54" s="324" customFormat="1" x14ac:dyDescent="0.5">
      <c r="C536" s="325"/>
      <c r="D536" s="326"/>
      <c r="E536" s="326"/>
      <c r="F536" s="326"/>
      <c r="G536" s="326"/>
      <c r="H536" s="327"/>
      <c r="I536" s="328"/>
      <c r="J536" s="328"/>
      <c r="K536" s="328"/>
      <c r="L536" s="329"/>
      <c r="M536" s="329"/>
      <c r="N536" s="328"/>
      <c r="O536" s="328"/>
      <c r="P536" s="328"/>
      <c r="Q536" s="328"/>
      <c r="R536" s="328"/>
      <c r="S536" s="328"/>
      <c r="T536" s="328"/>
      <c r="U536" s="328"/>
      <c r="X536" s="330"/>
      <c r="Y536" s="330"/>
      <c r="Z536" s="330"/>
      <c r="AA536" s="330"/>
      <c r="AZ536" s="331"/>
      <c r="BA536" s="332"/>
      <c r="BB536" s="334"/>
    </row>
    <row r="537" spans="3:54" s="324" customFormat="1" x14ac:dyDescent="0.5">
      <c r="C537" s="325"/>
      <c r="D537" s="326"/>
      <c r="E537" s="326"/>
      <c r="F537" s="326"/>
      <c r="G537" s="326"/>
      <c r="H537" s="327"/>
      <c r="I537" s="328"/>
      <c r="J537" s="328"/>
      <c r="K537" s="328"/>
      <c r="L537" s="329"/>
      <c r="M537" s="329"/>
      <c r="N537" s="328"/>
      <c r="O537" s="328"/>
      <c r="P537" s="328"/>
      <c r="Q537" s="328"/>
      <c r="R537" s="328"/>
      <c r="S537" s="328"/>
      <c r="T537" s="328"/>
      <c r="U537" s="328"/>
      <c r="X537" s="330"/>
      <c r="Y537" s="330"/>
      <c r="Z537" s="330"/>
      <c r="AA537" s="330"/>
      <c r="AZ537" s="331"/>
      <c r="BA537" s="332"/>
      <c r="BB537" s="334"/>
    </row>
    <row r="538" spans="3:54" s="324" customFormat="1" x14ac:dyDescent="0.5">
      <c r="C538" s="325"/>
      <c r="D538" s="326"/>
      <c r="E538" s="326"/>
      <c r="F538" s="326"/>
      <c r="G538" s="326"/>
      <c r="H538" s="327"/>
      <c r="I538" s="328"/>
      <c r="J538" s="328"/>
      <c r="K538" s="328"/>
      <c r="L538" s="329"/>
      <c r="M538" s="329"/>
      <c r="N538" s="328"/>
      <c r="O538" s="328"/>
      <c r="P538" s="328"/>
      <c r="Q538" s="328"/>
      <c r="R538" s="328"/>
      <c r="S538" s="328"/>
      <c r="T538" s="328"/>
      <c r="U538" s="328"/>
      <c r="X538" s="330"/>
      <c r="Y538" s="330"/>
      <c r="Z538" s="330"/>
      <c r="AA538" s="330"/>
      <c r="AZ538" s="331"/>
      <c r="BA538" s="332"/>
      <c r="BB538" s="334"/>
    </row>
    <row r="539" spans="3:54" s="324" customFormat="1" x14ac:dyDescent="0.5">
      <c r="C539" s="325"/>
      <c r="D539" s="326"/>
      <c r="E539" s="326"/>
      <c r="F539" s="326"/>
      <c r="G539" s="326"/>
      <c r="H539" s="327"/>
      <c r="I539" s="328"/>
      <c r="J539" s="328"/>
      <c r="K539" s="328"/>
      <c r="L539" s="329"/>
      <c r="M539" s="329"/>
      <c r="N539" s="328"/>
      <c r="O539" s="328"/>
      <c r="P539" s="328"/>
      <c r="Q539" s="328"/>
      <c r="R539" s="328"/>
      <c r="S539" s="328"/>
      <c r="T539" s="328"/>
      <c r="U539" s="328"/>
      <c r="X539" s="330"/>
      <c r="Y539" s="330"/>
      <c r="Z539" s="330"/>
      <c r="AA539" s="330"/>
      <c r="AZ539" s="331"/>
      <c r="BA539" s="332"/>
      <c r="BB539" s="334"/>
    </row>
    <row r="540" spans="3:54" s="324" customFormat="1" x14ac:dyDescent="0.5">
      <c r="C540" s="325"/>
      <c r="D540" s="326"/>
      <c r="E540" s="326"/>
      <c r="F540" s="326"/>
      <c r="G540" s="326"/>
      <c r="H540" s="327"/>
      <c r="I540" s="328"/>
      <c r="J540" s="328"/>
      <c r="K540" s="328"/>
      <c r="L540" s="329"/>
      <c r="M540" s="329"/>
      <c r="N540" s="328"/>
      <c r="O540" s="328"/>
      <c r="P540" s="328"/>
      <c r="Q540" s="328"/>
      <c r="R540" s="328"/>
      <c r="S540" s="328"/>
      <c r="T540" s="328"/>
      <c r="U540" s="328"/>
      <c r="X540" s="330"/>
      <c r="Y540" s="330"/>
      <c r="Z540" s="330"/>
      <c r="AA540" s="330"/>
      <c r="AZ540" s="331"/>
      <c r="BA540" s="332"/>
      <c r="BB540" s="334"/>
    </row>
    <row r="541" spans="3:54" s="324" customFormat="1" x14ac:dyDescent="0.5">
      <c r="C541" s="325"/>
      <c r="D541" s="326"/>
      <c r="E541" s="326"/>
      <c r="F541" s="326"/>
      <c r="G541" s="326"/>
      <c r="H541" s="327"/>
      <c r="I541" s="328"/>
      <c r="J541" s="328"/>
      <c r="K541" s="328"/>
      <c r="L541" s="329"/>
      <c r="M541" s="329"/>
      <c r="N541" s="328"/>
      <c r="O541" s="328"/>
      <c r="P541" s="328"/>
      <c r="Q541" s="328"/>
      <c r="R541" s="328"/>
      <c r="S541" s="328"/>
      <c r="T541" s="328"/>
      <c r="U541" s="328"/>
      <c r="X541" s="330"/>
      <c r="Y541" s="330"/>
      <c r="Z541" s="330"/>
      <c r="AA541" s="330"/>
      <c r="AZ541" s="331"/>
      <c r="BA541" s="332"/>
      <c r="BB541" s="334"/>
    </row>
    <row r="542" spans="3:54" s="324" customFormat="1" x14ac:dyDescent="0.5">
      <c r="C542" s="325"/>
      <c r="D542" s="326"/>
      <c r="E542" s="326"/>
      <c r="F542" s="326"/>
      <c r="G542" s="326"/>
      <c r="H542" s="327"/>
      <c r="I542" s="328"/>
      <c r="J542" s="328"/>
      <c r="K542" s="328"/>
      <c r="L542" s="329"/>
      <c r="M542" s="329"/>
      <c r="N542" s="328"/>
      <c r="O542" s="328"/>
      <c r="P542" s="328"/>
      <c r="Q542" s="328"/>
      <c r="R542" s="328"/>
      <c r="S542" s="328"/>
      <c r="T542" s="328"/>
      <c r="U542" s="328"/>
      <c r="X542" s="330"/>
      <c r="Y542" s="330"/>
      <c r="Z542" s="330"/>
      <c r="AA542" s="330"/>
      <c r="AZ542" s="331"/>
      <c r="BA542" s="332"/>
      <c r="BB542" s="334"/>
    </row>
    <row r="543" spans="3:54" s="324" customFormat="1" x14ac:dyDescent="0.5">
      <c r="C543" s="325"/>
      <c r="D543" s="326"/>
      <c r="E543" s="326"/>
      <c r="F543" s="326"/>
      <c r="G543" s="326"/>
      <c r="H543" s="327"/>
      <c r="I543" s="328"/>
      <c r="J543" s="328"/>
      <c r="K543" s="328"/>
      <c r="L543" s="329"/>
      <c r="M543" s="329"/>
      <c r="N543" s="328"/>
      <c r="O543" s="328"/>
      <c r="P543" s="328"/>
      <c r="Q543" s="328"/>
      <c r="R543" s="328"/>
      <c r="S543" s="328"/>
      <c r="T543" s="328"/>
      <c r="U543" s="328"/>
      <c r="X543" s="330"/>
      <c r="Y543" s="330"/>
      <c r="Z543" s="330"/>
      <c r="AA543" s="330"/>
      <c r="AZ543" s="331"/>
      <c r="BA543" s="332"/>
      <c r="BB543" s="334"/>
    </row>
    <row r="544" spans="3:54" s="324" customFormat="1" x14ac:dyDescent="0.5">
      <c r="C544" s="325"/>
      <c r="D544" s="326"/>
      <c r="E544" s="326"/>
      <c r="F544" s="326"/>
      <c r="G544" s="326"/>
      <c r="H544" s="327"/>
      <c r="I544" s="328"/>
      <c r="J544" s="328"/>
      <c r="K544" s="328"/>
      <c r="L544" s="329"/>
      <c r="M544" s="329"/>
      <c r="N544" s="328"/>
      <c r="O544" s="328"/>
      <c r="P544" s="328"/>
      <c r="Q544" s="328"/>
      <c r="R544" s="328"/>
      <c r="S544" s="328"/>
      <c r="T544" s="328"/>
      <c r="U544" s="328"/>
      <c r="X544" s="330"/>
      <c r="Y544" s="330"/>
      <c r="Z544" s="330"/>
      <c r="AA544" s="330"/>
      <c r="AZ544" s="331"/>
      <c r="BA544" s="332"/>
      <c r="BB544" s="334"/>
    </row>
    <row r="545" spans="3:54" s="324" customFormat="1" x14ac:dyDescent="0.5">
      <c r="C545" s="325"/>
      <c r="D545" s="326"/>
      <c r="E545" s="326"/>
      <c r="F545" s="326"/>
      <c r="G545" s="326"/>
      <c r="H545" s="327"/>
      <c r="I545" s="328"/>
      <c r="J545" s="328"/>
      <c r="K545" s="328"/>
      <c r="L545" s="329"/>
      <c r="M545" s="329"/>
      <c r="N545" s="328"/>
      <c r="O545" s="328"/>
      <c r="P545" s="328"/>
      <c r="Q545" s="328"/>
      <c r="R545" s="328"/>
      <c r="S545" s="328"/>
      <c r="T545" s="328"/>
      <c r="U545" s="328"/>
      <c r="X545" s="330"/>
      <c r="Y545" s="330"/>
      <c r="Z545" s="330"/>
      <c r="AA545" s="330"/>
      <c r="AZ545" s="331"/>
      <c r="BA545" s="332"/>
      <c r="BB545" s="334"/>
    </row>
    <row r="546" spans="3:54" s="324" customFormat="1" x14ac:dyDescent="0.5">
      <c r="C546" s="325"/>
      <c r="D546" s="326"/>
      <c r="E546" s="326"/>
      <c r="F546" s="326"/>
      <c r="G546" s="326"/>
      <c r="H546" s="327"/>
      <c r="I546" s="328"/>
      <c r="J546" s="328"/>
      <c r="K546" s="328"/>
      <c r="L546" s="329"/>
      <c r="M546" s="329"/>
      <c r="N546" s="328"/>
      <c r="O546" s="328"/>
      <c r="P546" s="328"/>
      <c r="Q546" s="328"/>
      <c r="R546" s="328"/>
      <c r="S546" s="328"/>
      <c r="T546" s="328"/>
      <c r="U546" s="328"/>
      <c r="X546" s="330"/>
      <c r="Y546" s="330"/>
      <c r="Z546" s="330"/>
      <c r="AA546" s="330"/>
      <c r="AZ546" s="331"/>
      <c r="BA546" s="332"/>
      <c r="BB546" s="334"/>
    </row>
    <row r="547" spans="3:54" s="324" customFormat="1" x14ac:dyDescent="0.5">
      <c r="C547" s="325"/>
      <c r="D547" s="326"/>
      <c r="E547" s="326"/>
      <c r="F547" s="326"/>
      <c r="G547" s="326"/>
      <c r="H547" s="327"/>
      <c r="I547" s="328"/>
      <c r="J547" s="328"/>
      <c r="K547" s="328"/>
      <c r="L547" s="329"/>
      <c r="M547" s="329"/>
      <c r="N547" s="328"/>
      <c r="O547" s="328"/>
      <c r="P547" s="328"/>
      <c r="Q547" s="328"/>
      <c r="R547" s="328"/>
      <c r="S547" s="328"/>
      <c r="T547" s="328"/>
      <c r="U547" s="328"/>
      <c r="X547" s="330"/>
      <c r="Y547" s="330"/>
      <c r="Z547" s="330"/>
      <c r="AA547" s="330"/>
      <c r="AZ547" s="331"/>
      <c r="BA547" s="332"/>
      <c r="BB547" s="334"/>
    </row>
    <row r="548" spans="3:54" s="324" customFormat="1" x14ac:dyDescent="0.5">
      <c r="C548" s="325"/>
      <c r="D548" s="326"/>
      <c r="E548" s="326"/>
      <c r="F548" s="326"/>
      <c r="G548" s="326"/>
      <c r="H548" s="327"/>
      <c r="I548" s="328"/>
      <c r="J548" s="328"/>
      <c r="K548" s="328"/>
      <c r="L548" s="329"/>
      <c r="M548" s="329"/>
      <c r="N548" s="328"/>
      <c r="O548" s="328"/>
      <c r="P548" s="328"/>
      <c r="Q548" s="328"/>
      <c r="R548" s="328"/>
      <c r="S548" s="328"/>
      <c r="T548" s="328"/>
      <c r="U548" s="328"/>
      <c r="X548" s="330"/>
      <c r="Y548" s="330"/>
      <c r="Z548" s="330"/>
      <c r="AA548" s="330"/>
      <c r="AZ548" s="331"/>
      <c r="BA548" s="332"/>
      <c r="BB548" s="334"/>
    </row>
    <row r="549" spans="3:54" s="324" customFormat="1" x14ac:dyDescent="0.5">
      <c r="C549" s="325"/>
      <c r="D549" s="326"/>
      <c r="E549" s="326"/>
      <c r="F549" s="326"/>
      <c r="G549" s="326"/>
      <c r="H549" s="327"/>
      <c r="I549" s="328"/>
      <c r="J549" s="328"/>
      <c r="K549" s="328"/>
      <c r="L549" s="329"/>
      <c r="M549" s="329"/>
      <c r="N549" s="328"/>
      <c r="O549" s="328"/>
      <c r="P549" s="328"/>
      <c r="Q549" s="328"/>
      <c r="R549" s="328"/>
      <c r="S549" s="328"/>
      <c r="T549" s="328"/>
      <c r="U549" s="328"/>
      <c r="X549" s="330"/>
      <c r="Y549" s="330"/>
      <c r="Z549" s="330"/>
      <c r="AA549" s="330"/>
      <c r="AZ549" s="331"/>
      <c r="BA549" s="332"/>
      <c r="BB549" s="334"/>
    </row>
    <row r="550" spans="3:54" s="324" customFormat="1" x14ac:dyDescent="0.5">
      <c r="C550" s="325"/>
      <c r="D550" s="326"/>
      <c r="E550" s="326"/>
      <c r="F550" s="326"/>
      <c r="G550" s="326"/>
      <c r="H550" s="327"/>
      <c r="I550" s="328"/>
      <c r="J550" s="328"/>
      <c r="K550" s="328"/>
      <c r="L550" s="329"/>
      <c r="M550" s="329"/>
      <c r="N550" s="328"/>
      <c r="O550" s="328"/>
      <c r="P550" s="328"/>
      <c r="Q550" s="328"/>
      <c r="R550" s="328"/>
      <c r="S550" s="328"/>
      <c r="T550" s="328"/>
      <c r="U550" s="328"/>
      <c r="X550" s="330"/>
      <c r="Y550" s="330"/>
      <c r="Z550" s="330"/>
      <c r="AA550" s="330"/>
      <c r="AZ550" s="331"/>
      <c r="BA550" s="332"/>
      <c r="BB550" s="334"/>
    </row>
    <row r="551" spans="3:54" s="324" customFormat="1" x14ac:dyDescent="0.5">
      <c r="C551" s="325"/>
      <c r="D551" s="326"/>
      <c r="E551" s="326"/>
      <c r="F551" s="326"/>
      <c r="G551" s="326"/>
      <c r="H551" s="327"/>
      <c r="I551" s="328"/>
      <c r="J551" s="328"/>
      <c r="K551" s="328"/>
      <c r="L551" s="329"/>
      <c r="M551" s="329"/>
      <c r="N551" s="328"/>
      <c r="O551" s="328"/>
      <c r="P551" s="328"/>
      <c r="Q551" s="328"/>
      <c r="R551" s="328"/>
      <c r="S551" s="328"/>
      <c r="T551" s="328"/>
      <c r="U551" s="328"/>
      <c r="X551" s="330"/>
      <c r="Y551" s="330"/>
      <c r="Z551" s="330"/>
      <c r="AA551" s="330"/>
      <c r="AZ551" s="331"/>
      <c r="BA551" s="332"/>
      <c r="BB551" s="334"/>
    </row>
    <row r="552" spans="3:54" s="324" customFormat="1" x14ac:dyDescent="0.5">
      <c r="C552" s="325"/>
      <c r="D552" s="326"/>
      <c r="E552" s="326"/>
      <c r="F552" s="326"/>
      <c r="G552" s="326"/>
      <c r="H552" s="327"/>
      <c r="I552" s="328"/>
      <c r="J552" s="328"/>
      <c r="K552" s="328"/>
      <c r="L552" s="329"/>
      <c r="M552" s="329"/>
      <c r="N552" s="328"/>
      <c r="O552" s="328"/>
      <c r="P552" s="328"/>
      <c r="Q552" s="328"/>
      <c r="R552" s="328"/>
      <c r="S552" s="328"/>
      <c r="T552" s="328"/>
      <c r="U552" s="328"/>
      <c r="X552" s="330"/>
      <c r="Y552" s="330"/>
      <c r="Z552" s="330"/>
      <c r="AA552" s="330"/>
      <c r="AZ552" s="331"/>
      <c r="BA552" s="332"/>
      <c r="BB552" s="334"/>
    </row>
    <row r="553" spans="3:54" s="324" customFormat="1" x14ac:dyDescent="0.5">
      <c r="C553" s="325"/>
      <c r="D553" s="326"/>
      <c r="E553" s="326"/>
      <c r="F553" s="326"/>
      <c r="G553" s="326"/>
      <c r="H553" s="327"/>
      <c r="I553" s="328"/>
      <c r="J553" s="328"/>
      <c r="K553" s="328"/>
      <c r="L553" s="329"/>
      <c r="M553" s="329"/>
      <c r="N553" s="328"/>
      <c r="O553" s="328"/>
      <c r="P553" s="328"/>
      <c r="Q553" s="328"/>
      <c r="R553" s="328"/>
      <c r="S553" s="328"/>
      <c r="T553" s="328"/>
      <c r="U553" s="328"/>
      <c r="X553" s="330"/>
      <c r="Y553" s="330"/>
      <c r="Z553" s="330"/>
      <c r="AA553" s="330"/>
      <c r="AZ553" s="331"/>
      <c r="BA553" s="332"/>
      <c r="BB553" s="334"/>
    </row>
    <row r="554" spans="3:54" s="324" customFormat="1" x14ac:dyDescent="0.5">
      <c r="C554" s="325"/>
      <c r="D554" s="326"/>
      <c r="E554" s="326"/>
      <c r="F554" s="326"/>
      <c r="G554" s="326"/>
      <c r="H554" s="327"/>
      <c r="I554" s="328"/>
      <c r="J554" s="328"/>
      <c r="K554" s="328"/>
      <c r="L554" s="329"/>
      <c r="M554" s="329"/>
      <c r="N554" s="328"/>
      <c r="O554" s="328"/>
      <c r="P554" s="328"/>
      <c r="Q554" s="328"/>
      <c r="R554" s="328"/>
      <c r="S554" s="328"/>
      <c r="T554" s="328"/>
      <c r="U554" s="328"/>
      <c r="X554" s="330"/>
      <c r="Y554" s="330"/>
      <c r="Z554" s="330"/>
      <c r="AA554" s="330"/>
      <c r="AZ554" s="331"/>
      <c r="BA554" s="332"/>
      <c r="BB554" s="334"/>
    </row>
    <row r="555" spans="3:54" s="324" customFormat="1" x14ac:dyDescent="0.5">
      <c r="C555" s="325"/>
      <c r="D555" s="326"/>
      <c r="E555" s="326"/>
      <c r="F555" s="326"/>
      <c r="G555" s="326"/>
      <c r="H555" s="327"/>
      <c r="I555" s="328"/>
      <c r="J555" s="328"/>
      <c r="K555" s="328"/>
      <c r="L555" s="329"/>
      <c r="M555" s="329"/>
      <c r="N555" s="328"/>
      <c r="O555" s="328"/>
      <c r="P555" s="328"/>
      <c r="Q555" s="328"/>
      <c r="R555" s="328"/>
      <c r="S555" s="328"/>
      <c r="T555" s="328"/>
      <c r="U555" s="328"/>
      <c r="X555" s="330"/>
      <c r="Y555" s="330"/>
      <c r="Z555" s="330"/>
      <c r="AA555" s="330"/>
      <c r="AZ555" s="331"/>
      <c r="BA555" s="332"/>
      <c r="BB555" s="334"/>
    </row>
    <row r="556" spans="3:54" s="324" customFormat="1" x14ac:dyDescent="0.5">
      <c r="C556" s="325"/>
      <c r="D556" s="326"/>
      <c r="E556" s="326"/>
      <c r="F556" s="326"/>
      <c r="G556" s="326"/>
      <c r="H556" s="327"/>
      <c r="I556" s="328"/>
      <c r="J556" s="328"/>
      <c r="K556" s="328"/>
      <c r="L556" s="329"/>
      <c r="M556" s="329"/>
      <c r="N556" s="328"/>
      <c r="O556" s="328"/>
      <c r="P556" s="328"/>
      <c r="Q556" s="328"/>
      <c r="R556" s="328"/>
      <c r="S556" s="328"/>
      <c r="T556" s="328"/>
      <c r="U556" s="328"/>
      <c r="X556" s="330"/>
      <c r="Y556" s="330"/>
      <c r="Z556" s="330"/>
      <c r="AA556" s="330"/>
      <c r="AZ556" s="331"/>
      <c r="BA556" s="332"/>
      <c r="BB556" s="334"/>
    </row>
    <row r="557" spans="3:54" s="324" customFormat="1" x14ac:dyDescent="0.5">
      <c r="C557" s="325"/>
      <c r="D557" s="326"/>
      <c r="E557" s="326"/>
      <c r="F557" s="326"/>
      <c r="G557" s="326"/>
      <c r="H557" s="327"/>
      <c r="I557" s="328"/>
      <c r="J557" s="328"/>
      <c r="K557" s="328"/>
      <c r="L557" s="329"/>
      <c r="M557" s="329"/>
      <c r="N557" s="328"/>
      <c r="O557" s="328"/>
      <c r="P557" s="328"/>
      <c r="Q557" s="328"/>
      <c r="R557" s="328"/>
      <c r="S557" s="328"/>
      <c r="T557" s="328"/>
      <c r="U557" s="328"/>
      <c r="X557" s="330"/>
      <c r="Y557" s="330"/>
      <c r="Z557" s="330"/>
      <c r="AA557" s="330"/>
      <c r="AZ557" s="331"/>
      <c r="BA557" s="332"/>
      <c r="BB557" s="334"/>
    </row>
    <row r="558" spans="3:54" s="324" customFormat="1" x14ac:dyDescent="0.5">
      <c r="C558" s="325"/>
      <c r="D558" s="326"/>
      <c r="E558" s="326"/>
      <c r="F558" s="326"/>
      <c r="G558" s="326"/>
      <c r="H558" s="327"/>
      <c r="I558" s="328"/>
      <c r="J558" s="328"/>
      <c r="K558" s="328"/>
      <c r="L558" s="329"/>
      <c r="M558" s="329"/>
      <c r="N558" s="328"/>
      <c r="O558" s="328"/>
      <c r="P558" s="328"/>
      <c r="Q558" s="328"/>
      <c r="R558" s="328"/>
      <c r="S558" s="328"/>
      <c r="T558" s="328"/>
      <c r="U558" s="328"/>
      <c r="X558" s="330"/>
      <c r="Y558" s="330"/>
      <c r="Z558" s="330"/>
      <c r="AA558" s="330"/>
      <c r="AZ558" s="331"/>
      <c r="BA558" s="332"/>
      <c r="BB558" s="334"/>
    </row>
    <row r="559" spans="3:54" s="324" customFormat="1" x14ac:dyDescent="0.5">
      <c r="C559" s="325"/>
      <c r="D559" s="326"/>
      <c r="E559" s="326"/>
      <c r="F559" s="326"/>
      <c r="G559" s="326"/>
      <c r="H559" s="327"/>
      <c r="I559" s="328"/>
      <c r="J559" s="328"/>
      <c r="K559" s="328"/>
      <c r="L559" s="329"/>
      <c r="M559" s="329"/>
      <c r="N559" s="328"/>
      <c r="O559" s="328"/>
      <c r="P559" s="328"/>
      <c r="Q559" s="328"/>
      <c r="R559" s="328"/>
      <c r="S559" s="328"/>
      <c r="T559" s="328"/>
      <c r="U559" s="328"/>
      <c r="X559" s="330"/>
      <c r="Y559" s="330"/>
      <c r="Z559" s="330"/>
      <c r="AA559" s="330"/>
      <c r="AZ559" s="331"/>
      <c r="BA559" s="332"/>
      <c r="BB559" s="334"/>
    </row>
    <row r="560" spans="3:54" s="324" customFormat="1" x14ac:dyDescent="0.5">
      <c r="C560" s="325"/>
      <c r="D560" s="326"/>
      <c r="E560" s="326"/>
      <c r="F560" s="326"/>
      <c r="G560" s="326"/>
      <c r="H560" s="327"/>
      <c r="I560" s="328"/>
      <c r="J560" s="328"/>
      <c r="K560" s="328"/>
      <c r="L560" s="329"/>
      <c r="M560" s="329"/>
      <c r="N560" s="328"/>
      <c r="O560" s="328"/>
      <c r="P560" s="328"/>
      <c r="Q560" s="328"/>
      <c r="R560" s="328"/>
      <c r="S560" s="328"/>
      <c r="T560" s="328"/>
      <c r="U560" s="328"/>
      <c r="X560" s="330"/>
      <c r="Y560" s="330"/>
      <c r="Z560" s="330"/>
      <c r="AA560" s="330"/>
      <c r="AZ560" s="331"/>
      <c r="BA560" s="332"/>
      <c r="BB560" s="334"/>
    </row>
    <row r="561" spans="3:54" s="324" customFormat="1" x14ac:dyDescent="0.5">
      <c r="C561" s="325"/>
      <c r="D561" s="326"/>
      <c r="E561" s="326"/>
      <c r="F561" s="326"/>
      <c r="G561" s="326"/>
      <c r="H561" s="327"/>
      <c r="I561" s="328"/>
      <c r="J561" s="328"/>
      <c r="K561" s="328"/>
      <c r="L561" s="329"/>
      <c r="M561" s="329"/>
      <c r="N561" s="328"/>
      <c r="O561" s="328"/>
      <c r="P561" s="328"/>
      <c r="Q561" s="328"/>
      <c r="R561" s="328"/>
      <c r="S561" s="328"/>
      <c r="T561" s="328"/>
      <c r="U561" s="328"/>
      <c r="X561" s="330"/>
      <c r="Y561" s="330"/>
      <c r="Z561" s="330"/>
      <c r="AA561" s="330"/>
      <c r="AZ561" s="331"/>
      <c r="BA561" s="332"/>
      <c r="BB561" s="334"/>
    </row>
    <row r="562" spans="3:54" s="324" customFormat="1" x14ac:dyDescent="0.5">
      <c r="C562" s="325"/>
      <c r="D562" s="326"/>
      <c r="E562" s="326"/>
      <c r="F562" s="326"/>
      <c r="G562" s="326"/>
      <c r="H562" s="327"/>
      <c r="I562" s="328"/>
      <c r="J562" s="328"/>
      <c r="K562" s="328"/>
      <c r="L562" s="329"/>
      <c r="M562" s="329"/>
      <c r="N562" s="328"/>
      <c r="O562" s="328"/>
      <c r="P562" s="328"/>
      <c r="Q562" s="328"/>
      <c r="R562" s="328"/>
      <c r="S562" s="328"/>
      <c r="T562" s="328"/>
      <c r="U562" s="328"/>
      <c r="X562" s="330"/>
      <c r="Y562" s="330"/>
      <c r="Z562" s="330"/>
      <c r="AA562" s="330"/>
      <c r="AZ562" s="331"/>
      <c r="BA562" s="332"/>
      <c r="BB562" s="334"/>
    </row>
    <row r="563" spans="3:54" s="324" customFormat="1" x14ac:dyDescent="0.5">
      <c r="C563" s="325"/>
      <c r="D563" s="326"/>
      <c r="E563" s="326"/>
      <c r="F563" s="326"/>
      <c r="G563" s="326"/>
      <c r="H563" s="327"/>
      <c r="I563" s="328"/>
      <c r="J563" s="328"/>
      <c r="K563" s="328"/>
      <c r="L563" s="329"/>
      <c r="M563" s="329"/>
      <c r="N563" s="328"/>
      <c r="O563" s="328"/>
      <c r="P563" s="328"/>
      <c r="Q563" s="328"/>
      <c r="R563" s="328"/>
      <c r="S563" s="328"/>
      <c r="T563" s="328"/>
      <c r="U563" s="328"/>
      <c r="X563" s="330"/>
      <c r="Y563" s="330"/>
      <c r="Z563" s="330"/>
      <c r="AA563" s="330"/>
      <c r="AZ563" s="331"/>
      <c r="BA563" s="332"/>
      <c r="BB563" s="334"/>
    </row>
    <row r="564" spans="3:54" s="324" customFormat="1" x14ac:dyDescent="0.5">
      <c r="C564" s="325"/>
      <c r="D564" s="326"/>
      <c r="E564" s="326"/>
      <c r="F564" s="326"/>
      <c r="G564" s="326"/>
      <c r="H564" s="327"/>
      <c r="I564" s="328"/>
      <c r="J564" s="328"/>
      <c r="K564" s="328"/>
      <c r="L564" s="329"/>
      <c r="M564" s="329"/>
      <c r="N564" s="328"/>
      <c r="O564" s="328"/>
      <c r="P564" s="328"/>
      <c r="Q564" s="328"/>
      <c r="R564" s="328"/>
      <c r="S564" s="328"/>
      <c r="T564" s="328"/>
      <c r="U564" s="328"/>
      <c r="X564" s="330"/>
      <c r="Y564" s="330"/>
      <c r="Z564" s="330"/>
      <c r="AA564" s="330"/>
      <c r="AZ564" s="331"/>
      <c r="BA564" s="332"/>
      <c r="BB564" s="334"/>
    </row>
    <row r="565" spans="3:54" s="324" customFormat="1" x14ac:dyDescent="0.5">
      <c r="C565" s="325"/>
      <c r="D565" s="326"/>
      <c r="E565" s="326"/>
      <c r="F565" s="326"/>
      <c r="G565" s="326"/>
      <c r="H565" s="327"/>
      <c r="I565" s="328"/>
      <c r="J565" s="328"/>
      <c r="K565" s="328"/>
      <c r="L565" s="329"/>
      <c r="M565" s="329"/>
      <c r="N565" s="328"/>
      <c r="O565" s="328"/>
      <c r="P565" s="328"/>
      <c r="Q565" s="328"/>
      <c r="R565" s="328"/>
      <c r="S565" s="328"/>
      <c r="T565" s="328"/>
      <c r="U565" s="328"/>
      <c r="X565" s="330"/>
      <c r="Y565" s="330"/>
      <c r="Z565" s="330"/>
      <c r="AA565" s="330"/>
      <c r="AZ565" s="331"/>
      <c r="BA565" s="332"/>
      <c r="BB565" s="334"/>
    </row>
    <row r="566" spans="3:54" s="324" customFormat="1" x14ac:dyDescent="0.5">
      <c r="C566" s="325"/>
      <c r="D566" s="326"/>
      <c r="E566" s="326"/>
      <c r="F566" s="326"/>
      <c r="G566" s="326"/>
      <c r="H566" s="327"/>
      <c r="I566" s="328"/>
      <c r="J566" s="328"/>
      <c r="K566" s="328"/>
      <c r="L566" s="329"/>
      <c r="M566" s="329"/>
      <c r="N566" s="328"/>
      <c r="O566" s="328"/>
      <c r="P566" s="328"/>
      <c r="Q566" s="328"/>
      <c r="R566" s="328"/>
      <c r="S566" s="328"/>
      <c r="T566" s="328"/>
      <c r="U566" s="328"/>
      <c r="X566" s="330"/>
      <c r="Y566" s="330"/>
      <c r="Z566" s="330"/>
      <c r="AA566" s="330"/>
      <c r="AZ566" s="331"/>
      <c r="BA566" s="332"/>
      <c r="BB566" s="334"/>
    </row>
    <row r="567" spans="3:54" s="324" customFormat="1" x14ac:dyDescent="0.5">
      <c r="C567" s="325"/>
      <c r="D567" s="326"/>
      <c r="E567" s="326"/>
      <c r="F567" s="326"/>
      <c r="G567" s="326"/>
      <c r="H567" s="327"/>
      <c r="I567" s="328"/>
      <c r="J567" s="328"/>
      <c r="K567" s="328"/>
      <c r="L567" s="329"/>
      <c r="M567" s="329"/>
      <c r="N567" s="328"/>
      <c r="O567" s="328"/>
      <c r="P567" s="328"/>
      <c r="Q567" s="328"/>
      <c r="R567" s="328"/>
      <c r="S567" s="328"/>
      <c r="T567" s="328"/>
      <c r="U567" s="328"/>
      <c r="X567" s="330"/>
      <c r="Y567" s="330"/>
      <c r="Z567" s="330"/>
      <c r="AA567" s="330"/>
      <c r="AZ567" s="331"/>
      <c r="BA567" s="332"/>
      <c r="BB567" s="334"/>
    </row>
    <row r="568" spans="3:54" s="324" customFormat="1" x14ac:dyDescent="0.5">
      <c r="C568" s="325"/>
      <c r="D568" s="326"/>
      <c r="E568" s="326"/>
      <c r="F568" s="326"/>
      <c r="G568" s="326"/>
      <c r="H568" s="327"/>
      <c r="I568" s="328"/>
      <c r="J568" s="328"/>
      <c r="K568" s="328"/>
      <c r="L568" s="329"/>
      <c r="M568" s="329"/>
      <c r="N568" s="328"/>
      <c r="O568" s="328"/>
      <c r="P568" s="328"/>
      <c r="Q568" s="328"/>
      <c r="R568" s="328"/>
      <c r="S568" s="328"/>
      <c r="T568" s="328"/>
      <c r="U568" s="328"/>
      <c r="X568" s="330"/>
      <c r="Y568" s="330"/>
      <c r="Z568" s="330"/>
      <c r="AA568" s="330"/>
      <c r="AZ568" s="331"/>
      <c r="BA568" s="332"/>
      <c r="BB568" s="334"/>
    </row>
    <row r="569" spans="3:54" s="324" customFormat="1" x14ac:dyDescent="0.5">
      <c r="C569" s="325"/>
      <c r="D569" s="326"/>
      <c r="E569" s="326"/>
      <c r="F569" s="326"/>
      <c r="G569" s="326"/>
      <c r="H569" s="327"/>
      <c r="I569" s="328"/>
      <c r="J569" s="328"/>
      <c r="K569" s="328"/>
      <c r="L569" s="329"/>
      <c r="M569" s="329"/>
      <c r="N569" s="328"/>
      <c r="O569" s="328"/>
      <c r="P569" s="328"/>
      <c r="Q569" s="328"/>
      <c r="R569" s="328"/>
      <c r="S569" s="328"/>
      <c r="T569" s="328"/>
      <c r="U569" s="328"/>
      <c r="X569" s="330"/>
      <c r="Y569" s="330"/>
      <c r="Z569" s="330"/>
      <c r="AA569" s="330"/>
      <c r="AZ569" s="331"/>
      <c r="BA569" s="332"/>
      <c r="BB569" s="334"/>
    </row>
    <row r="570" spans="3:54" s="324" customFormat="1" x14ac:dyDescent="0.5">
      <c r="C570" s="325"/>
      <c r="D570" s="326"/>
      <c r="E570" s="326"/>
      <c r="F570" s="326"/>
      <c r="G570" s="326"/>
      <c r="H570" s="327"/>
      <c r="I570" s="328"/>
      <c r="J570" s="328"/>
      <c r="K570" s="328"/>
      <c r="L570" s="329"/>
      <c r="M570" s="329"/>
      <c r="N570" s="328"/>
      <c r="O570" s="328"/>
      <c r="P570" s="328"/>
      <c r="Q570" s="328"/>
      <c r="R570" s="328"/>
      <c r="S570" s="328"/>
      <c r="T570" s="328"/>
      <c r="U570" s="328"/>
      <c r="X570" s="330"/>
      <c r="Y570" s="330"/>
      <c r="Z570" s="330"/>
      <c r="AA570" s="330"/>
      <c r="AZ570" s="331"/>
      <c r="BA570" s="332"/>
      <c r="BB570" s="334"/>
    </row>
    <row r="571" spans="3:54" s="324" customFormat="1" x14ac:dyDescent="0.5">
      <c r="C571" s="325"/>
      <c r="D571" s="326"/>
      <c r="E571" s="326"/>
      <c r="F571" s="326"/>
      <c r="G571" s="326"/>
      <c r="H571" s="327"/>
      <c r="I571" s="328"/>
      <c r="J571" s="328"/>
      <c r="K571" s="328"/>
      <c r="L571" s="329"/>
      <c r="M571" s="329"/>
      <c r="N571" s="328"/>
      <c r="O571" s="328"/>
      <c r="P571" s="328"/>
      <c r="Q571" s="328"/>
      <c r="R571" s="328"/>
      <c r="S571" s="328"/>
      <c r="T571" s="328"/>
      <c r="U571" s="328"/>
      <c r="X571" s="330"/>
      <c r="Y571" s="330"/>
      <c r="Z571" s="330"/>
      <c r="AA571" s="330"/>
      <c r="AZ571" s="331"/>
      <c r="BA571" s="332"/>
      <c r="BB571" s="334"/>
    </row>
    <row r="572" spans="3:54" s="324" customFormat="1" x14ac:dyDescent="0.5">
      <c r="C572" s="325"/>
      <c r="D572" s="326"/>
      <c r="E572" s="326"/>
      <c r="F572" s="326"/>
      <c r="G572" s="326"/>
      <c r="H572" s="327"/>
      <c r="I572" s="328"/>
      <c r="J572" s="328"/>
      <c r="K572" s="328"/>
      <c r="L572" s="329"/>
      <c r="M572" s="329"/>
      <c r="N572" s="328"/>
      <c r="O572" s="328"/>
      <c r="P572" s="328"/>
      <c r="Q572" s="328"/>
      <c r="R572" s="328"/>
      <c r="S572" s="328"/>
      <c r="T572" s="328"/>
      <c r="U572" s="328"/>
      <c r="X572" s="330"/>
      <c r="Y572" s="330"/>
      <c r="Z572" s="330"/>
      <c r="AA572" s="330"/>
      <c r="AZ572" s="331"/>
      <c r="BA572" s="332"/>
      <c r="BB572" s="334"/>
    </row>
    <row r="573" spans="3:54" s="324" customFormat="1" x14ac:dyDescent="0.5">
      <c r="C573" s="325"/>
      <c r="D573" s="326"/>
      <c r="E573" s="326"/>
      <c r="F573" s="326"/>
      <c r="G573" s="326"/>
      <c r="H573" s="327"/>
      <c r="I573" s="328"/>
      <c r="J573" s="328"/>
      <c r="K573" s="328"/>
      <c r="L573" s="329"/>
      <c r="M573" s="329"/>
      <c r="N573" s="328"/>
      <c r="O573" s="328"/>
      <c r="P573" s="328"/>
      <c r="Q573" s="328"/>
      <c r="R573" s="328"/>
      <c r="S573" s="328"/>
      <c r="T573" s="328"/>
      <c r="U573" s="328"/>
      <c r="X573" s="330"/>
      <c r="Y573" s="330"/>
      <c r="Z573" s="330"/>
      <c r="AA573" s="330"/>
      <c r="AZ573" s="331"/>
      <c r="BA573" s="332"/>
      <c r="BB573" s="334"/>
    </row>
    <row r="574" spans="3:54" s="324" customFormat="1" x14ac:dyDescent="0.5">
      <c r="C574" s="325"/>
      <c r="D574" s="326"/>
      <c r="E574" s="326"/>
      <c r="F574" s="326"/>
      <c r="G574" s="326"/>
      <c r="H574" s="327"/>
      <c r="I574" s="328"/>
      <c r="J574" s="328"/>
      <c r="K574" s="328"/>
      <c r="L574" s="329"/>
      <c r="M574" s="329"/>
      <c r="N574" s="328"/>
      <c r="O574" s="328"/>
      <c r="P574" s="328"/>
      <c r="Q574" s="328"/>
      <c r="R574" s="328"/>
      <c r="S574" s="328"/>
      <c r="T574" s="328"/>
      <c r="U574" s="328"/>
      <c r="X574" s="330"/>
      <c r="Y574" s="330"/>
      <c r="Z574" s="330"/>
      <c r="AA574" s="330"/>
      <c r="AZ574" s="331"/>
      <c r="BA574" s="332"/>
      <c r="BB574" s="334"/>
    </row>
    <row r="575" spans="3:54" s="324" customFormat="1" x14ac:dyDescent="0.5">
      <c r="C575" s="325"/>
      <c r="D575" s="326"/>
      <c r="E575" s="326"/>
      <c r="F575" s="326"/>
      <c r="G575" s="326"/>
      <c r="H575" s="327"/>
      <c r="I575" s="328"/>
      <c r="J575" s="328"/>
      <c r="K575" s="328"/>
      <c r="L575" s="329"/>
      <c r="M575" s="329"/>
      <c r="N575" s="328"/>
      <c r="O575" s="328"/>
      <c r="P575" s="328"/>
      <c r="Q575" s="328"/>
      <c r="R575" s="328"/>
      <c r="S575" s="328"/>
      <c r="T575" s="328"/>
      <c r="U575" s="328"/>
      <c r="X575" s="330"/>
      <c r="Y575" s="330"/>
      <c r="Z575" s="330"/>
      <c r="AA575" s="330"/>
      <c r="AZ575" s="331"/>
      <c r="BA575" s="332"/>
      <c r="BB575" s="334"/>
    </row>
    <row r="576" spans="3:54" s="324" customFormat="1" x14ac:dyDescent="0.5">
      <c r="C576" s="325"/>
      <c r="D576" s="326"/>
      <c r="E576" s="326"/>
      <c r="F576" s="326"/>
      <c r="G576" s="326"/>
      <c r="H576" s="327"/>
      <c r="I576" s="328"/>
      <c r="J576" s="328"/>
      <c r="K576" s="328"/>
      <c r="L576" s="329"/>
      <c r="M576" s="329"/>
      <c r="N576" s="328"/>
      <c r="O576" s="328"/>
      <c r="P576" s="328"/>
      <c r="Q576" s="328"/>
      <c r="R576" s="328"/>
      <c r="S576" s="328"/>
      <c r="T576" s="328"/>
      <c r="U576" s="328"/>
      <c r="X576" s="330"/>
      <c r="Y576" s="330"/>
      <c r="Z576" s="330"/>
      <c r="AA576" s="330"/>
      <c r="AZ576" s="331"/>
      <c r="BA576" s="332"/>
      <c r="BB576" s="334"/>
    </row>
    <row r="577" spans="3:54" s="324" customFormat="1" x14ac:dyDescent="0.5">
      <c r="C577" s="325"/>
      <c r="D577" s="326"/>
      <c r="E577" s="326"/>
      <c r="F577" s="326"/>
      <c r="G577" s="326"/>
      <c r="H577" s="327"/>
      <c r="I577" s="328"/>
      <c r="J577" s="328"/>
      <c r="K577" s="328"/>
      <c r="L577" s="329"/>
      <c r="M577" s="329"/>
      <c r="N577" s="328"/>
      <c r="O577" s="328"/>
      <c r="P577" s="328"/>
      <c r="Q577" s="328"/>
      <c r="R577" s="328"/>
      <c r="S577" s="328"/>
      <c r="T577" s="328"/>
      <c r="U577" s="328"/>
      <c r="X577" s="330"/>
      <c r="Y577" s="330"/>
      <c r="Z577" s="330"/>
      <c r="AA577" s="330"/>
      <c r="AZ577" s="331"/>
      <c r="BA577" s="332"/>
      <c r="BB577" s="334"/>
    </row>
    <row r="578" spans="3:54" s="324" customFormat="1" x14ac:dyDescent="0.5">
      <c r="C578" s="325"/>
      <c r="D578" s="326"/>
      <c r="E578" s="326"/>
      <c r="F578" s="326"/>
      <c r="G578" s="326"/>
      <c r="H578" s="327"/>
      <c r="I578" s="328"/>
      <c r="J578" s="328"/>
      <c r="K578" s="328"/>
      <c r="L578" s="329"/>
      <c r="M578" s="329"/>
      <c r="N578" s="328"/>
      <c r="O578" s="328"/>
      <c r="P578" s="328"/>
      <c r="Q578" s="328"/>
      <c r="R578" s="328"/>
      <c r="S578" s="328"/>
      <c r="T578" s="328"/>
      <c r="U578" s="328"/>
      <c r="X578" s="330"/>
      <c r="Y578" s="330"/>
      <c r="Z578" s="330"/>
      <c r="AA578" s="330"/>
      <c r="AZ578" s="331"/>
      <c r="BA578" s="332"/>
      <c r="BB578" s="334"/>
    </row>
    <row r="579" spans="3:54" s="324" customFormat="1" x14ac:dyDescent="0.5">
      <c r="C579" s="325"/>
      <c r="D579" s="326"/>
      <c r="E579" s="326"/>
      <c r="F579" s="326"/>
      <c r="G579" s="326"/>
      <c r="H579" s="327"/>
      <c r="I579" s="328"/>
      <c r="J579" s="328"/>
      <c r="K579" s="328"/>
      <c r="L579" s="329"/>
      <c r="M579" s="329"/>
      <c r="N579" s="328"/>
      <c r="O579" s="328"/>
      <c r="P579" s="328"/>
      <c r="Q579" s="328"/>
      <c r="R579" s="328"/>
      <c r="S579" s="328"/>
      <c r="T579" s="328"/>
      <c r="U579" s="328"/>
      <c r="X579" s="330"/>
      <c r="Y579" s="330"/>
      <c r="Z579" s="330"/>
      <c r="AA579" s="330"/>
      <c r="AZ579" s="331"/>
      <c r="BA579" s="332"/>
      <c r="BB579" s="334"/>
    </row>
    <row r="580" spans="3:54" s="324" customFormat="1" x14ac:dyDescent="0.5">
      <c r="C580" s="325"/>
      <c r="D580" s="326"/>
      <c r="E580" s="326"/>
      <c r="F580" s="326"/>
      <c r="G580" s="326"/>
      <c r="H580" s="327"/>
      <c r="I580" s="328"/>
      <c r="J580" s="328"/>
      <c r="K580" s="328"/>
      <c r="L580" s="329"/>
      <c r="M580" s="329"/>
      <c r="N580" s="328"/>
      <c r="O580" s="328"/>
      <c r="P580" s="328"/>
      <c r="Q580" s="328"/>
      <c r="R580" s="328"/>
      <c r="S580" s="328"/>
      <c r="T580" s="328"/>
      <c r="U580" s="328"/>
      <c r="X580" s="330"/>
      <c r="Y580" s="330"/>
      <c r="Z580" s="330"/>
      <c r="AA580" s="330"/>
      <c r="AZ580" s="331"/>
      <c r="BA580" s="332"/>
      <c r="BB580" s="334"/>
    </row>
    <row r="581" spans="3:54" s="324" customFormat="1" x14ac:dyDescent="0.5">
      <c r="C581" s="325"/>
      <c r="D581" s="326"/>
      <c r="E581" s="326"/>
      <c r="F581" s="326"/>
      <c r="G581" s="326"/>
      <c r="H581" s="327"/>
      <c r="I581" s="328"/>
      <c r="J581" s="328"/>
      <c r="K581" s="328"/>
      <c r="L581" s="329"/>
      <c r="M581" s="329"/>
      <c r="N581" s="328"/>
      <c r="O581" s="328"/>
      <c r="P581" s="328"/>
      <c r="Q581" s="328"/>
      <c r="R581" s="328"/>
      <c r="S581" s="328"/>
      <c r="T581" s="328"/>
      <c r="U581" s="328"/>
      <c r="X581" s="330"/>
      <c r="Y581" s="330"/>
      <c r="Z581" s="330"/>
      <c r="AA581" s="330"/>
      <c r="AZ581" s="331"/>
      <c r="BA581" s="332"/>
      <c r="BB581" s="334"/>
    </row>
    <row r="582" spans="3:54" s="324" customFormat="1" x14ac:dyDescent="0.5">
      <c r="C582" s="325"/>
      <c r="D582" s="326"/>
      <c r="E582" s="326"/>
      <c r="F582" s="326"/>
      <c r="G582" s="326"/>
      <c r="H582" s="327"/>
      <c r="I582" s="328"/>
      <c r="J582" s="328"/>
      <c r="K582" s="328"/>
      <c r="L582" s="329"/>
      <c r="M582" s="329"/>
      <c r="N582" s="328"/>
      <c r="O582" s="328"/>
      <c r="P582" s="328"/>
      <c r="Q582" s="328"/>
      <c r="R582" s="328"/>
      <c r="S582" s="328"/>
      <c r="T582" s="328"/>
      <c r="U582" s="328"/>
      <c r="X582" s="330"/>
      <c r="Y582" s="330"/>
      <c r="Z582" s="330"/>
      <c r="AA582" s="330"/>
      <c r="AZ582" s="331"/>
      <c r="BA582" s="332"/>
      <c r="BB582" s="334"/>
    </row>
    <row r="583" spans="3:54" s="324" customFormat="1" x14ac:dyDescent="0.5">
      <c r="C583" s="325"/>
      <c r="D583" s="326"/>
      <c r="E583" s="326"/>
      <c r="F583" s="326"/>
      <c r="G583" s="326"/>
      <c r="H583" s="327"/>
      <c r="I583" s="328"/>
      <c r="J583" s="328"/>
      <c r="K583" s="328"/>
      <c r="L583" s="329"/>
      <c r="M583" s="329"/>
      <c r="N583" s="328"/>
      <c r="O583" s="328"/>
      <c r="P583" s="328"/>
      <c r="Q583" s="328"/>
      <c r="R583" s="328"/>
      <c r="S583" s="328"/>
      <c r="T583" s="328"/>
      <c r="U583" s="328"/>
      <c r="X583" s="330"/>
      <c r="Y583" s="330"/>
      <c r="Z583" s="330"/>
      <c r="AA583" s="330"/>
      <c r="AZ583" s="331"/>
      <c r="BA583" s="332"/>
      <c r="BB583" s="334"/>
    </row>
    <row r="584" spans="3:54" s="324" customFormat="1" x14ac:dyDescent="0.5">
      <c r="C584" s="325"/>
      <c r="D584" s="326"/>
      <c r="E584" s="326"/>
      <c r="F584" s="326"/>
      <c r="G584" s="326"/>
      <c r="H584" s="327"/>
      <c r="I584" s="328"/>
      <c r="J584" s="328"/>
      <c r="K584" s="328"/>
      <c r="L584" s="329"/>
      <c r="M584" s="329"/>
      <c r="N584" s="328"/>
      <c r="O584" s="328"/>
      <c r="P584" s="328"/>
      <c r="Q584" s="328"/>
      <c r="R584" s="328"/>
      <c r="S584" s="328"/>
      <c r="T584" s="328"/>
      <c r="U584" s="328"/>
      <c r="X584" s="330"/>
      <c r="Y584" s="330"/>
      <c r="Z584" s="330"/>
      <c r="AA584" s="330"/>
      <c r="AZ584" s="331"/>
      <c r="BA584" s="332"/>
      <c r="BB584" s="334"/>
    </row>
    <row r="585" spans="3:54" s="324" customFormat="1" x14ac:dyDescent="0.5">
      <c r="C585" s="325"/>
      <c r="D585" s="326"/>
      <c r="E585" s="326"/>
      <c r="F585" s="326"/>
      <c r="G585" s="326"/>
      <c r="H585" s="327"/>
      <c r="I585" s="328"/>
      <c r="J585" s="328"/>
      <c r="K585" s="328"/>
      <c r="L585" s="329"/>
      <c r="M585" s="329"/>
      <c r="N585" s="328"/>
      <c r="O585" s="328"/>
      <c r="P585" s="328"/>
      <c r="Q585" s="328"/>
      <c r="R585" s="328"/>
      <c r="S585" s="328"/>
      <c r="T585" s="328"/>
      <c r="U585" s="328"/>
      <c r="X585" s="330"/>
      <c r="Y585" s="330"/>
      <c r="Z585" s="330"/>
      <c r="AA585" s="330"/>
      <c r="AZ585" s="331"/>
      <c r="BA585" s="332"/>
      <c r="BB585" s="334"/>
    </row>
    <row r="586" spans="3:54" s="324" customFormat="1" x14ac:dyDescent="0.5">
      <c r="C586" s="325"/>
      <c r="D586" s="326"/>
      <c r="E586" s="326"/>
      <c r="F586" s="326"/>
      <c r="G586" s="326"/>
      <c r="H586" s="327"/>
      <c r="I586" s="328"/>
      <c r="J586" s="328"/>
      <c r="K586" s="328"/>
      <c r="L586" s="329"/>
      <c r="M586" s="329"/>
      <c r="N586" s="328"/>
      <c r="O586" s="328"/>
      <c r="P586" s="328"/>
      <c r="Q586" s="328"/>
      <c r="R586" s="328"/>
      <c r="S586" s="328"/>
      <c r="T586" s="328"/>
      <c r="U586" s="328"/>
      <c r="X586" s="330"/>
      <c r="Y586" s="330"/>
      <c r="Z586" s="330"/>
      <c r="AA586" s="330"/>
      <c r="AZ586" s="331"/>
      <c r="BA586" s="332"/>
      <c r="BB586" s="334"/>
    </row>
    <row r="587" spans="3:54" s="324" customFormat="1" x14ac:dyDescent="0.5">
      <c r="C587" s="325"/>
      <c r="D587" s="326"/>
      <c r="E587" s="326"/>
      <c r="F587" s="326"/>
      <c r="G587" s="326"/>
      <c r="H587" s="327"/>
      <c r="I587" s="328"/>
      <c r="J587" s="328"/>
      <c r="K587" s="328"/>
      <c r="L587" s="329"/>
      <c r="M587" s="329"/>
      <c r="N587" s="328"/>
      <c r="O587" s="328"/>
      <c r="P587" s="328"/>
      <c r="Q587" s="328"/>
      <c r="R587" s="328"/>
      <c r="S587" s="328"/>
      <c r="T587" s="328"/>
      <c r="U587" s="328"/>
      <c r="X587" s="330"/>
      <c r="Y587" s="330"/>
      <c r="Z587" s="330"/>
      <c r="AA587" s="330"/>
      <c r="AZ587" s="331"/>
      <c r="BA587" s="332"/>
      <c r="BB587" s="334"/>
    </row>
    <row r="588" spans="3:54" s="324" customFormat="1" x14ac:dyDescent="0.5">
      <c r="C588" s="325"/>
      <c r="D588" s="326"/>
      <c r="E588" s="326"/>
      <c r="F588" s="326"/>
      <c r="G588" s="326"/>
      <c r="H588" s="327"/>
      <c r="I588" s="328"/>
      <c r="J588" s="328"/>
      <c r="K588" s="328"/>
      <c r="L588" s="329"/>
      <c r="M588" s="329"/>
      <c r="N588" s="328"/>
      <c r="O588" s="328"/>
      <c r="P588" s="328"/>
      <c r="Q588" s="328"/>
      <c r="R588" s="328"/>
      <c r="S588" s="328"/>
      <c r="T588" s="328"/>
      <c r="U588" s="328"/>
      <c r="X588" s="330"/>
      <c r="Y588" s="330"/>
      <c r="Z588" s="330"/>
      <c r="AA588" s="330"/>
      <c r="AZ588" s="331"/>
      <c r="BA588" s="332"/>
      <c r="BB588" s="334"/>
    </row>
    <row r="589" spans="3:54" s="324" customFormat="1" x14ac:dyDescent="0.5">
      <c r="C589" s="325"/>
      <c r="D589" s="326"/>
      <c r="E589" s="326"/>
      <c r="F589" s="326"/>
      <c r="G589" s="326"/>
      <c r="H589" s="327"/>
      <c r="I589" s="328"/>
      <c r="J589" s="328"/>
      <c r="K589" s="328"/>
      <c r="L589" s="329"/>
      <c r="M589" s="329"/>
      <c r="N589" s="328"/>
      <c r="O589" s="328"/>
      <c r="P589" s="328"/>
      <c r="Q589" s="328"/>
      <c r="R589" s="328"/>
      <c r="S589" s="328"/>
      <c r="T589" s="328"/>
      <c r="U589" s="328"/>
      <c r="X589" s="330"/>
      <c r="Y589" s="330"/>
      <c r="Z589" s="330"/>
      <c r="AA589" s="330"/>
      <c r="AZ589" s="331"/>
      <c r="BA589" s="332"/>
      <c r="BB589" s="334"/>
    </row>
    <row r="590" spans="3:54" s="324" customFormat="1" x14ac:dyDescent="0.5">
      <c r="C590" s="325"/>
      <c r="D590" s="326"/>
      <c r="E590" s="326"/>
      <c r="F590" s="326"/>
      <c r="G590" s="326"/>
      <c r="H590" s="327"/>
      <c r="I590" s="328"/>
      <c r="J590" s="328"/>
      <c r="K590" s="328"/>
      <c r="L590" s="329"/>
      <c r="M590" s="329"/>
      <c r="N590" s="328"/>
      <c r="O590" s="328"/>
      <c r="P590" s="328"/>
      <c r="Q590" s="328"/>
      <c r="R590" s="328"/>
      <c r="S590" s="328"/>
      <c r="T590" s="328"/>
      <c r="U590" s="328"/>
      <c r="X590" s="330"/>
      <c r="Y590" s="330"/>
      <c r="Z590" s="330"/>
      <c r="AA590" s="330"/>
      <c r="AZ590" s="331"/>
      <c r="BA590" s="332"/>
      <c r="BB590" s="334"/>
    </row>
    <row r="591" spans="3:54" s="324" customFormat="1" x14ac:dyDescent="0.5">
      <c r="C591" s="325"/>
      <c r="D591" s="326"/>
      <c r="E591" s="326"/>
      <c r="F591" s="326"/>
      <c r="G591" s="326"/>
      <c r="H591" s="327"/>
      <c r="I591" s="328"/>
      <c r="J591" s="328"/>
      <c r="K591" s="328"/>
      <c r="L591" s="329"/>
      <c r="M591" s="329"/>
      <c r="N591" s="328"/>
      <c r="O591" s="328"/>
      <c r="P591" s="328"/>
      <c r="Q591" s="328"/>
      <c r="R591" s="328"/>
      <c r="S591" s="328"/>
      <c r="T591" s="328"/>
      <c r="U591" s="328"/>
      <c r="X591" s="330"/>
      <c r="Y591" s="330"/>
      <c r="Z591" s="330"/>
      <c r="AA591" s="330"/>
      <c r="AZ591" s="331"/>
      <c r="BA591" s="332"/>
      <c r="BB591" s="334"/>
    </row>
    <row r="592" spans="3:54" s="324" customFormat="1" x14ac:dyDescent="0.5">
      <c r="C592" s="325"/>
      <c r="D592" s="326"/>
      <c r="E592" s="326"/>
      <c r="F592" s="326"/>
      <c r="G592" s="326"/>
      <c r="H592" s="327"/>
      <c r="I592" s="328"/>
      <c r="J592" s="328"/>
      <c r="K592" s="328"/>
      <c r="L592" s="329"/>
      <c r="M592" s="329"/>
      <c r="N592" s="328"/>
      <c r="O592" s="328"/>
      <c r="P592" s="328"/>
      <c r="Q592" s="328"/>
      <c r="R592" s="328"/>
      <c r="S592" s="328"/>
      <c r="T592" s="328"/>
      <c r="U592" s="328"/>
      <c r="X592" s="330"/>
      <c r="Y592" s="330"/>
      <c r="Z592" s="330"/>
      <c r="AA592" s="330"/>
      <c r="AZ592" s="331"/>
      <c r="BA592" s="332"/>
      <c r="BB592" s="334"/>
    </row>
    <row r="593" spans="3:54" s="324" customFormat="1" x14ac:dyDescent="0.5">
      <c r="C593" s="325"/>
      <c r="D593" s="326"/>
      <c r="E593" s="326"/>
      <c r="F593" s="326"/>
      <c r="G593" s="326"/>
      <c r="H593" s="327"/>
      <c r="I593" s="328"/>
      <c r="J593" s="328"/>
      <c r="K593" s="328"/>
      <c r="L593" s="329"/>
      <c r="M593" s="329"/>
      <c r="N593" s="328"/>
      <c r="O593" s="328"/>
      <c r="P593" s="328"/>
      <c r="Q593" s="328"/>
      <c r="R593" s="328"/>
      <c r="S593" s="328"/>
      <c r="T593" s="328"/>
      <c r="U593" s="328"/>
      <c r="X593" s="330"/>
      <c r="Y593" s="330"/>
      <c r="Z593" s="330"/>
      <c r="AA593" s="330"/>
      <c r="AZ593" s="331"/>
      <c r="BA593" s="332"/>
      <c r="BB593" s="334"/>
    </row>
    <row r="594" spans="3:54" s="324" customFormat="1" x14ac:dyDescent="0.5">
      <c r="C594" s="325"/>
      <c r="D594" s="326"/>
      <c r="E594" s="326"/>
      <c r="F594" s="326"/>
      <c r="G594" s="326"/>
      <c r="H594" s="327"/>
      <c r="I594" s="328"/>
      <c r="J594" s="328"/>
      <c r="K594" s="328"/>
      <c r="L594" s="329"/>
      <c r="M594" s="329"/>
      <c r="N594" s="328"/>
      <c r="O594" s="328"/>
      <c r="P594" s="328"/>
      <c r="Q594" s="328"/>
      <c r="R594" s="328"/>
      <c r="S594" s="328"/>
      <c r="T594" s="328"/>
      <c r="U594" s="328"/>
      <c r="X594" s="330"/>
      <c r="Y594" s="330"/>
      <c r="Z594" s="330"/>
      <c r="AA594" s="330"/>
      <c r="AZ594" s="331"/>
      <c r="BA594" s="332"/>
      <c r="BB594" s="334"/>
    </row>
    <row r="595" spans="3:54" s="324" customFormat="1" x14ac:dyDescent="0.5">
      <c r="C595" s="325"/>
      <c r="D595" s="326"/>
      <c r="E595" s="326"/>
      <c r="F595" s="326"/>
      <c r="G595" s="326"/>
      <c r="H595" s="327"/>
      <c r="I595" s="328"/>
      <c r="J595" s="328"/>
      <c r="K595" s="328"/>
      <c r="L595" s="329"/>
      <c r="M595" s="329"/>
      <c r="N595" s="328"/>
      <c r="O595" s="328"/>
      <c r="P595" s="328"/>
      <c r="Q595" s="328"/>
      <c r="R595" s="328"/>
      <c r="S595" s="328"/>
      <c r="T595" s="328"/>
      <c r="U595" s="328"/>
      <c r="X595" s="330"/>
      <c r="Y595" s="330"/>
      <c r="Z595" s="330"/>
      <c r="AA595" s="330"/>
      <c r="AZ595" s="331"/>
      <c r="BA595" s="332"/>
      <c r="BB595" s="334"/>
    </row>
    <row r="596" spans="3:54" s="324" customFormat="1" x14ac:dyDescent="0.5">
      <c r="C596" s="325"/>
      <c r="D596" s="326"/>
      <c r="E596" s="326"/>
      <c r="F596" s="326"/>
      <c r="G596" s="326"/>
      <c r="H596" s="327"/>
      <c r="I596" s="328"/>
      <c r="J596" s="328"/>
      <c r="K596" s="328"/>
      <c r="L596" s="329"/>
      <c r="M596" s="329"/>
      <c r="N596" s="328"/>
      <c r="O596" s="328"/>
      <c r="P596" s="328"/>
      <c r="Q596" s="328"/>
      <c r="R596" s="328"/>
      <c r="S596" s="328"/>
      <c r="T596" s="328"/>
      <c r="U596" s="328"/>
      <c r="X596" s="330"/>
      <c r="Y596" s="330"/>
      <c r="Z596" s="330"/>
      <c r="AA596" s="330"/>
      <c r="AZ596" s="331"/>
      <c r="BA596" s="332"/>
      <c r="BB596" s="334"/>
    </row>
    <row r="597" spans="3:54" s="324" customFormat="1" x14ac:dyDescent="0.5">
      <c r="C597" s="325"/>
      <c r="D597" s="326"/>
      <c r="E597" s="326"/>
      <c r="F597" s="326"/>
      <c r="G597" s="326"/>
      <c r="H597" s="327"/>
      <c r="I597" s="328"/>
      <c r="J597" s="328"/>
      <c r="K597" s="328"/>
      <c r="L597" s="329"/>
      <c r="M597" s="329"/>
      <c r="N597" s="328"/>
      <c r="O597" s="328"/>
      <c r="P597" s="328"/>
      <c r="Q597" s="328"/>
      <c r="R597" s="328"/>
      <c r="S597" s="328"/>
      <c r="T597" s="328"/>
      <c r="U597" s="328"/>
      <c r="X597" s="330"/>
      <c r="Y597" s="330"/>
      <c r="Z597" s="330"/>
      <c r="AA597" s="330"/>
      <c r="AZ597" s="331"/>
      <c r="BA597" s="332"/>
      <c r="BB597" s="334"/>
    </row>
    <row r="598" spans="3:54" s="324" customFormat="1" x14ac:dyDescent="0.5">
      <c r="C598" s="325"/>
      <c r="D598" s="326"/>
      <c r="E598" s="326"/>
      <c r="F598" s="326"/>
      <c r="G598" s="326"/>
      <c r="H598" s="327"/>
      <c r="I598" s="328"/>
      <c r="J598" s="328"/>
      <c r="K598" s="328"/>
      <c r="L598" s="329"/>
      <c r="M598" s="329"/>
      <c r="N598" s="328"/>
      <c r="O598" s="328"/>
      <c r="P598" s="328"/>
      <c r="Q598" s="328"/>
      <c r="R598" s="328"/>
      <c r="S598" s="328"/>
      <c r="T598" s="328"/>
      <c r="U598" s="328"/>
      <c r="X598" s="330"/>
      <c r="Y598" s="330"/>
      <c r="Z598" s="330"/>
      <c r="AA598" s="330"/>
      <c r="AZ598" s="331"/>
      <c r="BA598" s="332"/>
      <c r="BB598" s="334"/>
    </row>
    <row r="599" spans="3:54" s="324" customFormat="1" x14ac:dyDescent="0.5">
      <c r="C599" s="325"/>
      <c r="D599" s="326"/>
      <c r="E599" s="326"/>
      <c r="F599" s="326"/>
      <c r="G599" s="326"/>
      <c r="H599" s="327"/>
      <c r="I599" s="328"/>
      <c r="J599" s="328"/>
      <c r="K599" s="328"/>
      <c r="L599" s="329"/>
      <c r="M599" s="329"/>
      <c r="N599" s="328"/>
      <c r="O599" s="328"/>
      <c r="P599" s="328"/>
      <c r="Q599" s="328"/>
      <c r="R599" s="328"/>
      <c r="S599" s="328"/>
      <c r="T599" s="328"/>
      <c r="U599" s="328"/>
      <c r="X599" s="330"/>
      <c r="Y599" s="330"/>
      <c r="Z599" s="330"/>
      <c r="AA599" s="330"/>
      <c r="AZ599" s="331"/>
      <c r="BA599" s="332"/>
      <c r="BB599" s="334"/>
    </row>
    <row r="600" spans="3:54" s="324" customFormat="1" x14ac:dyDescent="0.5">
      <c r="C600" s="325"/>
      <c r="D600" s="326"/>
      <c r="E600" s="326"/>
      <c r="F600" s="326"/>
      <c r="G600" s="326"/>
      <c r="H600" s="327"/>
      <c r="I600" s="328"/>
      <c r="J600" s="328"/>
      <c r="K600" s="328"/>
      <c r="L600" s="329"/>
      <c r="M600" s="329"/>
      <c r="N600" s="328"/>
      <c r="O600" s="328"/>
      <c r="P600" s="328"/>
      <c r="Q600" s="328"/>
      <c r="R600" s="328"/>
      <c r="S600" s="328"/>
      <c r="T600" s="328"/>
      <c r="U600" s="328"/>
      <c r="X600" s="330"/>
      <c r="Y600" s="330"/>
      <c r="Z600" s="330"/>
      <c r="AA600" s="330"/>
      <c r="AZ600" s="331"/>
      <c r="BA600" s="332"/>
      <c r="BB600" s="334"/>
    </row>
    <row r="601" spans="3:54" s="324" customFormat="1" x14ac:dyDescent="0.5">
      <c r="C601" s="325"/>
      <c r="D601" s="326"/>
      <c r="E601" s="326"/>
      <c r="F601" s="326"/>
      <c r="G601" s="326"/>
      <c r="H601" s="327"/>
      <c r="I601" s="328"/>
      <c r="J601" s="328"/>
      <c r="K601" s="328"/>
      <c r="L601" s="329"/>
      <c r="M601" s="329"/>
      <c r="N601" s="328"/>
      <c r="O601" s="328"/>
      <c r="P601" s="328"/>
      <c r="Q601" s="328"/>
      <c r="R601" s="328"/>
      <c r="S601" s="328"/>
      <c r="T601" s="328"/>
      <c r="U601" s="328"/>
      <c r="X601" s="330"/>
      <c r="Y601" s="330"/>
      <c r="Z601" s="330"/>
      <c r="AA601" s="330"/>
      <c r="AZ601" s="331"/>
      <c r="BA601" s="332"/>
      <c r="BB601" s="334"/>
    </row>
    <row r="602" spans="3:54" s="324" customFormat="1" x14ac:dyDescent="0.5">
      <c r="C602" s="325"/>
      <c r="D602" s="326"/>
      <c r="E602" s="326"/>
      <c r="F602" s="326"/>
      <c r="G602" s="326"/>
      <c r="H602" s="327"/>
      <c r="I602" s="328"/>
      <c r="J602" s="328"/>
      <c r="K602" s="328"/>
      <c r="L602" s="329"/>
      <c r="M602" s="329"/>
      <c r="N602" s="328"/>
      <c r="O602" s="328"/>
      <c r="P602" s="328"/>
      <c r="Q602" s="328"/>
      <c r="R602" s="328"/>
      <c r="S602" s="328"/>
      <c r="T602" s="328"/>
      <c r="U602" s="328"/>
      <c r="X602" s="330"/>
      <c r="Y602" s="330"/>
      <c r="Z602" s="330"/>
      <c r="AA602" s="330"/>
      <c r="AZ602" s="331"/>
      <c r="BA602" s="332"/>
      <c r="BB602" s="334"/>
    </row>
    <row r="603" spans="3:54" s="324" customFormat="1" x14ac:dyDescent="0.5">
      <c r="C603" s="325"/>
      <c r="D603" s="326"/>
      <c r="E603" s="326"/>
      <c r="F603" s="326"/>
      <c r="G603" s="326"/>
      <c r="H603" s="327"/>
      <c r="I603" s="328"/>
      <c r="J603" s="328"/>
      <c r="K603" s="328"/>
      <c r="L603" s="329"/>
      <c r="M603" s="329"/>
      <c r="N603" s="328"/>
      <c r="O603" s="328"/>
      <c r="P603" s="328"/>
      <c r="Q603" s="328"/>
      <c r="R603" s="328"/>
      <c r="S603" s="328"/>
      <c r="T603" s="328"/>
      <c r="U603" s="328"/>
      <c r="X603" s="330"/>
      <c r="Y603" s="330"/>
      <c r="Z603" s="330"/>
      <c r="AA603" s="330"/>
      <c r="AZ603" s="331"/>
      <c r="BA603" s="332"/>
      <c r="BB603" s="334"/>
    </row>
    <row r="604" spans="3:54" s="324" customFormat="1" x14ac:dyDescent="0.5">
      <c r="C604" s="325"/>
      <c r="D604" s="326"/>
      <c r="E604" s="326"/>
      <c r="F604" s="326"/>
      <c r="G604" s="326"/>
      <c r="H604" s="327"/>
      <c r="I604" s="328"/>
      <c r="J604" s="328"/>
      <c r="K604" s="328"/>
      <c r="L604" s="329"/>
      <c r="M604" s="329"/>
      <c r="N604" s="328"/>
      <c r="O604" s="328"/>
      <c r="P604" s="328"/>
      <c r="Q604" s="328"/>
      <c r="R604" s="328"/>
      <c r="S604" s="328"/>
      <c r="T604" s="328"/>
      <c r="U604" s="328"/>
      <c r="X604" s="330"/>
      <c r="Y604" s="330"/>
      <c r="Z604" s="330"/>
      <c r="AA604" s="330"/>
      <c r="AZ604" s="331"/>
      <c r="BA604" s="332"/>
      <c r="BB604" s="334"/>
    </row>
    <row r="605" spans="3:54" s="324" customFormat="1" x14ac:dyDescent="0.5">
      <c r="C605" s="325"/>
      <c r="D605" s="326"/>
      <c r="E605" s="326"/>
      <c r="F605" s="326"/>
      <c r="G605" s="326"/>
      <c r="H605" s="327"/>
      <c r="I605" s="328"/>
      <c r="J605" s="328"/>
      <c r="K605" s="328"/>
      <c r="L605" s="329"/>
      <c r="M605" s="329"/>
      <c r="N605" s="328"/>
      <c r="O605" s="328"/>
      <c r="P605" s="328"/>
      <c r="Q605" s="328"/>
      <c r="R605" s="328"/>
      <c r="S605" s="328"/>
      <c r="T605" s="328"/>
      <c r="U605" s="328"/>
      <c r="X605" s="330"/>
      <c r="Y605" s="330"/>
      <c r="Z605" s="330"/>
      <c r="AA605" s="330"/>
      <c r="AZ605" s="331"/>
      <c r="BA605" s="332"/>
      <c r="BB605" s="334"/>
    </row>
    <row r="606" spans="3:54" s="324" customFormat="1" x14ac:dyDescent="0.5">
      <c r="C606" s="325"/>
      <c r="D606" s="326"/>
      <c r="E606" s="326"/>
      <c r="F606" s="326"/>
      <c r="G606" s="326"/>
      <c r="H606" s="327"/>
      <c r="I606" s="328"/>
      <c r="J606" s="328"/>
      <c r="K606" s="328"/>
      <c r="L606" s="329"/>
      <c r="M606" s="329"/>
      <c r="N606" s="328"/>
      <c r="O606" s="328"/>
      <c r="P606" s="328"/>
      <c r="Q606" s="328"/>
      <c r="R606" s="328"/>
      <c r="S606" s="328"/>
      <c r="T606" s="328"/>
      <c r="U606" s="328"/>
      <c r="X606" s="330"/>
      <c r="Y606" s="330"/>
      <c r="Z606" s="330"/>
      <c r="AA606" s="330"/>
      <c r="AZ606" s="331"/>
      <c r="BA606" s="332"/>
      <c r="BB606" s="334"/>
    </row>
    <row r="607" spans="3:54" s="324" customFormat="1" x14ac:dyDescent="0.5">
      <c r="C607" s="325"/>
      <c r="D607" s="326"/>
      <c r="E607" s="326"/>
      <c r="F607" s="326"/>
      <c r="G607" s="326"/>
      <c r="H607" s="327"/>
      <c r="I607" s="328"/>
      <c r="J607" s="328"/>
      <c r="K607" s="328"/>
      <c r="L607" s="329"/>
      <c r="M607" s="329"/>
      <c r="N607" s="328"/>
      <c r="O607" s="328"/>
      <c r="P607" s="328"/>
      <c r="Q607" s="328"/>
      <c r="R607" s="328"/>
      <c r="S607" s="328"/>
      <c r="T607" s="328"/>
      <c r="U607" s="328"/>
      <c r="X607" s="330"/>
      <c r="Y607" s="330"/>
      <c r="Z607" s="330"/>
      <c r="AA607" s="330"/>
      <c r="AZ607" s="331"/>
      <c r="BA607" s="332"/>
      <c r="BB607" s="334"/>
    </row>
    <row r="608" spans="3:54" s="324" customFormat="1" x14ac:dyDescent="0.5">
      <c r="C608" s="325"/>
      <c r="D608" s="326"/>
      <c r="E608" s="326"/>
      <c r="F608" s="326"/>
      <c r="G608" s="326"/>
      <c r="H608" s="327"/>
      <c r="I608" s="328"/>
      <c r="J608" s="328"/>
      <c r="K608" s="328"/>
      <c r="L608" s="329"/>
      <c r="M608" s="329"/>
      <c r="N608" s="328"/>
      <c r="O608" s="328"/>
      <c r="P608" s="328"/>
      <c r="Q608" s="328"/>
      <c r="R608" s="328"/>
      <c r="S608" s="328"/>
      <c r="T608" s="328"/>
      <c r="U608" s="328"/>
      <c r="X608" s="330"/>
      <c r="Y608" s="330"/>
      <c r="Z608" s="330"/>
      <c r="AA608" s="330"/>
      <c r="AZ608" s="331"/>
      <c r="BA608" s="332"/>
      <c r="BB608" s="334"/>
    </row>
    <row r="609" spans="3:54" s="324" customFormat="1" x14ac:dyDescent="0.5">
      <c r="C609" s="325"/>
      <c r="D609" s="326"/>
      <c r="E609" s="326"/>
      <c r="F609" s="326"/>
      <c r="G609" s="326"/>
      <c r="H609" s="327"/>
      <c r="I609" s="328"/>
      <c r="J609" s="328"/>
      <c r="K609" s="328"/>
      <c r="L609" s="329"/>
      <c r="M609" s="329"/>
      <c r="N609" s="328"/>
      <c r="O609" s="328"/>
      <c r="P609" s="328"/>
      <c r="Q609" s="328"/>
      <c r="R609" s="328"/>
      <c r="S609" s="328"/>
      <c r="T609" s="328"/>
      <c r="U609" s="328"/>
      <c r="X609" s="330"/>
      <c r="Y609" s="330"/>
      <c r="Z609" s="330"/>
      <c r="AA609" s="330"/>
      <c r="AZ609" s="331"/>
      <c r="BA609" s="332"/>
      <c r="BB609" s="334"/>
    </row>
    <row r="610" spans="3:54" s="324" customFormat="1" x14ac:dyDescent="0.5">
      <c r="C610" s="325"/>
      <c r="D610" s="326"/>
      <c r="E610" s="326"/>
      <c r="F610" s="326"/>
      <c r="G610" s="326"/>
      <c r="H610" s="327"/>
      <c r="I610" s="328"/>
      <c r="J610" s="328"/>
      <c r="K610" s="328"/>
      <c r="L610" s="329"/>
      <c r="M610" s="329"/>
      <c r="N610" s="328"/>
      <c r="O610" s="328"/>
      <c r="P610" s="328"/>
      <c r="Q610" s="328"/>
      <c r="R610" s="328"/>
      <c r="S610" s="328"/>
      <c r="T610" s="328"/>
      <c r="U610" s="328"/>
      <c r="X610" s="330"/>
      <c r="Y610" s="330"/>
      <c r="Z610" s="330"/>
      <c r="AA610" s="330"/>
      <c r="AZ610" s="331"/>
      <c r="BA610" s="332"/>
      <c r="BB610" s="334"/>
    </row>
    <row r="611" spans="3:54" s="324" customFormat="1" x14ac:dyDescent="0.5">
      <c r="C611" s="325"/>
      <c r="D611" s="326"/>
      <c r="E611" s="326"/>
      <c r="F611" s="326"/>
      <c r="G611" s="326"/>
      <c r="H611" s="327"/>
      <c r="I611" s="328"/>
      <c r="J611" s="328"/>
      <c r="K611" s="328"/>
      <c r="L611" s="329"/>
      <c r="M611" s="329"/>
      <c r="N611" s="328"/>
      <c r="O611" s="328"/>
      <c r="P611" s="328"/>
      <c r="Q611" s="328"/>
      <c r="R611" s="328"/>
      <c r="S611" s="328"/>
      <c r="T611" s="328"/>
      <c r="U611" s="328"/>
      <c r="X611" s="330"/>
      <c r="Y611" s="330"/>
      <c r="Z611" s="330"/>
      <c r="AA611" s="330"/>
      <c r="AZ611" s="331"/>
      <c r="BA611" s="332"/>
      <c r="BB611" s="334"/>
    </row>
    <row r="612" spans="3:54" s="324" customFormat="1" x14ac:dyDescent="0.5">
      <c r="C612" s="325"/>
      <c r="D612" s="326"/>
      <c r="E612" s="326"/>
      <c r="F612" s="326"/>
      <c r="G612" s="326"/>
      <c r="H612" s="327"/>
      <c r="I612" s="328"/>
      <c r="J612" s="328"/>
      <c r="K612" s="328"/>
      <c r="L612" s="329"/>
      <c r="M612" s="329"/>
      <c r="N612" s="328"/>
      <c r="O612" s="328"/>
      <c r="P612" s="328"/>
      <c r="Q612" s="328"/>
      <c r="R612" s="328"/>
      <c r="S612" s="328"/>
      <c r="T612" s="328"/>
      <c r="U612" s="328"/>
      <c r="X612" s="330"/>
      <c r="Y612" s="330"/>
      <c r="Z612" s="330"/>
      <c r="AA612" s="330"/>
      <c r="AZ612" s="331"/>
      <c r="BA612" s="332"/>
      <c r="BB612" s="334"/>
    </row>
    <row r="613" spans="3:54" s="324" customFormat="1" x14ac:dyDescent="0.5">
      <c r="C613" s="325"/>
      <c r="D613" s="326"/>
      <c r="E613" s="326"/>
      <c r="F613" s="326"/>
      <c r="G613" s="326"/>
      <c r="H613" s="327"/>
      <c r="I613" s="328"/>
      <c r="J613" s="328"/>
      <c r="K613" s="328"/>
      <c r="L613" s="329"/>
      <c r="M613" s="329"/>
      <c r="N613" s="328"/>
      <c r="O613" s="328"/>
      <c r="P613" s="328"/>
      <c r="Q613" s="328"/>
      <c r="R613" s="328"/>
      <c r="S613" s="328"/>
      <c r="T613" s="328"/>
      <c r="U613" s="328"/>
      <c r="X613" s="330"/>
      <c r="Y613" s="330"/>
      <c r="Z613" s="330"/>
      <c r="AA613" s="330"/>
      <c r="AZ613" s="331"/>
      <c r="BA613" s="332"/>
      <c r="BB613" s="334"/>
    </row>
    <row r="614" spans="3:54" s="324" customFormat="1" x14ac:dyDescent="0.5">
      <c r="C614" s="325"/>
      <c r="D614" s="326"/>
      <c r="E614" s="326"/>
      <c r="F614" s="326"/>
      <c r="G614" s="326"/>
      <c r="H614" s="327"/>
      <c r="I614" s="328"/>
      <c r="J614" s="328"/>
      <c r="K614" s="328"/>
      <c r="L614" s="329"/>
      <c r="M614" s="329"/>
      <c r="N614" s="328"/>
      <c r="O614" s="328"/>
      <c r="P614" s="328"/>
      <c r="Q614" s="328"/>
      <c r="R614" s="328"/>
      <c r="S614" s="328"/>
      <c r="T614" s="328"/>
      <c r="U614" s="328"/>
      <c r="X614" s="330"/>
      <c r="Y614" s="330"/>
      <c r="Z614" s="330"/>
      <c r="AA614" s="330"/>
      <c r="AZ614" s="331"/>
      <c r="BA614" s="332"/>
      <c r="BB614" s="334"/>
    </row>
    <row r="615" spans="3:54" s="324" customFormat="1" x14ac:dyDescent="0.5">
      <c r="C615" s="325"/>
      <c r="D615" s="326"/>
      <c r="E615" s="326"/>
      <c r="F615" s="326"/>
      <c r="G615" s="326"/>
      <c r="H615" s="327"/>
      <c r="I615" s="328"/>
      <c r="J615" s="328"/>
      <c r="K615" s="328"/>
      <c r="L615" s="329"/>
      <c r="M615" s="329"/>
      <c r="N615" s="328"/>
      <c r="O615" s="328"/>
      <c r="P615" s="328"/>
      <c r="Q615" s="328"/>
      <c r="R615" s="328"/>
      <c r="S615" s="328"/>
      <c r="T615" s="328"/>
      <c r="U615" s="328"/>
      <c r="X615" s="330"/>
      <c r="Y615" s="330"/>
      <c r="Z615" s="330"/>
      <c r="AA615" s="330"/>
      <c r="AZ615" s="331"/>
      <c r="BA615" s="332"/>
      <c r="BB615" s="334"/>
    </row>
    <row r="616" spans="3:54" s="324" customFormat="1" x14ac:dyDescent="0.5">
      <c r="C616" s="325"/>
      <c r="D616" s="326"/>
      <c r="E616" s="326"/>
      <c r="F616" s="326"/>
      <c r="G616" s="326"/>
      <c r="H616" s="327"/>
      <c r="I616" s="328"/>
      <c r="J616" s="328"/>
      <c r="K616" s="328"/>
      <c r="L616" s="329"/>
      <c r="M616" s="329"/>
      <c r="N616" s="328"/>
      <c r="O616" s="328"/>
      <c r="P616" s="328"/>
      <c r="Q616" s="328"/>
      <c r="R616" s="328"/>
      <c r="S616" s="328"/>
      <c r="T616" s="328"/>
      <c r="U616" s="328"/>
      <c r="X616" s="330"/>
      <c r="Y616" s="330"/>
      <c r="Z616" s="330"/>
      <c r="AA616" s="330"/>
      <c r="AZ616" s="331"/>
      <c r="BA616" s="332"/>
      <c r="BB616" s="334"/>
    </row>
    <row r="617" spans="3:54" s="324" customFormat="1" x14ac:dyDescent="0.5">
      <c r="C617" s="325"/>
      <c r="D617" s="326"/>
      <c r="E617" s="326"/>
      <c r="F617" s="326"/>
      <c r="G617" s="326"/>
      <c r="H617" s="327"/>
      <c r="I617" s="328"/>
      <c r="J617" s="328"/>
      <c r="K617" s="328"/>
      <c r="L617" s="329"/>
      <c r="M617" s="329"/>
      <c r="N617" s="328"/>
      <c r="O617" s="328"/>
      <c r="P617" s="328"/>
      <c r="Q617" s="328"/>
      <c r="R617" s="328"/>
      <c r="S617" s="328"/>
      <c r="T617" s="328"/>
      <c r="U617" s="328"/>
      <c r="X617" s="330"/>
      <c r="Y617" s="330"/>
      <c r="Z617" s="330"/>
      <c r="AA617" s="330"/>
      <c r="AZ617" s="331"/>
      <c r="BA617" s="332"/>
      <c r="BB617" s="334"/>
    </row>
    <row r="618" spans="3:54" s="324" customFormat="1" x14ac:dyDescent="0.5">
      <c r="C618" s="325"/>
      <c r="D618" s="326"/>
      <c r="E618" s="326"/>
      <c r="F618" s="326"/>
      <c r="G618" s="326"/>
      <c r="H618" s="327"/>
      <c r="I618" s="328"/>
      <c r="J618" s="328"/>
      <c r="K618" s="328"/>
      <c r="L618" s="329"/>
      <c r="M618" s="329"/>
      <c r="N618" s="328"/>
      <c r="O618" s="328"/>
      <c r="P618" s="328"/>
      <c r="Q618" s="328"/>
      <c r="R618" s="328"/>
      <c r="S618" s="328"/>
      <c r="T618" s="328"/>
      <c r="U618" s="328"/>
      <c r="X618" s="330"/>
      <c r="Y618" s="330"/>
      <c r="Z618" s="330"/>
      <c r="AA618" s="330"/>
      <c r="AZ618" s="331"/>
      <c r="BA618" s="332"/>
      <c r="BB618" s="334"/>
    </row>
    <row r="619" spans="3:54" s="324" customFormat="1" x14ac:dyDescent="0.5">
      <c r="C619" s="325"/>
      <c r="D619" s="326"/>
      <c r="E619" s="326"/>
      <c r="F619" s="326"/>
      <c r="G619" s="326"/>
      <c r="H619" s="327"/>
      <c r="I619" s="328"/>
      <c r="J619" s="328"/>
      <c r="K619" s="328"/>
      <c r="L619" s="329"/>
      <c r="M619" s="329"/>
      <c r="N619" s="328"/>
      <c r="O619" s="328"/>
      <c r="P619" s="328"/>
      <c r="Q619" s="328"/>
      <c r="R619" s="328"/>
      <c r="S619" s="328"/>
      <c r="T619" s="328"/>
      <c r="U619" s="328"/>
      <c r="X619" s="330"/>
      <c r="Y619" s="330"/>
      <c r="Z619" s="330"/>
      <c r="AA619" s="330"/>
      <c r="AZ619" s="331"/>
      <c r="BA619" s="332"/>
      <c r="BB619" s="334"/>
    </row>
    <row r="620" spans="3:54" s="324" customFormat="1" x14ac:dyDescent="0.5">
      <c r="C620" s="325"/>
      <c r="D620" s="326"/>
      <c r="E620" s="326"/>
      <c r="F620" s="326"/>
      <c r="G620" s="326"/>
      <c r="H620" s="327"/>
      <c r="I620" s="328"/>
      <c r="J620" s="328"/>
      <c r="K620" s="328"/>
      <c r="L620" s="329"/>
      <c r="M620" s="329"/>
      <c r="N620" s="328"/>
      <c r="O620" s="328"/>
      <c r="P620" s="328"/>
      <c r="Q620" s="328"/>
      <c r="R620" s="328"/>
      <c r="S620" s="328"/>
      <c r="T620" s="328"/>
      <c r="U620" s="328"/>
      <c r="X620" s="330"/>
      <c r="Y620" s="330"/>
      <c r="Z620" s="330"/>
      <c r="AA620" s="330"/>
      <c r="AZ620" s="331"/>
      <c r="BA620" s="332"/>
      <c r="BB620" s="334"/>
    </row>
    <row r="621" spans="3:54" s="324" customFormat="1" x14ac:dyDescent="0.5">
      <c r="C621" s="325"/>
      <c r="D621" s="326"/>
      <c r="E621" s="326"/>
      <c r="F621" s="326"/>
      <c r="G621" s="326"/>
      <c r="H621" s="327"/>
      <c r="I621" s="328"/>
      <c r="J621" s="328"/>
      <c r="K621" s="328"/>
      <c r="L621" s="329"/>
      <c r="M621" s="329"/>
      <c r="N621" s="328"/>
      <c r="O621" s="328"/>
      <c r="P621" s="328"/>
      <c r="Q621" s="328"/>
      <c r="R621" s="328"/>
      <c r="S621" s="328"/>
      <c r="T621" s="328"/>
      <c r="U621" s="328"/>
      <c r="X621" s="330"/>
      <c r="Y621" s="330"/>
      <c r="Z621" s="330"/>
      <c r="AA621" s="330"/>
      <c r="AZ621" s="331"/>
      <c r="BA621" s="332"/>
      <c r="BB621" s="334"/>
    </row>
    <row r="622" spans="3:54" s="324" customFormat="1" x14ac:dyDescent="0.5">
      <c r="C622" s="325"/>
      <c r="D622" s="326"/>
      <c r="E622" s="326"/>
      <c r="F622" s="326"/>
      <c r="G622" s="326"/>
      <c r="H622" s="327"/>
      <c r="I622" s="328"/>
      <c r="J622" s="328"/>
      <c r="K622" s="328"/>
      <c r="L622" s="329"/>
      <c r="M622" s="329"/>
      <c r="N622" s="328"/>
      <c r="O622" s="328"/>
      <c r="P622" s="328"/>
      <c r="Q622" s="328"/>
      <c r="R622" s="328"/>
      <c r="S622" s="328"/>
      <c r="T622" s="328"/>
      <c r="U622" s="328"/>
      <c r="X622" s="330"/>
      <c r="Y622" s="330"/>
      <c r="Z622" s="330"/>
      <c r="AA622" s="330"/>
      <c r="AZ622" s="331"/>
      <c r="BA622" s="332"/>
      <c r="BB622" s="334"/>
    </row>
    <row r="623" spans="3:54" s="324" customFormat="1" x14ac:dyDescent="0.5">
      <c r="C623" s="325"/>
      <c r="D623" s="326"/>
      <c r="E623" s="326"/>
      <c r="F623" s="326"/>
      <c r="G623" s="326"/>
      <c r="H623" s="327"/>
      <c r="I623" s="328"/>
      <c r="J623" s="328"/>
      <c r="K623" s="328"/>
      <c r="L623" s="329"/>
      <c r="M623" s="329"/>
      <c r="N623" s="328"/>
      <c r="O623" s="328"/>
      <c r="P623" s="328"/>
      <c r="Q623" s="328"/>
      <c r="R623" s="328"/>
      <c r="S623" s="328"/>
      <c r="T623" s="328"/>
      <c r="U623" s="328"/>
      <c r="X623" s="330"/>
      <c r="Y623" s="330"/>
      <c r="Z623" s="330"/>
      <c r="AA623" s="330"/>
      <c r="AZ623" s="331"/>
      <c r="BA623" s="332"/>
      <c r="BB623" s="334"/>
    </row>
    <row r="624" spans="3:54" s="324" customFormat="1" x14ac:dyDescent="0.5">
      <c r="C624" s="325"/>
      <c r="D624" s="326"/>
      <c r="E624" s="326"/>
      <c r="F624" s="326"/>
      <c r="G624" s="326"/>
      <c r="H624" s="327"/>
      <c r="I624" s="328"/>
      <c r="J624" s="328"/>
      <c r="K624" s="328"/>
      <c r="L624" s="329"/>
      <c r="M624" s="329"/>
      <c r="N624" s="328"/>
      <c r="O624" s="328"/>
      <c r="P624" s="328"/>
      <c r="Q624" s="328"/>
      <c r="R624" s="328"/>
      <c r="S624" s="328"/>
      <c r="T624" s="328"/>
      <c r="U624" s="328"/>
      <c r="X624" s="330"/>
      <c r="Y624" s="330"/>
      <c r="Z624" s="330"/>
      <c r="AA624" s="330"/>
      <c r="AZ624" s="331"/>
      <c r="BA624" s="332"/>
      <c r="BB624" s="334"/>
    </row>
    <row r="625" spans="3:54" s="324" customFormat="1" x14ac:dyDescent="0.5">
      <c r="C625" s="325"/>
      <c r="D625" s="326"/>
      <c r="E625" s="326"/>
      <c r="F625" s="326"/>
      <c r="G625" s="326"/>
      <c r="H625" s="327"/>
      <c r="I625" s="328"/>
      <c r="J625" s="328"/>
      <c r="K625" s="328"/>
      <c r="L625" s="329"/>
      <c r="M625" s="329"/>
      <c r="N625" s="328"/>
      <c r="O625" s="328"/>
      <c r="P625" s="328"/>
      <c r="Q625" s="328"/>
      <c r="R625" s="328"/>
      <c r="S625" s="328"/>
      <c r="T625" s="328"/>
      <c r="U625" s="328"/>
      <c r="X625" s="330"/>
      <c r="Y625" s="330"/>
      <c r="Z625" s="330"/>
      <c r="AA625" s="330"/>
      <c r="AZ625" s="331"/>
      <c r="BA625" s="332"/>
      <c r="BB625" s="334"/>
    </row>
    <row r="626" spans="3:54" s="324" customFormat="1" x14ac:dyDescent="0.5">
      <c r="C626" s="325"/>
      <c r="D626" s="326"/>
      <c r="E626" s="326"/>
      <c r="F626" s="326"/>
      <c r="G626" s="326"/>
      <c r="H626" s="327"/>
      <c r="I626" s="328"/>
      <c r="J626" s="328"/>
      <c r="K626" s="328"/>
      <c r="L626" s="329"/>
      <c r="M626" s="329"/>
      <c r="N626" s="328"/>
      <c r="O626" s="328"/>
      <c r="P626" s="328"/>
      <c r="Q626" s="328"/>
      <c r="R626" s="328"/>
      <c r="S626" s="328"/>
      <c r="T626" s="328"/>
      <c r="U626" s="328"/>
      <c r="X626" s="330"/>
      <c r="Y626" s="330"/>
      <c r="Z626" s="330"/>
      <c r="AA626" s="330"/>
      <c r="AZ626" s="331"/>
      <c r="BA626" s="332"/>
      <c r="BB626" s="334"/>
    </row>
    <row r="627" spans="3:54" s="324" customFormat="1" x14ac:dyDescent="0.5">
      <c r="C627" s="325"/>
      <c r="D627" s="326"/>
      <c r="E627" s="326"/>
      <c r="F627" s="326"/>
      <c r="G627" s="326"/>
      <c r="H627" s="327"/>
      <c r="I627" s="328"/>
      <c r="J627" s="328"/>
      <c r="K627" s="328"/>
      <c r="L627" s="329"/>
      <c r="M627" s="329"/>
      <c r="N627" s="328"/>
      <c r="O627" s="328"/>
      <c r="P627" s="328"/>
      <c r="Q627" s="328"/>
      <c r="R627" s="328"/>
      <c r="S627" s="328"/>
      <c r="T627" s="328"/>
      <c r="U627" s="328"/>
      <c r="X627" s="330"/>
      <c r="Y627" s="330"/>
      <c r="Z627" s="330"/>
      <c r="AA627" s="330"/>
      <c r="AZ627" s="331"/>
      <c r="BA627" s="332"/>
      <c r="BB627" s="334"/>
    </row>
    <row r="628" spans="3:54" s="324" customFormat="1" x14ac:dyDescent="0.5">
      <c r="C628" s="325"/>
      <c r="D628" s="326"/>
      <c r="E628" s="326"/>
      <c r="F628" s="326"/>
      <c r="G628" s="326"/>
      <c r="H628" s="327"/>
      <c r="I628" s="328"/>
      <c r="J628" s="328"/>
      <c r="K628" s="328"/>
      <c r="L628" s="329"/>
      <c r="M628" s="329"/>
      <c r="N628" s="328"/>
      <c r="O628" s="328"/>
      <c r="P628" s="328"/>
      <c r="Q628" s="328"/>
      <c r="R628" s="328"/>
      <c r="S628" s="328"/>
      <c r="T628" s="328"/>
      <c r="U628" s="328"/>
      <c r="X628" s="330"/>
      <c r="Y628" s="330"/>
      <c r="Z628" s="330"/>
      <c r="AA628" s="330"/>
      <c r="AZ628" s="331"/>
      <c r="BA628" s="332"/>
      <c r="BB628" s="334"/>
    </row>
    <row r="629" spans="3:54" s="324" customFormat="1" x14ac:dyDescent="0.5">
      <c r="C629" s="325"/>
      <c r="D629" s="326"/>
      <c r="E629" s="326"/>
      <c r="F629" s="326"/>
      <c r="G629" s="326"/>
      <c r="H629" s="327"/>
      <c r="I629" s="328"/>
      <c r="J629" s="328"/>
      <c r="K629" s="328"/>
      <c r="L629" s="329"/>
      <c r="M629" s="329"/>
      <c r="N629" s="328"/>
      <c r="O629" s="328"/>
      <c r="P629" s="328"/>
      <c r="Q629" s="328"/>
      <c r="R629" s="328"/>
      <c r="S629" s="328"/>
      <c r="T629" s="328"/>
      <c r="U629" s="328"/>
      <c r="X629" s="330"/>
      <c r="Y629" s="330"/>
      <c r="Z629" s="330"/>
      <c r="AA629" s="330"/>
      <c r="AZ629" s="331"/>
      <c r="BA629" s="332"/>
      <c r="BB629" s="334"/>
    </row>
    <row r="630" spans="3:54" s="324" customFormat="1" x14ac:dyDescent="0.5">
      <c r="C630" s="325"/>
      <c r="D630" s="326"/>
      <c r="E630" s="326"/>
      <c r="F630" s="326"/>
      <c r="G630" s="326"/>
      <c r="H630" s="327"/>
      <c r="I630" s="328"/>
      <c r="J630" s="328"/>
      <c r="K630" s="328"/>
      <c r="L630" s="329"/>
      <c r="M630" s="329"/>
      <c r="N630" s="328"/>
      <c r="O630" s="328"/>
      <c r="P630" s="328"/>
      <c r="Q630" s="328"/>
      <c r="R630" s="328"/>
      <c r="S630" s="328"/>
      <c r="T630" s="328"/>
      <c r="U630" s="328"/>
      <c r="X630" s="330"/>
      <c r="Y630" s="330"/>
      <c r="Z630" s="330"/>
      <c r="AA630" s="330"/>
      <c r="AZ630" s="331"/>
      <c r="BA630" s="332"/>
      <c r="BB630" s="334"/>
    </row>
    <row r="631" spans="3:54" s="324" customFormat="1" x14ac:dyDescent="0.5">
      <c r="C631" s="325"/>
      <c r="D631" s="326"/>
      <c r="E631" s="326"/>
      <c r="F631" s="326"/>
      <c r="G631" s="326"/>
      <c r="H631" s="327"/>
      <c r="I631" s="328"/>
      <c r="J631" s="328"/>
      <c r="K631" s="328"/>
      <c r="L631" s="329"/>
      <c r="M631" s="329"/>
      <c r="N631" s="328"/>
      <c r="O631" s="328"/>
      <c r="P631" s="328"/>
      <c r="Q631" s="328"/>
      <c r="R631" s="328"/>
      <c r="S631" s="328"/>
      <c r="T631" s="328"/>
      <c r="U631" s="328"/>
      <c r="X631" s="330"/>
      <c r="Y631" s="330"/>
      <c r="Z631" s="330"/>
      <c r="AA631" s="330"/>
      <c r="AZ631" s="331"/>
      <c r="BA631" s="332"/>
      <c r="BB631" s="334"/>
    </row>
    <row r="632" spans="3:54" s="324" customFormat="1" x14ac:dyDescent="0.5">
      <c r="C632" s="325"/>
      <c r="D632" s="326"/>
      <c r="E632" s="326"/>
      <c r="F632" s="326"/>
      <c r="G632" s="326"/>
      <c r="H632" s="327"/>
      <c r="I632" s="328"/>
      <c r="J632" s="328"/>
      <c r="K632" s="328"/>
      <c r="L632" s="329"/>
      <c r="M632" s="329"/>
      <c r="N632" s="328"/>
      <c r="O632" s="328"/>
      <c r="P632" s="328"/>
      <c r="Q632" s="328"/>
      <c r="R632" s="328"/>
      <c r="S632" s="328"/>
      <c r="T632" s="328"/>
      <c r="U632" s="328"/>
      <c r="X632" s="330"/>
      <c r="Y632" s="330"/>
      <c r="Z632" s="330"/>
      <c r="AA632" s="330"/>
      <c r="AZ632" s="331"/>
      <c r="BA632" s="332"/>
      <c r="BB632" s="334"/>
    </row>
    <row r="633" spans="3:54" s="324" customFormat="1" x14ac:dyDescent="0.5">
      <c r="C633" s="325"/>
      <c r="D633" s="326"/>
      <c r="E633" s="326"/>
      <c r="F633" s="326"/>
      <c r="G633" s="326"/>
      <c r="H633" s="327"/>
      <c r="I633" s="328"/>
      <c r="J633" s="328"/>
      <c r="K633" s="328"/>
      <c r="L633" s="329"/>
      <c r="M633" s="329"/>
      <c r="N633" s="328"/>
      <c r="O633" s="328"/>
      <c r="P633" s="328"/>
      <c r="Q633" s="328"/>
      <c r="R633" s="328"/>
      <c r="S633" s="328"/>
      <c r="T633" s="328"/>
      <c r="U633" s="328"/>
      <c r="X633" s="330"/>
      <c r="Y633" s="330"/>
      <c r="Z633" s="330"/>
      <c r="AA633" s="330"/>
      <c r="AZ633" s="331"/>
      <c r="BA633" s="332"/>
      <c r="BB633" s="334"/>
    </row>
    <row r="634" spans="3:54" s="324" customFormat="1" x14ac:dyDescent="0.5">
      <c r="C634" s="325"/>
      <c r="D634" s="326"/>
      <c r="E634" s="326"/>
      <c r="F634" s="326"/>
      <c r="G634" s="326"/>
      <c r="H634" s="327"/>
      <c r="I634" s="328"/>
      <c r="J634" s="328"/>
      <c r="K634" s="328"/>
      <c r="L634" s="329"/>
      <c r="M634" s="329"/>
      <c r="N634" s="328"/>
      <c r="O634" s="328"/>
      <c r="P634" s="328"/>
      <c r="Q634" s="328"/>
      <c r="R634" s="328"/>
      <c r="S634" s="328"/>
      <c r="T634" s="328"/>
      <c r="U634" s="328"/>
      <c r="X634" s="330"/>
      <c r="Y634" s="330"/>
      <c r="Z634" s="330"/>
      <c r="AA634" s="330"/>
      <c r="AZ634" s="331"/>
      <c r="BA634" s="332"/>
      <c r="BB634" s="334"/>
    </row>
    <row r="635" spans="3:54" s="324" customFormat="1" x14ac:dyDescent="0.5">
      <c r="C635" s="325"/>
      <c r="D635" s="326"/>
      <c r="E635" s="326"/>
      <c r="F635" s="326"/>
      <c r="G635" s="326"/>
      <c r="H635" s="327"/>
      <c r="I635" s="328"/>
      <c r="J635" s="328"/>
      <c r="K635" s="328"/>
      <c r="L635" s="329"/>
      <c r="M635" s="329"/>
      <c r="N635" s="328"/>
      <c r="O635" s="328"/>
      <c r="P635" s="328"/>
      <c r="Q635" s="328"/>
      <c r="R635" s="328"/>
      <c r="S635" s="328"/>
      <c r="T635" s="328"/>
      <c r="U635" s="328"/>
      <c r="X635" s="330"/>
      <c r="Y635" s="330"/>
      <c r="Z635" s="330"/>
      <c r="AA635" s="330"/>
      <c r="AZ635" s="331"/>
      <c r="BA635" s="332"/>
      <c r="BB635" s="334"/>
    </row>
    <row r="636" spans="3:54" s="324" customFormat="1" x14ac:dyDescent="0.5">
      <c r="C636" s="325"/>
      <c r="D636" s="326"/>
      <c r="E636" s="326"/>
      <c r="F636" s="326"/>
      <c r="G636" s="326"/>
      <c r="H636" s="327"/>
      <c r="I636" s="328"/>
      <c r="J636" s="328"/>
      <c r="K636" s="328"/>
      <c r="L636" s="329"/>
      <c r="M636" s="329"/>
      <c r="N636" s="328"/>
      <c r="O636" s="328"/>
      <c r="P636" s="328"/>
      <c r="Q636" s="328"/>
      <c r="R636" s="328"/>
      <c r="S636" s="328"/>
      <c r="T636" s="328"/>
      <c r="U636" s="328"/>
      <c r="X636" s="330"/>
      <c r="Y636" s="330"/>
      <c r="Z636" s="330"/>
      <c r="AA636" s="330"/>
      <c r="AZ636" s="331"/>
      <c r="BA636" s="332"/>
      <c r="BB636" s="334"/>
    </row>
    <row r="637" spans="3:54" s="324" customFormat="1" x14ac:dyDescent="0.5">
      <c r="C637" s="325"/>
      <c r="D637" s="326"/>
      <c r="E637" s="326"/>
      <c r="F637" s="326"/>
      <c r="G637" s="326"/>
      <c r="H637" s="327"/>
      <c r="I637" s="328"/>
      <c r="J637" s="328"/>
      <c r="K637" s="328"/>
      <c r="L637" s="329"/>
      <c r="M637" s="329"/>
      <c r="N637" s="328"/>
      <c r="O637" s="328"/>
      <c r="P637" s="328"/>
      <c r="Q637" s="328"/>
      <c r="R637" s="328"/>
      <c r="S637" s="328"/>
      <c r="T637" s="328"/>
      <c r="U637" s="328"/>
      <c r="X637" s="330"/>
      <c r="Y637" s="330"/>
      <c r="Z637" s="330"/>
      <c r="AA637" s="330"/>
      <c r="AZ637" s="331"/>
      <c r="BA637" s="332"/>
      <c r="BB637" s="334"/>
    </row>
    <row r="638" spans="3:54" s="324" customFormat="1" x14ac:dyDescent="0.5">
      <c r="C638" s="325"/>
      <c r="D638" s="326"/>
      <c r="E638" s="326"/>
      <c r="F638" s="326"/>
      <c r="G638" s="326"/>
      <c r="H638" s="327"/>
      <c r="I638" s="328"/>
      <c r="J638" s="328"/>
      <c r="K638" s="328"/>
      <c r="L638" s="329"/>
      <c r="M638" s="329"/>
      <c r="N638" s="328"/>
      <c r="O638" s="328"/>
      <c r="P638" s="328"/>
      <c r="Q638" s="328"/>
      <c r="R638" s="328"/>
      <c r="S638" s="328"/>
      <c r="T638" s="328"/>
      <c r="U638" s="328"/>
      <c r="X638" s="330"/>
      <c r="Y638" s="330"/>
      <c r="Z638" s="330"/>
      <c r="AA638" s="330"/>
      <c r="AZ638" s="331"/>
      <c r="BA638" s="332"/>
      <c r="BB638" s="334"/>
    </row>
    <row r="639" spans="3:54" s="324" customFormat="1" x14ac:dyDescent="0.5">
      <c r="C639" s="325"/>
      <c r="D639" s="326"/>
      <c r="E639" s="326"/>
      <c r="F639" s="326"/>
      <c r="G639" s="326"/>
      <c r="H639" s="327"/>
      <c r="I639" s="328"/>
      <c r="J639" s="328"/>
      <c r="K639" s="328"/>
      <c r="L639" s="329"/>
      <c r="M639" s="329"/>
      <c r="N639" s="328"/>
      <c r="O639" s="328"/>
      <c r="P639" s="328"/>
      <c r="Q639" s="328"/>
      <c r="R639" s="328"/>
      <c r="S639" s="328"/>
      <c r="T639" s="328"/>
      <c r="U639" s="328"/>
      <c r="X639" s="330"/>
      <c r="Y639" s="330"/>
      <c r="Z639" s="330"/>
      <c r="AA639" s="330"/>
      <c r="AZ639" s="331"/>
      <c r="BA639" s="332"/>
      <c r="BB639" s="334"/>
    </row>
    <row r="640" spans="3:54" s="324" customFormat="1" x14ac:dyDescent="0.5">
      <c r="C640" s="325"/>
      <c r="D640" s="326"/>
      <c r="E640" s="326"/>
      <c r="F640" s="326"/>
      <c r="G640" s="326"/>
      <c r="H640" s="327"/>
      <c r="I640" s="328"/>
      <c r="J640" s="328"/>
      <c r="K640" s="328"/>
      <c r="L640" s="329"/>
      <c r="M640" s="329"/>
      <c r="N640" s="328"/>
      <c r="O640" s="328"/>
      <c r="P640" s="328"/>
      <c r="Q640" s="328"/>
      <c r="R640" s="328"/>
      <c r="S640" s="328"/>
      <c r="T640" s="328"/>
      <c r="U640" s="328"/>
      <c r="X640" s="330"/>
      <c r="Y640" s="330"/>
      <c r="Z640" s="330"/>
      <c r="AA640" s="330"/>
      <c r="AZ640" s="331"/>
      <c r="BA640" s="332"/>
      <c r="BB640" s="334"/>
    </row>
    <row r="641" spans="3:54" s="324" customFormat="1" x14ac:dyDescent="0.5">
      <c r="C641" s="325"/>
      <c r="D641" s="326"/>
      <c r="E641" s="326"/>
      <c r="F641" s="326"/>
      <c r="G641" s="326"/>
      <c r="H641" s="327"/>
      <c r="I641" s="328"/>
      <c r="J641" s="328"/>
      <c r="K641" s="328"/>
      <c r="L641" s="329"/>
      <c r="M641" s="329"/>
      <c r="N641" s="328"/>
      <c r="O641" s="328"/>
      <c r="P641" s="328"/>
      <c r="Q641" s="328"/>
      <c r="R641" s="328"/>
      <c r="S641" s="328"/>
      <c r="T641" s="328"/>
      <c r="U641" s="328"/>
      <c r="X641" s="330"/>
      <c r="Y641" s="330"/>
      <c r="Z641" s="330"/>
      <c r="AA641" s="330"/>
      <c r="AZ641" s="331"/>
      <c r="BA641" s="332"/>
      <c r="BB641" s="334"/>
    </row>
    <row r="642" spans="3:54" s="324" customFormat="1" x14ac:dyDescent="0.5">
      <c r="C642" s="325"/>
      <c r="D642" s="326"/>
      <c r="E642" s="326"/>
      <c r="F642" s="326"/>
      <c r="G642" s="326"/>
      <c r="H642" s="327"/>
      <c r="I642" s="328"/>
      <c r="J642" s="328"/>
      <c r="K642" s="328"/>
      <c r="L642" s="329"/>
      <c r="M642" s="329"/>
      <c r="N642" s="328"/>
      <c r="O642" s="328"/>
      <c r="P642" s="328"/>
      <c r="Q642" s="328"/>
      <c r="R642" s="328"/>
      <c r="S642" s="328"/>
      <c r="T642" s="328"/>
      <c r="U642" s="328"/>
      <c r="X642" s="330"/>
      <c r="Y642" s="330"/>
      <c r="Z642" s="330"/>
      <c r="AA642" s="330"/>
      <c r="AZ642" s="331"/>
      <c r="BA642" s="332"/>
      <c r="BB642" s="334"/>
    </row>
    <row r="643" spans="3:54" s="324" customFormat="1" x14ac:dyDescent="0.5">
      <c r="C643" s="325"/>
      <c r="D643" s="326"/>
      <c r="E643" s="326"/>
      <c r="F643" s="326"/>
      <c r="G643" s="326"/>
      <c r="H643" s="327"/>
      <c r="I643" s="328"/>
      <c r="J643" s="328"/>
      <c r="K643" s="328"/>
      <c r="L643" s="329"/>
      <c r="M643" s="329"/>
      <c r="N643" s="328"/>
      <c r="O643" s="328"/>
      <c r="P643" s="328"/>
      <c r="Q643" s="328"/>
      <c r="R643" s="328"/>
      <c r="S643" s="328"/>
      <c r="T643" s="328"/>
      <c r="U643" s="328"/>
      <c r="X643" s="330"/>
      <c r="Y643" s="330"/>
      <c r="Z643" s="330"/>
      <c r="AA643" s="330"/>
      <c r="AZ643" s="331"/>
      <c r="BA643" s="332"/>
      <c r="BB643" s="334"/>
    </row>
    <row r="644" spans="3:54" s="324" customFormat="1" x14ac:dyDescent="0.5">
      <c r="C644" s="325"/>
      <c r="D644" s="326"/>
      <c r="E644" s="326"/>
      <c r="F644" s="326"/>
      <c r="G644" s="326"/>
      <c r="H644" s="327"/>
      <c r="I644" s="328"/>
      <c r="J644" s="328"/>
      <c r="K644" s="328"/>
      <c r="L644" s="329"/>
      <c r="M644" s="329"/>
      <c r="N644" s="328"/>
      <c r="O644" s="328"/>
      <c r="P644" s="328"/>
      <c r="Q644" s="328"/>
      <c r="R644" s="328"/>
      <c r="S644" s="328"/>
      <c r="T644" s="328"/>
      <c r="U644" s="328"/>
      <c r="X644" s="330"/>
      <c r="Y644" s="330"/>
      <c r="Z644" s="330"/>
      <c r="AA644" s="330"/>
      <c r="AZ644" s="331"/>
      <c r="BA644" s="332"/>
      <c r="BB644" s="334"/>
    </row>
    <row r="645" spans="3:54" s="324" customFormat="1" x14ac:dyDescent="0.5">
      <c r="C645" s="325"/>
      <c r="D645" s="326"/>
      <c r="E645" s="326"/>
      <c r="F645" s="326"/>
      <c r="G645" s="326"/>
      <c r="H645" s="327"/>
      <c r="I645" s="328"/>
      <c r="J645" s="328"/>
      <c r="K645" s="328"/>
      <c r="L645" s="329"/>
      <c r="M645" s="329"/>
      <c r="N645" s="328"/>
      <c r="O645" s="328"/>
      <c r="P645" s="328"/>
      <c r="Q645" s="328"/>
      <c r="R645" s="328"/>
      <c r="S645" s="328"/>
      <c r="T645" s="328"/>
      <c r="U645" s="328"/>
      <c r="X645" s="330"/>
      <c r="Y645" s="330"/>
      <c r="Z645" s="330"/>
      <c r="AA645" s="330"/>
      <c r="AZ645" s="331"/>
      <c r="BA645" s="332"/>
      <c r="BB645" s="334"/>
    </row>
    <row r="646" spans="3:54" s="324" customFormat="1" x14ac:dyDescent="0.5">
      <c r="C646" s="325"/>
      <c r="D646" s="326"/>
      <c r="E646" s="326"/>
      <c r="F646" s="326"/>
      <c r="G646" s="326"/>
      <c r="H646" s="327"/>
      <c r="I646" s="328"/>
      <c r="J646" s="328"/>
      <c r="K646" s="328"/>
      <c r="L646" s="329"/>
      <c r="M646" s="329"/>
      <c r="N646" s="328"/>
      <c r="O646" s="328"/>
      <c r="P646" s="328"/>
      <c r="Q646" s="328"/>
      <c r="R646" s="328"/>
      <c r="S646" s="328"/>
      <c r="T646" s="328"/>
      <c r="U646" s="328"/>
      <c r="X646" s="330"/>
      <c r="Y646" s="330"/>
      <c r="Z646" s="330"/>
      <c r="AA646" s="330"/>
      <c r="AZ646" s="331"/>
      <c r="BA646" s="332"/>
      <c r="BB646" s="334"/>
    </row>
    <row r="647" spans="3:54" s="324" customFormat="1" x14ac:dyDescent="0.5">
      <c r="C647" s="325"/>
      <c r="D647" s="326"/>
      <c r="E647" s="326"/>
      <c r="F647" s="326"/>
      <c r="G647" s="326"/>
      <c r="H647" s="327"/>
      <c r="I647" s="328"/>
      <c r="J647" s="328"/>
      <c r="K647" s="328"/>
      <c r="L647" s="329"/>
      <c r="M647" s="329"/>
      <c r="N647" s="328"/>
      <c r="O647" s="328"/>
      <c r="P647" s="328"/>
      <c r="Q647" s="328"/>
      <c r="R647" s="328"/>
      <c r="S647" s="328"/>
      <c r="T647" s="328"/>
      <c r="U647" s="328"/>
      <c r="X647" s="330"/>
      <c r="Y647" s="330"/>
      <c r="Z647" s="330"/>
      <c r="AA647" s="330"/>
      <c r="AZ647" s="331"/>
      <c r="BA647" s="332"/>
      <c r="BB647" s="334"/>
    </row>
    <row r="648" spans="3:54" s="324" customFormat="1" x14ac:dyDescent="0.5">
      <c r="C648" s="325"/>
      <c r="D648" s="326"/>
      <c r="E648" s="326"/>
      <c r="F648" s="326"/>
      <c r="G648" s="326"/>
      <c r="H648" s="327"/>
      <c r="I648" s="328"/>
      <c r="J648" s="328"/>
      <c r="K648" s="328"/>
      <c r="L648" s="329"/>
      <c r="M648" s="329"/>
      <c r="N648" s="328"/>
      <c r="O648" s="328"/>
      <c r="P648" s="328"/>
      <c r="Q648" s="328"/>
      <c r="R648" s="328"/>
      <c r="S648" s="328"/>
      <c r="T648" s="328"/>
      <c r="U648" s="328"/>
      <c r="X648" s="330"/>
      <c r="Y648" s="330"/>
      <c r="Z648" s="330"/>
      <c r="AA648" s="330"/>
      <c r="AZ648" s="331"/>
      <c r="BA648" s="332"/>
      <c r="BB648" s="334"/>
    </row>
    <row r="649" spans="3:54" s="324" customFormat="1" x14ac:dyDescent="0.5">
      <c r="C649" s="325"/>
      <c r="D649" s="326"/>
      <c r="E649" s="326"/>
      <c r="F649" s="326"/>
      <c r="G649" s="326"/>
      <c r="H649" s="327"/>
      <c r="I649" s="328"/>
      <c r="J649" s="328"/>
      <c r="K649" s="328"/>
      <c r="L649" s="329"/>
      <c r="M649" s="329"/>
      <c r="N649" s="328"/>
      <c r="O649" s="328"/>
      <c r="P649" s="328"/>
      <c r="Q649" s="328"/>
      <c r="R649" s="328"/>
      <c r="S649" s="328"/>
      <c r="T649" s="328"/>
      <c r="U649" s="328"/>
      <c r="X649" s="330"/>
      <c r="Y649" s="330"/>
      <c r="Z649" s="330"/>
      <c r="AA649" s="330"/>
      <c r="AZ649" s="331"/>
      <c r="BA649" s="332"/>
      <c r="BB649" s="334"/>
    </row>
    <row r="650" spans="3:54" s="324" customFormat="1" x14ac:dyDescent="0.5">
      <c r="C650" s="325"/>
      <c r="D650" s="326"/>
      <c r="E650" s="326"/>
      <c r="F650" s="326"/>
      <c r="G650" s="326"/>
      <c r="H650" s="327"/>
      <c r="I650" s="328"/>
      <c r="J650" s="328"/>
      <c r="K650" s="328"/>
      <c r="L650" s="329"/>
      <c r="M650" s="329"/>
      <c r="N650" s="328"/>
      <c r="O650" s="328"/>
      <c r="P650" s="328"/>
      <c r="Q650" s="328"/>
      <c r="R650" s="328"/>
      <c r="S650" s="328"/>
      <c r="T650" s="328"/>
      <c r="U650" s="328"/>
      <c r="X650" s="330"/>
      <c r="Y650" s="330"/>
      <c r="Z650" s="330"/>
      <c r="AA650" s="330"/>
      <c r="AZ650" s="331"/>
      <c r="BA650" s="332"/>
      <c r="BB650" s="334"/>
    </row>
    <row r="651" spans="3:54" s="324" customFormat="1" x14ac:dyDescent="0.5">
      <c r="C651" s="325"/>
      <c r="D651" s="326"/>
      <c r="E651" s="326"/>
      <c r="F651" s="326"/>
      <c r="G651" s="326"/>
      <c r="H651" s="327"/>
      <c r="I651" s="328"/>
      <c r="J651" s="328"/>
      <c r="K651" s="328"/>
      <c r="L651" s="329"/>
      <c r="M651" s="329"/>
      <c r="N651" s="328"/>
      <c r="O651" s="328"/>
      <c r="P651" s="328"/>
      <c r="Q651" s="328"/>
      <c r="R651" s="328"/>
      <c r="S651" s="328"/>
      <c r="T651" s="328"/>
      <c r="U651" s="328"/>
      <c r="X651" s="330"/>
      <c r="Y651" s="330"/>
      <c r="Z651" s="330"/>
      <c r="AA651" s="330"/>
      <c r="AZ651" s="331"/>
      <c r="BA651" s="332"/>
      <c r="BB651" s="334"/>
    </row>
    <row r="652" spans="3:54" s="324" customFormat="1" x14ac:dyDescent="0.5">
      <c r="C652" s="325"/>
      <c r="D652" s="326"/>
      <c r="E652" s="326"/>
      <c r="F652" s="326"/>
      <c r="G652" s="326"/>
      <c r="H652" s="327"/>
      <c r="I652" s="328"/>
      <c r="J652" s="328"/>
      <c r="K652" s="328"/>
      <c r="L652" s="329"/>
      <c r="M652" s="329"/>
      <c r="N652" s="328"/>
      <c r="O652" s="328"/>
      <c r="P652" s="328"/>
      <c r="Q652" s="328"/>
      <c r="R652" s="328"/>
      <c r="S652" s="328"/>
      <c r="T652" s="328"/>
      <c r="U652" s="328"/>
      <c r="X652" s="330"/>
      <c r="Y652" s="330"/>
      <c r="Z652" s="330"/>
      <c r="AA652" s="330"/>
      <c r="AZ652" s="331"/>
      <c r="BA652" s="332"/>
      <c r="BB652" s="334"/>
    </row>
    <row r="653" spans="3:54" s="324" customFormat="1" x14ac:dyDescent="0.5">
      <c r="C653" s="325"/>
      <c r="D653" s="326"/>
      <c r="E653" s="326"/>
      <c r="F653" s="326"/>
      <c r="G653" s="326"/>
      <c r="H653" s="327"/>
      <c r="I653" s="328"/>
      <c r="J653" s="328"/>
      <c r="K653" s="328"/>
      <c r="L653" s="329"/>
      <c r="M653" s="329"/>
      <c r="N653" s="328"/>
      <c r="O653" s="328"/>
      <c r="P653" s="328"/>
      <c r="Q653" s="328"/>
      <c r="R653" s="328"/>
      <c r="S653" s="328"/>
      <c r="T653" s="328"/>
      <c r="U653" s="328"/>
      <c r="X653" s="330"/>
      <c r="Y653" s="330"/>
      <c r="Z653" s="330"/>
      <c r="AA653" s="330"/>
      <c r="AZ653" s="331"/>
      <c r="BA653" s="332"/>
      <c r="BB653" s="334"/>
    </row>
    <row r="654" spans="3:54" s="324" customFormat="1" x14ac:dyDescent="0.5">
      <c r="C654" s="325"/>
      <c r="D654" s="326"/>
      <c r="E654" s="326"/>
      <c r="F654" s="326"/>
      <c r="G654" s="326"/>
      <c r="H654" s="327"/>
      <c r="I654" s="328"/>
      <c r="J654" s="328"/>
      <c r="K654" s="328"/>
      <c r="L654" s="329"/>
      <c r="M654" s="329"/>
      <c r="N654" s="328"/>
      <c r="O654" s="328"/>
      <c r="P654" s="328"/>
      <c r="Q654" s="328"/>
      <c r="R654" s="328"/>
      <c r="S654" s="328"/>
      <c r="T654" s="328"/>
      <c r="U654" s="328"/>
      <c r="X654" s="330"/>
      <c r="Y654" s="330"/>
      <c r="Z654" s="330"/>
      <c r="AA654" s="330"/>
      <c r="AZ654" s="331"/>
      <c r="BA654" s="332"/>
      <c r="BB654" s="334"/>
    </row>
    <row r="655" spans="3:54" s="324" customFormat="1" x14ac:dyDescent="0.5">
      <c r="C655" s="325"/>
      <c r="D655" s="326"/>
      <c r="E655" s="326"/>
      <c r="F655" s="326"/>
      <c r="G655" s="326"/>
      <c r="H655" s="327"/>
      <c r="I655" s="328"/>
      <c r="J655" s="328"/>
      <c r="K655" s="328"/>
      <c r="L655" s="329"/>
      <c r="M655" s="329"/>
      <c r="N655" s="328"/>
      <c r="O655" s="328"/>
      <c r="P655" s="328"/>
      <c r="Q655" s="328"/>
      <c r="R655" s="328"/>
      <c r="S655" s="328"/>
      <c r="T655" s="328"/>
      <c r="U655" s="328"/>
      <c r="X655" s="330"/>
      <c r="Y655" s="330"/>
      <c r="Z655" s="330"/>
      <c r="AA655" s="330"/>
      <c r="AZ655" s="331"/>
      <c r="BA655" s="332"/>
      <c r="BB655" s="334"/>
    </row>
    <row r="656" spans="3:54" s="324" customFormat="1" x14ac:dyDescent="0.5">
      <c r="C656" s="325"/>
      <c r="D656" s="326"/>
      <c r="E656" s="326"/>
      <c r="F656" s="326"/>
      <c r="G656" s="326"/>
      <c r="H656" s="327"/>
      <c r="I656" s="328"/>
      <c r="J656" s="328"/>
      <c r="K656" s="328"/>
      <c r="L656" s="329"/>
      <c r="M656" s="329"/>
      <c r="N656" s="328"/>
      <c r="O656" s="328"/>
      <c r="P656" s="328"/>
      <c r="Q656" s="328"/>
      <c r="R656" s="328"/>
      <c r="S656" s="328"/>
      <c r="T656" s="328"/>
      <c r="U656" s="328"/>
      <c r="X656" s="330"/>
      <c r="Y656" s="330"/>
      <c r="Z656" s="330"/>
      <c r="AA656" s="330"/>
      <c r="AZ656" s="331"/>
      <c r="BA656" s="332"/>
      <c r="BB656" s="334"/>
    </row>
    <row r="657" spans="3:54" s="324" customFormat="1" x14ac:dyDescent="0.5">
      <c r="C657" s="325"/>
      <c r="D657" s="326"/>
      <c r="E657" s="326"/>
      <c r="F657" s="326"/>
      <c r="G657" s="326"/>
      <c r="H657" s="327"/>
      <c r="I657" s="328"/>
      <c r="J657" s="328"/>
      <c r="K657" s="328"/>
      <c r="L657" s="329"/>
      <c r="M657" s="329"/>
      <c r="N657" s="328"/>
      <c r="O657" s="328"/>
      <c r="P657" s="328"/>
      <c r="Q657" s="328"/>
      <c r="R657" s="328"/>
      <c r="S657" s="328"/>
      <c r="T657" s="328"/>
      <c r="U657" s="328"/>
      <c r="X657" s="330"/>
      <c r="Y657" s="330"/>
      <c r="Z657" s="330"/>
      <c r="AA657" s="330"/>
      <c r="AZ657" s="331"/>
      <c r="BA657" s="332"/>
      <c r="BB657" s="334"/>
    </row>
    <row r="658" spans="3:54" s="324" customFormat="1" x14ac:dyDescent="0.5">
      <c r="C658" s="325"/>
      <c r="D658" s="326"/>
      <c r="E658" s="326"/>
      <c r="F658" s="326"/>
      <c r="G658" s="326"/>
      <c r="H658" s="327"/>
      <c r="I658" s="328"/>
      <c r="J658" s="328"/>
      <c r="K658" s="328"/>
      <c r="L658" s="329"/>
      <c r="M658" s="329"/>
      <c r="N658" s="328"/>
      <c r="O658" s="328"/>
      <c r="P658" s="328"/>
      <c r="Q658" s="328"/>
      <c r="R658" s="328"/>
      <c r="S658" s="328"/>
      <c r="T658" s="328"/>
      <c r="U658" s="328"/>
      <c r="X658" s="330"/>
      <c r="Y658" s="330"/>
      <c r="Z658" s="330"/>
      <c r="AA658" s="330"/>
      <c r="AZ658" s="331"/>
      <c r="BA658" s="332"/>
      <c r="BB658" s="334"/>
    </row>
    <row r="659" spans="3:54" s="324" customFormat="1" x14ac:dyDescent="0.5">
      <c r="C659" s="325"/>
      <c r="D659" s="326"/>
      <c r="E659" s="326"/>
      <c r="F659" s="326"/>
      <c r="G659" s="326"/>
      <c r="H659" s="327"/>
      <c r="I659" s="328"/>
      <c r="J659" s="328"/>
      <c r="K659" s="328"/>
      <c r="L659" s="329"/>
      <c r="M659" s="329"/>
      <c r="N659" s="328"/>
      <c r="O659" s="328"/>
      <c r="P659" s="328"/>
      <c r="Q659" s="328"/>
      <c r="R659" s="328"/>
      <c r="S659" s="328"/>
      <c r="T659" s="328"/>
      <c r="U659" s="328"/>
      <c r="X659" s="330"/>
      <c r="Y659" s="330"/>
      <c r="Z659" s="330"/>
      <c r="AA659" s="330"/>
      <c r="AZ659" s="331"/>
      <c r="BA659" s="332"/>
      <c r="BB659" s="334"/>
    </row>
    <row r="660" spans="3:54" s="324" customFormat="1" x14ac:dyDescent="0.5">
      <c r="C660" s="325"/>
      <c r="D660" s="326"/>
      <c r="E660" s="326"/>
      <c r="F660" s="326"/>
      <c r="G660" s="326"/>
      <c r="H660" s="327"/>
      <c r="I660" s="328"/>
      <c r="J660" s="328"/>
      <c r="K660" s="328"/>
      <c r="L660" s="329"/>
      <c r="M660" s="329"/>
      <c r="N660" s="328"/>
      <c r="O660" s="328"/>
      <c r="P660" s="328"/>
      <c r="Q660" s="328"/>
      <c r="R660" s="328"/>
      <c r="S660" s="328"/>
      <c r="T660" s="328"/>
      <c r="U660" s="328"/>
      <c r="X660" s="330"/>
      <c r="Y660" s="330"/>
      <c r="Z660" s="330"/>
      <c r="AA660" s="330"/>
      <c r="AZ660" s="331"/>
      <c r="BA660" s="332"/>
      <c r="BB660" s="334"/>
    </row>
    <row r="661" spans="3:54" s="324" customFormat="1" x14ac:dyDescent="0.5">
      <c r="C661" s="325"/>
      <c r="D661" s="326"/>
      <c r="E661" s="326"/>
      <c r="F661" s="326"/>
      <c r="G661" s="326"/>
      <c r="H661" s="327"/>
      <c r="I661" s="328"/>
      <c r="J661" s="328"/>
      <c r="K661" s="328"/>
      <c r="L661" s="329"/>
      <c r="M661" s="329"/>
      <c r="N661" s="328"/>
      <c r="O661" s="328"/>
      <c r="P661" s="328"/>
      <c r="Q661" s="328"/>
      <c r="R661" s="328"/>
      <c r="S661" s="328"/>
      <c r="T661" s="328"/>
      <c r="U661" s="328"/>
      <c r="X661" s="330"/>
      <c r="Y661" s="330"/>
      <c r="Z661" s="330"/>
      <c r="AA661" s="330"/>
      <c r="AZ661" s="331"/>
      <c r="BA661" s="332"/>
      <c r="BB661" s="334"/>
    </row>
    <row r="662" spans="3:54" s="324" customFormat="1" x14ac:dyDescent="0.5">
      <c r="C662" s="325"/>
      <c r="D662" s="326"/>
      <c r="E662" s="326"/>
      <c r="F662" s="326"/>
      <c r="G662" s="326"/>
      <c r="H662" s="327"/>
      <c r="I662" s="328"/>
      <c r="J662" s="328"/>
      <c r="K662" s="328"/>
      <c r="L662" s="329"/>
      <c r="M662" s="329"/>
      <c r="N662" s="328"/>
      <c r="O662" s="328"/>
      <c r="P662" s="328"/>
      <c r="Q662" s="328"/>
      <c r="R662" s="328"/>
      <c r="S662" s="328"/>
      <c r="T662" s="328"/>
      <c r="U662" s="328"/>
      <c r="X662" s="330"/>
      <c r="Y662" s="330"/>
      <c r="Z662" s="330"/>
      <c r="AA662" s="330"/>
      <c r="AZ662" s="331"/>
      <c r="BA662" s="332"/>
      <c r="BB662" s="334"/>
    </row>
    <row r="663" spans="3:54" s="324" customFormat="1" x14ac:dyDescent="0.5">
      <c r="C663" s="325"/>
      <c r="D663" s="326"/>
      <c r="E663" s="326"/>
      <c r="F663" s="326"/>
      <c r="G663" s="326"/>
      <c r="H663" s="327"/>
      <c r="I663" s="328"/>
      <c r="J663" s="328"/>
      <c r="K663" s="328"/>
      <c r="L663" s="329"/>
      <c r="M663" s="329"/>
      <c r="N663" s="328"/>
      <c r="O663" s="328"/>
      <c r="P663" s="328"/>
      <c r="Q663" s="328"/>
      <c r="R663" s="328"/>
      <c r="S663" s="328"/>
      <c r="T663" s="328"/>
      <c r="U663" s="328"/>
      <c r="X663" s="330"/>
      <c r="Y663" s="330"/>
      <c r="Z663" s="330"/>
      <c r="AA663" s="330"/>
      <c r="AZ663" s="331"/>
      <c r="BA663" s="332"/>
      <c r="BB663" s="334"/>
    </row>
    <row r="664" spans="3:54" s="324" customFormat="1" x14ac:dyDescent="0.5">
      <c r="C664" s="325"/>
      <c r="D664" s="326"/>
      <c r="E664" s="326"/>
      <c r="F664" s="326"/>
      <c r="G664" s="326"/>
      <c r="H664" s="327"/>
      <c r="I664" s="328"/>
      <c r="J664" s="328"/>
      <c r="K664" s="328"/>
      <c r="L664" s="329"/>
      <c r="M664" s="329"/>
      <c r="N664" s="328"/>
      <c r="O664" s="328"/>
      <c r="P664" s="328"/>
      <c r="Q664" s="328"/>
      <c r="R664" s="328"/>
      <c r="S664" s="328"/>
      <c r="T664" s="328"/>
      <c r="U664" s="328"/>
      <c r="X664" s="330"/>
      <c r="Y664" s="330"/>
      <c r="Z664" s="330"/>
      <c r="AA664" s="330"/>
      <c r="AZ664" s="331"/>
      <c r="BA664" s="332"/>
      <c r="BB664" s="334"/>
    </row>
    <row r="665" spans="3:54" s="324" customFormat="1" x14ac:dyDescent="0.5">
      <c r="C665" s="325"/>
      <c r="D665" s="326"/>
      <c r="E665" s="326"/>
      <c r="F665" s="326"/>
      <c r="G665" s="326"/>
      <c r="H665" s="327"/>
      <c r="I665" s="328"/>
      <c r="J665" s="328"/>
      <c r="K665" s="328"/>
      <c r="L665" s="329"/>
      <c r="M665" s="329"/>
      <c r="N665" s="328"/>
      <c r="O665" s="328"/>
      <c r="P665" s="328"/>
      <c r="Q665" s="328"/>
      <c r="R665" s="328"/>
      <c r="S665" s="328"/>
      <c r="T665" s="328"/>
      <c r="U665" s="328"/>
      <c r="X665" s="330"/>
      <c r="Y665" s="330"/>
      <c r="Z665" s="330"/>
      <c r="AA665" s="330"/>
      <c r="AZ665" s="331"/>
      <c r="BA665" s="332"/>
      <c r="BB665" s="334"/>
    </row>
    <row r="666" spans="3:54" s="324" customFormat="1" x14ac:dyDescent="0.5">
      <c r="C666" s="325"/>
      <c r="D666" s="326"/>
      <c r="E666" s="326"/>
      <c r="F666" s="326"/>
      <c r="G666" s="326"/>
      <c r="H666" s="327"/>
      <c r="I666" s="328"/>
      <c r="J666" s="328"/>
      <c r="K666" s="328"/>
      <c r="L666" s="329"/>
      <c r="M666" s="329"/>
      <c r="N666" s="328"/>
      <c r="O666" s="328"/>
      <c r="P666" s="328"/>
      <c r="Q666" s="328"/>
      <c r="R666" s="328"/>
      <c r="S666" s="328"/>
      <c r="T666" s="328"/>
      <c r="U666" s="328"/>
      <c r="X666" s="330"/>
      <c r="Y666" s="330"/>
      <c r="Z666" s="330"/>
      <c r="AA666" s="330"/>
      <c r="AZ666" s="331"/>
      <c r="BA666" s="332"/>
      <c r="BB666" s="334"/>
    </row>
    <row r="667" spans="3:54" s="324" customFormat="1" x14ac:dyDescent="0.5">
      <c r="C667" s="325"/>
      <c r="D667" s="326"/>
      <c r="E667" s="326"/>
      <c r="F667" s="326"/>
      <c r="G667" s="326"/>
      <c r="H667" s="327"/>
      <c r="I667" s="328"/>
      <c r="J667" s="328"/>
      <c r="K667" s="328"/>
      <c r="L667" s="329"/>
      <c r="M667" s="329"/>
      <c r="N667" s="328"/>
      <c r="O667" s="328"/>
      <c r="P667" s="328"/>
      <c r="Q667" s="328"/>
      <c r="R667" s="328"/>
      <c r="S667" s="328"/>
      <c r="T667" s="328"/>
      <c r="U667" s="328"/>
      <c r="X667" s="330"/>
      <c r="Y667" s="330"/>
      <c r="Z667" s="330"/>
      <c r="AA667" s="330"/>
      <c r="AZ667" s="331"/>
      <c r="BA667" s="332"/>
      <c r="BB667" s="334"/>
    </row>
    <row r="668" spans="3:54" s="324" customFormat="1" x14ac:dyDescent="0.5">
      <c r="C668" s="325"/>
      <c r="D668" s="326"/>
      <c r="E668" s="326"/>
      <c r="F668" s="326"/>
      <c r="G668" s="326"/>
      <c r="H668" s="327"/>
      <c r="I668" s="328"/>
      <c r="J668" s="328"/>
      <c r="K668" s="328"/>
      <c r="L668" s="329"/>
      <c r="M668" s="329"/>
      <c r="N668" s="328"/>
      <c r="O668" s="328"/>
      <c r="P668" s="328"/>
      <c r="Q668" s="328"/>
      <c r="R668" s="328"/>
      <c r="S668" s="328"/>
      <c r="T668" s="328"/>
      <c r="U668" s="328"/>
      <c r="X668" s="330"/>
      <c r="Y668" s="330"/>
      <c r="Z668" s="330"/>
      <c r="AA668" s="330"/>
      <c r="AZ668" s="331"/>
      <c r="BA668" s="332"/>
      <c r="BB668" s="334"/>
    </row>
    <row r="669" spans="3:54" s="324" customFormat="1" x14ac:dyDescent="0.5">
      <c r="C669" s="325"/>
      <c r="D669" s="326"/>
      <c r="E669" s="326"/>
      <c r="F669" s="326"/>
      <c r="G669" s="326"/>
      <c r="H669" s="327"/>
      <c r="I669" s="328"/>
      <c r="J669" s="328"/>
      <c r="K669" s="328"/>
      <c r="L669" s="329"/>
      <c r="M669" s="329"/>
      <c r="N669" s="328"/>
      <c r="O669" s="328"/>
      <c r="P669" s="328"/>
      <c r="Q669" s="328"/>
      <c r="R669" s="328"/>
      <c r="S669" s="328"/>
      <c r="T669" s="328"/>
      <c r="U669" s="328"/>
      <c r="X669" s="330"/>
      <c r="Y669" s="330"/>
      <c r="Z669" s="330"/>
      <c r="AA669" s="330"/>
      <c r="AZ669" s="331"/>
      <c r="BA669" s="332"/>
      <c r="BB669" s="334"/>
    </row>
    <row r="670" spans="3:54" s="324" customFormat="1" x14ac:dyDescent="0.5">
      <c r="C670" s="325"/>
      <c r="D670" s="326"/>
      <c r="E670" s="326"/>
      <c r="F670" s="326"/>
      <c r="G670" s="326"/>
      <c r="H670" s="327"/>
      <c r="I670" s="328"/>
      <c r="J670" s="328"/>
      <c r="K670" s="328"/>
      <c r="L670" s="329"/>
      <c r="M670" s="329"/>
      <c r="N670" s="328"/>
      <c r="O670" s="328"/>
      <c r="P670" s="328"/>
      <c r="Q670" s="328"/>
      <c r="R670" s="328"/>
      <c r="S670" s="328"/>
      <c r="T670" s="328"/>
      <c r="U670" s="328"/>
      <c r="X670" s="330"/>
      <c r="Y670" s="330"/>
      <c r="Z670" s="330"/>
      <c r="AA670" s="330"/>
      <c r="AZ670" s="331"/>
      <c r="BA670" s="332"/>
      <c r="BB670" s="334"/>
    </row>
    <row r="671" spans="3:54" s="324" customFormat="1" x14ac:dyDescent="0.5">
      <c r="C671" s="325"/>
      <c r="D671" s="326"/>
      <c r="E671" s="326"/>
      <c r="F671" s="326"/>
      <c r="G671" s="326"/>
      <c r="H671" s="327"/>
      <c r="I671" s="328"/>
      <c r="J671" s="328"/>
      <c r="K671" s="328"/>
      <c r="L671" s="329"/>
      <c r="M671" s="329"/>
      <c r="N671" s="328"/>
      <c r="O671" s="328"/>
      <c r="P671" s="328"/>
      <c r="Q671" s="328"/>
      <c r="R671" s="328"/>
      <c r="S671" s="328"/>
      <c r="T671" s="328"/>
      <c r="U671" s="328"/>
      <c r="X671" s="330"/>
      <c r="Y671" s="330"/>
      <c r="Z671" s="330"/>
      <c r="AA671" s="330"/>
      <c r="AZ671" s="331"/>
      <c r="BA671" s="332"/>
      <c r="BB671" s="334"/>
    </row>
    <row r="672" spans="3:54" s="324" customFormat="1" x14ac:dyDescent="0.5">
      <c r="C672" s="325"/>
      <c r="D672" s="326"/>
      <c r="E672" s="326"/>
      <c r="F672" s="326"/>
      <c r="G672" s="326"/>
      <c r="H672" s="327"/>
      <c r="I672" s="328"/>
      <c r="J672" s="328"/>
      <c r="K672" s="328"/>
      <c r="L672" s="329"/>
      <c r="M672" s="329"/>
      <c r="N672" s="328"/>
      <c r="O672" s="328"/>
      <c r="P672" s="328"/>
      <c r="Q672" s="328"/>
      <c r="R672" s="328"/>
      <c r="S672" s="328"/>
      <c r="T672" s="328"/>
      <c r="U672" s="328"/>
      <c r="X672" s="330"/>
      <c r="Y672" s="330"/>
      <c r="Z672" s="330"/>
      <c r="AA672" s="330"/>
      <c r="AZ672" s="331"/>
      <c r="BA672" s="332"/>
      <c r="BB672" s="334"/>
    </row>
    <row r="673" spans="3:54" s="324" customFormat="1" x14ac:dyDescent="0.5">
      <c r="C673" s="325"/>
      <c r="D673" s="326"/>
      <c r="E673" s="326"/>
      <c r="F673" s="326"/>
      <c r="G673" s="326"/>
      <c r="H673" s="327"/>
      <c r="I673" s="328"/>
      <c r="J673" s="328"/>
      <c r="K673" s="328"/>
      <c r="L673" s="329"/>
      <c r="M673" s="329"/>
      <c r="N673" s="328"/>
      <c r="O673" s="328"/>
      <c r="P673" s="328"/>
      <c r="Q673" s="328"/>
      <c r="R673" s="328"/>
      <c r="S673" s="328"/>
      <c r="T673" s="328"/>
      <c r="U673" s="328"/>
      <c r="X673" s="330"/>
      <c r="Y673" s="330"/>
      <c r="Z673" s="330"/>
      <c r="AA673" s="330"/>
      <c r="AZ673" s="331"/>
      <c r="BA673" s="332"/>
      <c r="BB673" s="334"/>
    </row>
    <row r="674" spans="3:54" s="324" customFormat="1" x14ac:dyDescent="0.5">
      <c r="C674" s="325"/>
      <c r="D674" s="326"/>
      <c r="E674" s="326"/>
      <c r="F674" s="326"/>
      <c r="G674" s="326"/>
      <c r="H674" s="327"/>
      <c r="I674" s="328"/>
      <c r="J674" s="328"/>
      <c r="K674" s="328"/>
      <c r="L674" s="329"/>
      <c r="M674" s="329"/>
      <c r="N674" s="328"/>
      <c r="O674" s="328"/>
      <c r="P674" s="328"/>
      <c r="Q674" s="328"/>
      <c r="R674" s="328"/>
      <c r="S674" s="328"/>
      <c r="T674" s="328"/>
      <c r="U674" s="328"/>
      <c r="X674" s="330"/>
      <c r="Y674" s="330"/>
      <c r="Z674" s="330"/>
      <c r="AA674" s="330"/>
      <c r="AZ674" s="331"/>
      <c r="BA674" s="332"/>
      <c r="BB674" s="334"/>
    </row>
    <row r="675" spans="3:54" s="324" customFormat="1" x14ac:dyDescent="0.5">
      <c r="C675" s="325"/>
      <c r="D675" s="326"/>
      <c r="E675" s="326"/>
      <c r="F675" s="326"/>
      <c r="G675" s="326"/>
      <c r="H675" s="327"/>
      <c r="I675" s="328"/>
      <c r="J675" s="328"/>
      <c r="K675" s="328"/>
      <c r="L675" s="329"/>
      <c r="M675" s="329"/>
      <c r="N675" s="328"/>
      <c r="O675" s="328"/>
      <c r="P675" s="328"/>
      <c r="Q675" s="328"/>
      <c r="R675" s="328"/>
      <c r="S675" s="328"/>
      <c r="T675" s="328"/>
      <c r="U675" s="328"/>
      <c r="X675" s="330"/>
      <c r="Y675" s="330"/>
      <c r="Z675" s="330"/>
      <c r="AA675" s="330"/>
      <c r="AZ675" s="331"/>
      <c r="BA675" s="332"/>
      <c r="BB675" s="334"/>
    </row>
    <row r="676" spans="3:54" s="324" customFormat="1" x14ac:dyDescent="0.5">
      <c r="C676" s="325"/>
      <c r="D676" s="326"/>
      <c r="E676" s="326"/>
      <c r="F676" s="326"/>
      <c r="G676" s="326"/>
      <c r="H676" s="327"/>
      <c r="I676" s="328"/>
      <c r="J676" s="328"/>
      <c r="K676" s="328"/>
      <c r="L676" s="329"/>
      <c r="M676" s="329"/>
      <c r="N676" s="328"/>
      <c r="O676" s="328"/>
      <c r="P676" s="328"/>
      <c r="Q676" s="328"/>
      <c r="R676" s="328"/>
      <c r="S676" s="328"/>
      <c r="T676" s="328"/>
      <c r="U676" s="328"/>
      <c r="X676" s="330"/>
      <c r="Y676" s="330"/>
      <c r="Z676" s="330"/>
      <c r="AA676" s="330"/>
      <c r="AZ676" s="331"/>
      <c r="BA676" s="332"/>
      <c r="BB676" s="334"/>
    </row>
    <row r="677" spans="3:54" s="324" customFormat="1" x14ac:dyDescent="0.5">
      <c r="C677" s="325"/>
      <c r="D677" s="326"/>
      <c r="E677" s="326"/>
      <c r="F677" s="326"/>
      <c r="G677" s="326"/>
      <c r="H677" s="327"/>
      <c r="I677" s="328"/>
      <c r="J677" s="328"/>
      <c r="K677" s="328"/>
      <c r="L677" s="329"/>
      <c r="M677" s="329"/>
      <c r="N677" s="328"/>
      <c r="O677" s="328"/>
      <c r="P677" s="328"/>
      <c r="Q677" s="328"/>
      <c r="R677" s="328"/>
      <c r="S677" s="328"/>
      <c r="T677" s="328"/>
      <c r="U677" s="328"/>
      <c r="X677" s="330"/>
      <c r="Y677" s="330"/>
      <c r="Z677" s="330"/>
      <c r="AA677" s="330"/>
      <c r="AZ677" s="331"/>
      <c r="BA677" s="332"/>
      <c r="BB677" s="334"/>
    </row>
    <row r="678" spans="3:54" s="324" customFormat="1" x14ac:dyDescent="0.5">
      <c r="C678" s="325"/>
      <c r="D678" s="326"/>
      <c r="E678" s="326"/>
      <c r="F678" s="326"/>
      <c r="G678" s="326"/>
      <c r="H678" s="327"/>
      <c r="I678" s="328"/>
      <c r="J678" s="328"/>
      <c r="K678" s="328"/>
      <c r="L678" s="329"/>
      <c r="M678" s="329"/>
      <c r="N678" s="328"/>
      <c r="O678" s="328"/>
      <c r="P678" s="328"/>
      <c r="Q678" s="328"/>
      <c r="R678" s="328"/>
      <c r="S678" s="328"/>
      <c r="T678" s="328"/>
      <c r="U678" s="328"/>
      <c r="X678" s="330"/>
      <c r="Y678" s="330"/>
      <c r="Z678" s="330"/>
      <c r="AA678" s="330"/>
      <c r="AZ678" s="331"/>
      <c r="BA678" s="332"/>
      <c r="BB678" s="334"/>
    </row>
    <row r="679" spans="3:54" s="324" customFormat="1" x14ac:dyDescent="0.5">
      <c r="C679" s="325"/>
      <c r="D679" s="326"/>
      <c r="E679" s="326"/>
      <c r="F679" s="326"/>
      <c r="G679" s="326"/>
      <c r="H679" s="327"/>
      <c r="I679" s="328"/>
      <c r="J679" s="328"/>
      <c r="K679" s="328"/>
      <c r="L679" s="329"/>
      <c r="M679" s="329"/>
      <c r="N679" s="328"/>
      <c r="O679" s="328"/>
      <c r="P679" s="328"/>
      <c r="Q679" s="328"/>
      <c r="R679" s="328"/>
      <c r="S679" s="328"/>
      <c r="T679" s="328"/>
      <c r="U679" s="328"/>
      <c r="X679" s="330"/>
      <c r="Y679" s="330"/>
      <c r="Z679" s="330"/>
      <c r="AA679" s="330"/>
      <c r="AZ679" s="331"/>
      <c r="BA679" s="332"/>
      <c r="BB679" s="334"/>
    </row>
    <row r="680" spans="3:54" s="324" customFormat="1" x14ac:dyDescent="0.5">
      <c r="C680" s="325"/>
      <c r="D680" s="326"/>
      <c r="E680" s="326"/>
      <c r="F680" s="326"/>
      <c r="G680" s="326"/>
      <c r="H680" s="327"/>
      <c r="I680" s="328"/>
      <c r="J680" s="328"/>
      <c r="K680" s="328"/>
      <c r="L680" s="329"/>
      <c r="M680" s="329"/>
      <c r="N680" s="328"/>
      <c r="O680" s="328"/>
      <c r="P680" s="328"/>
      <c r="Q680" s="328"/>
      <c r="R680" s="328"/>
      <c r="S680" s="328"/>
      <c r="T680" s="328"/>
      <c r="U680" s="328"/>
      <c r="X680" s="330"/>
      <c r="Y680" s="330"/>
      <c r="Z680" s="330"/>
      <c r="AA680" s="330"/>
      <c r="AZ680" s="331"/>
      <c r="BA680" s="332"/>
      <c r="BB680" s="334"/>
    </row>
    <row r="681" spans="3:54" s="324" customFormat="1" x14ac:dyDescent="0.5">
      <c r="C681" s="325"/>
      <c r="D681" s="326"/>
      <c r="E681" s="326"/>
      <c r="F681" s="326"/>
      <c r="G681" s="326"/>
      <c r="H681" s="327"/>
      <c r="I681" s="328"/>
      <c r="J681" s="328"/>
      <c r="K681" s="328"/>
      <c r="L681" s="329"/>
      <c r="M681" s="329"/>
      <c r="N681" s="328"/>
      <c r="O681" s="328"/>
      <c r="P681" s="328"/>
      <c r="Q681" s="328"/>
      <c r="R681" s="328"/>
      <c r="S681" s="328"/>
      <c r="T681" s="328"/>
      <c r="U681" s="328"/>
      <c r="X681" s="330"/>
      <c r="Y681" s="330"/>
      <c r="Z681" s="330"/>
      <c r="AA681" s="330"/>
      <c r="AZ681" s="331"/>
      <c r="BA681" s="332"/>
      <c r="BB681" s="334"/>
    </row>
    <row r="682" spans="3:54" s="324" customFormat="1" x14ac:dyDescent="0.5">
      <c r="C682" s="325"/>
      <c r="D682" s="326"/>
      <c r="E682" s="326"/>
      <c r="F682" s="326"/>
      <c r="G682" s="326"/>
      <c r="H682" s="327"/>
      <c r="I682" s="328"/>
      <c r="J682" s="328"/>
      <c r="K682" s="328"/>
      <c r="L682" s="329"/>
      <c r="M682" s="329"/>
      <c r="N682" s="328"/>
      <c r="O682" s="328"/>
      <c r="P682" s="328"/>
      <c r="Q682" s="328"/>
      <c r="R682" s="328"/>
      <c r="S682" s="328"/>
      <c r="T682" s="328"/>
      <c r="U682" s="328"/>
      <c r="X682" s="330"/>
      <c r="Y682" s="330"/>
      <c r="Z682" s="330"/>
      <c r="AA682" s="330"/>
      <c r="AZ682" s="331"/>
      <c r="BA682" s="332"/>
      <c r="BB682" s="334"/>
    </row>
    <row r="683" spans="3:54" s="324" customFormat="1" x14ac:dyDescent="0.5">
      <c r="C683" s="325"/>
      <c r="D683" s="326"/>
      <c r="E683" s="326"/>
      <c r="F683" s="326"/>
      <c r="G683" s="326"/>
      <c r="H683" s="327"/>
      <c r="I683" s="328"/>
      <c r="J683" s="328"/>
      <c r="K683" s="328"/>
      <c r="L683" s="329"/>
      <c r="M683" s="329"/>
      <c r="N683" s="328"/>
      <c r="O683" s="328"/>
      <c r="P683" s="328"/>
      <c r="Q683" s="328"/>
      <c r="R683" s="328"/>
      <c r="S683" s="328"/>
      <c r="T683" s="328"/>
      <c r="U683" s="328"/>
      <c r="X683" s="330"/>
      <c r="Y683" s="330"/>
      <c r="Z683" s="330"/>
      <c r="AA683" s="330"/>
      <c r="AZ683" s="331"/>
      <c r="BA683" s="332"/>
      <c r="BB683" s="334"/>
    </row>
    <row r="684" spans="3:54" s="324" customFormat="1" x14ac:dyDescent="0.5">
      <c r="C684" s="325"/>
      <c r="D684" s="326"/>
      <c r="E684" s="326"/>
      <c r="F684" s="326"/>
      <c r="G684" s="326"/>
      <c r="H684" s="327"/>
      <c r="I684" s="328"/>
      <c r="J684" s="328"/>
      <c r="K684" s="328"/>
      <c r="L684" s="329"/>
      <c r="M684" s="329"/>
      <c r="N684" s="328"/>
      <c r="O684" s="328"/>
      <c r="P684" s="328"/>
      <c r="Q684" s="328"/>
      <c r="R684" s="328"/>
      <c r="S684" s="328"/>
      <c r="T684" s="328"/>
      <c r="U684" s="328"/>
      <c r="X684" s="330"/>
      <c r="Y684" s="330"/>
      <c r="Z684" s="330"/>
      <c r="AA684" s="330"/>
      <c r="AZ684" s="331"/>
      <c r="BA684" s="332"/>
      <c r="BB684" s="334"/>
    </row>
    <row r="685" spans="3:54" s="324" customFormat="1" x14ac:dyDescent="0.5">
      <c r="C685" s="325"/>
      <c r="D685" s="326"/>
      <c r="E685" s="326"/>
      <c r="F685" s="326"/>
      <c r="G685" s="326"/>
      <c r="H685" s="327"/>
      <c r="I685" s="328"/>
      <c r="J685" s="328"/>
      <c r="K685" s="328"/>
      <c r="L685" s="329"/>
      <c r="M685" s="329"/>
      <c r="N685" s="328"/>
      <c r="O685" s="328"/>
      <c r="P685" s="328"/>
      <c r="Q685" s="328"/>
      <c r="R685" s="328"/>
      <c r="S685" s="328"/>
      <c r="T685" s="328"/>
      <c r="U685" s="328"/>
      <c r="X685" s="330"/>
      <c r="Y685" s="330"/>
      <c r="Z685" s="330"/>
      <c r="AA685" s="330"/>
      <c r="AZ685" s="331"/>
      <c r="BA685" s="332"/>
      <c r="BB685" s="334"/>
    </row>
    <row r="686" spans="3:54" s="324" customFormat="1" x14ac:dyDescent="0.5">
      <c r="C686" s="325"/>
      <c r="D686" s="326"/>
      <c r="E686" s="326"/>
      <c r="F686" s="326"/>
      <c r="G686" s="326"/>
      <c r="H686" s="327"/>
      <c r="I686" s="328"/>
      <c r="J686" s="328"/>
      <c r="K686" s="328"/>
      <c r="L686" s="329"/>
      <c r="M686" s="329"/>
      <c r="N686" s="328"/>
      <c r="O686" s="328"/>
      <c r="P686" s="328"/>
      <c r="Q686" s="328"/>
      <c r="R686" s="328"/>
      <c r="S686" s="328"/>
      <c r="T686" s="328"/>
      <c r="U686" s="328"/>
      <c r="X686" s="330"/>
      <c r="Y686" s="330"/>
      <c r="Z686" s="330"/>
      <c r="AA686" s="330"/>
      <c r="AZ686" s="331"/>
      <c r="BA686" s="332"/>
      <c r="BB686" s="334"/>
    </row>
    <row r="687" spans="3:54" s="324" customFormat="1" x14ac:dyDescent="0.5">
      <c r="C687" s="325"/>
      <c r="D687" s="326"/>
      <c r="E687" s="326"/>
      <c r="F687" s="326"/>
      <c r="G687" s="326"/>
      <c r="H687" s="327"/>
      <c r="I687" s="328"/>
      <c r="J687" s="328"/>
      <c r="K687" s="328"/>
      <c r="L687" s="329"/>
      <c r="M687" s="329"/>
      <c r="N687" s="328"/>
      <c r="O687" s="328"/>
      <c r="P687" s="328"/>
      <c r="Q687" s="328"/>
      <c r="R687" s="328"/>
      <c r="S687" s="328"/>
      <c r="T687" s="328"/>
      <c r="U687" s="328"/>
      <c r="X687" s="330"/>
      <c r="Y687" s="330"/>
      <c r="Z687" s="330"/>
      <c r="AA687" s="330"/>
      <c r="AZ687" s="331"/>
      <c r="BA687" s="332"/>
      <c r="BB687" s="334"/>
    </row>
    <row r="688" spans="3:54" s="324" customFormat="1" x14ac:dyDescent="0.5">
      <c r="C688" s="325"/>
      <c r="D688" s="326"/>
      <c r="E688" s="326"/>
      <c r="F688" s="326"/>
      <c r="G688" s="326"/>
      <c r="H688" s="327"/>
      <c r="I688" s="328"/>
      <c r="J688" s="328"/>
      <c r="K688" s="328"/>
      <c r="L688" s="329"/>
      <c r="M688" s="329"/>
      <c r="N688" s="328"/>
      <c r="O688" s="328"/>
      <c r="P688" s="328"/>
      <c r="Q688" s="328"/>
      <c r="R688" s="328"/>
      <c r="S688" s="328"/>
      <c r="T688" s="328"/>
      <c r="U688" s="328"/>
      <c r="X688" s="330"/>
      <c r="Y688" s="330"/>
      <c r="Z688" s="330"/>
      <c r="AA688" s="330"/>
      <c r="AZ688" s="331"/>
      <c r="BA688" s="332"/>
      <c r="BB688" s="334"/>
    </row>
    <row r="689" spans="3:54" s="324" customFormat="1" x14ac:dyDescent="0.5">
      <c r="C689" s="325"/>
      <c r="D689" s="326"/>
      <c r="E689" s="326"/>
      <c r="F689" s="326"/>
      <c r="G689" s="326"/>
      <c r="H689" s="327"/>
      <c r="I689" s="328"/>
      <c r="J689" s="328"/>
      <c r="K689" s="328"/>
      <c r="L689" s="329"/>
      <c r="M689" s="329"/>
      <c r="N689" s="328"/>
      <c r="O689" s="328"/>
      <c r="P689" s="328"/>
      <c r="Q689" s="328"/>
      <c r="R689" s="328"/>
      <c r="S689" s="328"/>
      <c r="T689" s="328"/>
      <c r="U689" s="328"/>
      <c r="X689" s="330"/>
      <c r="Y689" s="330"/>
      <c r="Z689" s="330"/>
      <c r="AA689" s="330"/>
      <c r="AZ689" s="331"/>
      <c r="BA689" s="332"/>
      <c r="BB689" s="334"/>
    </row>
    <row r="690" spans="3:54" s="324" customFormat="1" x14ac:dyDescent="0.5">
      <c r="C690" s="325"/>
      <c r="D690" s="326"/>
      <c r="E690" s="326"/>
      <c r="F690" s="326"/>
      <c r="G690" s="326"/>
      <c r="H690" s="327"/>
      <c r="I690" s="328"/>
      <c r="J690" s="328"/>
      <c r="K690" s="328"/>
      <c r="L690" s="329"/>
      <c r="M690" s="329"/>
      <c r="N690" s="328"/>
      <c r="O690" s="328"/>
      <c r="P690" s="328"/>
      <c r="Q690" s="328"/>
      <c r="R690" s="328"/>
      <c r="S690" s="328"/>
      <c r="T690" s="328"/>
      <c r="U690" s="328"/>
      <c r="X690" s="330"/>
      <c r="Y690" s="330"/>
      <c r="Z690" s="330"/>
      <c r="AA690" s="330"/>
      <c r="AZ690" s="331"/>
      <c r="BA690" s="332"/>
      <c r="BB690" s="334"/>
    </row>
    <row r="691" spans="3:54" s="324" customFormat="1" x14ac:dyDescent="0.5">
      <c r="C691" s="325"/>
      <c r="D691" s="326"/>
      <c r="E691" s="326"/>
      <c r="F691" s="326"/>
      <c r="G691" s="326"/>
      <c r="H691" s="327"/>
      <c r="I691" s="328"/>
      <c r="J691" s="328"/>
      <c r="K691" s="328"/>
      <c r="L691" s="329"/>
      <c r="M691" s="329"/>
      <c r="N691" s="328"/>
      <c r="O691" s="328"/>
      <c r="P691" s="328"/>
      <c r="Q691" s="328"/>
      <c r="R691" s="328"/>
      <c r="S691" s="328"/>
      <c r="T691" s="328"/>
      <c r="U691" s="328"/>
      <c r="X691" s="330"/>
      <c r="Y691" s="330"/>
      <c r="Z691" s="330"/>
      <c r="AA691" s="330"/>
      <c r="AZ691" s="331"/>
      <c r="BA691" s="332"/>
      <c r="BB691" s="334"/>
    </row>
    <row r="692" spans="3:54" s="324" customFormat="1" x14ac:dyDescent="0.5">
      <c r="C692" s="325"/>
      <c r="D692" s="326"/>
      <c r="E692" s="326"/>
      <c r="F692" s="326"/>
      <c r="G692" s="326"/>
      <c r="H692" s="327"/>
      <c r="I692" s="328"/>
      <c r="J692" s="328"/>
      <c r="K692" s="328"/>
      <c r="L692" s="329"/>
      <c r="M692" s="329"/>
      <c r="N692" s="328"/>
      <c r="O692" s="328"/>
      <c r="P692" s="328"/>
      <c r="Q692" s="328"/>
      <c r="R692" s="328"/>
      <c r="S692" s="328"/>
      <c r="T692" s="328"/>
      <c r="U692" s="328"/>
      <c r="X692" s="330"/>
      <c r="Y692" s="330"/>
      <c r="Z692" s="330"/>
      <c r="AA692" s="330"/>
      <c r="AZ692" s="331"/>
      <c r="BA692" s="332"/>
      <c r="BB692" s="334"/>
    </row>
    <row r="693" spans="3:54" s="324" customFormat="1" x14ac:dyDescent="0.5">
      <c r="C693" s="325"/>
      <c r="D693" s="326"/>
      <c r="E693" s="326"/>
      <c r="F693" s="326"/>
      <c r="G693" s="326"/>
      <c r="H693" s="327"/>
      <c r="I693" s="328"/>
      <c r="J693" s="328"/>
      <c r="K693" s="328"/>
      <c r="L693" s="329"/>
      <c r="M693" s="329"/>
      <c r="N693" s="328"/>
      <c r="O693" s="328"/>
      <c r="P693" s="328"/>
      <c r="Q693" s="328"/>
      <c r="R693" s="328"/>
      <c r="S693" s="328"/>
      <c r="T693" s="328"/>
      <c r="U693" s="328"/>
      <c r="X693" s="330"/>
      <c r="Y693" s="330"/>
      <c r="Z693" s="330"/>
      <c r="AA693" s="330"/>
      <c r="AZ693" s="331"/>
      <c r="BA693" s="332"/>
      <c r="BB693" s="334"/>
    </row>
    <row r="694" spans="3:54" s="324" customFormat="1" x14ac:dyDescent="0.5">
      <c r="C694" s="325"/>
      <c r="D694" s="326"/>
      <c r="E694" s="326"/>
      <c r="F694" s="326"/>
      <c r="G694" s="326"/>
      <c r="H694" s="327"/>
      <c r="I694" s="328"/>
      <c r="J694" s="328"/>
      <c r="K694" s="328"/>
      <c r="L694" s="329"/>
      <c r="M694" s="329"/>
      <c r="N694" s="328"/>
      <c r="O694" s="328"/>
      <c r="P694" s="328"/>
      <c r="Q694" s="328"/>
      <c r="R694" s="328"/>
      <c r="S694" s="328"/>
      <c r="T694" s="328"/>
      <c r="U694" s="328"/>
      <c r="X694" s="330"/>
      <c r="Y694" s="330"/>
      <c r="Z694" s="330"/>
      <c r="AA694" s="330"/>
      <c r="AZ694" s="331"/>
      <c r="BA694" s="332"/>
      <c r="BB694" s="334"/>
    </row>
    <row r="695" spans="3:54" s="324" customFormat="1" x14ac:dyDescent="0.5">
      <c r="C695" s="325"/>
      <c r="D695" s="326"/>
      <c r="E695" s="326"/>
      <c r="F695" s="326"/>
      <c r="G695" s="326"/>
      <c r="H695" s="327"/>
      <c r="I695" s="328"/>
      <c r="J695" s="328"/>
      <c r="K695" s="328"/>
      <c r="L695" s="329"/>
      <c r="M695" s="329"/>
      <c r="N695" s="328"/>
      <c r="O695" s="328"/>
      <c r="P695" s="328"/>
      <c r="Q695" s="328"/>
      <c r="R695" s="328"/>
      <c r="S695" s="328"/>
      <c r="T695" s="328"/>
      <c r="U695" s="328"/>
      <c r="X695" s="330"/>
      <c r="Y695" s="330"/>
      <c r="Z695" s="330"/>
      <c r="AA695" s="330"/>
      <c r="AZ695" s="331"/>
      <c r="BA695" s="332"/>
      <c r="BB695" s="334"/>
    </row>
    <row r="696" spans="3:54" s="324" customFormat="1" x14ac:dyDescent="0.5">
      <c r="C696" s="325"/>
      <c r="D696" s="326"/>
      <c r="E696" s="326"/>
      <c r="F696" s="326"/>
      <c r="G696" s="326"/>
      <c r="H696" s="327"/>
      <c r="I696" s="328"/>
      <c r="J696" s="328"/>
      <c r="K696" s="328"/>
      <c r="L696" s="329"/>
      <c r="M696" s="329"/>
      <c r="N696" s="328"/>
      <c r="O696" s="328"/>
      <c r="P696" s="328"/>
      <c r="Q696" s="328"/>
      <c r="R696" s="328"/>
      <c r="S696" s="328"/>
      <c r="T696" s="328"/>
      <c r="U696" s="328"/>
      <c r="X696" s="330"/>
      <c r="Y696" s="330"/>
      <c r="Z696" s="330"/>
      <c r="AA696" s="330"/>
      <c r="AZ696" s="331"/>
      <c r="BA696" s="332"/>
      <c r="BB696" s="334"/>
    </row>
    <row r="697" spans="3:54" s="324" customFormat="1" x14ac:dyDescent="0.5">
      <c r="C697" s="325"/>
      <c r="D697" s="326"/>
      <c r="E697" s="326"/>
      <c r="F697" s="326"/>
      <c r="G697" s="326"/>
      <c r="H697" s="327"/>
      <c r="I697" s="328"/>
      <c r="J697" s="328"/>
      <c r="K697" s="328"/>
      <c r="L697" s="329"/>
      <c r="M697" s="329"/>
      <c r="N697" s="328"/>
      <c r="O697" s="328"/>
      <c r="P697" s="328"/>
      <c r="Q697" s="328"/>
      <c r="R697" s="328"/>
      <c r="S697" s="328"/>
      <c r="T697" s="328"/>
      <c r="U697" s="328"/>
      <c r="X697" s="330"/>
      <c r="Y697" s="330"/>
      <c r="Z697" s="330"/>
      <c r="AA697" s="330"/>
      <c r="AZ697" s="331"/>
      <c r="BA697" s="332"/>
      <c r="BB697" s="334"/>
    </row>
    <row r="698" spans="3:54" s="324" customFormat="1" x14ac:dyDescent="0.5">
      <c r="C698" s="325"/>
      <c r="D698" s="326"/>
      <c r="E698" s="326"/>
      <c r="F698" s="326"/>
      <c r="G698" s="326"/>
      <c r="H698" s="327"/>
      <c r="I698" s="328"/>
      <c r="J698" s="328"/>
      <c r="K698" s="328"/>
      <c r="L698" s="329"/>
      <c r="M698" s="329"/>
      <c r="N698" s="328"/>
      <c r="O698" s="328"/>
      <c r="P698" s="328"/>
      <c r="Q698" s="328"/>
      <c r="R698" s="328"/>
      <c r="S698" s="328"/>
      <c r="T698" s="328"/>
      <c r="U698" s="328"/>
      <c r="X698" s="330"/>
      <c r="Y698" s="330"/>
      <c r="Z698" s="330"/>
      <c r="AA698" s="330"/>
      <c r="AZ698" s="331"/>
      <c r="BA698" s="332"/>
      <c r="BB698" s="334"/>
    </row>
    <row r="699" spans="3:54" s="324" customFormat="1" x14ac:dyDescent="0.5">
      <c r="C699" s="325"/>
      <c r="D699" s="326"/>
      <c r="E699" s="326"/>
      <c r="F699" s="326"/>
      <c r="G699" s="326"/>
      <c r="H699" s="327"/>
      <c r="I699" s="328"/>
      <c r="J699" s="328"/>
      <c r="K699" s="328"/>
      <c r="L699" s="329"/>
      <c r="M699" s="329"/>
      <c r="N699" s="328"/>
      <c r="O699" s="328"/>
      <c r="P699" s="328"/>
      <c r="Q699" s="328"/>
      <c r="R699" s="328"/>
      <c r="S699" s="328"/>
      <c r="T699" s="328"/>
      <c r="U699" s="328"/>
      <c r="X699" s="330"/>
      <c r="Y699" s="330"/>
      <c r="Z699" s="330"/>
      <c r="AA699" s="330"/>
      <c r="AZ699" s="331"/>
      <c r="BA699" s="332"/>
      <c r="BB699" s="334"/>
    </row>
    <row r="700" spans="3:54" s="324" customFormat="1" x14ac:dyDescent="0.5">
      <c r="C700" s="325"/>
      <c r="D700" s="326"/>
      <c r="E700" s="326"/>
      <c r="F700" s="326"/>
      <c r="G700" s="326"/>
      <c r="H700" s="327"/>
      <c r="I700" s="328"/>
      <c r="J700" s="328"/>
      <c r="K700" s="328"/>
      <c r="L700" s="329"/>
      <c r="M700" s="329"/>
      <c r="N700" s="328"/>
      <c r="O700" s="328"/>
      <c r="P700" s="328"/>
      <c r="Q700" s="328"/>
      <c r="R700" s="328"/>
      <c r="S700" s="328"/>
      <c r="T700" s="328"/>
      <c r="U700" s="328"/>
      <c r="X700" s="330"/>
      <c r="Y700" s="330"/>
      <c r="Z700" s="330"/>
      <c r="AA700" s="330"/>
      <c r="AZ700" s="331"/>
      <c r="BA700" s="332"/>
      <c r="BB700" s="334"/>
    </row>
    <row r="701" spans="3:54" s="324" customFormat="1" x14ac:dyDescent="0.5">
      <c r="C701" s="325"/>
      <c r="D701" s="326"/>
      <c r="E701" s="326"/>
      <c r="F701" s="326"/>
      <c r="G701" s="326"/>
      <c r="H701" s="327"/>
      <c r="I701" s="328"/>
      <c r="J701" s="328"/>
      <c r="K701" s="328"/>
      <c r="L701" s="329"/>
      <c r="M701" s="329"/>
      <c r="N701" s="328"/>
      <c r="O701" s="328"/>
      <c r="P701" s="328"/>
      <c r="Q701" s="328"/>
      <c r="R701" s="328"/>
      <c r="S701" s="328"/>
      <c r="T701" s="328"/>
      <c r="U701" s="328"/>
      <c r="X701" s="330"/>
      <c r="Y701" s="330"/>
      <c r="Z701" s="330"/>
      <c r="AA701" s="330"/>
      <c r="AZ701" s="331"/>
      <c r="BA701" s="332"/>
      <c r="BB701" s="334"/>
    </row>
    <row r="702" spans="3:54" s="324" customFormat="1" x14ac:dyDescent="0.5">
      <c r="C702" s="325"/>
      <c r="D702" s="326"/>
      <c r="E702" s="326"/>
      <c r="F702" s="326"/>
      <c r="G702" s="326"/>
      <c r="H702" s="327"/>
      <c r="I702" s="328"/>
      <c r="J702" s="328"/>
      <c r="K702" s="328"/>
      <c r="L702" s="329"/>
      <c r="M702" s="329"/>
      <c r="N702" s="328"/>
      <c r="O702" s="328"/>
      <c r="P702" s="328"/>
      <c r="Q702" s="328"/>
      <c r="R702" s="328"/>
      <c r="S702" s="328"/>
      <c r="T702" s="328"/>
      <c r="U702" s="328"/>
      <c r="X702" s="330"/>
      <c r="Y702" s="330"/>
      <c r="Z702" s="330"/>
      <c r="AA702" s="330"/>
      <c r="AZ702" s="331"/>
      <c r="BA702" s="332"/>
      <c r="BB702" s="334"/>
    </row>
    <row r="703" spans="3:54" s="324" customFormat="1" x14ac:dyDescent="0.5">
      <c r="C703" s="325"/>
      <c r="D703" s="326"/>
      <c r="E703" s="326"/>
      <c r="F703" s="326"/>
      <c r="G703" s="326"/>
      <c r="H703" s="327"/>
      <c r="I703" s="328"/>
      <c r="J703" s="328"/>
      <c r="K703" s="328"/>
      <c r="L703" s="329"/>
      <c r="M703" s="329"/>
      <c r="N703" s="328"/>
      <c r="O703" s="328"/>
      <c r="P703" s="328"/>
      <c r="Q703" s="328"/>
      <c r="R703" s="328"/>
      <c r="S703" s="328"/>
      <c r="T703" s="328"/>
      <c r="U703" s="328"/>
      <c r="X703" s="330"/>
      <c r="Y703" s="330"/>
      <c r="Z703" s="330"/>
      <c r="AA703" s="330"/>
      <c r="AZ703" s="331"/>
      <c r="BA703" s="332"/>
      <c r="BB703" s="334"/>
    </row>
    <row r="704" spans="3:54" s="324" customFormat="1" x14ac:dyDescent="0.5">
      <c r="C704" s="325"/>
      <c r="D704" s="326"/>
      <c r="E704" s="326"/>
      <c r="F704" s="326"/>
      <c r="G704" s="326"/>
      <c r="H704" s="327"/>
      <c r="I704" s="328"/>
      <c r="J704" s="328"/>
      <c r="K704" s="328"/>
      <c r="L704" s="329"/>
      <c r="M704" s="329"/>
      <c r="N704" s="328"/>
      <c r="O704" s="328"/>
      <c r="P704" s="328"/>
      <c r="Q704" s="328"/>
      <c r="R704" s="328"/>
      <c r="S704" s="328"/>
      <c r="T704" s="328"/>
      <c r="U704" s="328"/>
      <c r="X704" s="330"/>
      <c r="Y704" s="330"/>
      <c r="Z704" s="330"/>
      <c r="AA704" s="330"/>
      <c r="AZ704" s="331"/>
      <c r="BA704" s="332"/>
      <c r="BB704" s="334"/>
    </row>
    <row r="705" spans="1:54" s="324" customFormat="1" x14ac:dyDescent="0.5">
      <c r="C705" s="325"/>
      <c r="D705" s="326"/>
      <c r="E705" s="326"/>
      <c r="F705" s="326"/>
      <c r="G705" s="326"/>
      <c r="H705" s="327"/>
      <c r="I705" s="328"/>
      <c r="J705" s="328"/>
      <c r="K705" s="328"/>
      <c r="L705" s="329"/>
      <c r="M705" s="329"/>
      <c r="N705" s="328"/>
      <c r="O705" s="328"/>
      <c r="P705" s="328"/>
      <c r="Q705" s="328"/>
      <c r="R705" s="328"/>
      <c r="S705" s="328"/>
      <c r="T705" s="328"/>
      <c r="U705" s="328"/>
      <c r="X705" s="330"/>
      <c r="Y705" s="330"/>
      <c r="Z705" s="330"/>
      <c r="AA705" s="330"/>
      <c r="AZ705" s="331"/>
      <c r="BA705" s="332"/>
      <c r="BB705" s="334"/>
    </row>
    <row r="706" spans="1:54" x14ac:dyDescent="0.5">
      <c r="A706" s="335"/>
      <c r="B706" s="335"/>
      <c r="C706" s="224"/>
      <c r="D706" s="336"/>
      <c r="E706" s="337"/>
      <c r="F706" s="337"/>
      <c r="G706" s="338"/>
      <c r="H706" s="339"/>
      <c r="I706" s="340"/>
      <c r="J706" s="340"/>
      <c r="K706" s="341"/>
      <c r="L706" s="342"/>
      <c r="M706" s="343"/>
      <c r="N706" s="340"/>
      <c r="O706" s="341"/>
      <c r="P706" s="344"/>
      <c r="Q706" s="340"/>
      <c r="R706" s="340"/>
      <c r="S706" s="341"/>
      <c r="T706" s="344"/>
      <c r="U706" s="340"/>
      <c r="V706" s="335"/>
      <c r="W706" s="345"/>
      <c r="X706" s="346"/>
      <c r="Y706" s="347"/>
      <c r="Z706" s="347"/>
      <c r="AA706" s="348"/>
      <c r="AB706" s="223"/>
      <c r="AC706" s="335"/>
      <c r="AD706" s="335"/>
      <c r="AE706" s="345"/>
      <c r="AF706" s="223"/>
      <c r="AG706" s="335"/>
      <c r="AH706" s="335"/>
      <c r="AI706" s="345"/>
      <c r="AJ706" s="223"/>
      <c r="AK706" s="335"/>
      <c r="AL706" s="335"/>
      <c r="AM706" s="345"/>
      <c r="AN706" s="223"/>
      <c r="AO706" s="335"/>
      <c r="AP706" s="335"/>
      <c r="AQ706" s="345"/>
      <c r="AR706" s="223"/>
      <c r="AS706" s="335"/>
      <c r="AT706" s="335"/>
      <c r="AU706" s="345"/>
      <c r="AV706" s="223"/>
      <c r="AW706" s="335"/>
      <c r="AX706" s="335"/>
      <c r="AY706" s="345"/>
      <c r="AZ706" s="349"/>
      <c r="BA706" s="350"/>
      <c r="BB706" s="351"/>
    </row>
    <row r="707" spans="1:54" x14ac:dyDescent="0.5">
      <c r="B707" s="154"/>
      <c r="C707" s="144"/>
      <c r="H707" s="148"/>
      <c r="I707" s="149"/>
      <c r="J707" s="149"/>
      <c r="K707" s="150"/>
      <c r="L707" s="151"/>
      <c r="M707" s="152"/>
      <c r="N707" s="149"/>
      <c r="O707" s="150"/>
      <c r="P707" s="153"/>
      <c r="Q707" s="149"/>
      <c r="R707" s="149"/>
      <c r="S707" s="150"/>
      <c r="T707" s="153"/>
      <c r="U707" s="149"/>
      <c r="V707" s="154"/>
      <c r="W707" s="155"/>
      <c r="X707" s="156"/>
      <c r="Y707" s="157"/>
      <c r="Z707" s="157"/>
      <c r="AA707" s="158"/>
      <c r="AB707" s="104"/>
      <c r="AC707" s="154"/>
      <c r="AD707" s="154"/>
      <c r="AE707" s="155"/>
      <c r="AF707" s="104"/>
      <c r="AG707" s="154"/>
      <c r="AH707" s="154"/>
      <c r="AI707" s="155"/>
      <c r="AJ707" s="104"/>
      <c r="AK707" s="154"/>
      <c r="AL707" s="154"/>
      <c r="AM707" s="155"/>
      <c r="AN707" s="104"/>
      <c r="AO707" s="154"/>
      <c r="AP707" s="154"/>
      <c r="AQ707" s="155"/>
      <c r="AR707" s="104"/>
      <c r="AS707" s="154"/>
      <c r="AT707" s="154"/>
      <c r="AU707" s="155"/>
      <c r="AV707" s="104"/>
      <c r="AW707" s="154"/>
      <c r="AX707" s="154"/>
      <c r="AY707" s="155"/>
      <c r="BA707" s="352"/>
      <c r="BB707" s="353"/>
    </row>
    <row r="708" spans="1:54" x14ac:dyDescent="0.5">
      <c r="B708" s="154"/>
      <c r="C708" s="144"/>
      <c r="H708" s="148"/>
      <c r="I708" s="149"/>
      <c r="J708" s="149"/>
      <c r="K708" s="150"/>
      <c r="L708" s="151"/>
      <c r="M708" s="152"/>
      <c r="N708" s="149"/>
      <c r="O708" s="150"/>
      <c r="P708" s="153"/>
      <c r="Q708" s="149"/>
      <c r="R708" s="149"/>
      <c r="S708" s="150"/>
      <c r="T708" s="153"/>
      <c r="U708" s="149"/>
      <c r="V708" s="154"/>
      <c r="W708" s="155"/>
      <c r="X708" s="156"/>
      <c r="Y708" s="157"/>
      <c r="Z708" s="157"/>
      <c r="AA708" s="158"/>
      <c r="AB708" s="104"/>
      <c r="AC708" s="154"/>
      <c r="AD708" s="154"/>
      <c r="AE708" s="155"/>
      <c r="AF708" s="104"/>
      <c r="AG708" s="154"/>
      <c r="AH708" s="154"/>
      <c r="AI708" s="155"/>
      <c r="AJ708" s="104"/>
      <c r="AK708" s="154"/>
      <c r="AL708" s="154"/>
      <c r="AM708" s="155"/>
      <c r="AN708" s="104"/>
      <c r="AO708" s="154"/>
      <c r="AP708" s="154"/>
      <c r="AQ708" s="155"/>
      <c r="AR708" s="104"/>
      <c r="AS708" s="154"/>
      <c r="AT708" s="154"/>
      <c r="AU708" s="155"/>
      <c r="AV708" s="104"/>
      <c r="AW708" s="154"/>
      <c r="AX708" s="154"/>
      <c r="AY708" s="155"/>
      <c r="BA708" s="352"/>
      <c r="BB708" s="353"/>
    </row>
    <row r="709" spans="1:54" x14ac:dyDescent="0.5">
      <c r="B709" s="154"/>
      <c r="C709" s="144"/>
      <c r="H709" s="148"/>
      <c r="I709" s="149"/>
      <c r="J709" s="149"/>
      <c r="K709" s="150"/>
      <c r="L709" s="151"/>
      <c r="M709" s="152"/>
      <c r="N709" s="149"/>
      <c r="O709" s="150"/>
      <c r="P709" s="153"/>
      <c r="Q709" s="149"/>
      <c r="R709" s="149"/>
      <c r="S709" s="150"/>
      <c r="T709" s="153"/>
      <c r="U709" s="149"/>
      <c r="V709" s="154"/>
      <c r="W709" s="155"/>
      <c r="X709" s="156"/>
      <c r="Y709" s="157"/>
      <c r="Z709" s="157"/>
      <c r="AA709" s="158"/>
      <c r="AB709" s="104"/>
      <c r="AC709" s="154"/>
      <c r="AD709" s="154"/>
      <c r="AE709" s="155"/>
      <c r="AF709" s="104"/>
      <c r="AG709" s="154"/>
      <c r="AH709" s="154"/>
      <c r="AI709" s="155"/>
      <c r="AJ709" s="104"/>
      <c r="AK709" s="154"/>
      <c r="AL709" s="154"/>
      <c r="AM709" s="155"/>
      <c r="AN709" s="104"/>
      <c r="AO709" s="154"/>
      <c r="AP709" s="154"/>
      <c r="AQ709" s="155"/>
      <c r="AR709" s="104"/>
      <c r="AS709" s="154"/>
      <c r="AT709" s="154"/>
      <c r="AU709" s="155"/>
      <c r="AV709" s="104"/>
      <c r="AW709" s="154"/>
      <c r="AX709" s="154"/>
      <c r="AY709" s="155"/>
      <c r="BA709" s="352"/>
      <c r="BB709" s="353"/>
    </row>
    <row r="710" spans="1:54" x14ac:dyDescent="0.5">
      <c r="B710" s="154"/>
      <c r="C710" s="144"/>
      <c r="H710" s="148"/>
      <c r="I710" s="149"/>
      <c r="J710" s="149"/>
      <c r="K710" s="150"/>
      <c r="L710" s="151"/>
      <c r="M710" s="152"/>
      <c r="N710" s="149"/>
      <c r="O710" s="150"/>
      <c r="P710" s="153"/>
      <c r="Q710" s="149"/>
      <c r="R710" s="149"/>
      <c r="S710" s="150"/>
      <c r="T710" s="153"/>
      <c r="U710" s="149"/>
      <c r="V710" s="154"/>
      <c r="W710" s="155"/>
      <c r="X710" s="156"/>
      <c r="Y710" s="157"/>
      <c r="Z710" s="157"/>
      <c r="AA710" s="158"/>
      <c r="AB710" s="104"/>
      <c r="AC710" s="154"/>
      <c r="AD710" s="154"/>
      <c r="AE710" s="155"/>
      <c r="AF710" s="104"/>
      <c r="AG710" s="154"/>
      <c r="AH710" s="154"/>
      <c r="AI710" s="155"/>
      <c r="AJ710" s="104"/>
      <c r="AK710" s="154"/>
      <c r="AL710" s="154"/>
      <c r="AM710" s="155"/>
      <c r="AN710" s="104"/>
      <c r="AO710" s="154"/>
      <c r="AP710" s="154"/>
      <c r="AQ710" s="155"/>
      <c r="AR710" s="104"/>
      <c r="AS710" s="154"/>
      <c r="AT710" s="154"/>
      <c r="AU710" s="155"/>
      <c r="AV710" s="104"/>
      <c r="AW710" s="154"/>
      <c r="AX710" s="154"/>
      <c r="AY710" s="155"/>
      <c r="BA710" s="352"/>
      <c r="BB710" s="353"/>
    </row>
    <row r="711" spans="1:54" x14ac:dyDescent="0.5">
      <c r="B711" s="154"/>
      <c r="C711" s="144"/>
      <c r="H711" s="148"/>
      <c r="I711" s="149"/>
      <c r="J711" s="149"/>
      <c r="K711" s="150"/>
      <c r="L711" s="151"/>
      <c r="M711" s="152"/>
      <c r="N711" s="149"/>
      <c r="O711" s="150"/>
      <c r="P711" s="153"/>
      <c r="Q711" s="149"/>
      <c r="R711" s="149"/>
      <c r="S711" s="150"/>
      <c r="T711" s="153"/>
      <c r="U711" s="149"/>
      <c r="V711" s="154"/>
      <c r="W711" s="155"/>
      <c r="X711" s="156"/>
      <c r="Y711" s="157"/>
      <c r="Z711" s="157"/>
      <c r="AA711" s="158"/>
      <c r="AB711" s="104"/>
      <c r="AC711" s="154"/>
      <c r="AD711" s="154"/>
      <c r="AE711" s="155"/>
      <c r="AF711" s="104"/>
      <c r="AG711" s="154"/>
      <c r="AH711" s="154"/>
      <c r="AI711" s="155"/>
      <c r="AJ711" s="104"/>
      <c r="AK711" s="154"/>
      <c r="AL711" s="154"/>
      <c r="AM711" s="155"/>
      <c r="AN711" s="104"/>
      <c r="AO711" s="154"/>
      <c r="AP711" s="154"/>
      <c r="AQ711" s="155"/>
      <c r="AR711" s="104"/>
      <c r="AS711" s="154"/>
      <c r="AT711" s="154"/>
      <c r="AU711" s="155"/>
      <c r="AV711" s="104"/>
      <c r="AW711" s="154"/>
      <c r="AX711" s="154"/>
      <c r="AY711" s="155"/>
      <c r="BA711" s="352"/>
      <c r="BB711" s="353"/>
    </row>
  </sheetData>
  <mergeCells count="12">
    <mergeCell ref="AV1:AY1"/>
    <mergeCell ref="D1:G1"/>
    <mergeCell ref="H1:K1"/>
    <mergeCell ref="L1:O1"/>
    <mergeCell ref="P1:S1"/>
    <mergeCell ref="T1:W1"/>
    <mergeCell ref="X1:AA1"/>
    <mergeCell ref="AB1:AE1"/>
    <mergeCell ref="AF1:AI1"/>
    <mergeCell ref="AJ1:AM1"/>
    <mergeCell ref="AN1:AQ1"/>
    <mergeCell ref="AR1:AU1"/>
  </mergeCells>
  <pageMargins left="0.7" right="0.7" top="0.75" bottom="0.75" header="0.3" footer="0.3"/>
  <legacy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:Q174"/>
  <sheetViews>
    <sheetView zoomScale="90" zoomScaleNormal="90" workbookViewId="0">
      <pane xSplit="3" ySplit="4" topLeftCell="D137" activePane="bottomRight" state="frozen"/>
      <selection activeCell="A174" sqref="A174:XFD181"/>
      <selection pane="topRight" activeCell="A174" sqref="A174:XFD181"/>
      <selection pane="bottomLeft" activeCell="A174" sqref="A174:XFD181"/>
      <selection pane="bottomRight" activeCell="D147" sqref="D147:O147"/>
    </sheetView>
  </sheetViews>
  <sheetFormatPr defaultColWidth="9.1796875" defaultRowHeight="14.5" x14ac:dyDescent="0.35"/>
  <cols>
    <col min="1" max="1" width="9.1796875" style="41"/>
    <col min="2" max="2" width="43.7265625" style="41" customWidth="1"/>
    <col min="3" max="3" width="9.1796875" style="41"/>
    <col min="4" max="4" width="12.1796875" style="41" bestFit="1" customWidth="1"/>
    <col min="5" max="5" width="12" style="41" customWidth="1"/>
    <col min="6" max="7" width="12.1796875" style="41" bestFit="1" customWidth="1"/>
    <col min="8" max="8" width="11.1796875" style="41" bestFit="1" customWidth="1"/>
    <col min="9" max="11" width="12.1796875" style="41" bestFit="1" customWidth="1"/>
    <col min="12" max="12" width="13.54296875" style="41" customWidth="1"/>
    <col min="13" max="13" width="16" style="41" customWidth="1"/>
    <col min="14" max="14" width="13.54296875" style="41" customWidth="1"/>
    <col min="15" max="15" width="15.1796875" style="41" customWidth="1"/>
    <col min="16" max="16" width="13.54296875" style="41" customWidth="1"/>
    <col min="17" max="16384" width="9.1796875" style="41"/>
  </cols>
  <sheetData>
    <row r="1" spans="1:15" s="42" customFormat="1" x14ac:dyDescent="0.35">
      <c r="A1" s="42" t="str">
        <f>Dashboard!A1</f>
        <v>SALES &amp; CC DASHBOARD</v>
      </c>
      <c r="D1" s="61">
        <f t="shared" ref="D1:E1" si="0">D12+D16+D17</f>
        <v>44</v>
      </c>
      <c r="E1" s="61">
        <f t="shared" si="0"/>
        <v>115</v>
      </c>
      <c r="F1" s="61">
        <f>F12+F16+F17</f>
        <v>155</v>
      </c>
      <c r="G1" s="61">
        <f t="shared" ref="G1:I1" si="1">G12+G16+G17</f>
        <v>78</v>
      </c>
      <c r="H1" s="61">
        <f t="shared" si="1"/>
        <v>80</v>
      </c>
      <c r="I1" s="61">
        <f t="shared" si="1"/>
        <v>45</v>
      </c>
    </row>
    <row r="2" spans="1:15" x14ac:dyDescent="0.35">
      <c r="D2" s="53">
        <f t="shared" ref="D2:E2" si="2">D26+D30+D31</f>
        <v>11</v>
      </c>
      <c r="E2" s="53">
        <f t="shared" si="2"/>
        <v>2</v>
      </c>
      <c r="F2" s="53">
        <f>F26+F30+F31</f>
        <v>4</v>
      </c>
      <c r="G2" s="53">
        <f t="shared" ref="G2:I2" si="3">G26+G30+G31</f>
        <v>16</v>
      </c>
      <c r="H2" s="53">
        <f t="shared" si="3"/>
        <v>4</v>
      </c>
      <c r="I2" s="53">
        <f t="shared" si="3"/>
        <v>5</v>
      </c>
    </row>
    <row r="4" spans="1:15" x14ac:dyDescent="0.35">
      <c r="B4" s="41" t="s">
        <v>28</v>
      </c>
      <c r="C4" s="41" t="s">
        <v>29</v>
      </c>
      <c r="D4" s="48" t="s">
        <v>30</v>
      </c>
      <c r="E4" s="48" t="s">
        <v>31</v>
      </c>
      <c r="F4" s="48" t="s">
        <v>32</v>
      </c>
      <c r="G4" s="48" t="s">
        <v>33</v>
      </c>
      <c r="H4" s="48" t="s">
        <v>34</v>
      </c>
      <c r="I4" s="48" t="s">
        <v>35</v>
      </c>
      <c r="J4" s="48" t="s">
        <v>36</v>
      </c>
      <c r="K4" s="48" t="s">
        <v>37</v>
      </c>
      <c r="L4" s="48" t="s">
        <v>38</v>
      </c>
      <c r="M4" s="48" t="s">
        <v>39</v>
      </c>
      <c r="N4" s="48" t="s">
        <v>40</v>
      </c>
      <c r="O4" s="48" t="s">
        <v>41</v>
      </c>
    </row>
    <row r="5" spans="1:15" x14ac:dyDescent="0.35">
      <c r="A5" s="41" t="str">
        <f>Dashboard!A5</f>
        <v>NEW CONNECTIONS WATER</v>
      </c>
    </row>
    <row r="6" spans="1:15" x14ac:dyDescent="0.35">
      <c r="A6" s="41">
        <f>Dashboard!A6</f>
        <v>1</v>
      </c>
      <c r="B6" s="41" t="str">
        <f>Dashboard!B6</f>
        <v>CBD - NEW WATER</v>
      </c>
      <c r="C6" s="41" t="str">
        <f>Dashboard!C6</f>
        <v>No.</v>
      </c>
      <c r="D6" s="50">
        <f>D34-'actual 2021-22'!O32</f>
        <v>0</v>
      </c>
      <c r="E6" s="50">
        <f t="shared" ref="E6:F11" si="4">E34-D34</f>
        <v>0</v>
      </c>
      <c r="F6" s="50">
        <f t="shared" si="4"/>
        <v>5</v>
      </c>
      <c r="G6" s="50">
        <v>0</v>
      </c>
      <c r="H6" s="50">
        <f t="shared" ref="H6:L11" si="5">H34-G34</f>
        <v>3</v>
      </c>
      <c r="I6" s="50">
        <f t="shared" si="5"/>
        <v>1</v>
      </c>
      <c r="J6" s="50">
        <f t="shared" si="5"/>
        <v>2</v>
      </c>
      <c r="K6" s="50">
        <f t="shared" si="5"/>
        <v>3</v>
      </c>
      <c r="L6" s="50">
        <f t="shared" si="5"/>
        <v>4</v>
      </c>
      <c r="M6" s="50">
        <v>2</v>
      </c>
      <c r="N6" s="50">
        <v>3</v>
      </c>
      <c r="O6" s="50">
        <v>8</v>
      </c>
    </row>
    <row r="7" spans="1:15" x14ac:dyDescent="0.35">
      <c r="A7" s="41">
        <f>Dashboard!A7</f>
        <v>2</v>
      </c>
      <c r="B7" s="41" t="str">
        <f>Dashboard!B7</f>
        <v>CCCR- NEW WATER</v>
      </c>
      <c r="C7" s="41" t="str">
        <f>Dashboard!C7</f>
        <v>No.</v>
      </c>
      <c r="D7" s="50">
        <f>D35-'actual 2021-22'!O33</f>
        <v>4</v>
      </c>
      <c r="E7" s="50">
        <f t="shared" si="4"/>
        <v>6</v>
      </c>
      <c r="F7" s="50">
        <f t="shared" si="4"/>
        <v>8</v>
      </c>
      <c r="G7" s="50">
        <f>G35-F35</f>
        <v>15</v>
      </c>
      <c r="H7" s="50">
        <f t="shared" si="5"/>
        <v>5</v>
      </c>
      <c r="I7" s="50">
        <f t="shared" si="5"/>
        <v>1</v>
      </c>
      <c r="J7" s="50">
        <f t="shared" si="5"/>
        <v>6</v>
      </c>
      <c r="K7" s="50">
        <f t="shared" si="5"/>
        <v>5</v>
      </c>
      <c r="L7" s="50">
        <f t="shared" si="5"/>
        <v>6</v>
      </c>
      <c r="M7" s="50">
        <v>1</v>
      </c>
      <c r="N7" s="50">
        <v>0</v>
      </c>
      <c r="O7" s="50">
        <v>14</v>
      </c>
    </row>
    <row r="8" spans="1:15" x14ac:dyDescent="0.35">
      <c r="A8" s="41">
        <f>Dashboard!A8</f>
        <v>3</v>
      </c>
      <c r="B8" s="41" t="str">
        <f>Dashboard!B8</f>
        <v>KABATI- NEW WATER</v>
      </c>
      <c r="C8" s="41" t="str">
        <f>Dashboard!C8</f>
        <v>No.</v>
      </c>
      <c r="D8" s="50">
        <f>D36-'actual 2021-22'!O34</f>
        <v>4</v>
      </c>
      <c r="E8" s="50">
        <f t="shared" si="4"/>
        <v>10</v>
      </c>
      <c r="F8" s="50">
        <f t="shared" si="4"/>
        <v>4</v>
      </c>
      <c r="G8" s="50">
        <v>0</v>
      </c>
      <c r="H8" s="50">
        <f t="shared" si="5"/>
        <v>2</v>
      </c>
      <c r="I8" s="50">
        <f t="shared" si="5"/>
        <v>8</v>
      </c>
      <c r="J8" s="50">
        <f t="shared" si="5"/>
        <v>10</v>
      </c>
      <c r="K8" s="50">
        <f t="shared" si="5"/>
        <v>5</v>
      </c>
      <c r="L8" s="50">
        <f t="shared" si="5"/>
        <v>8</v>
      </c>
      <c r="M8" s="50">
        <v>4</v>
      </c>
      <c r="N8" s="50">
        <v>4</v>
      </c>
      <c r="O8" s="50">
        <v>4</v>
      </c>
    </row>
    <row r="9" spans="1:15" x14ac:dyDescent="0.35">
      <c r="A9" s="41">
        <f>Dashboard!A9</f>
        <v>4</v>
      </c>
      <c r="B9" s="41" t="str">
        <f>Dashboard!B9</f>
        <v>SITE- NEW WATER</v>
      </c>
      <c r="C9" s="41" t="str">
        <f>Dashboard!C9</f>
        <v>No.</v>
      </c>
      <c r="D9" s="50">
        <f>D37-'actual 2021-22'!O35</f>
        <v>4</v>
      </c>
      <c r="E9" s="50">
        <f t="shared" si="4"/>
        <v>3</v>
      </c>
      <c r="F9" s="50">
        <f t="shared" si="4"/>
        <v>1</v>
      </c>
      <c r="G9" s="50">
        <f>G37-F37</f>
        <v>0</v>
      </c>
      <c r="H9" s="50">
        <f t="shared" si="5"/>
        <v>1</v>
      </c>
      <c r="I9" s="50">
        <f t="shared" si="5"/>
        <v>0</v>
      </c>
      <c r="J9" s="50">
        <f t="shared" si="5"/>
        <v>1</v>
      </c>
      <c r="K9" s="50">
        <f t="shared" si="5"/>
        <v>3</v>
      </c>
      <c r="L9" s="50">
        <f t="shared" si="5"/>
        <v>2</v>
      </c>
      <c r="M9" s="50">
        <v>5</v>
      </c>
      <c r="N9" s="50">
        <v>3</v>
      </c>
      <c r="O9" s="50">
        <v>2</v>
      </c>
    </row>
    <row r="10" spans="1:15" x14ac:dyDescent="0.35">
      <c r="A10" s="41">
        <f>Dashboard!A10</f>
        <v>5</v>
      </c>
      <c r="B10" s="41" t="str">
        <f>Dashboard!B10</f>
        <v>KIHOTO- NEW WATER</v>
      </c>
      <c r="C10" s="41" t="str">
        <f>Dashboard!C10</f>
        <v>No.</v>
      </c>
      <c r="D10" s="50">
        <f>D38-'actual 2021-22'!O36</f>
        <v>3</v>
      </c>
      <c r="E10" s="50">
        <f t="shared" si="4"/>
        <v>2</v>
      </c>
      <c r="F10" s="50">
        <f t="shared" si="4"/>
        <v>0</v>
      </c>
      <c r="G10" s="50">
        <f>G38-F38</f>
        <v>0</v>
      </c>
      <c r="H10" s="50">
        <f t="shared" si="5"/>
        <v>3</v>
      </c>
      <c r="I10" s="50">
        <f t="shared" si="5"/>
        <v>2</v>
      </c>
      <c r="J10" s="50">
        <f t="shared" si="5"/>
        <v>1</v>
      </c>
      <c r="K10" s="50">
        <f t="shared" si="5"/>
        <v>0</v>
      </c>
      <c r="L10" s="50">
        <f t="shared" si="5"/>
        <v>0</v>
      </c>
      <c r="M10" s="50">
        <v>2</v>
      </c>
      <c r="N10" s="50">
        <v>0</v>
      </c>
      <c r="O10" s="50">
        <v>5</v>
      </c>
    </row>
    <row r="11" spans="1:15" x14ac:dyDescent="0.35">
      <c r="A11" s="41">
        <f>Dashboard!A11</f>
        <v>6</v>
      </c>
      <c r="B11" s="41" t="str">
        <f>Dashboard!B11</f>
        <v>LAKEVIEW- NEW WATER</v>
      </c>
      <c r="C11" s="41" t="str">
        <f>Dashboard!C11</f>
        <v>No.</v>
      </c>
      <c r="D11" s="50">
        <f>D39-'actual 2021-22'!O41</f>
        <v>2</v>
      </c>
      <c r="E11" s="50">
        <f t="shared" si="4"/>
        <v>6</v>
      </c>
      <c r="F11" s="50">
        <f t="shared" si="4"/>
        <v>2</v>
      </c>
      <c r="G11" s="50">
        <v>3</v>
      </c>
      <c r="H11" s="50">
        <f t="shared" si="5"/>
        <v>7</v>
      </c>
      <c r="I11" s="50">
        <f t="shared" si="5"/>
        <v>7</v>
      </c>
      <c r="J11" s="50">
        <f t="shared" si="5"/>
        <v>6</v>
      </c>
      <c r="K11" s="50">
        <f t="shared" si="5"/>
        <v>9</v>
      </c>
      <c r="L11" s="50">
        <f t="shared" si="5"/>
        <v>10</v>
      </c>
      <c r="M11" s="50">
        <v>4</v>
      </c>
      <c r="N11" s="50">
        <v>1</v>
      </c>
      <c r="O11" s="50">
        <v>7</v>
      </c>
    </row>
    <row r="12" spans="1:15" s="40" customFormat="1" x14ac:dyDescent="0.35">
      <c r="A12" s="40">
        <f>Dashboard!A13</f>
        <v>0</v>
      </c>
      <c r="B12" s="40" t="str">
        <f>Dashboard!B13</f>
        <v>TOTAL NEW WATER CONNECTIONS CENTRAL REGION</v>
      </c>
      <c r="C12" s="40" t="str">
        <f>Dashboard!C13</f>
        <v>No.</v>
      </c>
      <c r="D12" s="64">
        <f>SUM(D6:D11)</f>
        <v>17</v>
      </c>
      <c r="E12" s="64">
        <f t="shared" ref="E12:O12" si="6">SUM(E6:E11)</f>
        <v>27</v>
      </c>
      <c r="F12" s="64">
        <f t="shared" si="6"/>
        <v>20</v>
      </c>
      <c r="G12" s="64">
        <f t="shared" si="6"/>
        <v>18</v>
      </c>
      <c r="H12" s="64">
        <f t="shared" si="6"/>
        <v>21</v>
      </c>
      <c r="I12" s="64">
        <f t="shared" si="6"/>
        <v>19</v>
      </c>
      <c r="J12" s="64">
        <f t="shared" si="6"/>
        <v>26</v>
      </c>
      <c r="K12" s="64">
        <f t="shared" si="6"/>
        <v>25</v>
      </c>
      <c r="L12" s="64">
        <f t="shared" si="6"/>
        <v>30</v>
      </c>
      <c r="M12" s="64">
        <f t="shared" si="6"/>
        <v>18</v>
      </c>
      <c r="N12" s="64">
        <f t="shared" si="6"/>
        <v>11</v>
      </c>
      <c r="O12" s="64">
        <f t="shared" si="6"/>
        <v>40</v>
      </c>
    </row>
    <row r="13" spans="1:15" x14ac:dyDescent="0.35">
      <c r="A13" s="41">
        <f>Dashboard!A14</f>
        <v>1</v>
      </c>
      <c r="B13" s="41" t="str">
        <f>Dashboard!B14</f>
        <v>HELLSGATE- NEW WATER</v>
      </c>
      <c r="C13" s="41" t="str">
        <f>Dashboard!C14</f>
        <v>No.</v>
      </c>
      <c r="D13" s="50">
        <f>D41-'actual 2021-22'!O38</f>
        <v>6</v>
      </c>
      <c r="E13" s="50">
        <f t="shared" ref="E13:L15" si="7">E41-D41</f>
        <v>22</v>
      </c>
      <c r="F13" s="50">
        <f t="shared" si="7"/>
        <v>13</v>
      </c>
      <c r="G13" s="50">
        <f t="shared" si="7"/>
        <v>29</v>
      </c>
      <c r="H13" s="50">
        <f t="shared" si="7"/>
        <v>16</v>
      </c>
      <c r="I13" s="50">
        <f t="shared" si="7"/>
        <v>12</v>
      </c>
      <c r="J13" s="50">
        <f t="shared" si="7"/>
        <v>10</v>
      </c>
      <c r="K13" s="50">
        <f t="shared" si="7"/>
        <v>31</v>
      </c>
      <c r="L13" s="50">
        <f t="shared" si="7"/>
        <v>29</v>
      </c>
      <c r="M13" s="50">
        <v>19</v>
      </c>
      <c r="N13" s="50">
        <v>19</v>
      </c>
      <c r="O13" s="50">
        <v>24</v>
      </c>
    </row>
    <row r="14" spans="1:15" x14ac:dyDescent="0.35">
      <c r="A14" s="41">
        <f>Dashboard!A15</f>
        <v>2</v>
      </c>
      <c r="B14" s="41" t="str">
        <f>Dashboard!B15</f>
        <v>KAMERE- NEW WATER</v>
      </c>
      <c r="C14" s="41" t="str">
        <f>Dashboard!C15</f>
        <v>No.</v>
      </c>
      <c r="D14" s="50">
        <f>D42-'actual 2021-22'!O39</f>
        <v>0</v>
      </c>
      <c r="E14" s="50">
        <f t="shared" si="7"/>
        <v>3</v>
      </c>
      <c r="F14" s="50">
        <f t="shared" si="7"/>
        <v>0</v>
      </c>
      <c r="G14" s="50">
        <f t="shared" si="7"/>
        <v>1</v>
      </c>
      <c r="H14" s="50">
        <f t="shared" si="7"/>
        <v>2</v>
      </c>
      <c r="I14" s="50">
        <f t="shared" si="7"/>
        <v>0</v>
      </c>
      <c r="J14" s="50">
        <f t="shared" si="7"/>
        <v>1</v>
      </c>
      <c r="K14" s="50">
        <f t="shared" si="7"/>
        <v>1</v>
      </c>
      <c r="L14" s="50">
        <f t="shared" si="7"/>
        <v>1</v>
      </c>
      <c r="M14" s="50">
        <v>1</v>
      </c>
      <c r="N14" s="50">
        <v>0</v>
      </c>
      <c r="O14" s="50">
        <v>0</v>
      </c>
    </row>
    <row r="15" spans="1:15" x14ac:dyDescent="0.35">
      <c r="A15" s="41">
        <f>Dashboard!A16</f>
        <v>3</v>
      </c>
      <c r="B15" s="41" t="str">
        <f>Dashboard!B16</f>
        <v>MAI-MAHIU- NEW WATER</v>
      </c>
      <c r="C15" s="41" t="str">
        <f>Dashboard!C16</f>
        <v>No.</v>
      </c>
      <c r="D15" s="50">
        <f>D43-'actual 2021-22'!O42</f>
        <v>8</v>
      </c>
      <c r="E15" s="50">
        <f t="shared" si="7"/>
        <v>31</v>
      </c>
      <c r="F15" s="50">
        <f t="shared" si="7"/>
        <v>110</v>
      </c>
      <c r="G15" s="50">
        <f t="shared" si="7"/>
        <v>14</v>
      </c>
      <c r="H15" s="50">
        <f t="shared" si="7"/>
        <v>27</v>
      </c>
      <c r="I15" s="50">
        <f t="shared" si="7"/>
        <v>5</v>
      </c>
      <c r="J15" s="50">
        <f t="shared" si="7"/>
        <v>19</v>
      </c>
      <c r="K15" s="50">
        <f t="shared" si="7"/>
        <v>81</v>
      </c>
      <c r="L15" s="50">
        <f t="shared" si="7"/>
        <v>114</v>
      </c>
      <c r="M15" s="50">
        <v>52</v>
      </c>
      <c r="N15" s="50">
        <v>22</v>
      </c>
      <c r="O15" s="50">
        <v>24</v>
      </c>
    </row>
    <row r="16" spans="1:15" s="40" customFormat="1" x14ac:dyDescent="0.35">
      <c r="A16" s="40">
        <f>Dashboard!A18</f>
        <v>0</v>
      </c>
      <c r="B16" s="40" t="str">
        <f>Dashboard!B18</f>
        <v>TOTAL NEW WATER CONNECTION SOUTHERN REGION</v>
      </c>
      <c r="C16" s="40" t="str">
        <f>Dashboard!C18</f>
        <v>No.</v>
      </c>
      <c r="D16" s="64">
        <f>SUM(D13:D15)</f>
        <v>14</v>
      </c>
      <c r="E16" s="64">
        <f t="shared" ref="E16:O16" si="8">SUM(E13:E15)</f>
        <v>56</v>
      </c>
      <c r="F16" s="64">
        <f t="shared" si="8"/>
        <v>123</v>
      </c>
      <c r="G16" s="64">
        <f t="shared" si="8"/>
        <v>44</v>
      </c>
      <c r="H16" s="64">
        <f t="shared" si="8"/>
        <v>45</v>
      </c>
      <c r="I16" s="64">
        <f t="shared" si="8"/>
        <v>17</v>
      </c>
      <c r="J16" s="64">
        <f t="shared" si="8"/>
        <v>30</v>
      </c>
      <c r="K16" s="64">
        <f t="shared" si="8"/>
        <v>113</v>
      </c>
      <c r="L16" s="64">
        <f t="shared" si="8"/>
        <v>144</v>
      </c>
      <c r="M16" s="64">
        <f t="shared" si="8"/>
        <v>72</v>
      </c>
      <c r="N16" s="64">
        <f t="shared" si="8"/>
        <v>41</v>
      </c>
      <c r="O16" s="64">
        <f t="shared" si="8"/>
        <v>48</v>
      </c>
    </row>
    <row r="17" spans="1:16" x14ac:dyDescent="0.35">
      <c r="A17" s="41">
        <f>Dashboard!A20</f>
        <v>1</v>
      </c>
      <c r="B17" s="41" t="str">
        <f>Dashboard!B20</f>
        <v>KAYOLE- NEW WATER</v>
      </c>
      <c r="C17" s="41" t="str">
        <f>Dashboard!C20</f>
        <v>No.</v>
      </c>
      <c r="D17" s="50">
        <f>D45-'actual 2021-22'!O40</f>
        <v>13</v>
      </c>
      <c r="E17" s="50">
        <f t="shared" ref="E17:L17" si="9">E45-D45</f>
        <v>32</v>
      </c>
      <c r="F17" s="50">
        <f t="shared" si="9"/>
        <v>12</v>
      </c>
      <c r="G17" s="50">
        <f t="shared" si="9"/>
        <v>16</v>
      </c>
      <c r="H17" s="50">
        <f t="shared" si="9"/>
        <v>14</v>
      </c>
      <c r="I17" s="50">
        <f t="shared" si="9"/>
        <v>9</v>
      </c>
      <c r="J17" s="50">
        <f t="shared" si="9"/>
        <v>29</v>
      </c>
      <c r="K17" s="50">
        <f t="shared" si="9"/>
        <v>25</v>
      </c>
      <c r="L17" s="50">
        <f t="shared" si="9"/>
        <v>57</v>
      </c>
      <c r="M17" s="50">
        <v>25</v>
      </c>
      <c r="N17" s="50">
        <v>20</v>
      </c>
      <c r="O17" s="50">
        <v>25</v>
      </c>
    </row>
    <row r="18" spans="1:16" s="40" customFormat="1" x14ac:dyDescent="0.35">
      <c r="B18" s="40" t="s">
        <v>218</v>
      </c>
      <c r="D18" s="62">
        <f>D17+D16+D12</f>
        <v>44</v>
      </c>
      <c r="E18" s="62">
        <f t="shared" ref="E18:O18" si="10">E17+E16+E12</f>
        <v>115</v>
      </c>
      <c r="F18" s="62">
        <f t="shared" si="10"/>
        <v>155</v>
      </c>
      <c r="G18" s="62">
        <f t="shared" si="10"/>
        <v>78</v>
      </c>
      <c r="H18" s="62">
        <f t="shared" si="10"/>
        <v>80</v>
      </c>
      <c r="I18" s="62">
        <f t="shared" si="10"/>
        <v>45</v>
      </c>
      <c r="J18" s="62">
        <f t="shared" si="10"/>
        <v>85</v>
      </c>
      <c r="K18" s="62">
        <f t="shared" si="10"/>
        <v>163</v>
      </c>
      <c r="L18" s="62">
        <f t="shared" si="10"/>
        <v>231</v>
      </c>
      <c r="M18" s="62">
        <f t="shared" si="10"/>
        <v>115</v>
      </c>
      <c r="N18" s="62">
        <f t="shared" si="10"/>
        <v>72</v>
      </c>
      <c r="O18" s="62">
        <f t="shared" si="10"/>
        <v>113</v>
      </c>
      <c r="P18" s="62"/>
    </row>
    <row r="19" spans="1:16" x14ac:dyDescent="0.35">
      <c r="A19" s="41" t="str">
        <f>Dashboard!A23</f>
        <v>NEW CONNECTIONS SEWER</v>
      </c>
      <c r="D19" s="53"/>
      <c r="E19" s="53"/>
      <c r="F19" s="53"/>
      <c r="G19" s="53"/>
      <c r="H19" s="53"/>
      <c r="I19" s="53"/>
      <c r="J19" s="53"/>
      <c r="K19" s="53"/>
      <c r="L19" s="53"/>
      <c r="M19" s="53"/>
      <c r="N19" s="53"/>
      <c r="O19" s="53"/>
    </row>
    <row r="20" spans="1:16" x14ac:dyDescent="0.35">
      <c r="A20" s="41">
        <f>Dashboard!A24</f>
        <v>1</v>
      </c>
      <c r="B20" s="41" t="str">
        <f>Dashboard!B24</f>
        <v>CBD- NEW SEWER</v>
      </c>
      <c r="C20" s="41" t="str">
        <f>Dashboard!C24</f>
        <v>No.</v>
      </c>
      <c r="D20" s="50">
        <f>D47-'actual 2021-22'!O45</f>
        <v>1</v>
      </c>
      <c r="E20" s="50">
        <f t="shared" ref="E20:H31" si="11">E47-D47</f>
        <v>1</v>
      </c>
      <c r="F20" s="50">
        <f t="shared" si="11"/>
        <v>1</v>
      </c>
      <c r="G20" s="50">
        <f t="shared" si="11"/>
        <v>2</v>
      </c>
      <c r="H20" s="50">
        <f t="shared" si="11"/>
        <v>0</v>
      </c>
      <c r="I20" s="50">
        <f t="shared" ref="I20:I31" si="12">I47-H47</f>
        <v>1</v>
      </c>
      <c r="J20" s="50">
        <f t="shared" ref="J20:K31" si="13">J47-I47</f>
        <v>0</v>
      </c>
      <c r="K20" s="50">
        <f t="shared" si="13"/>
        <v>2</v>
      </c>
      <c r="L20" s="50">
        <f t="shared" ref="L20:L29" si="14">L47-K47</f>
        <v>0</v>
      </c>
      <c r="M20" s="50">
        <v>1</v>
      </c>
      <c r="N20" s="50">
        <v>3</v>
      </c>
      <c r="O20" s="50">
        <v>0</v>
      </c>
    </row>
    <row r="21" spans="1:16" x14ac:dyDescent="0.35">
      <c r="A21" s="41">
        <f>Dashboard!A25</f>
        <v>2</v>
      </c>
      <c r="B21" s="41" t="str">
        <f>Dashboard!B25</f>
        <v>CCCR- NEW SEWER</v>
      </c>
      <c r="C21" s="41" t="str">
        <f>Dashboard!C25</f>
        <v>No.</v>
      </c>
      <c r="D21" s="50">
        <f>D48-'actual 2021-22'!O46</f>
        <v>0</v>
      </c>
      <c r="E21" s="50">
        <f t="shared" si="11"/>
        <v>0</v>
      </c>
      <c r="F21" s="50">
        <f t="shared" si="11"/>
        <v>0</v>
      </c>
      <c r="G21" s="50">
        <f t="shared" si="11"/>
        <v>6</v>
      </c>
      <c r="H21" s="50">
        <f t="shared" si="11"/>
        <v>0</v>
      </c>
      <c r="I21" s="50">
        <f t="shared" si="12"/>
        <v>0</v>
      </c>
      <c r="J21" s="50">
        <f t="shared" si="13"/>
        <v>0</v>
      </c>
      <c r="K21" s="50">
        <f t="shared" si="13"/>
        <v>0</v>
      </c>
      <c r="L21" s="50">
        <f t="shared" si="14"/>
        <v>0</v>
      </c>
      <c r="M21" s="50">
        <v>2</v>
      </c>
      <c r="N21" s="50">
        <v>0</v>
      </c>
      <c r="O21" s="50">
        <v>0</v>
      </c>
    </row>
    <row r="22" spans="1:16" x14ac:dyDescent="0.35">
      <c r="A22" s="41">
        <f>Dashboard!A26</f>
        <v>3</v>
      </c>
      <c r="B22" s="41" t="str">
        <f>Dashboard!B26</f>
        <v>KABATI- NEW SEWER</v>
      </c>
      <c r="C22" s="41" t="str">
        <f>Dashboard!C26</f>
        <v>No.</v>
      </c>
      <c r="D22" s="50">
        <f>D49-'actual 2021-22'!O47</f>
        <v>0</v>
      </c>
      <c r="E22" s="50">
        <f t="shared" si="11"/>
        <v>1</v>
      </c>
      <c r="F22" s="50">
        <f t="shared" si="11"/>
        <v>2</v>
      </c>
      <c r="G22" s="50">
        <f t="shared" si="11"/>
        <v>3</v>
      </c>
      <c r="H22" s="50">
        <f t="shared" si="11"/>
        <v>0</v>
      </c>
      <c r="I22" s="50">
        <f t="shared" si="12"/>
        <v>0</v>
      </c>
      <c r="J22" s="50">
        <f t="shared" si="13"/>
        <v>0</v>
      </c>
      <c r="K22" s="50">
        <f t="shared" si="13"/>
        <v>0</v>
      </c>
      <c r="L22" s="50">
        <f t="shared" si="14"/>
        <v>2</v>
      </c>
      <c r="M22" s="50">
        <v>1</v>
      </c>
      <c r="N22" s="50">
        <v>3</v>
      </c>
      <c r="O22" s="50">
        <v>0</v>
      </c>
    </row>
    <row r="23" spans="1:16" x14ac:dyDescent="0.35">
      <c r="A23" s="41">
        <f>Dashboard!A27</f>
        <v>4</v>
      </c>
      <c r="B23" s="41" t="str">
        <f>Dashboard!B27</f>
        <v>SITE- NEW SEWER</v>
      </c>
      <c r="C23" s="41" t="str">
        <f>Dashboard!C27</f>
        <v>No.</v>
      </c>
      <c r="D23" s="50">
        <f>D50-'actual 2021-22'!O48</f>
        <v>0</v>
      </c>
      <c r="E23" s="50">
        <f t="shared" si="11"/>
        <v>0</v>
      </c>
      <c r="F23" s="50">
        <f t="shared" si="11"/>
        <v>0</v>
      </c>
      <c r="G23" s="50">
        <f t="shared" si="11"/>
        <v>2</v>
      </c>
      <c r="H23" s="50">
        <f t="shared" si="11"/>
        <v>2</v>
      </c>
      <c r="I23" s="50">
        <f t="shared" si="12"/>
        <v>3</v>
      </c>
      <c r="J23" s="50">
        <f t="shared" si="13"/>
        <v>1</v>
      </c>
      <c r="K23" s="50">
        <f t="shared" si="13"/>
        <v>6</v>
      </c>
      <c r="L23" s="50">
        <f t="shared" si="14"/>
        <v>0</v>
      </c>
      <c r="M23" s="50">
        <v>3</v>
      </c>
      <c r="N23" s="50">
        <v>1</v>
      </c>
      <c r="O23" s="50">
        <v>0</v>
      </c>
    </row>
    <row r="24" spans="1:16" x14ac:dyDescent="0.35">
      <c r="A24" s="41">
        <f>Dashboard!A28</f>
        <v>5</v>
      </c>
      <c r="B24" s="41" t="str">
        <f>Dashboard!B28</f>
        <v>KIHOTO- NEW SEWER</v>
      </c>
      <c r="C24" s="41" t="str">
        <f>Dashboard!C28</f>
        <v>No.</v>
      </c>
      <c r="D24" s="50">
        <f>D51-'actual 2021-22'!O49</f>
        <v>0</v>
      </c>
      <c r="E24" s="50">
        <f t="shared" si="11"/>
        <v>0</v>
      </c>
      <c r="F24" s="50">
        <f t="shared" si="11"/>
        <v>0</v>
      </c>
      <c r="G24" s="50">
        <f t="shared" si="11"/>
        <v>0</v>
      </c>
      <c r="H24" s="50">
        <f t="shared" si="11"/>
        <v>0</v>
      </c>
      <c r="I24" s="50">
        <f t="shared" si="12"/>
        <v>0</v>
      </c>
      <c r="J24" s="50">
        <f t="shared" si="13"/>
        <v>0</v>
      </c>
      <c r="K24" s="50">
        <f t="shared" si="13"/>
        <v>0</v>
      </c>
      <c r="L24" s="50">
        <f t="shared" si="14"/>
        <v>0</v>
      </c>
      <c r="M24" s="50">
        <v>0</v>
      </c>
      <c r="N24" s="50">
        <v>0</v>
      </c>
      <c r="O24" s="50">
        <v>0</v>
      </c>
    </row>
    <row r="25" spans="1:16" x14ac:dyDescent="0.35">
      <c r="A25" s="41">
        <f>Dashboard!A29</f>
        <v>6</v>
      </c>
      <c r="B25" s="41" t="str">
        <f>Dashboard!B29</f>
        <v>LAKEVIEW- NEW SEWER</v>
      </c>
      <c r="C25" s="41" t="str">
        <f>Dashboard!C29</f>
        <v>No.</v>
      </c>
      <c r="D25" s="50">
        <f>D52-'actual 2021-22'!O54</f>
        <v>1</v>
      </c>
      <c r="E25" s="50">
        <f t="shared" si="11"/>
        <v>0</v>
      </c>
      <c r="F25" s="50">
        <v>0</v>
      </c>
      <c r="G25" s="50">
        <v>1</v>
      </c>
      <c r="H25" s="50">
        <v>2</v>
      </c>
      <c r="I25" s="50">
        <f t="shared" si="12"/>
        <v>1</v>
      </c>
      <c r="J25" s="50">
        <f t="shared" si="13"/>
        <v>0</v>
      </c>
      <c r="K25" s="50">
        <f t="shared" si="13"/>
        <v>3</v>
      </c>
      <c r="L25" s="50">
        <f t="shared" si="14"/>
        <v>0</v>
      </c>
      <c r="M25" s="50">
        <v>1</v>
      </c>
      <c r="N25" s="50">
        <v>3</v>
      </c>
      <c r="O25" s="50">
        <v>2</v>
      </c>
    </row>
    <row r="26" spans="1:16" s="40" customFormat="1" x14ac:dyDescent="0.35">
      <c r="A26" s="40">
        <f>Dashboard!A31</f>
        <v>0</v>
      </c>
      <c r="B26" s="40" t="str">
        <f>Dashboard!B31</f>
        <v>TOTAL NEW SEWER CONNECTIONS CENTRAL REGION</v>
      </c>
      <c r="C26" s="40" t="str">
        <f>Dashboard!C31</f>
        <v>No.</v>
      </c>
      <c r="D26" s="64">
        <f>SUM(D20:D25)</f>
        <v>2</v>
      </c>
      <c r="E26" s="64">
        <f t="shared" ref="E26:O26" si="15">SUM(E20:E25)</f>
        <v>2</v>
      </c>
      <c r="F26" s="64">
        <f t="shared" si="15"/>
        <v>3</v>
      </c>
      <c r="G26" s="64">
        <f t="shared" si="15"/>
        <v>14</v>
      </c>
      <c r="H26" s="64">
        <f t="shared" si="15"/>
        <v>4</v>
      </c>
      <c r="I26" s="64">
        <f t="shared" si="15"/>
        <v>5</v>
      </c>
      <c r="J26" s="64">
        <f t="shared" si="15"/>
        <v>1</v>
      </c>
      <c r="K26" s="64">
        <f t="shared" si="15"/>
        <v>11</v>
      </c>
      <c r="L26" s="64">
        <f t="shared" si="15"/>
        <v>2</v>
      </c>
      <c r="M26" s="64">
        <f t="shared" si="15"/>
        <v>8</v>
      </c>
      <c r="N26" s="64">
        <f t="shared" si="15"/>
        <v>10</v>
      </c>
      <c r="O26" s="64">
        <f t="shared" si="15"/>
        <v>2</v>
      </c>
    </row>
    <row r="27" spans="1:16" x14ac:dyDescent="0.35">
      <c r="A27" s="41">
        <f>Dashboard!A32</f>
        <v>1</v>
      </c>
      <c r="B27" s="41" t="str">
        <f>Dashboard!B32</f>
        <v>HELLSGATE- NEW SEWER</v>
      </c>
      <c r="C27" s="41" t="str">
        <f>Dashboard!C32</f>
        <v>No.</v>
      </c>
      <c r="D27" s="50">
        <f>D54-'actual 2021-22'!O51</f>
        <v>0</v>
      </c>
      <c r="E27" s="50">
        <f t="shared" si="11"/>
        <v>0</v>
      </c>
      <c r="F27" s="50">
        <f t="shared" si="11"/>
        <v>0</v>
      </c>
      <c r="G27" s="50">
        <f t="shared" si="11"/>
        <v>0</v>
      </c>
      <c r="H27" s="50">
        <f t="shared" si="11"/>
        <v>0</v>
      </c>
      <c r="I27" s="50">
        <f t="shared" si="12"/>
        <v>0</v>
      </c>
      <c r="J27" s="50">
        <f t="shared" si="13"/>
        <v>0</v>
      </c>
      <c r="K27" s="50">
        <f t="shared" si="13"/>
        <v>0</v>
      </c>
      <c r="L27" s="50">
        <f t="shared" si="14"/>
        <v>0</v>
      </c>
      <c r="M27" s="50">
        <v>0</v>
      </c>
      <c r="N27" s="50">
        <v>0</v>
      </c>
      <c r="O27" s="50"/>
    </row>
    <row r="28" spans="1:16" x14ac:dyDescent="0.35">
      <c r="A28" s="41">
        <f>Dashboard!A33</f>
        <v>2</v>
      </c>
      <c r="B28" s="41" t="str">
        <f>Dashboard!B33</f>
        <v>KAMERE- NEW SEWER</v>
      </c>
      <c r="C28" s="41" t="str">
        <f>Dashboard!C33</f>
        <v>No.</v>
      </c>
      <c r="D28" s="50">
        <f>D55-'actual 2021-22'!O52</f>
        <v>0</v>
      </c>
      <c r="E28" s="50">
        <f t="shared" si="11"/>
        <v>0</v>
      </c>
      <c r="F28" s="50">
        <f t="shared" si="11"/>
        <v>0</v>
      </c>
      <c r="G28" s="50">
        <f t="shared" si="11"/>
        <v>0</v>
      </c>
      <c r="H28" s="50">
        <f t="shared" si="11"/>
        <v>0</v>
      </c>
      <c r="I28" s="50">
        <f t="shared" si="12"/>
        <v>0</v>
      </c>
      <c r="J28" s="50">
        <f t="shared" si="13"/>
        <v>0</v>
      </c>
      <c r="K28" s="50">
        <f t="shared" si="13"/>
        <v>0</v>
      </c>
      <c r="L28" s="50">
        <f t="shared" si="14"/>
        <v>0</v>
      </c>
      <c r="M28" s="50">
        <v>0</v>
      </c>
      <c r="N28" s="50">
        <v>0</v>
      </c>
      <c r="O28" s="50"/>
    </row>
    <row r="29" spans="1:16" x14ac:dyDescent="0.35">
      <c r="A29" s="41">
        <f>Dashboard!A34</f>
        <v>3</v>
      </c>
      <c r="B29" s="41" t="str">
        <f>Dashboard!B34</f>
        <v>MAI-MAHIU- NEW SEWER</v>
      </c>
      <c r="C29" s="41" t="str">
        <f>Dashboard!C34</f>
        <v>No.</v>
      </c>
      <c r="D29" s="50">
        <f>D56-'actual 2021-22'!O55</f>
        <v>0</v>
      </c>
      <c r="E29" s="50">
        <f t="shared" si="11"/>
        <v>0</v>
      </c>
      <c r="F29" s="50">
        <f t="shared" si="11"/>
        <v>0</v>
      </c>
      <c r="G29" s="50">
        <f t="shared" si="11"/>
        <v>0</v>
      </c>
      <c r="H29" s="50">
        <f t="shared" si="11"/>
        <v>0</v>
      </c>
      <c r="I29" s="50">
        <f t="shared" si="12"/>
        <v>0</v>
      </c>
      <c r="J29" s="50">
        <f t="shared" si="13"/>
        <v>0</v>
      </c>
      <c r="K29" s="50">
        <f t="shared" si="13"/>
        <v>0</v>
      </c>
      <c r="L29" s="50">
        <f t="shared" si="14"/>
        <v>0</v>
      </c>
      <c r="M29" s="50">
        <v>0</v>
      </c>
      <c r="N29" s="50">
        <v>0</v>
      </c>
      <c r="O29" s="50"/>
    </row>
    <row r="30" spans="1:16" s="40" customFormat="1" x14ac:dyDescent="0.35">
      <c r="A30" s="40">
        <f>Dashboard!A35</f>
        <v>0</v>
      </c>
      <c r="B30" s="40" t="str">
        <f>Dashboard!B35</f>
        <v>TOTAL NEW S CONNECTION SOUTHERN REGION</v>
      </c>
      <c r="C30" s="40" t="str">
        <f>Dashboard!C35</f>
        <v>No.</v>
      </c>
      <c r="D30" s="64">
        <f>SUM(D27:D29)</f>
        <v>0</v>
      </c>
      <c r="E30" s="64">
        <f t="shared" ref="E30:O30" si="16">SUM(E27:E29)</f>
        <v>0</v>
      </c>
      <c r="F30" s="64">
        <f t="shared" si="16"/>
        <v>0</v>
      </c>
      <c r="G30" s="64">
        <f t="shared" si="16"/>
        <v>0</v>
      </c>
      <c r="H30" s="64">
        <f t="shared" si="16"/>
        <v>0</v>
      </c>
      <c r="I30" s="64">
        <f t="shared" si="16"/>
        <v>0</v>
      </c>
      <c r="J30" s="64">
        <f t="shared" si="16"/>
        <v>0</v>
      </c>
      <c r="K30" s="64">
        <f t="shared" si="16"/>
        <v>0</v>
      </c>
      <c r="L30" s="64">
        <f t="shared" si="16"/>
        <v>0</v>
      </c>
      <c r="M30" s="64">
        <f t="shared" si="16"/>
        <v>0</v>
      </c>
      <c r="N30" s="64">
        <f t="shared" si="16"/>
        <v>0</v>
      </c>
      <c r="O30" s="64">
        <f t="shared" si="16"/>
        <v>0</v>
      </c>
    </row>
    <row r="31" spans="1:16" x14ac:dyDescent="0.35">
      <c r="A31" s="41">
        <f>Dashboard!A37</f>
        <v>1</v>
      </c>
      <c r="B31" s="41" t="str">
        <f>Dashboard!B37</f>
        <v>KAYOLE- NEW SEWER</v>
      </c>
      <c r="C31" s="41" t="str">
        <f>Dashboard!C37</f>
        <v>No.</v>
      </c>
      <c r="D31" s="50">
        <f>D58-'actual 2021-22'!O53</f>
        <v>9</v>
      </c>
      <c r="E31" s="50">
        <f t="shared" si="11"/>
        <v>0</v>
      </c>
      <c r="F31" s="50">
        <f t="shared" si="11"/>
        <v>1</v>
      </c>
      <c r="G31" s="50">
        <f t="shared" si="11"/>
        <v>2</v>
      </c>
      <c r="H31" s="50">
        <f t="shared" si="11"/>
        <v>0</v>
      </c>
      <c r="I31" s="50">
        <f t="shared" si="12"/>
        <v>0</v>
      </c>
      <c r="J31" s="50">
        <f t="shared" si="13"/>
        <v>0</v>
      </c>
      <c r="K31" s="50">
        <v>0</v>
      </c>
      <c r="L31" s="50">
        <v>0</v>
      </c>
      <c r="M31" s="50">
        <v>0</v>
      </c>
      <c r="N31" s="50">
        <v>6</v>
      </c>
      <c r="O31" s="50">
        <v>6</v>
      </c>
    </row>
    <row r="32" spans="1:16" s="40" customFormat="1" x14ac:dyDescent="0.35">
      <c r="B32" s="40" t="s">
        <v>219</v>
      </c>
      <c r="D32" s="62">
        <f>D31+D30+D26</f>
        <v>11</v>
      </c>
      <c r="E32" s="62">
        <f t="shared" ref="E32:O32" si="17">E31+E30+E26</f>
        <v>2</v>
      </c>
      <c r="F32" s="62">
        <f t="shared" si="17"/>
        <v>4</v>
      </c>
      <c r="G32" s="62">
        <f t="shared" si="17"/>
        <v>16</v>
      </c>
      <c r="H32" s="62">
        <f t="shared" si="17"/>
        <v>4</v>
      </c>
      <c r="I32" s="62">
        <f t="shared" si="17"/>
        <v>5</v>
      </c>
      <c r="J32" s="62">
        <f t="shared" si="17"/>
        <v>1</v>
      </c>
      <c r="K32" s="62">
        <f t="shared" si="17"/>
        <v>11</v>
      </c>
      <c r="L32" s="62">
        <f t="shared" si="17"/>
        <v>2</v>
      </c>
      <c r="M32" s="62">
        <f t="shared" si="17"/>
        <v>8</v>
      </c>
      <c r="N32" s="62">
        <f t="shared" si="17"/>
        <v>16</v>
      </c>
      <c r="O32" s="62">
        <f t="shared" si="17"/>
        <v>8</v>
      </c>
    </row>
    <row r="33" spans="1:16" x14ac:dyDescent="0.35">
      <c r="A33" s="41" t="str">
        <f>Dashboard!A38</f>
        <v>TOTAL CONNECTIONS-WATER</v>
      </c>
      <c r="D33" s="53"/>
      <c r="E33" s="53"/>
      <c r="F33" s="53"/>
      <c r="G33" s="53"/>
      <c r="H33" s="53"/>
      <c r="I33" s="53"/>
      <c r="J33" s="53"/>
      <c r="K33" s="53"/>
      <c r="L33" s="53"/>
      <c r="M33" s="53"/>
      <c r="N33" s="53"/>
      <c r="O33" s="53"/>
    </row>
    <row r="34" spans="1:16" x14ac:dyDescent="0.35">
      <c r="A34" s="41">
        <f>Dashboard!A39</f>
        <v>1</v>
      </c>
      <c r="B34" s="41" t="str">
        <f>Dashboard!B39</f>
        <v>CBD-  WATER</v>
      </c>
      <c r="C34" s="41" t="str">
        <f>Dashboard!C39</f>
        <v>No.</v>
      </c>
      <c r="D34" s="50">
        <v>756</v>
      </c>
      <c r="E34" s="50">
        <v>756</v>
      </c>
      <c r="F34" s="50">
        <v>761</v>
      </c>
      <c r="G34" s="50">
        <v>757</v>
      </c>
      <c r="H34" s="50">
        <v>760</v>
      </c>
      <c r="I34" s="50">
        <v>761</v>
      </c>
      <c r="J34" s="50">
        <v>763</v>
      </c>
      <c r="K34" s="50">
        <v>766</v>
      </c>
      <c r="L34" s="50">
        <v>770</v>
      </c>
      <c r="M34" s="50">
        <v>771</v>
      </c>
      <c r="N34" s="50">
        <v>774</v>
      </c>
      <c r="O34" s="50">
        <v>773</v>
      </c>
      <c r="P34" s="53"/>
    </row>
    <row r="35" spans="1:16" x14ac:dyDescent="0.35">
      <c r="A35" s="41">
        <f>Dashboard!A40</f>
        <v>2</v>
      </c>
      <c r="B35" s="41" t="str">
        <f>Dashboard!B40</f>
        <v>CCCR-  WATER</v>
      </c>
      <c r="C35" s="41" t="str">
        <f>Dashboard!C40</f>
        <v>No.</v>
      </c>
      <c r="D35" s="50">
        <v>713</v>
      </c>
      <c r="E35" s="50">
        <v>719</v>
      </c>
      <c r="F35" s="50">
        <v>727</v>
      </c>
      <c r="G35" s="50">
        <v>742</v>
      </c>
      <c r="H35" s="50">
        <v>747</v>
      </c>
      <c r="I35" s="50">
        <v>748</v>
      </c>
      <c r="J35" s="50">
        <v>754</v>
      </c>
      <c r="K35" s="50">
        <v>759</v>
      </c>
      <c r="L35" s="50">
        <v>765</v>
      </c>
      <c r="M35" s="50">
        <v>766</v>
      </c>
      <c r="N35" s="50">
        <v>765</v>
      </c>
      <c r="O35" s="50">
        <v>779</v>
      </c>
      <c r="P35" s="53"/>
    </row>
    <row r="36" spans="1:16" x14ac:dyDescent="0.35">
      <c r="A36" s="41">
        <f>Dashboard!A41</f>
        <v>3</v>
      </c>
      <c r="B36" s="41" t="str">
        <f>Dashboard!B41</f>
        <v>KABATI- WATER</v>
      </c>
      <c r="C36" s="41" t="str">
        <f>Dashboard!C41</f>
        <v>No.</v>
      </c>
      <c r="D36" s="50">
        <v>850</v>
      </c>
      <c r="E36" s="50">
        <v>860</v>
      </c>
      <c r="F36" s="50">
        <v>864</v>
      </c>
      <c r="G36" s="50">
        <v>863</v>
      </c>
      <c r="H36" s="50">
        <v>865</v>
      </c>
      <c r="I36" s="50">
        <v>873</v>
      </c>
      <c r="J36" s="50">
        <v>883</v>
      </c>
      <c r="K36" s="50">
        <v>888</v>
      </c>
      <c r="L36" s="50">
        <v>896</v>
      </c>
      <c r="M36" s="50">
        <v>900</v>
      </c>
      <c r="N36" s="50">
        <v>904</v>
      </c>
      <c r="O36" s="50">
        <v>908</v>
      </c>
      <c r="P36" s="53"/>
    </row>
    <row r="37" spans="1:16" x14ac:dyDescent="0.35">
      <c r="A37" s="41">
        <f>Dashboard!A42</f>
        <v>4</v>
      </c>
      <c r="B37" s="41" t="str">
        <f>Dashboard!B42</f>
        <v>SITE- WATER</v>
      </c>
      <c r="C37" s="41" t="str">
        <f>Dashboard!C42</f>
        <v>No.</v>
      </c>
      <c r="D37" s="50">
        <v>900</v>
      </c>
      <c r="E37" s="50">
        <v>903</v>
      </c>
      <c r="F37" s="50">
        <v>904</v>
      </c>
      <c r="G37" s="50">
        <v>904</v>
      </c>
      <c r="H37" s="50">
        <v>905</v>
      </c>
      <c r="I37" s="50">
        <v>905</v>
      </c>
      <c r="J37" s="50">
        <v>906</v>
      </c>
      <c r="K37" s="50">
        <v>909</v>
      </c>
      <c r="L37" s="50">
        <v>911</v>
      </c>
      <c r="M37" s="50">
        <v>916</v>
      </c>
      <c r="N37" s="50">
        <v>919</v>
      </c>
      <c r="O37" s="50">
        <v>921</v>
      </c>
      <c r="P37" s="53"/>
    </row>
    <row r="38" spans="1:16" x14ac:dyDescent="0.35">
      <c r="A38" s="41">
        <f>Dashboard!A43</f>
        <v>5</v>
      </c>
      <c r="B38" s="41" t="str">
        <f>Dashboard!B43</f>
        <v>KIHOTO- WATER</v>
      </c>
      <c r="C38" s="41" t="str">
        <f>Dashboard!C43</f>
        <v>No.</v>
      </c>
      <c r="D38" s="50">
        <v>192</v>
      </c>
      <c r="E38" s="50">
        <v>194</v>
      </c>
      <c r="F38" s="50">
        <v>194</v>
      </c>
      <c r="G38" s="50">
        <v>194</v>
      </c>
      <c r="H38" s="50">
        <v>197</v>
      </c>
      <c r="I38" s="50">
        <v>199</v>
      </c>
      <c r="J38" s="50">
        <v>200</v>
      </c>
      <c r="K38" s="50">
        <v>200</v>
      </c>
      <c r="L38" s="50">
        <v>200</v>
      </c>
      <c r="M38" s="50">
        <v>202</v>
      </c>
      <c r="N38" s="50">
        <v>202</v>
      </c>
      <c r="O38" s="50">
        <v>207</v>
      </c>
      <c r="P38" s="53"/>
    </row>
    <row r="39" spans="1:16" x14ac:dyDescent="0.35">
      <c r="A39" s="41">
        <f>Dashboard!A44</f>
        <v>6</v>
      </c>
      <c r="B39" s="41" t="str">
        <f>Dashboard!B44</f>
        <v>LAKEVIEW- WATER</v>
      </c>
      <c r="C39" s="41" t="str">
        <f>Dashboard!C44</f>
        <v>No.</v>
      </c>
      <c r="D39" s="50">
        <v>1345</v>
      </c>
      <c r="E39" s="50">
        <v>1351</v>
      </c>
      <c r="F39" s="50">
        <v>1353</v>
      </c>
      <c r="G39" s="50">
        <v>1361</v>
      </c>
      <c r="H39" s="50">
        <v>1368</v>
      </c>
      <c r="I39" s="50">
        <v>1375</v>
      </c>
      <c r="J39" s="50">
        <v>1381</v>
      </c>
      <c r="K39" s="50">
        <v>1390</v>
      </c>
      <c r="L39" s="50">
        <v>1400</v>
      </c>
      <c r="M39" s="50">
        <v>1404</v>
      </c>
      <c r="N39" s="50">
        <v>1406</v>
      </c>
      <c r="O39" s="50">
        <v>1413</v>
      </c>
      <c r="P39" s="53"/>
    </row>
    <row r="40" spans="1:16" s="40" customFormat="1" x14ac:dyDescent="0.35">
      <c r="A40" s="40">
        <f>Dashboard!A46</f>
        <v>0</v>
      </c>
      <c r="B40" s="40" t="str">
        <f>Dashboard!B46</f>
        <v>TOTALWATER CONNECTION CENTRAL REGION</v>
      </c>
      <c r="C40" s="40" t="str">
        <f>Dashboard!C46</f>
        <v>No.</v>
      </c>
      <c r="D40" s="64">
        <f>SUM(D34:D39)</f>
        <v>4756</v>
      </c>
      <c r="E40" s="64">
        <f t="shared" ref="E40:O40" si="18">SUM(E34:E39)</f>
        <v>4783</v>
      </c>
      <c r="F40" s="64">
        <f t="shared" si="18"/>
        <v>4803</v>
      </c>
      <c r="G40" s="64">
        <f t="shared" si="18"/>
        <v>4821</v>
      </c>
      <c r="H40" s="64">
        <f t="shared" si="18"/>
        <v>4842</v>
      </c>
      <c r="I40" s="64">
        <f t="shared" si="18"/>
        <v>4861</v>
      </c>
      <c r="J40" s="64">
        <f t="shared" si="18"/>
        <v>4887</v>
      </c>
      <c r="K40" s="64">
        <f t="shared" si="18"/>
        <v>4912</v>
      </c>
      <c r="L40" s="64">
        <f t="shared" si="18"/>
        <v>4942</v>
      </c>
      <c r="M40" s="64">
        <f t="shared" si="18"/>
        <v>4959</v>
      </c>
      <c r="N40" s="64">
        <f t="shared" si="18"/>
        <v>4970</v>
      </c>
      <c r="O40" s="64">
        <f t="shared" si="18"/>
        <v>5001</v>
      </c>
      <c r="P40" s="53"/>
    </row>
    <row r="41" spans="1:16" x14ac:dyDescent="0.35">
      <c r="A41" s="41">
        <f>Dashboard!A47</f>
        <v>1</v>
      </c>
      <c r="B41" s="41" t="str">
        <f>Dashboard!B47</f>
        <v>HELLSGATE-  WATER</v>
      </c>
      <c r="C41" s="41" t="str">
        <f>Dashboard!C47</f>
        <v>No.</v>
      </c>
      <c r="D41" s="50">
        <v>1384</v>
      </c>
      <c r="E41" s="50">
        <v>1406</v>
      </c>
      <c r="F41" s="50">
        <v>1419</v>
      </c>
      <c r="G41" s="50">
        <v>1448</v>
      </c>
      <c r="H41" s="50">
        <v>1464</v>
      </c>
      <c r="I41" s="50">
        <v>1476</v>
      </c>
      <c r="J41" s="50">
        <v>1486</v>
      </c>
      <c r="K41" s="50">
        <v>1517</v>
      </c>
      <c r="L41" s="50">
        <v>1546</v>
      </c>
      <c r="M41" s="50">
        <v>1564</v>
      </c>
      <c r="N41" s="50">
        <v>1583</v>
      </c>
      <c r="O41" s="50">
        <v>1607</v>
      </c>
      <c r="P41" s="53"/>
    </row>
    <row r="42" spans="1:16" x14ac:dyDescent="0.35">
      <c r="A42" s="41">
        <f>Dashboard!A48</f>
        <v>2</v>
      </c>
      <c r="B42" s="41" t="str">
        <f>Dashboard!B48</f>
        <v>KAMERE- WATER</v>
      </c>
      <c r="C42" s="41" t="str">
        <f>Dashboard!C48</f>
        <v>No.</v>
      </c>
      <c r="D42" s="50">
        <v>333</v>
      </c>
      <c r="E42" s="50">
        <v>336</v>
      </c>
      <c r="F42" s="50">
        <v>336</v>
      </c>
      <c r="G42" s="50">
        <v>337</v>
      </c>
      <c r="H42" s="50">
        <v>339</v>
      </c>
      <c r="I42" s="50">
        <v>339</v>
      </c>
      <c r="J42" s="50">
        <v>340</v>
      </c>
      <c r="K42" s="50">
        <v>341</v>
      </c>
      <c r="L42" s="50">
        <v>342</v>
      </c>
      <c r="M42" s="50">
        <v>343</v>
      </c>
      <c r="N42" s="50">
        <v>343</v>
      </c>
      <c r="O42" s="50">
        <v>343</v>
      </c>
      <c r="P42" s="53"/>
    </row>
    <row r="43" spans="1:16" x14ac:dyDescent="0.35">
      <c r="A43" s="41">
        <f>Dashboard!A49</f>
        <v>3</v>
      </c>
      <c r="B43" s="41" t="str">
        <f>Dashboard!B49</f>
        <v>MAI-MAHIU- WATER</v>
      </c>
      <c r="C43" s="41" t="str">
        <f>Dashboard!C49</f>
        <v>No.</v>
      </c>
      <c r="D43" s="50">
        <v>695</v>
      </c>
      <c r="E43" s="50">
        <v>726</v>
      </c>
      <c r="F43" s="50">
        <v>836</v>
      </c>
      <c r="G43" s="50">
        <v>850</v>
      </c>
      <c r="H43" s="50">
        <v>877</v>
      </c>
      <c r="I43" s="50">
        <v>882</v>
      </c>
      <c r="J43" s="50">
        <v>901</v>
      </c>
      <c r="K43" s="50">
        <v>982</v>
      </c>
      <c r="L43" s="50">
        <v>1096</v>
      </c>
      <c r="M43" s="50">
        <v>1148</v>
      </c>
      <c r="N43" s="50">
        <v>1170</v>
      </c>
      <c r="O43" s="50">
        <v>1194</v>
      </c>
      <c r="P43" s="53"/>
    </row>
    <row r="44" spans="1:16" s="40" customFormat="1" x14ac:dyDescent="0.35">
      <c r="A44" s="40">
        <f>Dashboard!A51</f>
        <v>0</v>
      </c>
      <c r="B44" s="40" t="str">
        <f>Dashboard!B51</f>
        <v>TOTAL WATER CONNECTION SOUTHERN REGION</v>
      </c>
      <c r="C44" s="40" t="str">
        <f>Dashboard!C51</f>
        <v>No.</v>
      </c>
      <c r="D44" s="64">
        <f>SUM(D41:D43)</f>
        <v>2412</v>
      </c>
      <c r="E44" s="64">
        <f t="shared" ref="E44:O44" si="19">SUM(E41:E43)</f>
        <v>2468</v>
      </c>
      <c r="F44" s="64">
        <f t="shared" si="19"/>
        <v>2591</v>
      </c>
      <c r="G44" s="64">
        <f t="shared" si="19"/>
        <v>2635</v>
      </c>
      <c r="H44" s="64">
        <f t="shared" si="19"/>
        <v>2680</v>
      </c>
      <c r="I44" s="64">
        <f t="shared" si="19"/>
        <v>2697</v>
      </c>
      <c r="J44" s="64">
        <f t="shared" si="19"/>
        <v>2727</v>
      </c>
      <c r="K44" s="64">
        <f t="shared" si="19"/>
        <v>2840</v>
      </c>
      <c r="L44" s="64">
        <f t="shared" si="19"/>
        <v>2984</v>
      </c>
      <c r="M44" s="64">
        <f t="shared" si="19"/>
        <v>3055</v>
      </c>
      <c r="N44" s="64">
        <f t="shared" si="19"/>
        <v>3096</v>
      </c>
      <c r="O44" s="64">
        <f t="shared" si="19"/>
        <v>3144</v>
      </c>
      <c r="P44" s="53"/>
    </row>
    <row r="45" spans="1:16" x14ac:dyDescent="0.35">
      <c r="A45" s="41">
        <f>Dashboard!A53</f>
        <v>1</v>
      </c>
      <c r="B45" s="41" t="str">
        <f>Dashboard!B53</f>
        <v>KAYOLE-WATER</v>
      </c>
      <c r="C45" s="41" t="str">
        <f>Dashboard!C53</f>
        <v>No.</v>
      </c>
      <c r="D45" s="50">
        <v>2193</v>
      </c>
      <c r="E45" s="50">
        <v>2225</v>
      </c>
      <c r="F45" s="50">
        <v>2237</v>
      </c>
      <c r="G45" s="50">
        <v>2253</v>
      </c>
      <c r="H45" s="50">
        <v>2267</v>
      </c>
      <c r="I45" s="50">
        <v>2276</v>
      </c>
      <c r="J45" s="50">
        <v>2305</v>
      </c>
      <c r="K45" s="50">
        <v>2330</v>
      </c>
      <c r="L45" s="50">
        <v>2387</v>
      </c>
      <c r="M45" s="50">
        <v>2413</v>
      </c>
      <c r="N45" s="50">
        <v>2432</v>
      </c>
      <c r="O45" s="50">
        <v>2457</v>
      </c>
      <c r="P45" s="53"/>
    </row>
    <row r="46" spans="1:16" x14ac:dyDescent="0.35">
      <c r="A46" s="41" t="str">
        <f>Dashboard!A56</f>
        <v>TOTAL  CONNECTIONS-SEWER</v>
      </c>
      <c r="D46" s="53"/>
      <c r="E46" s="53"/>
      <c r="F46" s="53"/>
      <c r="G46" s="53"/>
      <c r="H46" s="53"/>
      <c r="I46" s="53"/>
      <c r="J46" s="53"/>
      <c r="K46" s="53"/>
      <c r="L46" s="53"/>
      <c r="M46" s="53"/>
      <c r="N46" s="53"/>
      <c r="O46" s="53"/>
      <c r="P46" s="53"/>
    </row>
    <row r="47" spans="1:16" x14ac:dyDescent="0.35">
      <c r="A47" s="41">
        <f>Dashboard!A57</f>
        <v>1</v>
      </c>
      <c r="B47" s="41" t="str">
        <f>Dashboard!B57</f>
        <v>CBD- SEWER</v>
      </c>
      <c r="C47" s="41" t="str">
        <f>Dashboard!C57</f>
        <v>No.</v>
      </c>
      <c r="D47" s="50">
        <v>429</v>
      </c>
      <c r="E47" s="50">
        <v>430</v>
      </c>
      <c r="F47" s="50">
        <v>431</v>
      </c>
      <c r="G47" s="50">
        <v>433</v>
      </c>
      <c r="H47" s="50">
        <v>433</v>
      </c>
      <c r="I47" s="50">
        <v>434</v>
      </c>
      <c r="J47" s="50">
        <v>434</v>
      </c>
      <c r="K47" s="50">
        <v>436</v>
      </c>
      <c r="L47" s="50">
        <v>436</v>
      </c>
      <c r="M47" s="50">
        <v>437</v>
      </c>
      <c r="N47" s="50">
        <v>440</v>
      </c>
      <c r="O47" s="50">
        <v>439</v>
      </c>
      <c r="P47" s="53"/>
    </row>
    <row r="48" spans="1:16" x14ac:dyDescent="0.35">
      <c r="A48" s="41">
        <f>Dashboard!A58</f>
        <v>2</v>
      </c>
      <c r="B48" s="41" t="str">
        <f>Dashboard!B58</f>
        <v>CCCR-SEWER</v>
      </c>
      <c r="C48" s="41" t="str">
        <f>Dashboard!C58</f>
        <v>No.</v>
      </c>
      <c r="D48" s="50">
        <v>351</v>
      </c>
      <c r="E48" s="50">
        <v>351</v>
      </c>
      <c r="F48" s="50">
        <v>351</v>
      </c>
      <c r="G48" s="50">
        <v>357</v>
      </c>
      <c r="H48" s="50">
        <v>357</v>
      </c>
      <c r="I48" s="50">
        <v>357</v>
      </c>
      <c r="J48" s="50">
        <v>357</v>
      </c>
      <c r="K48" s="50">
        <v>357</v>
      </c>
      <c r="L48" s="50">
        <v>357</v>
      </c>
      <c r="M48" s="50">
        <v>359</v>
      </c>
      <c r="N48" s="50">
        <v>358</v>
      </c>
      <c r="O48" s="50">
        <v>358</v>
      </c>
      <c r="P48" s="53"/>
    </row>
    <row r="49" spans="1:16" x14ac:dyDescent="0.35">
      <c r="A49" s="41">
        <f>Dashboard!A59</f>
        <v>3</v>
      </c>
      <c r="B49" s="41" t="str">
        <f>Dashboard!B59</f>
        <v>KABATI-SEWER</v>
      </c>
      <c r="C49" s="41" t="str">
        <f>Dashboard!C59</f>
        <v>No.</v>
      </c>
      <c r="D49" s="50">
        <v>313</v>
      </c>
      <c r="E49" s="50">
        <v>314</v>
      </c>
      <c r="F49" s="50">
        <v>316</v>
      </c>
      <c r="G49" s="50">
        <v>319</v>
      </c>
      <c r="H49" s="50">
        <v>319</v>
      </c>
      <c r="I49" s="50">
        <v>319</v>
      </c>
      <c r="J49" s="50">
        <v>319</v>
      </c>
      <c r="K49" s="50">
        <v>319</v>
      </c>
      <c r="L49" s="50">
        <v>321</v>
      </c>
      <c r="M49" s="50">
        <v>323</v>
      </c>
      <c r="N49" s="50">
        <v>326</v>
      </c>
      <c r="O49" s="50">
        <v>326</v>
      </c>
      <c r="P49" s="53"/>
    </row>
    <row r="50" spans="1:16" x14ac:dyDescent="0.35">
      <c r="A50" s="41">
        <f>Dashboard!A60</f>
        <v>4</v>
      </c>
      <c r="B50" s="41" t="str">
        <f>Dashboard!B60</f>
        <v>SITE- SEWER</v>
      </c>
      <c r="C50" s="41" t="str">
        <f>Dashboard!C60</f>
        <v>No.</v>
      </c>
      <c r="D50" s="50">
        <v>512</v>
      </c>
      <c r="E50" s="50">
        <v>512</v>
      </c>
      <c r="F50" s="50">
        <v>512</v>
      </c>
      <c r="G50" s="50">
        <v>514</v>
      </c>
      <c r="H50" s="50">
        <v>516</v>
      </c>
      <c r="I50" s="50">
        <v>519</v>
      </c>
      <c r="J50" s="50">
        <v>520</v>
      </c>
      <c r="K50" s="50">
        <v>526</v>
      </c>
      <c r="L50" s="50">
        <v>526</v>
      </c>
      <c r="M50" s="50">
        <v>529</v>
      </c>
      <c r="N50" s="50">
        <v>530</v>
      </c>
      <c r="O50" s="50">
        <v>530</v>
      </c>
      <c r="P50" s="53"/>
    </row>
    <row r="51" spans="1:16" x14ac:dyDescent="0.35">
      <c r="A51" s="41">
        <f>Dashboard!A61</f>
        <v>5</v>
      </c>
      <c r="B51" s="41" t="str">
        <f>Dashboard!B61</f>
        <v>KIHOTO- SEWER</v>
      </c>
      <c r="C51" s="41" t="str">
        <f>Dashboard!C61</f>
        <v>No.</v>
      </c>
      <c r="D51" s="50">
        <v>0</v>
      </c>
      <c r="E51" s="50">
        <v>0</v>
      </c>
      <c r="F51" s="50">
        <v>0</v>
      </c>
      <c r="G51" s="50">
        <v>0</v>
      </c>
      <c r="H51" s="50">
        <v>0</v>
      </c>
      <c r="I51" s="50">
        <v>0</v>
      </c>
      <c r="J51" s="50">
        <v>0</v>
      </c>
      <c r="K51" s="50">
        <v>0</v>
      </c>
      <c r="L51" s="50">
        <v>0</v>
      </c>
      <c r="M51" s="50">
        <v>0</v>
      </c>
      <c r="N51" s="50">
        <v>0</v>
      </c>
      <c r="O51" s="50">
        <v>0</v>
      </c>
      <c r="P51" s="53"/>
    </row>
    <row r="52" spans="1:16" x14ac:dyDescent="0.35">
      <c r="A52" s="41">
        <f>Dashboard!A62</f>
        <v>6</v>
      </c>
      <c r="B52" s="41" t="str">
        <f>Dashboard!B62</f>
        <v>LAKEVIEW- SEWER</v>
      </c>
      <c r="C52" s="41" t="str">
        <f>Dashboard!C62</f>
        <v>No.</v>
      </c>
      <c r="D52" s="50">
        <v>152</v>
      </c>
      <c r="E52" s="50">
        <v>152</v>
      </c>
      <c r="F52" s="50">
        <v>151</v>
      </c>
      <c r="G52" s="50">
        <v>155</v>
      </c>
      <c r="H52" s="50">
        <v>155</v>
      </c>
      <c r="I52" s="50">
        <v>156</v>
      </c>
      <c r="J52" s="50">
        <v>156</v>
      </c>
      <c r="K52" s="50">
        <v>159</v>
      </c>
      <c r="L52" s="50">
        <v>159</v>
      </c>
      <c r="M52" s="50">
        <v>160</v>
      </c>
      <c r="N52" s="50">
        <v>164</v>
      </c>
      <c r="O52" s="50">
        <v>166</v>
      </c>
      <c r="P52" s="53"/>
    </row>
    <row r="53" spans="1:16" s="40" customFormat="1" x14ac:dyDescent="0.35">
      <c r="A53" s="40">
        <f>Dashboard!A64</f>
        <v>0</v>
      </c>
      <c r="B53" s="40" t="str">
        <f>Dashboard!B64</f>
        <v>TOTAL SEWER CONNECTION CENTRAL REGION</v>
      </c>
      <c r="C53" s="40" t="str">
        <f>Dashboard!C64</f>
        <v>No.</v>
      </c>
      <c r="D53" s="64">
        <f>SUM(D47:D52)</f>
        <v>1757</v>
      </c>
      <c r="E53" s="64">
        <f t="shared" ref="E53:O53" si="20">SUM(E47:E52)</f>
        <v>1759</v>
      </c>
      <c r="F53" s="64">
        <f t="shared" si="20"/>
        <v>1761</v>
      </c>
      <c r="G53" s="64">
        <f t="shared" si="20"/>
        <v>1778</v>
      </c>
      <c r="H53" s="64">
        <f t="shared" si="20"/>
        <v>1780</v>
      </c>
      <c r="I53" s="64">
        <f t="shared" si="20"/>
        <v>1785</v>
      </c>
      <c r="J53" s="64">
        <f t="shared" si="20"/>
        <v>1786</v>
      </c>
      <c r="K53" s="64">
        <f t="shared" si="20"/>
        <v>1797</v>
      </c>
      <c r="L53" s="64">
        <f t="shared" si="20"/>
        <v>1799</v>
      </c>
      <c r="M53" s="64">
        <f t="shared" si="20"/>
        <v>1808</v>
      </c>
      <c r="N53" s="64">
        <f t="shared" si="20"/>
        <v>1818</v>
      </c>
      <c r="O53" s="64">
        <f t="shared" si="20"/>
        <v>1819</v>
      </c>
      <c r="P53" s="53"/>
    </row>
    <row r="54" spans="1:16" x14ac:dyDescent="0.35">
      <c r="A54" s="41">
        <f>Dashboard!A66</f>
        <v>1</v>
      </c>
      <c r="B54" s="41" t="str">
        <f>Dashboard!B66</f>
        <v>HELLSGATE-SEWER</v>
      </c>
      <c r="C54" s="41" t="str">
        <f>Dashboard!C66</f>
        <v>No.</v>
      </c>
      <c r="D54" s="50">
        <v>0</v>
      </c>
      <c r="E54" s="50">
        <v>0</v>
      </c>
      <c r="F54" s="50">
        <v>0</v>
      </c>
      <c r="G54" s="50">
        <v>0</v>
      </c>
      <c r="H54" s="50">
        <v>0</v>
      </c>
      <c r="I54" s="50">
        <v>0</v>
      </c>
      <c r="J54" s="50">
        <v>0</v>
      </c>
      <c r="K54" s="50">
        <v>0</v>
      </c>
      <c r="L54" s="50">
        <v>0</v>
      </c>
      <c r="M54" s="50">
        <v>0</v>
      </c>
      <c r="N54" s="50">
        <v>0</v>
      </c>
      <c r="O54" s="50">
        <v>0</v>
      </c>
      <c r="P54" s="53"/>
    </row>
    <row r="55" spans="1:16" x14ac:dyDescent="0.35">
      <c r="A55" s="41">
        <f>Dashboard!A67</f>
        <v>2</v>
      </c>
      <c r="B55" s="41" t="str">
        <f>Dashboard!B67</f>
        <v>KAMERE-  SEWER</v>
      </c>
      <c r="C55" s="41" t="str">
        <f>Dashboard!C67</f>
        <v>No.</v>
      </c>
      <c r="D55" s="50">
        <v>0</v>
      </c>
      <c r="E55" s="50">
        <v>0</v>
      </c>
      <c r="F55" s="50">
        <v>0</v>
      </c>
      <c r="G55" s="50">
        <v>0</v>
      </c>
      <c r="H55" s="50">
        <v>0</v>
      </c>
      <c r="I55" s="50">
        <v>0</v>
      </c>
      <c r="J55" s="50">
        <v>0</v>
      </c>
      <c r="K55" s="50">
        <v>0</v>
      </c>
      <c r="L55" s="50">
        <v>0</v>
      </c>
      <c r="M55" s="50">
        <v>0</v>
      </c>
      <c r="N55" s="50">
        <v>0</v>
      </c>
      <c r="O55" s="50">
        <v>0</v>
      </c>
      <c r="P55" s="53"/>
    </row>
    <row r="56" spans="1:16" x14ac:dyDescent="0.35">
      <c r="A56" s="41">
        <f>Dashboard!A68</f>
        <v>3</v>
      </c>
      <c r="B56" s="41" t="str">
        <f>Dashboard!B68</f>
        <v>MAI-MAHIU-SEWER</v>
      </c>
      <c r="C56" s="41" t="str">
        <f>Dashboard!C68</f>
        <v>No.</v>
      </c>
      <c r="D56" s="50">
        <v>0</v>
      </c>
      <c r="E56" s="50">
        <v>0</v>
      </c>
      <c r="F56" s="50">
        <v>0</v>
      </c>
      <c r="G56" s="50">
        <v>0</v>
      </c>
      <c r="H56" s="50">
        <v>0</v>
      </c>
      <c r="I56" s="50">
        <v>0</v>
      </c>
      <c r="J56" s="50">
        <v>0</v>
      </c>
      <c r="K56" s="50">
        <v>0</v>
      </c>
      <c r="L56" s="50">
        <v>0</v>
      </c>
      <c r="M56" s="50">
        <v>0</v>
      </c>
      <c r="N56" s="50">
        <v>0</v>
      </c>
      <c r="O56" s="50">
        <v>0</v>
      </c>
      <c r="P56" s="53"/>
    </row>
    <row r="57" spans="1:16" s="40" customFormat="1" x14ac:dyDescent="0.35">
      <c r="A57" s="40">
        <f>Dashboard!A69</f>
        <v>0</v>
      </c>
      <c r="B57" s="40" t="str">
        <f>Dashboard!B69</f>
        <v>TOTAL SEWER CONNECTION SOUTHERNREGION</v>
      </c>
      <c r="C57" s="40" t="str">
        <f>Dashboard!C69</f>
        <v>No.</v>
      </c>
      <c r="D57" s="64">
        <f>SUM(D54:D56)</f>
        <v>0</v>
      </c>
      <c r="E57" s="64">
        <f t="shared" ref="E57:O57" si="21">SUM(E54:E56)</f>
        <v>0</v>
      </c>
      <c r="F57" s="64">
        <f t="shared" si="21"/>
        <v>0</v>
      </c>
      <c r="G57" s="64">
        <f t="shared" si="21"/>
        <v>0</v>
      </c>
      <c r="H57" s="64">
        <f t="shared" si="21"/>
        <v>0</v>
      </c>
      <c r="I57" s="64">
        <f t="shared" si="21"/>
        <v>0</v>
      </c>
      <c r="J57" s="64">
        <f t="shared" si="21"/>
        <v>0</v>
      </c>
      <c r="K57" s="64">
        <f t="shared" si="21"/>
        <v>0</v>
      </c>
      <c r="L57" s="64">
        <f t="shared" si="21"/>
        <v>0</v>
      </c>
      <c r="M57" s="64">
        <f t="shared" si="21"/>
        <v>0</v>
      </c>
      <c r="N57" s="64">
        <f t="shared" si="21"/>
        <v>0</v>
      </c>
      <c r="O57" s="64">
        <f t="shared" si="21"/>
        <v>0</v>
      </c>
      <c r="P57" s="53"/>
    </row>
    <row r="58" spans="1:16" x14ac:dyDescent="0.35">
      <c r="A58" s="41">
        <f>Dashboard!A71</f>
        <v>1</v>
      </c>
      <c r="B58" s="41" t="str">
        <f>Dashboard!B71</f>
        <v>KAYOLE-SEWER</v>
      </c>
      <c r="C58" s="41" t="str">
        <f>Dashboard!C71</f>
        <v>No.</v>
      </c>
      <c r="D58" s="50">
        <v>77</v>
      </c>
      <c r="E58" s="50">
        <v>77</v>
      </c>
      <c r="F58" s="50">
        <v>78</v>
      </c>
      <c r="G58" s="50">
        <v>80</v>
      </c>
      <c r="H58" s="50">
        <v>80</v>
      </c>
      <c r="I58" s="50">
        <v>80</v>
      </c>
      <c r="J58" s="50">
        <v>80</v>
      </c>
      <c r="K58" s="50">
        <v>79</v>
      </c>
      <c r="L58" s="50">
        <v>9</v>
      </c>
      <c r="M58" s="50">
        <v>9</v>
      </c>
      <c r="N58" s="50">
        <v>15</v>
      </c>
      <c r="O58" s="50">
        <v>21</v>
      </c>
      <c r="P58" s="53"/>
    </row>
    <row r="59" spans="1:16" x14ac:dyDescent="0.35">
      <c r="A59" s="41" t="str">
        <f>Dashboard!A72</f>
        <v>TOTAL ACTIVE CONNECTIONS-WATER</v>
      </c>
      <c r="D59" s="53"/>
      <c r="E59" s="53"/>
      <c r="F59" s="53"/>
      <c r="G59" s="53"/>
      <c r="H59" s="53"/>
      <c r="I59" s="53"/>
      <c r="J59" s="53"/>
      <c r="K59" s="53"/>
      <c r="L59" s="53"/>
      <c r="M59" s="53"/>
      <c r="N59" s="53"/>
      <c r="O59" s="53"/>
    </row>
    <row r="60" spans="1:16" x14ac:dyDescent="0.35">
      <c r="A60" s="41">
        <f>Dashboard!A73</f>
        <v>1</v>
      </c>
      <c r="B60" s="41" t="str">
        <f>Dashboard!B73</f>
        <v>CBD- ACTIVE WATER</v>
      </c>
      <c r="C60" s="41" t="str">
        <f>Dashboard!C73</f>
        <v>No.</v>
      </c>
      <c r="D60" s="50">
        <v>577</v>
      </c>
      <c r="E60" s="50">
        <v>577</v>
      </c>
      <c r="F60" s="50">
        <v>579</v>
      </c>
      <c r="G60" s="50">
        <v>574</v>
      </c>
      <c r="H60" s="50">
        <v>574</v>
      </c>
      <c r="I60" s="50">
        <v>577</v>
      </c>
      <c r="J60" s="50">
        <v>582</v>
      </c>
      <c r="K60" s="50">
        <v>586</v>
      </c>
      <c r="L60" s="50">
        <v>587</v>
      </c>
      <c r="M60" s="50">
        <v>590</v>
      </c>
      <c r="N60" s="50">
        <v>592</v>
      </c>
      <c r="O60" s="50">
        <v>583</v>
      </c>
    </row>
    <row r="61" spans="1:16" x14ac:dyDescent="0.35">
      <c r="A61" s="41">
        <f>Dashboard!A74</f>
        <v>2</v>
      </c>
      <c r="B61" s="41" t="str">
        <f>Dashboard!B74</f>
        <v>CCCR- ACTIVE WATER</v>
      </c>
      <c r="C61" s="41" t="str">
        <f>Dashboard!C74</f>
        <v>No.</v>
      </c>
      <c r="D61" s="50">
        <v>544</v>
      </c>
      <c r="E61" s="50">
        <v>544</v>
      </c>
      <c r="F61" s="50">
        <v>551</v>
      </c>
      <c r="G61" s="50">
        <v>561</v>
      </c>
      <c r="H61" s="50">
        <v>570</v>
      </c>
      <c r="I61" s="50">
        <v>572</v>
      </c>
      <c r="J61" s="50">
        <v>577</v>
      </c>
      <c r="K61" s="50">
        <v>582</v>
      </c>
      <c r="L61" s="50">
        <v>587</v>
      </c>
      <c r="M61" s="50">
        <v>588</v>
      </c>
      <c r="N61" s="50">
        <v>588</v>
      </c>
      <c r="O61" s="50">
        <v>593</v>
      </c>
    </row>
    <row r="62" spans="1:16" x14ac:dyDescent="0.35">
      <c r="A62" s="41">
        <f>Dashboard!A75</f>
        <v>3</v>
      </c>
      <c r="B62" s="41" t="str">
        <f>Dashboard!B75</f>
        <v>KABATI- ACTIVE WATER</v>
      </c>
      <c r="C62" s="41" t="str">
        <f>Dashboard!C75</f>
        <v>No.</v>
      </c>
      <c r="D62" s="50">
        <v>761</v>
      </c>
      <c r="E62" s="50">
        <v>771</v>
      </c>
      <c r="F62" s="50">
        <v>775</v>
      </c>
      <c r="G62" s="50">
        <v>773</v>
      </c>
      <c r="H62" s="50">
        <v>776</v>
      </c>
      <c r="I62" s="50">
        <v>781</v>
      </c>
      <c r="J62" s="50">
        <v>783</v>
      </c>
      <c r="K62" s="50">
        <v>791</v>
      </c>
      <c r="L62" s="50">
        <v>800</v>
      </c>
      <c r="M62" s="50">
        <v>805</v>
      </c>
      <c r="N62" s="50">
        <v>805</v>
      </c>
      <c r="O62" s="50">
        <v>811</v>
      </c>
    </row>
    <row r="63" spans="1:16" x14ac:dyDescent="0.35">
      <c r="A63" s="41">
        <f>Dashboard!A76</f>
        <v>4</v>
      </c>
      <c r="B63" s="41" t="str">
        <f>Dashboard!B76</f>
        <v>SITE- ACTIVE WATER</v>
      </c>
      <c r="C63" s="41" t="str">
        <f>Dashboard!C76</f>
        <v>No.</v>
      </c>
      <c r="D63" s="50">
        <v>788</v>
      </c>
      <c r="E63" s="50">
        <v>793</v>
      </c>
      <c r="F63" s="50">
        <v>795</v>
      </c>
      <c r="G63" s="50">
        <v>794</v>
      </c>
      <c r="H63" s="50">
        <v>794</v>
      </c>
      <c r="I63" s="50">
        <v>794</v>
      </c>
      <c r="J63" s="50">
        <v>794</v>
      </c>
      <c r="K63" s="50">
        <v>794</v>
      </c>
      <c r="L63" s="50">
        <v>800</v>
      </c>
      <c r="M63" s="50">
        <v>802</v>
      </c>
      <c r="N63" s="50">
        <v>808</v>
      </c>
      <c r="O63" s="50">
        <v>811</v>
      </c>
    </row>
    <row r="64" spans="1:16" x14ac:dyDescent="0.35">
      <c r="A64" s="41">
        <f>Dashboard!A77</f>
        <v>5</v>
      </c>
      <c r="B64" s="41" t="str">
        <f>Dashboard!B77</f>
        <v>KIHOTO-ACTIVE WATER</v>
      </c>
      <c r="C64" s="41" t="str">
        <f>Dashboard!C77</f>
        <v>No.</v>
      </c>
      <c r="D64" s="50">
        <v>147</v>
      </c>
      <c r="E64" s="50">
        <v>147</v>
      </c>
      <c r="F64" s="50">
        <v>150</v>
      </c>
      <c r="G64" s="50">
        <v>151</v>
      </c>
      <c r="H64" s="50">
        <v>150</v>
      </c>
      <c r="I64" s="50">
        <v>152</v>
      </c>
      <c r="J64" s="50">
        <v>152</v>
      </c>
      <c r="K64" s="50">
        <v>155</v>
      </c>
      <c r="L64" s="50">
        <v>155</v>
      </c>
      <c r="M64" s="50">
        <v>155</v>
      </c>
      <c r="N64" s="50">
        <v>156</v>
      </c>
      <c r="O64" s="50">
        <v>157</v>
      </c>
    </row>
    <row r="65" spans="1:15" x14ac:dyDescent="0.35">
      <c r="A65" s="41">
        <f>Dashboard!A78</f>
        <v>6</v>
      </c>
      <c r="B65" s="41" t="str">
        <f>Dashboard!B78</f>
        <v>LAKEVIEW- ACTIVE WATER</v>
      </c>
      <c r="C65" s="41" t="str">
        <f>Dashboard!C78</f>
        <v>No.</v>
      </c>
      <c r="D65" s="50">
        <v>1075</v>
      </c>
      <c r="E65" s="50">
        <v>1096</v>
      </c>
      <c r="F65" s="50">
        <v>1106</v>
      </c>
      <c r="G65" s="50">
        <v>1123</v>
      </c>
      <c r="H65" s="50">
        <v>1129</v>
      </c>
      <c r="I65" s="50">
        <v>1138</v>
      </c>
      <c r="J65" s="50">
        <v>1147</v>
      </c>
      <c r="K65" s="50">
        <v>1150</v>
      </c>
      <c r="L65" s="50">
        <v>1164</v>
      </c>
      <c r="M65" s="50">
        <v>1167</v>
      </c>
      <c r="N65" s="50">
        <v>1171</v>
      </c>
      <c r="O65" s="50">
        <v>1180</v>
      </c>
    </row>
    <row r="66" spans="1:15" s="40" customFormat="1" x14ac:dyDescent="0.35">
      <c r="A66" s="40">
        <f>Dashboard!A80</f>
        <v>0</v>
      </c>
      <c r="B66" s="40" t="str">
        <f>Dashboard!B80</f>
        <v>TOTAL ACTIVE WATER CONNECTION CENTRAL REGION</v>
      </c>
      <c r="C66" s="40" t="str">
        <f>Dashboard!C80</f>
        <v>No.</v>
      </c>
      <c r="D66" s="64">
        <f>SUM(D60:D65)</f>
        <v>3892</v>
      </c>
      <c r="E66" s="64">
        <f t="shared" ref="E66:O66" si="22">SUM(E60:E65)</f>
        <v>3928</v>
      </c>
      <c r="F66" s="64">
        <f t="shared" si="22"/>
        <v>3956</v>
      </c>
      <c r="G66" s="64">
        <f t="shared" si="22"/>
        <v>3976</v>
      </c>
      <c r="H66" s="64">
        <f t="shared" si="22"/>
        <v>3993</v>
      </c>
      <c r="I66" s="64">
        <f t="shared" si="22"/>
        <v>4014</v>
      </c>
      <c r="J66" s="64">
        <f t="shared" si="22"/>
        <v>4035</v>
      </c>
      <c r="K66" s="64">
        <f t="shared" si="22"/>
        <v>4058</v>
      </c>
      <c r="L66" s="64">
        <f t="shared" si="22"/>
        <v>4093</v>
      </c>
      <c r="M66" s="64">
        <f t="shared" si="22"/>
        <v>4107</v>
      </c>
      <c r="N66" s="64">
        <f t="shared" si="22"/>
        <v>4120</v>
      </c>
      <c r="O66" s="64">
        <f t="shared" si="22"/>
        <v>4135</v>
      </c>
    </row>
    <row r="67" spans="1:15" x14ac:dyDescent="0.35">
      <c r="A67" s="41">
        <f>Dashboard!A81</f>
        <v>1</v>
      </c>
      <c r="B67" s="41" t="str">
        <f>Dashboard!B81</f>
        <v>HELLSGATE- ACTIVE WATER</v>
      </c>
      <c r="C67" s="41" t="str">
        <f>Dashboard!C81</f>
        <v>No.</v>
      </c>
      <c r="D67" s="50">
        <v>1169</v>
      </c>
      <c r="E67" s="50">
        <v>1191</v>
      </c>
      <c r="F67" s="50">
        <v>1203</v>
      </c>
      <c r="G67" s="50">
        <v>1236</v>
      </c>
      <c r="H67" s="50">
        <v>1247</v>
      </c>
      <c r="I67" s="50">
        <v>1257</v>
      </c>
      <c r="J67" s="50">
        <v>1275</v>
      </c>
      <c r="K67" s="50">
        <v>1297</v>
      </c>
      <c r="L67" s="50">
        <v>1317</v>
      </c>
      <c r="M67" s="50">
        <v>1343</v>
      </c>
      <c r="N67" s="50">
        <v>1362</v>
      </c>
      <c r="O67" s="50">
        <v>1390</v>
      </c>
    </row>
    <row r="68" spans="1:15" x14ac:dyDescent="0.35">
      <c r="A68" s="41">
        <f>Dashboard!A82</f>
        <v>2</v>
      </c>
      <c r="B68" s="41" t="str">
        <f>Dashboard!B82</f>
        <v>KAMERE- ACTIVE WATER</v>
      </c>
      <c r="C68" s="41" t="str">
        <f>Dashboard!C82</f>
        <v>No.</v>
      </c>
      <c r="D68" s="50">
        <v>236</v>
      </c>
      <c r="E68" s="50">
        <v>236</v>
      </c>
      <c r="F68" s="50">
        <v>236</v>
      </c>
      <c r="G68" s="50">
        <v>237</v>
      </c>
      <c r="H68" s="50">
        <v>238</v>
      </c>
      <c r="I68" s="50">
        <v>238</v>
      </c>
      <c r="J68" s="50">
        <v>239</v>
      </c>
      <c r="K68" s="50">
        <v>239</v>
      </c>
      <c r="L68" s="50">
        <v>240</v>
      </c>
      <c r="M68" s="50">
        <v>240</v>
      </c>
      <c r="N68" s="50">
        <v>243</v>
      </c>
      <c r="O68" s="50">
        <v>243</v>
      </c>
    </row>
    <row r="69" spans="1:15" x14ac:dyDescent="0.35">
      <c r="A69" s="41">
        <f>Dashboard!A83</f>
        <v>3</v>
      </c>
      <c r="B69" s="41" t="str">
        <f>Dashboard!B83</f>
        <v>MAI-MAHIU- ACTIVE WATER</v>
      </c>
      <c r="C69" s="41" t="str">
        <f>Dashboard!C83</f>
        <v>No.</v>
      </c>
      <c r="D69" s="50">
        <v>257</v>
      </c>
      <c r="E69" s="50">
        <v>419</v>
      </c>
      <c r="F69" s="50">
        <v>444</v>
      </c>
      <c r="G69" s="50">
        <v>519</v>
      </c>
      <c r="H69" s="50">
        <v>551</v>
      </c>
      <c r="I69" s="50">
        <v>561</v>
      </c>
      <c r="J69" s="50">
        <v>592</v>
      </c>
      <c r="K69" s="50">
        <v>606</v>
      </c>
      <c r="L69" s="50">
        <v>634</v>
      </c>
      <c r="M69" s="50">
        <v>642</v>
      </c>
      <c r="N69" s="50">
        <v>662</v>
      </c>
      <c r="O69" s="50">
        <v>682</v>
      </c>
    </row>
    <row r="70" spans="1:15" s="40" customFormat="1" x14ac:dyDescent="0.35">
      <c r="A70" s="40">
        <f>Dashboard!A85</f>
        <v>0</v>
      </c>
      <c r="B70" s="40" t="str">
        <f>Dashboard!B85</f>
        <v>TOTAL ACTIVE WATER CONNECTION SOUTHERN REGION</v>
      </c>
      <c r="C70" s="40" t="str">
        <f>Dashboard!C85</f>
        <v>No.</v>
      </c>
      <c r="D70" s="64">
        <f>SUM(D67:D69)</f>
        <v>1662</v>
      </c>
      <c r="E70" s="64">
        <f t="shared" ref="E70:O70" si="23">SUM(E67:E69)</f>
        <v>1846</v>
      </c>
      <c r="F70" s="64">
        <f t="shared" si="23"/>
        <v>1883</v>
      </c>
      <c r="G70" s="64">
        <f t="shared" si="23"/>
        <v>1992</v>
      </c>
      <c r="H70" s="64">
        <f t="shared" si="23"/>
        <v>2036</v>
      </c>
      <c r="I70" s="64">
        <f t="shared" si="23"/>
        <v>2056</v>
      </c>
      <c r="J70" s="64">
        <f t="shared" si="23"/>
        <v>2106</v>
      </c>
      <c r="K70" s="64">
        <f t="shared" si="23"/>
        <v>2142</v>
      </c>
      <c r="L70" s="64">
        <f t="shared" si="23"/>
        <v>2191</v>
      </c>
      <c r="M70" s="64">
        <f t="shared" si="23"/>
        <v>2225</v>
      </c>
      <c r="N70" s="64">
        <f t="shared" si="23"/>
        <v>2267</v>
      </c>
      <c r="O70" s="64">
        <f t="shared" si="23"/>
        <v>2315</v>
      </c>
    </row>
    <row r="71" spans="1:15" x14ac:dyDescent="0.35">
      <c r="A71" s="41">
        <f>Dashboard!A87</f>
        <v>1</v>
      </c>
      <c r="B71" s="41" t="str">
        <f>Dashboard!B87</f>
        <v>KAYOLE- ACTIVE WATER</v>
      </c>
      <c r="C71" s="41" t="str">
        <f>Dashboard!C87</f>
        <v>No.</v>
      </c>
      <c r="D71" s="50">
        <v>2044</v>
      </c>
      <c r="E71" s="50">
        <v>2071</v>
      </c>
      <c r="F71" s="50">
        <v>2089</v>
      </c>
      <c r="G71" s="50">
        <v>2113</v>
      </c>
      <c r="H71" s="50">
        <v>2122</v>
      </c>
      <c r="I71" s="50">
        <v>2135</v>
      </c>
      <c r="J71" s="50">
        <v>2157</v>
      </c>
      <c r="K71" s="50">
        <v>2182</v>
      </c>
      <c r="L71" s="50">
        <v>2225</v>
      </c>
      <c r="M71" s="50">
        <v>2245</v>
      </c>
      <c r="N71" s="50">
        <v>2263</v>
      </c>
      <c r="O71" s="50">
        <v>2294</v>
      </c>
    </row>
    <row r="72" spans="1:15" s="40" customFormat="1" x14ac:dyDescent="0.35">
      <c r="A72" s="40" t="str">
        <f>Dashboard!A90</f>
        <v>TOTAL ACTIVE CONNECTIONS-SEWER</v>
      </c>
      <c r="D72" s="65"/>
      <c r="E72" s="65"/>
      <c r="F72" s="65"/>
      <c r="G72" s="65"/>
      <c r="H72" s="65"/>
      <c r="I72" s="65"/>
      <c r="J72" s="65"/>
      <c r="K72" s="65"/>
      <c r="L72" s="65"/>
      <c r="M72" s="65"/>
      <c r="N72" s="65"/>
      <c r="O72" s="65"/>
    </row>
    <row r="73" spans="1:15" x14ac:dyDescent="0.35">
      <c r="A73" s="41">
        <f>Dashboard!A91</f>
        <v>1</v>
      </c>
      <c r="B73" s="41" t="str">
        <f>Dashboard!B91</f>
        <v>CBD- ACTIVE SEWER</v>
      </c>
      <c r="C73" s="41" t="str">
        <f>Dashboard!C91</f>
        <v>No.</v>
      </c>
      <c r="D73" s="50">
        <v>374</v>
      </c>
      <c r="E73" s="50">
        <v>376</v>
      </c>
      <c r="F73" s="50">
        <v>377</v>
      </c>
      <c r="G73" s="50">
        <v>379</v>
      </c>
      <c r="H73" s="50">
        <v>377</v>
      </c>
      <c r="I73" s="50">
        <v>378</v>
      </c>
      <c r="J73" s="50">
        <v>378</v>
      </c>
      <c r="K73" s="50">
        <v>358</v>
      </c>
      <c r="L73" s="50">
        <v>358</v>
      </c>
      <c r="M73" s="50">
        <v>359</v>
      </c>
      <c r="N73" s="50">
        <v>363</v>
      </c>
      <c r="O73" s="50">
        <v>352</v>
      </c>
    </row>
    <row r="74" spans="1:15" x14ac:dyDescent="0.35">
      <c r="A74" s="41">
        <f>Dashboard!A92</f>
        <v>2</v>
      </c>
      <c r="B74" s="41" t="str">
        <f>Dashboard!B92</f>
        <v>CCCR- ACTIVE SEWER</v>
      </c>
      <c r="C74" s="41" t="str">
        <f>Dashboard!C92</f>
        <v>No.</v>
      </c>
      <c r="D74" s="50">
        <v>312</v>
      </c>
      <c r="E74" s="50">
        <v>312</v>
      </c>
      <c r="F74" s="50">
        <v>312</v>
      </c>
      <c r="G74" s="50">
        <v>318</v>
      </c>
      <c r="H74" s="50">
        <v>318</v>
      </c>
      <c r="I74" s="50">
        <v>318</v>
      </c>
      <c r="J74" s="50">
        <v>318</v>
      </c>
      <c r="K74" s="50">
        <v>297</v>
      </c>
      <c r="L74" s="50">
        <v>296</v>
      </c>
      <c r="M74" s="50">
        <v>298</v>
      </c>
      <c r="N74" s="50">
        <v>297</v>
      </c>
      <c r="O74" s="50">
        <v>297</v>
      </c>
    </row>
    <row r="75" spans="1:15" x14ac:dyDescent="0.35">
      <c r="A75" s="41">
        <f>Dashboard!A93</f>
        <v>3</v>
      </c>
      <c r="B75" s="41" t="str">
        <f>Dashboard!B93</f>
        <v>KABATI- ACTIVE SEWER</v>
      </c>
      <c r="C75" s="41" t="str">
        <f>Dashboard!C93</f>
        <v>No.</v>
      </c>
      <c r="D75" s="50">
        <v>293</v>
      </c>
      <c r="E75" s="50">
        <v>293</v>
      </c>
      <c r="F75" s="50">
        <v>295</v>
      </c>
      <c r="G75" s="50">
        <v>299</v>
      </c>
      <c r="H75" s="50">
        <v>299</v>
      </c>
      <c r="I75" s="50">
        <v>299</v>
      </c>
      <c r="J75" s="50">
        <v>299</v>
      </c>
      <c r="K75" s="50">
        <v>368</v>
      </c>
      <c r="L75" s="50">
        <v>268</v>
      </c>
      <c r="M75" s="50">
        <v>269</v>
      </c>
      <c r="N75" s="50">
        <v>272</v>
      </c>
      <c r="O75" s="50">
        <v>272</v>
      </c>
    </row>
    <row r="76" spans="1:15" x14ac:dyDescent="0.35">
      <c r="A76" s="41">
        <f>Dashboard!A94</f>
        <v>4</v>
      </c>
      <c r="B76" s="41" t="str">
        <f>Dashboard!B94</f>
        <v>SITE- ACTIVE SEWER</v>
      </c>
      <c r="C76" s="41" t="str">
        <f>Dashboard!C94</f>
        <v>No.</v>
      </c>
      <c r="D76" s="50">
        <v>453</v>
      </c>
      <c r="E76" s="50">
        <v>454</v>
      </c>
      <c r="F76" s="50">
        <v>455</v>
      </c>
      <c r="G76" s="50">
        <v>456</v>
      </c>
      <c r="H76" s="50">
        <v>458</v>
      </c>
      <c r="I76" s="50">
        <v>460</v>
      </c>
      <c r="J76" s="50">
        <v>461</v>
      </c>
      <c r="K76" s="50">
        <v>437</v>
      </c>
      <c r="L76" s="50">
        <v>437</v>
      </c>
      <c r="M76" s="50">
        <v>440</v>
      </c>
      <c r="N76" s="50">
        <v>441</v>
      </c>
      <c r="O76" s="50">
        <v>441</v>
      </c>
    </row>
    <row r="77" spans="1:15" x14ac:dyDescent="0.35">
      <c r="A77" s="41">
        <f>Dashboard!A95</f>
        <v>5</v>
      </c>
      <c r="B77" s="41" t="str">
        <f>Dashboard!B95</f>
        <v>KIHOTO- ACTIVE SEWER</v>
      </c>
      <c r="C77" s="41" t="str">
        <f>Dashboard!C95</f>
        <v>No.</v>
      </c>
      <c r="D77" s="50">
        <v>0</v>
      </c>
      <c r="E77" s="50">
        <v>0</v>
      </c>
      <c r="F77" s="50">
        <v>0</v>
      </c>
      <c r="G77" s="50">
        <v>0</v>
      </c>
      <c r="H77" s="50">
        <v>0</v>
      </c>
      <c r="I77" s="50">
        <v>0</v>
      </c>
      <c r="J77" s="50">
        <v>0</v>
      </c>
      <c r="K77" s="50">
        <v>0</v>
      </c>
      <c r="L77" s="50">
        <v>0</v>
      </c>
      <c r="M77" s="50">
        <v>0</v>
      </c>
      <c r="N77" s="50">
        <v>0</v>
      </c>
      <c r="O77" s="50">
        <v>0</v>
      </c>
    </row>
    <row r="78" spans="1:15" x14ac:dyDescent="0.35">
      <c r="A78" s="41">
        <f>Dashboard!A96</f>
        <v>6</v>
      </c>
      <c r="B78" s="41" t="str">
        <f>Dashboard!B96</f>
        <v>LAKEVIEW- ACTIVE SEWER</v>
      </c>
      <c r="C78" s="41" t="str">
        <f>Dashboard!C96</f>
        <v>No.</v>
      </c>
      <c r="D78" s="50">
        <v>125</v>
      </c>
      <c r="E78" s="50">
        <v>125</v>
      </c>
      <c r="F78" s="50">
        <v>124</v>
      </c>
      <c r="G78" s="50">
        <v>128</v>
      </c>
      <c r="H78" s="50">
        <v>127</v>
      </c>
      <c r="I78" s="50">
        <v>128</v>
      </c>
      <c r="J78" s="50">
        <v>128</v>
      </c>
      <c r="K78" s="50">
        <v>131</v>
      </c>
      <c r="L78" s="50">
        <v>131</v>
      </c>
      <c r="M78" s="50">
        <v>132</v>
      </c>
      <c r="N78" s="50">
        <v>136</v>
      </c>
      <c r="O78" s="50">
        <v>138</v>
      </c>
    </row>
    <row r="79" spans="1:15" s="40" customFormat="1" x14ac:dyDescent="0.35">
      <c r="A79" s="40">
        <f>Dashboard!A98</f>
        <v>0</v>
      </c>
      <c r="B79" s="40" t="str">
        <f>Dashboard!B98</f>
        <v>TOTAL ACTIVE SEWER CONNECTION CENTRAL REGION</v>
      </c>
      <c r="C79" s="40" t="str">
        <f>Dashboard!C98</f>
        <v>No.</v>
      </c>
      <c r="D79" s="64">
        <f>SUM(D73:D78)</f>
        <v>1557</v>
      </c>
      <c r="E79" s="64">
        <f t="shared" ref="E79:O79" si="24">SUM(E73:E78)</f>
        <v>1560</v>
      </c>
      <c r="F79" s="64">
        <f t="shared" si="24"/>
        <v>1563</v>
      </c>
      <c r="G79" s="64">
        <f t="shared" si="24"/>
        <v>1580</v>
      </c>
      <c r="H79" s="64">
        <f t="shared" si="24"/>
        <v>1579</v>
      </c>
      <c r="I79" s="64">
        <f t="shared" si="24"/>
        <v>1583</v>
      </c>
      <c r="J79" s="64">
        <f t="shared" si="24"/>
        <v>1584</v>
      </c>
      <c r="K79" s="64">
        <f t="shared" si="24"/>
        <v>1591</v>
      </c>
      <c r="L79" s="64">
        <f t="shared" si="24"/>
        <v>1490</v>
      </c>
      <c r="M79" s="64">
        <f t="shared" si="24"/>
        <v>1498</v>
      </c>
      <c r="N79" s="64">
        <f t="shared" si="24"/>
        <v>1509</v>
      </c>
      <c r="O79" s="64">
        <f t="shared" si="24"/>
        <v>1500</v>
      </c>
    </row>
    <row r="80" spans="1:15" x14ac:dyDescent="0.35">
      <c r="A80" s="41">
        <f>Dashboard!A99</f>
        <v>1</v>
      </c>
      <c r="B80" s="41" t="str">
        <f>Dashboard!B99</f>
        <v>HELLSGATE- ACTIVE SEWER</v>
      </c>
      <c r="C80" s="41" t="str">
        <f>Dashboard!C99</f>
        <v>No.</v>
      </c>
      <c r="D80" s="50">
        <v>0</v>
      </c>
      <c r="E80" s="50">
        <v>0</v>
      </c>
      <c r="F80" s="50">
        <v>0</v>
      </c>
      <c r="G80" s="50">
        <v>0</v>
      </c>
      <c r="H80" s="50">
        <v>0</v>
      </c>
      <c r="I80" s="50">
        <v>0</v>
      </c>
      <c r="J80" s="50">
        <v>0</v>
      </c>
      <c r="K80" s="50">
        <v>0</v>
      </c>
      <c r="L80" s="50">
        <v>0</v>
      </c>
      <c r="M80" s="50">
        <v>0</v>
      </c>
      <c r="N80" s="50">
        <v>0</v>
      </c>
      <c r="O80" s="50"/>
    </row>
    <row r="81" spans="1:16" x14ac:dyDescent="0.35">
      <c r="A81" s="41">
        <f>Dashboard!A100</f>
        <v>2</v>
      </c>
      <c r="B81" s="41" t="str">
        <f>Dashboard!B100</f>
        <v>KAMERE- ACTIVE SEWER</v>
      </c>
      <c r="C81" s="41" t="str">
        <f>Dashboard!C100</f>
        <v>No.</v>
      </c>
      <c r="D81" s="50">
        <v>0</v>
      </c>
      <c r="E81" s="50">
        <v>0</v>
      </c>
      <c r="F81" s="50">
        <v>0</v>
      </c>
      <c r="G81" s="50">
        <v>0</v>
      </c>
      <c r="H81" s="50">
        <v>0</v>
      </c>
      <c r="I81" s="50">
        <v>0</v>
      </c>
      <c r="J81" s="50">
        <v>0</v>
      </c>
      <c r="K81" s="50">
        <v>0</v>
      </c>
      <c r="L81" s="50">
        <v>0</v>
      </c>
      <c r="M81" s="50">
        <v>0</v>
      </c>
      <c r="N81" s="50">
        <v>0</v>
      </c>
      <c r="O81" s="50"/>
    </row>
    <row r="82" spans="1:16" x14ac:dyDescent="0.35">
      <c r="A82" s="41">
        <f>Dashboard!A101</f>
        <v>3</v>
      </c>
      <c r="B82" s="41" t="str">
        <f>Dashboard!B101</f>
        <v>MAI-MAHIU- ACTIVE SEWER</v>
      </c>
      <c r="C82" s="41" t="str">
        <f>Dashboard!C101</f>
        <v>No.</v>
      </c>
      <c r="D82" s="50">
        <v>0</v>
      </c>
      <c r="E82" s="50">
        <v>0</v>
      </c>
      <c r="F82" s="50">
        <v>0</v>
      </c>
      <c r="G82" s="50">
        <v>0</v>
      </c>
      <c r="H82" s="50">
        <v>0</v>
      </c>
      <c r="I82" s="50">
        <v>0</v>
      </c>
      <c r="J82" s="50">
        <v>0</v>
      </c>
      <c r="K82" s="50">
        <v>0</v>
      </c>
      <c r="L82" s="50">
        <v>0</v>
      </c>
      <c r="M82" s="50">
        <v>0</v>
      </c>
      <c r="N82" s="50">
        <v>0</v>
      </c>
      <c r="O82" s="50"/>
    </row>
    <row r="83" spans="1:16" x14ac:dyDescent="0.35">
      <c r="A83" s="41">
        <f>Dashboard!A102</f>
        <v>0</v>
      </c>
      <c r="B83" s="41" t="str">
        <f>Dashboard!B102</f>
        <v>TOTAL ACTIVE SEWER CONNECTION SOUTHERN REGION</v>
      </c>
      <c r="C83" s="41" t="str">
        <f>Dashboard!C102</f>
        <v>No.</v>
      </c>
      <c r="D83" s="51">
        <f>SUM(D80:D82)</f>
        <v>0</v>
      </c>
      <c r="E83" s="51">
        <f t="shared" ref="E83:O83" si="25">SUM(E80:E82)</f>
        <v>0</v>
      </c>
      <c r="F83" s="51">
        <f t="shared" si="25"/>
        <v>0</v>
      </c>
      <c r="G83" s="51">
        <f t="shared" si="25"/>
        <v>0</v>
      </c>
      <c r="H83" s="51">
        <f t="shared" si="25"/>
        <v>0</v>
      </c>
      <c r="I83" s="51">
        <f t="shared" si="25"/>
        <v>0</v>
      </c>
      <c r="J83" s="51">
        <f t="shared" si="25"/>
        <v>0</v>
      </c>
      <c r="K83" s="51">
        <f t="shared" si="25"/>
        <v>0</v>
      </c>
      <c r="L83" s="51">
        <f t="shared" si="25"/>
        <v>0</v>
      </c>
      <c r="M83" s="51">
        <f t="shared" si="25"/>
        <v>0</v>
      </c>
      <c r="N83" s="51">
        <f t="shared" si="25"/>
        <v>0</v>
      </c>
      <c r="O83" s="51">
        <f t="shared" si="25"/>
        <v>0</v>
      </c>
    </row>
    <row r="84" spans="1:16" x14ac:dyDescent="0.35">
      <c r="A84" s="41">
        <f>Dashboard!A104</f>
        <v>1</v>
      </c>
      <c r="B84" s="41" t="str">
        <f>Dashboard!B104</f>
        <v>KAYOLE- ACTIVE SEWER</v>
      </c>
      <c r="C84" s="41" t="str">
        <f>Dashboard!C104</f>
        <v>No.</v>
      </c>
      <c r="D84" s="50">
        <v>77</v>
      </c>
      <c r="E84" s="50">
        <v>77</v>
      </c>
      <c r="F84" s="50">
        <v>78</v>
      </c>
      <c r="G84" s="50">
        <v>80</v>
      </c>
      <c r="H84" s="50">
        <v>80</v>
      </c>
      <c r="I84" s="50">
        <v>80</v>
      </c>
      <c r="J84" s="50">
        <v>80</v>
      </c>
      <c r="K84" s="50">
        <v>78</v>
      </c>
      <c r="L84" s="50">
        <v>8</v>
      </c>
      <c r="M84" s="50">
        <v>8</v>
      </c>
      <c r="N84" s="50">
        <v>14</v>
      </c>
      <c r="O84" s="50">
        <v>20</v>
      </c>
    </row>
    <row r="85" spans="1:16" s="40" customFormat="1" x14ac:dyDescent="0.35">
      <c r="A85" s="40" t="str">
        <f>Dashboard!A105</f>
        <v>SUMMARY CONNECTIONS</v>
      </c>
      <c r="D85" s="65"/>
      <c r="E85" s="65"/>
      <c r="F85" s="65"/>
      <c r="G85" s="65"/>
      <c r="H85" s="65"/>
      <c r="I85" s="65"/>
      <c r="J85" s="65"/>
      <c r="K85" s="65"/>
      <c r="L85" s="65"/>
      <c r="M85" s="65"/>
      <c r="N85" s="65"/>
      <c r="O85" s="65"/>
    </row>
    <row r="86" spans="1:16" x14ac:dyDescent="0.35">
      <c r="A86" s="41">
        <f>Dashboard!A106</f>
        <v>1</v>
      </c>
      <c r="B86" s="41" t="str">
        <f>Dashboard!B106</f>
        <v>TOTAL WATER CONNECTIONS</v>
      </c>
      <c r="C86" s="41" t="str">
        <f>Dashboard!C106</f>
        <v>No.</v>
      </c>
      <c r="D86" s="53">
        <f>D40+D44+D45</f>
        <v>9361</v>
      </c>
      <c r="E86" s="53">
        <f t="shared" ref="E86:O86" si="26">E40+E44+E45</f>
        <v>9476</v>
      </c>
      <c r="F86" s="53">
        <f t="shared" si="26"/>
        <v>9631</v>
      </c>
      <c r="G86" s="53">
        <f t="shared" si="26"/>
        <v>9709</v>
      </c>
      <c r="H86" s="53">
        <f t="shared" si="26"/>
        <v>9789</v>
      </c>
      <c r="I86" s="53">
        <f t="shared" si="26"/>
        <v>9834</v>
      </c>
      <c r="J86" s="53">
        <f t="shared" si="26"/>
        <v>9919</v>
      </c>
      <c r="K86" s="53">
        <f t="shared" si="26"/>
        <v>10082</v>
      </c>
      <c r="L86" s="53">
        <f t="shared" si="26"/>
        <v>10313</v>
      </c>
      <c r="M86" s="53">
        <f t="shared" si="26"/>
        <v>10427</v>
      </c>
      <c r="N86" s="53">
        <f t="shared" si="26"/>
        <v>10498</v>
      </c>
      <c r="O86" s="53">
        <f t="shared" si="26"/>
        <v>10602</v>
      </c>
    </row>
    <row r="87" spans="1:16" x14ac:dyDescent="0.35">
      <c r="A87" s="41">
        <f>Dashboard!A107</f>
        <v>2</v>
      </c>
      <c r="B87" s="41" t="str">
        <f>Dashboard!B107</f>
        <v xml:space="preserve">TOTAL SEWER CONNECTIONS </v>
      </c>
      <c r="C87" s="41" t="str">
        <f>Dashboard!C107</f>
        <v>No.</v>
      </c>
      <c r="D87" s="53">
        <f>D57+D53+D58</f>
        <v>1834</v>
      </c>
      <c r="E87" s="53">
        <f t="shared" ref="E87:O87" si="27">E57+E53+E58</f>
        <v>1836</v>
      </c>
      <c r="F87" s="53">
        <f t="shared" si="27"/>
        <v>1839</v>
      </c>
      <c r="G87" s="53">
        <f t="shared" si="27"/>
        <v>1858</v>
      </c>
      <c r="H87" s="53">
        <f t="shared" si="27"/>
        <v>1860</v>
      </c>
      <c r="I87" s="53">
        <f t="shared" si="27"/>
        <v>1865</v>
      </c>
      <c r="J87" s="53">
        <f t="shared" si="27"/>
        <v>1866</v>
      </c>
      <c r="K87" s="53">
        <f t="shared" si="27"/>
        <v>1876</v>
      </c>
      <c r="L87" s="53">
        <f t="shared" si="27"/>
        <v>1808</v>
      </c>
      <c r="M87" s="53">
        <f t="shared" si="27"/>
        <v>1817</v>
      </c>
      <c r="N87" s="53">
        <f t="shared" si="27"/>
        <v>1833</v>
      </c>
      <c r="O87" s="53">
        <f t="shared" si="27"/>
        <v>1840</v>
      </c>
    </row>
    <row r="88" spans="1:16" x14ac:dyDescent="0.35">
      <c r="A88" s="41">
        <f>Dashboard!A108</f>
        <v>3</v>
      </c>
      <c r="B88" s="41" t="str">
        <f>Dashboard!B108</f>
        <v>TOTAL ACTIVE WATER CONNECTIONS</v>
      </c>
      <c r="C88" s="41" t="str">
        <f>Dashboard!C108</f>
        <v>No.</v>
      </c>
      <c r="D88" s="53">
        <f>D66+D70+D71</f>
        <v>7598</v>
      </c>
      <c r="E88" s="53">
        <f t="shared" ref="E88:O88" si="28">E66+E70+E71</f>
        <v>7845</v>
      </c>
      <c r="F88" s="53">
        <f t="shared" si="28"/>
        <v>7928</v>
      </c>
      <c r="G88" s="53">
        <f t="shared" si="28"/>
        <v>8081</v>
      </c>
      <c r="H88" s="53">
        <f t="shared" si="28"/>
        <v>8151</v>
      </c>
      <c r="I88" s="53">
        <f t="shared" si="28"/>
        <v>8205</v>
      </c>
      <c r="J88" s="53">
        <f t="shared" si="28"/>
        <v>8298</v>
      </c>
      <c r="K88" s="53">
        <f t="shared" si="28"/>
        <v>8382</v>
      </c>
      <c r="L88" s="53">
        <f t="shared" si="28"/>
        <v>8509</v>
      </c>
      <c r="M88" s="53">
        <f t="shared" si="28"/>
        <v>8577</v>
      </c>
      <c r="N88" s="53">
        <f t="shared" si="28"/>
        <v>8650</v>
      </c>
      <c r="O88" s="53">
        <f t="shared" si="28"/>
        <v>8744</v>
      </c>
    </row>
    <row r="89" spans="1:16" x14ac:dyDescent="0.35">
      <c r="A89" s="41">
        <f>Dashboard!A109</f>
        <v>4</v>
      </c>
      <c r="B89" s="41" t="str">
        <f>Dashboard!B109</f>
        <v>TOTAL SEWER ACTIVE CONNECTIONS</v>
      </c>
      <c r="C89" s="41" t="str">
        <f>Dashboard!C109</f>
        <v>No.</v>
      </c>
      <c r="D89" s="53">
        <f>D79+D83+D84</f>
        <v>1634</v>
      </c>
      <c r="E89" s="53">
        <f t="shared" ref="E89:O89" si="29">E79+E83+E84</f>
        <v>1637</v>
      </c>
      <c r="F89" s="53">
        <f t="shared" si="29"/>
        <v>1641</v>
      </c>
      <c r="G89" s="53">
        <f t="shared" si="29"/>
        <v>1660</v>
      </c>
      <c r="H89" s="53">
        <f t="shared" si="29"/>
        <v>1659</v>
      </c>
      <c r="I89" s="53">
        <f t="shared" si="29"/>
        <v>1663</v>
      </c>
      <c r="J89" s="53">
        <f t="shared" si="29"/>
        <v>1664</v>
      </c>
      <c r="K89" s="53">
        <f t="shared" si="29"/>
        <v>1669</v>
      </c>
      <c r="L89" s="53">
        <f t="shared" si="29"/>
        <v>1498</v>
      </c>
      <c r="M89" s="53">
        <f t="shared" si="29"/>
        <v>1506</v>
      </c>
      <c r="N89" s="53">
        <f>N79+N83+N84</f>
        <v>1523</v>
      </c>
      <c r="O89" s="53">
        <f t="shared" si="29"/>
        <v>1520</v>
      </c>
    </row>
    <row r="90" spans="1:16" x14ac:dyDescent="0.35">
      <c r="A90" s="41">
        <f>Dashboard!A112</f>
        <v>5</v>
      </c>
      <c r="B90" s="41" t="str">
        <f>Dashboard!B112</f>
        <v>% ACTIVE CONNECTIONS</v>
      </c>
      <c r="C90" s="41" t="str">
        <f>Dashboard!C112</f>
        <v>No.</v>
      </c>
      <c r="D90" s="54">
        <f>SUM(D88:D89)/SUM(D86:D87)</f>
        <v>0.82465386333184454</v>
      </c>
      <c r="E90" s="54">
        <f t="shared" ref="E90:O90" si="30">SUM(E88:E89)/SUM(E86:E87)</f>
        <v>0.83822489391796318</v>
      </c>
      <c r="F90" s="54">
        <f t="shared" si="30"/>
        <v>0.83426329555361811</v>
      </c>
      <c r="G90" s="54">
        <f t="shared" si="30"/>
        <v>0.84213711420420156</v>
      </c>
      <c r="H90" s="54">
        <f t="shared" si="30"/>
        <v>0.84213237187741441</v>
      </c>
      <c r="I90" s="54">
        <f t="shared" si="30"/>
        <v>0.84349089665783406</v>
      </c>
      <c r="J90" s="54">
        <f t="shared" si="30"/>
        <v>0.84531183708103519</v>
      </c>
      <c r="K90" s="54">
        <f t="shared" si="30"/>
        <v>0.84052517143335004</v>
      </c>
      <c r="L90" s="54">
        <f t="shared" si="30"/>
        <v>0.82559194785908752</v>
      </c>
      <c r="M90" s="54">
        <f t="shared" si="30"/>
        <v>0.82350539039529569</v>
      </c>
      <c r="N90" s="54">
        <f t="shared" si="30"/>
        <v>0.82499391776822639</v>
      </c>
      <c r="O90" s="54">
        <f t="shared" si="30"/>
        <v>0.82494775759524197</v>
      </c>
    </row>
    <row r="91" spans="1:16" s="40" customFormat="1" x14ac:dyDescent="0.35">
      <c r="A91" s="40" t="str">
        <f>Dashboard!A113</f>
        <v>TOTAL BILLING IN M3 - WATER</v>
      </c>
    </row>
    <row r="92" spans="1:16" x14ac:dyDescent="0.35">
      <c r="A92" s="41">
        <f>Dashboard!A114</f>
        <v>1</v>
      </c>
      <c r="B92" s="41" t="str">
        <f>Dashboard!B114</f>
        <v>CBD - WATER(M3)</v>
      </c>
      <c r="C92" s="41" t="str">
        <f>Dashboard!C114</f>
        <v>M3</v>
      </c>
      <c r="D92" s="50">
        <v>16276</v>
      </c>
      <c r="E92" s="50">
        <v>15745</v>
      </c>
      <c r="F92" s="50">
        <v>14642</v>
      </c>
      <c r="G92" s="50">
        <v>10926</v>
      </c>
      <c r="H92" s="50">
        <v>16241</v>
      </c>
      <c r="I92" s="50">
        <v>14596</v>
      </c>
      <c r="J92" s="50">
        <v>13738</v>
      </c>
      <c r="K92" s="50">
        <v>16338</v>
      </c>
      <c r="L92" s="50">
        <v>16947</v>
      </c>
      <c r="M92" s="50">
        <v>13863</v>
      </c>
      <c r="N92" s="50">
        <v>14764</v>
      </c>
      <c r="O92" s="50">
        <v>15453</v>
      </c>
      <c r="P92" s="53"/>
    </row>
    <row r="93" spans="1:16" x14ac:dyDescent="0.35">
      <c r="A93" s="41">
        <f>Dashboard!A115</f>
        <v>2</v>
      </c>
      <c r="B93" s="41" t="str">
        <f>Dashboard!B115</f>
        <v>CCCR - WATER(M3)</v>
      </c>
      <c r="C93" s="41" t="str">
        <f>Dashboard!C115</f>
        <v>M3</v>
      </c>
      <c r="D93" s="50">
        <v>26014</v>
      </c>
      <c r="E93" s="50">
        <v>25915</v>
      </c>
      <c r="F93" s="50">
        <v>22957</v>
      </c>
      <c r="G93" s="50">
        <v>15606</v>
      </c>
      <c r="H93" s="50">
        <v>18594</v>
      </c>
      <c r="I93" s="50">
        <v>22016</v>
      </c>
      <c r="J93" s="50">
        <v>22166</v>
      </c>
      <c r="K93" s="50">
        <v>22610</v>
      </c>
      <c r="L93" s="50">
        <v>23154</v>
      </c>
      <c r="M93" s="50">
        <v>22838</v>
      </c>
      <c r="N93" s="50">
        <v>21463</v>
      </c>
      <c r="O93" s="50">
        <v>21858</v>
      </c>
      <c r="P93" s="53"/>
    </row>
    <row r="94" spans="1:16" x14ac:dyDescent="0.35">
      <c r="A94" s="41">
        <f>Dashboard!A116</f>
        <v>3</v>
      </c>
      <c r="B94" s="41" t="str">
        <f>Dashboard!B116</f>
        <v>KABATI - WATER(M3)</v>
      </c>
      <c r="C94" s="41" t="str">
        <f>Dashboard!C116</f>
        <v>M3</v>
      </c>
      <c r="D94" s="50">
        <v>12529</v>
      </c>
      <c r="E94" s="50">
        <v>13190</v>
      </c>
      <c r="F94" s="50">
        <v>10507</v>
      </c>
      <c r="G94" s="50">
        <v>13004</v>
      </c>
      <c r="H94" s="50">
        <v>7682</v>
      </c>
      <c r="I94" s="50">
        <v>12092</v>
      </c>
      <c r="J94" s="50">
        <v>10940</v>
      </c>
      <c r="K94" s="50">
        <v>13438</v>
      </c>
      <c r="L94" s="50">
        <v>13760</v>
      </c>
      <c r="M94" s="50">
        <v>11740</v>
      </c>
      <c r="N94" s="50">
        <v>9964</v>
      </c>
      <c r="O94" s="50">
        <v>11468</v>
      </c>
      <c r="P94" s="53"/>
    </row>
    <row r="95" spans="1:16" x14ac:dyDescent="0.35">
      <c r="A95" s="41">
        <f>Dashboard!A117</f>
        <v>4</v>
      </c>
      <c r="B95" s="41" t="str">
        <f>Dashboard!B117</f>
        <v>SITE - WATER(M3)</v>
      </c>
      <c r="C95" s="41" t="str">
        <f>Dashboard!C117</f>
        <v>M3</v>
      </c>
      <c r="D95" s="50">
        <v>10322</v>
      </c>
      <c r="E95" s="50">
        <v>10117</v>
      </c>
      <c r="F95" s="50">
        <v>9026</v>
      </c>
      <c r="G95" s="50">
        <v>10000</v>
      </c>
      <c r="H95" s="50">
        <v>7869</v>
      </c>
      <c r="I95" s="50">
        <v>9280</v>
      </c>
      <c r="J95" s="50">
        <v>10263</v>
      </c>
      <c r="K95" s="50">
        <v>11014</v>
      </c>
      <c r="L95" s="50">
        <v>10702</v>
      </c>
      <c r="M95" s="50">
        <v>10235</v>
      </c>
      <c r="N95" s="50">
        <v>9134</v>
      </c>
      <c r="O95" s="50">
        <v>9404</v>
      </c>
      <c r="P95" s="53"/>
    </row>
    <row r="96" spans="1:16" x14ac:dyDescent="0.35">
      <c r="A96" s="41">
        <f>Dashboard!A118</f>
        <v>5</v>
      </c>
      <c r="B96" s="41" t="str">
        <f>Dashboard!B118</f>
        <v>KIHOTO - WATER(M3)</v>
      </c>
      <c r="C96" s="41" t="str">
        <f>Dashboard!C118</f>
        <v>M3</v>
      </c>
      <c r="D96" s="50">
        <v>2772</v>
      </c>
      <c r="E96" s="50">
        <v>2080</v>
      </c>
      <c r="F96" s="50">
        <v>1347</v>
      </c>
      <c r="G96" s="50">
        <v>1141</v>
      </c>
      <c r="H96" s="50">
        <v>1693</v>
      </c>
      <c r="I96" s="50">
        <v>1590</v>
      </c>
      <c r="J96" s="50">
        <v>2369</v>
      </c>
      <c r="K96" s="50">
        <v>2241</v>
      </c>
      <c r="L96" s="50">
        <v>2236</v>
      </c>
      <c r="M96" s="50">
        <v>1444</v>
      </c>
      <c r="N96" s="50">
        <v>1437</v>
      </c>
      <c r="O96" s="50">
        <v>1692</v>
      </c>
      <c r="P96" s="53"/>
    </row>
    <row r="97" spans="1:17" x14ac:dyDescent="0.35">
      <c r="A97" s="41">
        <f>Dashboard!A119</f>
        <v>6</v>
      </c>
      <c r="B97" s="41" t="str">
        <f>Dashboard!B119</f>
        <v>LAKEVIEW - WATER(M3)</v>
      </c>
      <c r="C97" s="41" t="str">
        <f>Dashboard!C119</f>
        <v>M3</v>
      </c>
      <c r="D97" s="50">
        <v>23194</v>
      </c>
      <c r="E97" s="50">
        <v>25400</v>
      </c>
      <c r="F97" s="50">
        <v>32758</v>
      </c>
      <c r="G97" s="50">
        <v>20259</v>
      </c>
      <c r="H97" s="50">
        <v>19822</v>
      </c>
      <c r="I97" s="50">
        <v>21110</v>
      </c>
      <c r="J97" s="50">
        <v>23140</v>
      </c>
      <c r="K97" s="50">
        <v>25593</v>
      </c>
      <c r="L97" s="50">
        <v>27005</v>
      </c>
      <c r="M97" s="50">
        <v>24587</v>
      </c>
      <c r="N97" s="50">
        <v>16817</v>
      </c>
      <c r="O97" s="50">
        <v>21299</v>
      </c>
      <c r="P97" s="53"/>
    </row>
    <row r="98" spans="1:17" s="40" customFormat="1" x14ac:dyDescent="0.35">
      <c r="A98" s="40">
        <f>Dashboard!A121</f>
        <v>0</v>
      </c>
      <c r="B98" s="40" t="str">
        <f>Dashboard!B121</f>
        <v>TOTAL  - WATER(M3) CENTRAL REGION</v>
      </c>
      <c r="C98" s="40" t="str">
        <f>Dashboard!C121</f>
        <v>M3</v>
      </c>
      <c r="D98" s="64">
        <f>SUM(D92:D97)</f>
        <v>91107</v>
      </c>
      <c r="E98" s="64">
        <f t="shared" ref="E98:O98" si="31">SUM(E92:E97)</f>
        <v>92447</v>
      </c>
      <c r="F98" s="64">
        <f t="shared" si="31"/>
        <v>91237</v>
      </c>
      <c r="G98" s="64">
        <f t="shared" si="31"/>
        <v>70936</v>
      </c>
      <c r="H98" s="64">
        <f t="shared" si="31"/>
        <v>71901</v>
      </c>
      <c r="I98" s="64">
        <f t="shared" si="31"/>
        <v>80684</v>
      </c>
      <c r="J98" s="64">
        <f t="shared" si="31"/>
        <v>82616</v>
      </c>
      <c r="K98" s="64">
        <f t="shared" si="31"/>
        <v>91234</v>
      </c>
      <c r="L98" s="64">
        <f t="shared" si="31"/>
        <v>93804</v>
      </c>
      <c r="M98" s="64">
        <f t="shared" si="31"/>
        <v>84707</v>
      </c>
      <c r="N98" s="64">
        <f t="shared" si="31"/>
        <v>73579</v>
      </c>
      <c r="O98" s="64">
        <f t="shared" si="31"/>
        <v>81174</v>
      </c>
      <c r="P98" s="53"/>
    </row>
    <row r="99" spans="1:17" x14ac:dyDescent="0.35">
      <c r="A99" s="41">
        <f>Dashboard!A122</f>
        <v>1</v>
      </c>
      <c r="B99" s="41" t="str">
        <f>Dashboard!B122</f>
        <v>HELLSGATE - WATER(M3)</v>
      </c>
      <c r="C99" s="41" t="str">
        <f>Dashboard!C122</f>
        <v>M3</v>
      </c>
      <c r="D99" s="50">
        <v>20752</v>
      </c>
      <c r="E99" s="50">
        <v>21521</v>
      </c>
      <c r="F99" s="50">
        <v>18968</v>
      </c>
      <c r="G99" s="50">
        <v>18382</v>
      </c>
      <c r="H99" s="50">
        <v>19743</v>
      </c>
      <c r="I99" s="50">
        <v>17301</v>
      </c>
      <c r="J99" s="50">
        <v>20591</v>
      </c>
      <c r="K99" s="50">
        <v>22250</v>
      </c>
      <c r="L99" s="50">
        <v>24784</v>
      </c>
      <c r="M99" s="50">
        <v>22577</v>
      </c>
      <c r="N99" s="50">
        <v>14170</v>
      </c>
      <c r="O99" s="50">
        <v>22076</v>
      </c>
      <c r="P99" s="53"/>
    </row>
    <row r="100" spans="1:17" x14ac:dyDescent="0.35">
      <c r="A100" s="41">
        <f>Dashboard!A123</f>
        <v>2</v>
      </c>
      <c r="B100" s="41" t="str">
        <f>Dashboard!B123</f>
        <v>KAMERE - WATER(M3)</v>
      </c>
      <c r="C100" s="41" t="str">
        <f>Dashboard!C123</f>
        <v>M3</v>
      </c>
      <c r="D100" s="50">
        <v>6689</v>
      </c>
      <c r="E100" s="50">
        <v>7168</v>
      </c>
      <c r="F100" s="50">
        <v>6829</v>
      </c>
      <c r="G100" s="50">
        <v>6369</v>
      </c>
      <c r="H100" s="50">
        <v>6247</v>
      </c>
      <c r="I100" s="50">
        <v>5706</v>
      </c>
      <c r="J100" s="50">
        <v>5916</v>
      </c>
      <c r="K100" s="50">
        <v>6958</v>
      </c>
      <c r="L100" s="50">
        <v>6756</v>
      </c>
      <c r="M100" s="50">
        <v>6326</v>
      </c>
      <c r="N100" s="50">
        <v>4365</v>
      </c>
      <c r="O100" s="50">
        <v>5937</v>
      </c>
      <c r="P100" s="53"/>
      <c r="Q100" s="53"/>
    </row>
    <row r="101" spans="1:17" x14ac:dyDescent="0.35">
      <c r="A101" s="41">
        <f>Dashboard!A124</f>
        <v>3</v>
      </c>
      <c r="B101" s="41" t="str">
        <f>Dashboard!B124</f>
        <v>MAI-MAHIU - WATER(M3)</v>
      </c>
      <c r="C101" s="41" t="str">
        <f>Dashboard!C124</f>
        <v>M3</v>
      </c>
      <c r="D101" s="50">
        <v>3010</v>
      </c>
      <c r="E101" s="50">
        <v>4054</v>
      </c>
      <c r="F101" s="50">
        <v>6482</v>
      </c>
      <c r="G101" s="50">
        <v>5612</v>
      </c>
      <c r="H101" s="50">
        <v>4918</v>
      </c>
      <c r="I101" s="50">
        <v>6474</v>
      </c>
      <c r="J101" s="50">
        <v>6589</v>
      </c>
      <c r="K101" s="50">
        <v>8073</v>
      </c>
      <c r="L101" s="50">
        <v>9560</v>
      </c>
      <c r="M101" s="50">
        <v>7050</v>
      </c>
      <c r="N101" s="50">
        <v>3034</v>
      </c>
      <c r="O101" s="50">
        <v>5452</v>
      </c>
      <c r="P101" s="53"/>
    </row>
    <row r="102" spans="1:17" s="40" customFormat="1" x14ac:dyDescent="0.35">
      <c r="A102" s="40">
        <f>Dashboard!A126</f>
        <v>0</v>
      </c>
      <c r="B102" s="40" t="str">
        <f>Dashboard!B126</f>
        <v>TOTAL  WATER(M3) SOUTHERN REGION</v>
      </c>
      <c r="C102" s="40" t="str">
        <f>Dashboard!C126</f>
        <v>M3</v>
      </c>
      <c r="D102" s="64">
        <f>SUM(D99:D101)</f>
        <v>30451</v>
      </c>
      <c r="E102" s="64">
        <f t="shared" ref="E102:O102" si="32">SUM(E99:E101)</f>
        <v>32743</v>
      </c>
      <c r="F102" s="64">
        <f t="shared" si="32"/>
        <v>32279</v>
      </c>
      <c r="G102" s="64">
        <f t="shared" si="32"/>
        <v>30363</v>
      </c>
      <c r="H102" s="64">
        <f t="shared" si="32"/>
        <v>30908</v>
      </c>
      <c r="I102" s="64">
        <f t="shared" si="32"/>
        <v>29481</v>
      </c>
      <c r="J102" s="64">
        <f t="shared" si="32"/>
        <v>33096</v>
      </c>
      <c r="K102" s="64">
        <f t="shared" si="32"/>
        <v>37281</v>
      </c>
      <c r="L102" s="64">
        <f t="shared" si="32"/>
        <v>41100</v>
      </c>
      <c r="M102" s="64">
        <f t="shared" si="32"/>
        <v>35953</v>
      </c>
      <c r="N102" s="64">
        <f t="shared" si="32"/>
        <v>21569</v>
      </c>
      <c r="O102" s="64">
        <f t="shared" si="32"/>
        <v>33465</v>
      </c>
      <c r="P102" s="53"/>
    </row>
    <row r="103" spans="1:17" x14ac:dyDescent="0.35">
      <c r="A103" s="41">
        <f>Dashboard!A128</f>
        <v>1</v>
      </c>
      <c r="B103" s="41" t="str">
        <f>Dashboard!B128</f>
        <v>KAYOLE - WATER(M3)</v>
      </c>
      <c r="C103" s="41" t="str">
        <f>Dashboard!C128</f>
        <v>M3</v>
      </c>
      <c r="D103" s="50">
        <v>23539</v>
      </c>
      <c r="E103" s="50">
        <v>27125</v>
      </c>
      <c r="F103" s="50">
        <v>16031</v>
      </c>
      <c r="G103" s="50">
        <v>19537</v>
      </c>
      <c r="H103" s="50">
        <v>21187</v>
      </c>
      <c r="I103" s="50">
        <v>19889</v>
      </c>
      <c r="J103" s="50">
        <v>22923</v>
      </c>
      <c r="K103" s="50">
        <v>24955</v>
      </c>
      <c r="L103" s="50">
        <v>28920</v>
      </c>
      <c r="M103" s="50">
        <v>24631</v>
      </c>
      <c r="N103" s="50">
        <v>22558</v>
      </c>
      <c r="O103" s="50">
        <v>22371</v>
      </c>
      <c r="P103" s="53"/>
    </row>
    <row r="104" spans="1:17" s="40" customFormat="1" x14ac:dyDescent="0.35">
      <c r="A104" s="40" t="str">
        <f>Dashboard!A131</f>
        <v>TOTAL BILLING IN KSH - WATER</v>
      </c>
      <c r="M104" s="65"/>
    </row>
    <row r="105" spans="1:17" x14ac:dyDescent="0.35">
      <c r="A105" s="41">
        <f>Dashboard!A132</f>
        <v>1</v>
      </c>
      <c r="B105" s="41" t="str">
        <f>Dashboard!B132</f>
        <v>CBD - WATER(KES)</v>
      </c>
      <c r="C105" s="41" t="str">
        <f>Dashboard!C132</f>
        <v>Ksh</v>
      </c>
      <c r="D105" s="50">
        <v>1481230</v>
      </c>
      <c r="E105" s="50">
        <v>1434255</v>
      </c>
      <c r="F105" s="50">
        <v>1360015</v>
      </c>
      <c r="G105" s="50">
        <v>928462</v>
      </c>
      <c r="H105" s="50">
        <v>1449029</v>
      </c>
      <c r="I105" s="50">
        <v>1300957</v>
      </c>
      <c r="J105" s="50">
        <v>1205243</v>
      </c>
      <c r="K105" s="50">
        <v>1462991</v>
      </c>
      <c r="L105" s="50">
        <v>1544187</v>
      </c>
      <c r="M105" s="50">
        <v>1226331</v>
      </c>
      <c r="N105" s="50">
        <v>1350825</v>
      </c>
      <c r="O105" s="50">
        <v>1361873</v>
      </c>
      <c r="P105" s="50"/>
    </row>
    <row r="106" spans="1:17" x14ac:dyDescent="0.35">
      <c r="A106" s="41">
        <f>Dashboard!A133</f>
        <v>2</v>
      </c>
      <c r="B106" s="41" t="str">
        <f>Dashboard!B133</f>
        <v>CCCR - WATER(KES)</v>
      </c>
      <c r="C106" s="41" t="str">
        <f>Dashboard!C133</f>
        <v>Ksh</v>
      </c>
      <c r="D106" s="50">
        <v>2959793</v>
      </c>
      <c r="E106" s="50">
        <v>2968700</v>
      </c>
      <c r="F106" s="50">
        <v>2708878</v>
      </c>
      <c r="G106" s="50">
        <v>1556747</v>
      </c>
      <c r="H106" s="50">
        <v>2024344</v>
      </c>
      <c r="I106" s="50">
        <v>2578578</v>
      </c>
      <c r="J106" s="50">
        <v>2568346</v>
      </c>
      <c r="K106" s="50">
        <v>2490679</v>
      </c>
      <c r="L106" s="50">
        <v>2630287</v>
      </c>
      <c r="M106" s="50">
        <v>2646199</v>
      </c>
      <c r="N106" s="50">
        <v>2417784</v>
      </c>
      <c r="O106" s="50">
        <v>2422744</v>
      </c>
      <c r="P106" s="50"/>
    </row>
    <row r="107" spans="1:17" x14ac:dyDescent="0.35">
      <c r="A107" s="41">
        <f>Dashboard!A134</f>
        <v>3</v>
      </c>
      <c r="B107" s="41" t="str">
        <f>Dashboard!B134</f>
        <v>KABATI - WATER(KES)</v>
      </c>
      <c r="C107" s="41" t="str">
        <f>Dashboard!C134</f>
        <v>Ksh</v>
      </c>
      <c r="D107" s="50">
        <v>954120</v>
      </c>
      <c r="E107" s="50">
        <v>1000428</v>
      </c>
      <c r="F107" s="50">
        <v>776074</v>
      </c>
      <c r="G107" s="50">
        <v>990009</v>
      </c>
      <c r="H107" s="50">
        <v>553793</v>
      </c>
      <c r="I107" s="50">
        <v>912768</v>
      </c>
      <c r="J107" s="50">
        <v>814815</v>
      </c>
      <c r="K107" s="50">
        <v>1004383</v>
      </c>
      <c r="L107" s="50">
        <v>1032900</v>
      </c>
      <c r="M107" s="50">
        <v>876133</v>
      </c>
      <c r="N107" s="50">
        <v>730779</v>
      </c>
      <c r="O107" s="50">
        <v>847250</v>
      </c>
      <c r="P107" s="50"/>
    </row>
    <row r="108" spans="1:17" x14ac:dyDescent="0.35">
      <c r="A108" s="41">
        <f>Dashboard!A135</f>
        <v>4</v>
      </c>
      <c r="B108" s="41" t="str">
        <f>Dashboard!B135</f>
        <v>SITE - WATER(KES)</v>
      </c>
      <c r="C108" s="41" t="str">
        <f>Dashboard!C135</f>
        <v>Ksh</v>
      </c>
      <c r="D108" s="50">
        <v>762447</v>
      </c>
      <c r="E108" s="50">
        <v>738161</v>
      </c>
      <c r="F108" s="50">
        <v>654572</v>
      </c>
      <c r="G108" s="50">
        <v>730688</v>
      </c>
      <c r="H108" s="50">
        <v>564973</v>
      </c>
      <c r="I108" s="50">
        <v>683416</v>
      </c>
      <c r="J108" s="50">
        <v>760888</v>
      </c>
      <c r="K108" s="50">
        <v>829782</v>
      </c>
      <c r="L108" s="50">
        <v>771008</v>
      </c>
      <c r="M108" s="50">
        <v>773574</v>
      </c>
      <c r="N108" s="50">
        <v>683898</v>
      </c>
      <c r="O108" s="50">
        <v>687641</v>
      </c>
      <c r="P108" s="50"/>
    </row>
    <row r="109" spans="1:17" x14ac:dyDescent="0.35">
      <c r="A109" s="41">
        <f>Dashboard!A136</f>
        <v>5</v>
      </c>
      <c r="B109" s="41" t="str">
        <f>Dashboard!B136</f>
        <v>KIHOTO - WATER(KES)</v>
      </c>
      <c r="C109" s="41" t="str">
        <f>Dashboard!C136</f>
        <v>Ksh</v>
      </c>
      <c r="D109" s="50">
        <v>168372</v>
      </c>
      <c r="E109" s="50">
        <v>151493</v>
      </c>
      <c r="F109" s="50">
        <v>94751</v>
      </c>
      <c r="G109" s="50">
        <v>78180</v>
      </c>
      <c r="H109" s="50">
        <v>122324</v>
      </c>
      <c r="I109" s="50">
        <v>114171</v>
      </c>
      <c r="J109" s="50">
        <v>175773</v>
      </c>
      <c r="K109" s="50">
        <v>162484</v>
      </c>
      <c r="L109" s="50">
        <v>161235</v>
      </c>
      <c r="M109" s="50">
        <v>99629</v>
      </c>
      <c r="N109" s="50">
        <v>100194</v>
      </c>
      <c r="O109" s="50">
        <v>119740</v>
      </c>
      <c r="P109" s="50"/>
    </row>
    <row r="110" spans="1:17" x14ac:dyDescent="0.35">
      <c r="A110" s="41">
        <f>Dashboard!A137</f>
        <v>6</v>
      </c>
      <c r="B110" s="41" t="str">
        <f>Dashboard!B137</f>
        <v>LAKEVIEW - WATER(KES)</v>
      </c>
      <c r="C110" s="41" t="str">
        <f>Dashboard!C137</f>
        <v>Ksh</v>
      </c>
      <c r="D110" s="50">
        <v>1883249</v>
      </c>
      <c r="E110" s="50">
        <v>2076568</v>
      </c>
      <c r="F110" s="50">
        <v>2773516</v>
      </c>
      <c r="G110" s="50">
        <v>1605955</v>
      </c>
      <c r="H110" s="50">
        <v>1558012</v>
      </c>
      <c r="I110" s="50">
        <v>1675186</v>
      </c>
      <c r="J110" s="50">
        <v>1883096</v>
      </c>
      <c r="K110" s="50">
        <v>2091157</v>
      </c>
      <c r="L110" s="50">
        <v>2224329</v>
      </c>
      <c r="M110" s="50">
        <v>2017758</v>
      </c>
      <c r="N110" s="50">
        <v>1331115</v>
      </c>
      <c r="O110" s="50">
        <v>1694119</v>
      </c>
      <c r="P110" s="50"/>
    </row>
    <row r="111" spans="1:17" x14ac:dyDescent="0.35">
      <c r="A111" s="41">
        <f>Dashboard!A139</f>
        <v>0</v>
      </c>
      <c r="B111" s="41" t="str">
        <f>Dashboard!B139</f>
        <v>TOTAL - WATER(KES)CENTRAL REGION</v>
      </c>
      <c r="C111" s="41" t="str">
        <f>Dashboard!C139</f>
        <v>Ksh</v>
      </c>
      <c r="D111" s="51">
        <f>SUM(D105:D110)</f>
        <v>8209211</v>
      </c>
      <c r="E111" s="51">
        <f t="shared" ref="E111:O111" si="33">SUM(E105:E110)</f>
        <v>8369605</v>
      </c>
      <c r="F111" s="51">
        <f t="shared" si="33"/>
        <v>8367806</v>
      </c>
      <c r="G111" s="51">
        <f t="shared" si="33"/>
        <v>5890041</v>
      </c>
      <c r="H111" s="51">
        <f t="shared" si="33"/>
        <v>6272475</v>
      </c>
      <c r="I111" s="51">
        <f t="shared" si="33"/>
        <v>7265076</v>
      </c>
      <c r="J111" s="51">
        <f t="shared" si="33"/>
        <v>7408161</v>
      </c>
      <c r="K111" s="51">
        <f t="shared" si="33"/>
        <v>8041476</v>
      </c>
      <c r="L111" s="51">
        <f t="shared" si="33"/>
        <v>8363946</v>
      </c>
      <c r="M111" s="51">
        <f t="shared" si="33"/>
        <v>7639624</v>
      </c>
      <c r="N111" s="51">
        <f t="shared" si="33"/>
        <v>6614595</v>
      </c>
      <c r="O111" s="51">
        <f t="shared" si="33"/>
        <v>7133367</v>
      </c>
    </row>
    <row r="112" spans="1:17" x14ac:dyDescent="0.35">
      <c r="A112" s="41">
        <f>Dashboard!A140</f>
        <v>1</v>
      </c>
      <c r="B112" s="41" t="str">
        <f>Dashboard!B140</f>
        <v>HELLSGATE - WATER(KES)</v>
      </c>
      <c r="C112" s="41" t="str">
        <f>Dashboard!C140</f>
        <v>Ksh</v>
      </c>
      <c r="D112" s="50">
        <v>1526719</v>
      </c>
      <c r="E112" s="50">
        <v>1559297</v>
      </c>
      <c r="F112" s="50">
        <v>1362062</v>
      </c>
      <c r="G112" s="50">
        <v>1312965</v>
      </c>
      <c r="H112" s="50">
        <v>1445205</v>
      </c>
      <c r="I112" s="50">
        <v>1675186</v>
      </c>
      <c r="J112" s="50">
        <v>1493273</v>
      </c>
      <c r="K112" s="50">
        <v>1629277</v>
      </c>
      <c r="L112" s="50">
        <v>1829011</v>
      </c>
      <c r="M112" s="50">
        <v>1699491</v>
      </c>
      <c r="N112" s="50">
        <v>985160</v>
      </c>
      <c r="O112" s="50">
        <v>1588983</v>
      </c>
    </row>
    <row r="113" spans="1:15" x14ac:dyDescent="0.35">
      <c r="A113" s="41">
        <f>Dashboard!A141</f>
        <v>2</v>
      </c>
      <c r="B113" s="41" t="str">
        <f>Dashboard!B141</f>
        <v>KAMERE - WATER(KES)</v>
      </c>
      <c r="C113" s="41" t="str">
        <f>Dashboard!C141</f>
        <v>Ksh</v>
      </c>
      <c r="D113" s="50">
        <v>486852</v>
      </c>
      <c r="E113" s="50">
        <v>539407</v>
      </c>
      <c r="F113" s="50">
        <v>517217</v>
      </c>
      <c r="G113" s="50">
        <v>471958</v>
      </c>
      <c r="H113" s="50">
        <v>464542</v>
      </c>
      <c r="I113" s="50">
        <v>426413</v>
      </c>
      <c r="J113" s="50">
        <v>437650</v>
      </c>
      <c r="K113" s="50">
        <v>511287</v>
      </c>
      <c r="L113" s="50">
        <v>508790</v>
      </c>
      <c r="M113" s="50">
        <v>451385</v>
      </c>
      <c r="N113" s="50">
        <v>323797</v>
      </c>
      <c r="O113" s="50">
        <v>438974</v>
      </c>
    </row>
    <row r="114" spans="1:15" x14ac:dyDescent="0.35">
      <c r="A114" s="41">
        <f>Dashboard!A142</f>
        <v>3</v>
      </c>
      <c r="B114" s="41" t="str">
        <f>Dashboard!B142</f>
        <v>MAI-MAHIU - WATER(KES)</v>
      </c>
      <c r="C114" s="41" t="str">
        <f>Dashboard!C142</f>
        <v>Ksh</v>
      </c>
      <c r="D114" s="50">
        <v>222470</v>
      </c>
      <c r="E114" s="50">
        <v>268853</v>
      </c>
      <c r="F114" s="50">
        <v>597306</v>
      </c>
      <c r="G114" s="50">
        <v>436303</v>
      </c>
      <c r="H114" s="50">
        <v>365293</v>
      </c>
      <c r="I114" s="50">
        <v>566184</v>
      </c>
      <c r="J114" s="50">
        <v>509268</v>
      </c>
      <c r="K114" s="50">
        <v>630397</v>
      </c>
      <c r="L114" s="50">
        <v>768052</v>
      </c>
      <c r="M114" s="50">
        <v>558627</v>
      </c>
      <c r="N114" s="50">
        <f>225295+35000</f>
        <v>260295</v>
      </c>
      <c r="O114" s="50">
        <v>726630</v>
      </c>
    </row>
    <row r="115" spans="1:15" x14ac:dyDescent="0.35">
      <c r="A115" s="41">
        <f>Dashboard!A144</f>
        <v>0</v>
      </c>
      <c r="B115" s="41" t="str">
        <f>Dashboard!B144</f>
        <v>TOTAL  - WATER(KES) SOUTHERN REGION</v>
      </c>
      <c r="C115" s="41" t="str">
        <f>Dashboard!C144</f>
        <v>Ksh</v>
      </c>
      <c r="D115" s="51">
        <f>SUM(D112:D114)</f>
        <v>2236041</v>
      </c>
      <c r="E115" s="51">
        <f t="shared" ref="E115:O115" si="34">SUM(E112:E114)</f>
        <v>2367557</v>
      </c>
      <c r="F115" s="51">
        <f t="shared" si="34"/>
        <v>2476585</v>
      </c>
      <c r="G115" s="51">
        <f t="shared" si="34"/>
        <v>2221226</v>
      </c>
      <c r="H115" s="51">
        <f t="shared" si="34"/>
        <v>2275040</v>
      </c>
      <c r="I115" s="51">
        <f t="shared" si="34"/>
        <v>2667783</v>
      </c>
      <c r="J115" s="51">
        <f t="shared" si="34"/>
        <v>2440191</v>
      </c>
      <c r="K115" s="51">
        <f t="shared" si="34"/>
        <v>2770961</v>
      </c>
      <c r="L115" s="51">
        <f t="shared" si="34"/>
        <v>3105853</v>
      </c>
      <c r="M115" s="51">
        <f t="shared" si="34"/>
        <v>2709503</v>
      </c>
      <c r="N115" s="51">
        <f t="shared" si="34"/>
        <v>1569252</v>
      </c>
      <c r="O115" s="51">
        <f t="shared" si="34"/>
        <v>2754587</v>
      </c>
    </row>
    <row r="116" spans="1:15" x14ac:dyDescent="0.35">
      <c r="A116" s="41">
        <f>Dashboard!A146</f>
        <v>1</v>
      </c>
      <c r="B116" s="41" t="str">
        <f>Dashboard!B146</f>
        <v>KAYOLE - WATER(KES)</v>
      </c>
      <c r="C116" s="41" t="str">
        <f>Dashboard!C146</f>
        <v>Ksh</v>
      </c>
      <c r="D116" s="50">
        <v>1753336</v>
      </c>
      <c r="E116" s="50">
        <v>1998514</v>
      </c>
      <c r="F116" s="50">
        <v>1124537</v>
      </c>
      <c r="G116" s="50">
        <v>1426587</v>
      </c>
      <c r="H116" s="50">
        <v>1554913</v>
      </c>
      <c r="I116" s="50">
        <v>1483161</v>
      </c>
      <c r="J116" s="50">
        <v>1750805</v>
      </c>
      <c r="K116" s="50">
        <v>1863568</v>
      </c>
      <c r="L116" s="50">
        <v>2245883</v>
      </c>
      <c r="M116" s="50">
        <v>1823547</v>
      </c>
      <c r="N116" s="50">
        <v>1831368</v>
      </c>
      <c r="O116" s="50">
        <v>1840557</v>
      </c>
    </row>
    <row r="117" spans="1:15" s="40" customFormat="1" x14ac:dyDescent="0.35">
      <c r="A117" s="40" t="str">
        <f>Dashboard!A149</f>
        <v>AVG TARIFF- WATER KSH/M3</v>
      </c>
    </row>
    <row r="118" spans="1:15" x14ac:dyDescent="0.35">
      <c r="A118" s="41">
        <f>Dashboard!A150</f>
        <v>1</v>
      </c>
      <c r="B118" s="41" t="str">
        <f>Dashboard!B150</f>
        <v>CBD - KSH/M3</v>
      </c>
      <c r="C118" s="41" t="str">
        <f>Dashboard!C150</f>
        <v>Ksh/M3</v>
      </c>
      <c r="D118" s="52">
        <f t="shared" ref="D118:O118" si="35">D105/D92</f>
        <v>91.007004177930696</v>
      </c>
      <c r="E118" s="52">
        <f t="shared" si="35"/>
        <v>91.092727850111146</v>
      </c>
      <c r="F118" s="52">
        <f t="shared" si="35"/>
        <v>92.884510312798795</v>
      </c>
      <c r="G118" s="52">
        <f t="shared" si="35"/>
        <v>84.977301848801019</v>
      </c>
      <c r="H118" s="52">
        <f t="shared" si="35"/>
        <v>89.220429776491599</v>
      </c>
      <c r="I118" s="52">
        <f t="shared" si="35"/>
        <v>89.131063305015076</v>
      </c>
      <c r="J118" s="52">
        <f t="shared" si="35"/>
        <v>87.730601252001748</v>
      </c>
      <c r="K118" s="52">
        <f t="shared" si="35"/>
        <v>89.545293181539975</v>
      </c>
      <c r="L118" s="52">
        <f t="shared" si="35"/>
        <v>91.118605062842974</v>
      </c>
      <c r="M118" s="52">
        <f t="shared" si="35"/>
        <v>88.460722787275486</v>
      </c>
      <c r="N118" s="52">
        <f t="shared" si="35"/>
        <v>91.494513681929021</v>
      </c>
      <c r="O118" s="52">
        <f t="shared" si="35"/>
        <v>88.13000711835889</v>
      </c>
    </row>
    <row r="119" spans="1:15" x14ac:dyDescent="0.35">
      <c r="A119" s="41">
        <f>Dashboard!A151</f>
        <v>2</v>
      </c>
      <c r="B119" s="41" t="str">
        <f>Dashboard!B151</f>
        <v>CCCR - KSH/M3</v>
      </c>
      <c r="C119" s="41" t="str">
        <f>Dashboard!C151</f>
        <v>Ksh/M3</v>
      </c>
      <c r="D119" s="52">
        <f t="shared" ref="D119:O119" si="36">D106/D93</f>
        <v>113.77692780810332</v>
      </c>
      <c r="E119" s="52">
        <f t="shared" si="36"/>
        <v>114.55527686667953</v>
      </c>
      <c r="F119" s="52">
        <f t="shared" si="36"/>
        <v>117.99790913446878</v>
      </c>
      <c r="G119" s="52">
        <f t="shared" si="36"/>
        <v>99.753107779059334</v>
      </c>
      <c r="H119" s="52">
        <f t="shared" si="36"/>
        <v>108.87081854361622</v>
      </c>
      <c r="I119" s="52">
        <f t="shared" si="36"/>
        <v>117.12291061046511</v>
      </c>
      <c r="J119" s="52">
        <f t="shared" si="36"/>
        <v>115.86871785617612</v>
      </c>
      <c r="K119" s="52">
        <f t="shared" si="36"/>
        <v>110.15829279080053</v>
      </c>
      <c r="L119" s="52">
        <f t="shared" si="36"/>
        <v>113.59968040079468</v>
      </c>
      <c r="M119" s="52">
        <f t="shared" si="36"/>
        <v>115.86824590594622</v>
      </c>
      <c r="N119" s="52">
        <f t="shared" si="36"/>
        <v>112.64893071797978</v>
      </c>
      <c r="O119" s="52">
        <f t="shared" si="36"/>
        <v>110.84015005947479</v>
      </c>
    </row>
    <row r="120" spans="1:15" x14ac:dyDescent="0.35">
      <c r="A120" s="41">
        <f>Dashboard!A152</f>
        <v>3</v>
      </c>
      <c r="B120" s="41" t="str">
        <f>Dashboard!B152</f>
        <v>KABATI - KSH/M3</v>
      </c>
      <c r="C120" s="41" t="str">
        <f>Dashboard!C152</f>
        <v>Ksh/M3</v>
      </c>
      <c r="D120" s="52">
        <f t="shared" ref="D120:O120" si="37">D107/D94</f>
        <v>76.152925213504673</v>
      </c>
      <c r="E120" s="52">
        <f t="shared" si="37"/>
        <v>75.847460197119034</v>
      </c>
      <c r="F120" s="52">
        <f t="shared" si="37"/>
        <v>73.862567811934895</v>
      </c>
      <c r="G120" s="52">
        <f t="shared" si="37"/>
        <v>76.131113503537378</v>
      </c>
      <c r="H120" s="52">
        <f t="shared" si="37"/>
        <v>72.089690184847697</v>
      </c>
      <c r="I120" s="52">
        <f t="shared" si="37"/>
        <v>75.485279523651997</v>
      </c>
      <c r="J120" s="52">
        <f t="shared" si="37"/>
        <v>74.480347349177336</v>
      </c>
      <c r="K120" s="52">
        <f t="shared" si="37"/>
        <v>74.742000297663338</v>
      </c>
      <c r="L120" s="52">
        <f t="shared" si="37"/>
        <v>75.065406976744185</v>
      </c>
      <c r="M120" s="52">
        <f t="shared" si="37"/>
        <v>74.628023850085185</v>
      </c>
      <c r="N120" s="52">
        <f t="shared" si="37"/>
        <v>73.341930951425127</v>
      </c>
      <c r="O120" s="52">
        <f t="shared" si="37"/>
        <v>73.879490756888728</v>
      </c>
    </row>
    <row r="121" spans="1:15" x14ac:dyDescent="0.35">
      <c r="A121" s="41">
        <f>Dashboard!A153</f>
        <v>4</v>
      </c>
      <c r="B121" s="41" t="str">
        <f>Dashboard!B153</f>
        <v>SITE - KSH/M3</v>
      </c>
      <c r="C121" s="41" t="str">
        <f>Dashboard!C153</f>
        <v>Ksh/M3</v>
      </c>
      <c r="D121" s="52">
        <f t="shared" ref="D121:O121" si="38">D108/D95</f>
        <v>73.866208099205579</v>
      </c>
      <c r="E121" s="52">
        <f t="shared" si="38"/>
        <v>72.962439458337457</v>
      </c>
      <c r="F121" s="52">
        <f t="shared" si="38"/>
        <v>72.520717925991576</v>
      </c>
      <c r="G121" s="52">
        <f t="shared" si="38"/>
        <v>73.068799999999996</v>
      </c>
      <c r="H121" s="52">
        <f t="shared" si="38"/>
        <v>71.797305883848011</v>
      </c>
      <c r="I121" s="52">
        <f t="shared" si="38"/>
        <v>73.643965517241384</v>
      </c>
      <c r="J121" s="52">
        <f t="shared" si="38"/>
        <v>74.138945727370171</v>
      </c>
      <c r="K121" s="52">
        <f t="shared" si="38"/>
        <v>75.338841474487012</v>
      </c>
      <c r="L121" s="52">
        <f t="shared" si="38"/>
        <v>72.04335638198468</v>
      </c>
      <c r="M121" s="52">
        <f t="shared" si="38"/>
        <v>75.581240840254026</v>
      </c>
      <c r="N121" s="52">
        <f t="shared" si="38"/>
        <v>74.873877819137292</v>
      </c>
      <c r="O121" s="52">
        <f t="shared" si="38"/>
        <v>73.122182050191412</v>
      </c>
    </row>
    <row r="122" spans="1:15" x14ac:dyDescent="0.35">
      <c r="A122" s="41">
        <f>Dashboard!A154</f>
        <v>5</v>
      </c>
      <c r="B122" s="41" t="str">
        <f>Dashboard!B154</f>
        <v>KIHOTO - KSH/M3</v>
      </c>
      <c r="C122" s="41" t="str">
        <f>Dashboard!C154</f>
        <v>Ksh/M3</v>
      </c>
      <c r="D122" s="52">
        <f t="shared" ref="D122:O122" si="39">D109/D96</f>
        <v>60.740259740259738</v>
      </c>
      <c r="E122" s="52">
        <f t="shared" si="39"/>
        <v>72.833173076923075</v>
      </c>
      <c r="F122" s="52">
        <f t="shared" si="39"/>
        <v>70.342242019302148</v>
      </c>
      <c r="G122" s="52">
        <f t="shared" si="39"/>
        <v>68.518843120070116</v>
      </c>
      <c r="H122" s="52">
        <f t="shared" si="39"/>
        <v>72.252805670407554</v>
      </c>
      <c r="I122" s="52">
        <f t="shared" si="39"/>
        <v>71.805660377358492</v>
      </c>
      <c r="J122" s="52">
        <f t="shared" si="39"/>
        <v>74.197129590544534</v>
      </c>
      <c r="K122" s="52">
        <f t="shared" si="39"/>
        <v>72.505131637661762</v>
      </c>
      <c r="L122" s="52">
        <f t="shared" si="39"/>
        <v>72.108676207513412</v>
      </c>
      <c r="M122" s="52">
        <f t="shared" si="39"/>
        <v>68.995152354570635</v>
      </c>
      <c r="N122" s="52">
        <f t="shared" si="39"/>
        <v>69.724425887265141</v>
      </c>
      <c r="O122" s="52">
        <f t="shared" si="39"/>
        <v>70.768321513002363</v>
      </c>
    </row>
    <row r="123" spans="1:15" x14ac:dyDescent="0.35">
      <c r="A123" s="41">
        <f>Dashboard!A155</f>
        <v>6</v>
      </c>
      <c r="B123" s="41" t="str">
        <f>Dashboard!B155</f>
        <v>LAKEVIEW - KSH/M3</v>
      </c>
      <c r="C123" s="41" t="str">
        <f>Dashboard!C155</f>
        <v>Ksh/M3</v>
      </c>
      <c r="D123" s="52">
        <f t="shared" ref="D123:O123" si="40">D110/D97</f>
        <v>81.195524704665004</v>
      </c>
      <c r="E123" s="52">
        <f t="shared" si="40"/>
        <v>81.754645669291335</v>
      </c>
      <c r="F123" s="52">
        <f t="shared" si="40"/>
        <v>84.666829476769038</v>
      </c>
      <c r="G123" s="52">
        <f t="shared" si="40"/>
        <v>79.27118811392468</v>
      </c>
      <c r="H123" s="52">
        <f t="shared" si="40"/>
        <v>78.60014125718898</v>
      </c>
      <c r="I123" s="52">
        <f t="shared" si="40"/>
        <v>79.355092373282801</v>
      </c>
      <c r="J123" s="52">
        <f t="shared" si="40"/>
        <v>81.378392394122727</v>
      </c>
      <c r="K123" s="52">
        <f t="shared" si="40"/>
        <v>81.708162388153013</v>
      </c>
      <c r="L123" s="52">
        <f t="shared" si="40"/>
        <v>82.367302351416399</v>
      </c>
      <c r="M123" s="52">
        <f t="shared" si="40"/>
        <v>82.066051165249931</v>
      </c>
      <c r="N123" s="52">
        <f t="shared" si="40"/>
        <v>79.15294047689838</v>
      </c>
      <c r="O123" s="52">
        <f t="shared" si="40"/>
        <v>79.539837551058739</v>
      </c>
    </row>
    <row r="124" spans="1:15" x14ac:dyDescent="0.35">
      <c r="A124" s="41">
        <f>Dashboard!A157</f>
        <v>0</v>
      </c>
      <c r="B124" s="41" t="str">
        <f>Dashboard!B157</f>
        <v xml:space="preserve"> - KSH/M3 CENTRAL REGION</v>
      </c>
      <c r="C124" s="41" t="str">
        <f>Dashboard!C157</f>
        <v>Ksh/M3</v>
      </c>
      <c r="D124" s="52">
        <f t="shared" ref="D124:O124" si="41">D111/D98</f>
        <v>90.105162062190615</v>
      </c>
      <c r="E124" s="52">
        <f t="shared" si="41"/>
        <v>90.534089802805937</v>
      </c>
      <c r="F124" s="52">
        <f t="shared" si="41"/>
        <v>91.715049815316149</v>
      </c>
      <c r="G124" s="52">
        <f t="shared" si="41"/>
        <v>83.033170745460694</v>
      </c>
      <c r="H124" s="52">
        <f t="shared" si="41"/>
        <v>87.237660115992824</v>
      </c>
      <c r="I124" s="52">
        <f t="shared" si="41"/>
        <v>90.043577413117845</v>
      </c>
      <c r="J124" s="52">
        <f t="shared" si="41"/>
        <v>89.669809722087734</v>
      </c>
      <c r="K124" s="52">
        <f t="shared" si="41"/>
        <v>88.141219282285107</v>
      </c>
      <c r="L124" s="52">
        <f t="shared" si="41"/>
        <v>89.16406549827299</v>
      </c>
      <c r="M124" s="52">
        <f t="shared" si="41"/>
        <v>90.188815564239079</v>
      </c>
      <c r="N124" s="52">
        <f t="shared" si="41"/>
        <v>89.897864879924981</v>
      </c>
      <c r="O124" s="52">
        <f t="shared" si="41"/>
        <v>87.877485401729615</v>
      </c>
    </row>
    <row r="125" spans="1:15" x14ac:dyDescent="0.35">
      <c r="A125" s="41">
        <f>Dashboard!A158</f>
        <v>1</v>
      </c>
      <c r="B125" s="41" t="str">
        <f>Dashboard!B158</f>
        <v>HELLSGATE - KSH/M3</v>
      </c>
      <c r="C125" s="41" t="str">
        <f>Dashboard!C158</f>
        <v>Ksh/M3</v>
      </c>
      <c r="D125" s="52">
        <f t="shared" ref="D125:O125" si="42">D112/D99</f>
        <v>73.569728218966844</v>
      </c>
      <c r="E125" s="52">
        <f t="shared" si="42"/>
        <v>72.454672180660751</v>
      </c>
      <c r="F125" s="52">
        <f t="shared" si="42"/>
        <v>71.808414171235768</v>
      </c>
      <c r="G125" s="52">
        <f t="shared" si="42"/>
        <v>71.426667392013925</v>
      </c>
      <c r="H125" s="52">
        <f t="shared" si="42"/>
        <v>73.200881325026586</v>
      </c>
      <c r="I125" s="52">
        <f t="shared" si="42"/>
        <v>96.825963817120396</v>
      </c>
      <c r="J125" s="52">
        <f t="shared" si="42"/>
        <v>72.520664367927736</v>
      </c>
      <c r="K125" s="52">
        <f t="shared" si="42"/>
        <v>73.225932584269657</v>
      </c>
      <c r="L125" s="52">
        <f t="shared" si="42"/>
        <v>73.798055196901231</v>
      </c>
      <c r="M125" s="52">
        <f t="shared" si="42"/>
        <v>75.275324445231874</v>
      </c>
      <c r="N125" s="52">
        <f t="shared" si="42"/>
        <v>69.524347212420608</v>
      </c>
      <c r="O125" s="52">
        <f t="shared" si="42"/>
        <v>71.977849248052181</v>
      </c>
    </row>
    <row r="126" spans="1:15" x14ac:dyDescent="0.35">
      <c r="A126" s="41">
        <f>Dashboard!A159</f>
        <v>2</v>
      </c>
      <c r="B126" s="41" t="str">
        <f>Dashboard!B159</f>
        <v>KAMERE - KSH/M3</v>
      </c>
      <c r="C126" s="41" t="str">
        <f>Dashboard!C159</f>
        <v>Ksh/M3</v>
      </c>
      <c r="D126" s="52">
        <f t="shared" ref="D126:O126" si="43">D113/D100</f>
        <v>72.783973688144712</v>
      </c>
      <c r="E126" s="52">
        <f t="shared" si="43"/>
        <v>75.252092633928569</v>
      </c>
      <c r="F126" s="52">
        <f t="shared" si="43"/>
        <v>75.738321862644611</v>
      </c>
      <c r="G126" s="52">
        <f t="shared" si="43"/>
        <v>74.102370858847536</v>
      </c>
      <c r="H126" s="52">
        <f t="shared" si="43"/>
        <v>74.362413958700174</v>
      </c>
      <c r="I126" s="52">
        <f t="shared" si="43"/>
        <v>74.730634419908867</v>
      </c>
      <c r="J126" s="52">
        <f t="shared" si="43"/>
        <v>73.977349560513858</v>
      </c>
      <c r="K126" s="52">
        <f t="shared" si="43"/>
        <v>73.481891348088524</v>
      </c>
      <c r="L126" s="52">
        <f t="shared" si="43"/>
        <v>75.309354647720539</v>
      </c>
      <c r="M126" s="52">
        <f t="shared" si="43"/>
        <v>71.353936136579193</v>
      </c>
      <c r="N126" s="52">
        <f t="shared" si="43"/>
        <v>74.180297823596788</v>
      </c>
      <c r="O126" s="52">
        <f t="shared" si="43"/>
        <v>73.938689573858852</v>
      </c>
    </row>
    <row r="127" spans="1:15" x14ac:dyDescent="0.35">
      <c r="A127" s="41">
        <f>Dashboard!A160</f>
        <v>3</v>
      </c>
      <c r="B127" s="41" t="str">
        <f>Dashboard!B160</f>
        <v>MAI-MAHIU - KSH/M3</v>
      </c>
      <c r="C127" s="41" t="str">
        <f>Dashboard!C160</f>
        <v>Ksh/M3</v>
      </c>
      <c r="D127" s="52">
        <f t="shared" ref="D127:O127" si="44">D114/D101</f>
        <v>73.910299003322265</v>
      </c>
      <c r="E127" s="52">
        <f t="shared" si="44"/>
        <v>66.317957572767639</v>
      </c>
      <c r="F127" s="52">
        <f t="shared" si="44"/>
        <v>92.148410984264117</v>
      </c>
      <c r="G127" s="52">
        <f t="shared" si="44"/>
        <v>77.744654312188175</v>
      </c>
      <c r="H127" s="52">
        <f t="shared" si="44"/>
        <v>74.276738511590082</v>
      </c>
      <c r="I127" s="52">
        <f t="shared" si="44"/>
        <v>87.455050973123264</v>
      </c>
      <c r="J127" s="52">
        <f t="shared" si="44"/>
        <v>77.290635908332064</v>
      </c>
      <c r="K127" s="52">
        <f t="shared" si="44"/>
        <v>78.087080391428216</v>
      </c>
      <c r="L127" s="52">
        <f t="shared" si="44"/>
        <v>80.340167364016736</v>
      </c>
      <c r="M127" s="52">
        <f t="shared" si="44"/>
        <v>79.237872340425525</v>
      </c>
      <c r="N127" s="52">
        <f t="shared" si="44"/>
        <v>85.792682926829272</v>
      </c>
      <c r="O127" s="52">
        <f t="shared" si="44"/>
        <v>133.27769625825385</v>
      </c>
    </row>
    <row r="128" spans="1:15" x14ac:dyDescent="0.35">
      <c r="A128" s="41">
        <f>Dashboard!A162</f>
        <v>0</v>
      </c>
      <c r="B128" s="41" t="str">
        <f>Dashboard!B162</f>
        <v xml:space="preserve"> - KSH/M3 SOUTHERN REGION</v>
      </c>
      <c r="C128" s="41" t="str">
        <f>Dashboard!C162</f>
        <v>Ksh/M3</v>
      </c>
      <c r="D128" s="52">
        <f t="shared" ref="D128:O128" si="45">D115/D102</f>
        <v>73.430790450231513</v>
      </c>
      <c r="E128" s="52">
        <f t="shared" si="45"/>
        <v>72.307271783281919</v>
      </c>
      <c r="F128" s="52">
        <f t="shared" si="45"/>
        <v>76.724340902754108</v>
      </c>
      <c r="G128" s="52">
        <f t="shared" si="45"/>
        <v>73.155682903533901</v>
      </c>
      <c r="H128" s="52">
        <f t="shared" si="45"/>
        <v>73.606833182347614</v>
      </c>
      <c r="I128" s="52">
        <f t="shared" si="45"/>
        <v>90.491604762389329</v>
      </c>
      <c r="J128" s="52">
        <f t="shared" si="45"/>
        <v>73.730692530819439</v>
      </c>
      <c r="K128" s="52">
        <f t="shared" si="45"/>
        <v>74.326359271478765</v>
      </c>
      <c r="L128" s="52">
        <f t="shared" si="45"/>
        <v>75.568199513381998</v>
      </c>
      <c r="M128" s="52">
        <f t="shared" si="45"/>
        <v>75.3623619725753</v>
      </c>
      <c r="N128" s="52">
        <f t="shared" si="45"/>
        <v>72.754972414112842</v>
      </c>
      <c r="O128" s="52">
        <f t="shared" si="45"/>
        <v>82.312475720902441</v>
      </c>
    </row>
    <row r="129" spans="1:16" x14ac:dyDescent="0.35">
      <c r="A129" s="41">
        <f>Dashboard!A164</f>
        <v>1</v>
      </c>
      <c r="B129" s="41" t="str">
        <f>Dashboard!B164</f>
        <v>KAYOLE - KSH/M3</v>
      </c>
      <c r="C129" s="41" t="str">
        <f>Dashboard!C164</f>
        <v>Ksh/M3</v>
      </c>
      <c r="D129" s="52">
        <f t="shared" ref="D129:O129" si="46">D116/D103</f>
        <v>74.486426781086706</v>
      </c>
      <c r="E129" s="52">
        <f t="shared" si="46"/>
        <v>73.677935483870968</v>
      </c>
      <c r="F129" s="52">
        <f t="shared" si="46"/>
        <v>70.147651425363364</v>
      </c>
      <c r="G129" s="52">
        <f t="shared" si="46"/>
        <v>73.019757383426324</v>
      </c>
      <c r="H129" s="52">
        <f t="shared" si="46"/>
        <v>73.389956105158831</v>
      </c>
      <c r="I129" s="52">
        <f t="shared" si="46"/>
        <v>74.571924179194525</v>
      </c>
      <c r="J129" s="52">
        <f t="shared" si="46"/>
        <v>76.377655629716884</v>
      </c>
      <c r="K129" s="52">
        <f t="shared" si="46"/>
        <v>74.677138849929875</v>
      </c>
      <c r="L129" s="52">
        <f t="shared" si="46"/>
        <v>77.658471645919775</v>
      </c>
      <c r="M129" s="52">
        <f t="shared" si="46"/>
        <v>74.034631155860495</v>
      </c>
      <c r="N129" s="52">
        <f t="shared" si="46"/>
        <v>81.184856813547299</v>
      </c>
      <c r="O129" s="52">
        <f t="shared" si="46"/>
        <v>82.274238970095212</v>
      </c>
    </row>
    <row r="130" spans="1:16" s="40" customFormat="1" x14ac:dyDescent="0.35">
      <c r="A130" s="40" t="str">
        <f>Dashboard!A167</f>
        <v>TOTAL SALES SEWER - KSH.</v>
      </c>
    </row>
    <row r="131" spans="1:16" x14ac:dyDescent="0.35">
      <c r="A131" s="41">
        <f>Dashboard!A168</f>
        <v>1</v>
      </c>
      <c r="B131" s="41" t="str">
        <f>Dashboard!B168</f>
        <v>CBD - SEWER(KES)</v>
      </c>
      <c r="C131" s="41" t="str">
        <f>Dashboard!C168</f>
        <v>Ksh</v>
      </c>
      <c r="D131" s="50">
        <v>1816932</v>
      </c>
      <c r="E131" s="50">
        <v>1657212</v>
      </c>
      <c r="F131" s="50">
        <v>1709796.25</v>
      </c>
      <c r="G131" s="50">
        <v>1479625</v>
      </c>
      <c r="H131" s="50">
        <v>1839044.6</v>
      </c>
      <c r="I131" s="50">
        <v>1543470.25</v>
      </c>
      <c r="J131" s="50">
        <v>1650170.75</v>
      </c>
      <c r="K131" s="50">
        <v>1609958.75</v>
      </c>
      <c r="L131" s="50">
        <v>1602860.25</v>
      </c>
      <c r="M131" s="50">
        <v>1415864.5</v>
      </c>
      <c r="N131" s="50">
        <v>1518703.5</v>
      </c>
      <c r="O131" s="50">
        <v>1599563.8</v>
      </c>
    </row>
    <row r="132" spans="1:16" x14ac:dyDescent="0.35">
      <c r="A132" s="41">
        <f>Dashboard!A169</f>
        <v>2</v>
      </c>
      <c r="B132" s="41" t="str">
        <f>Dashboard!B169</f>
        <v>CCCR- SEWER(KES)</v>
      </c>
      <c r="C132" s="41" t="str">
        <f>Dashboard!C169</f>
        <v>Ksh</v>
      </c>
      <c r="D132" s="50">
        <v>1707814</v>
      </c>
      <c r="E132" s="50">
        <v>1759905.7</v>
      </c>
      <c r="F132" s="50">
        <v>1825608.7</v>
      </c>
      <c r="G132" s="50">
        <v>2017859.2</v>
      </c>
      <c r="H132" s="50">
        <v>2361218.35</v>
      </c>
      <c r="I132" s="50">
        <v>2846629.7</v>
      </c>
      <c r="J132" s="50">
        <v>2799319.2</v>
      </c>
      <c r="K132" s="50">
        <v>2539365.4500000002</v>
      </c>
      <c r="L132" s="50">
        <v>2669995.4500000002</v>
      </c>
      <c r="M132" s="63">
        <v>2771486.95</v>
      </c>
      <c r="N132" s="50">
        <v>2644527.6</v>
      </c>
      <c r="O132" s="50">
        <v>2620084.75</v>
      </c>
    </row>
    <row r="133" spans="1:16" x14ac:dyDescent="0.35">
      <c r="A133" s="41">
        <f>Dashboard!A170</f>
        <v>3</v>
      </c>
      <c r="B133" s="41" t="str">
        <f>Dashboard!B170</f>
        <v>KABATI- SEWER(KES)</v>
      </c>
      <c r="C133" s="41" t="str">
        <f>Dashboard!C170</f>
        <v>Ksh</v>
      </c>
      <c r="D133" s="50">
        <v>384743</v>
      </c>
      <c r="E133" s="50">
        <v>383762.75</v>
      </c>
      <c r="F133" s="50">
        <v>330690.75</v>
      </c>
      <c r="G133" s="50">
        <v>384597.75</v>
      </c>
      <c r="H133" s="50">
        <v>286924.25</v>
      </c>
      <c r="I133" s="50">
        <v>370379.5</v>
      </c>
      <c r="J133" s="50">
        <v>336633.25</v>
      </c>
      <c r="K133" s="50">
        <v>311854.5</v>
      </c>
      <c r="L133" s="50">
        <v>315865.75</v>
      </c>
      <c r="M133" s="50">
        <v>286045.5</v>
      </c>
      <c r="N133" s="50">
        <v>243337.5</v>
      </c>
      <c r="O133" s="50">
        <v>266785.25</v>
      </c>
    </row>
    <row r="134" spans="1:16" x14ac:dyDescent="0.35">
      <c r="A134" s="41">
        <f>Dashboard!A171</f>
        <v>4</v>
      </c>
      <c r="B134" s="41" t="str">
        <f>Dashboard!B171</f>
        <v>SITE- SEWER(KES)</v>
      </c>
      <c r="C134" s="41" t="str">
        <f>Dashboard!C171</f>
        <v>Ksh</v>
      </c>
      <c r="D134" s="50">
        <v>409213</v>
      </c>
      <c r="E134" s="50">
        <v>419933.05</v>
      </c>
      <c r="F134" s="50">
        <v>392123.8</v>
      </c>
      <c r="G134" s="50">
        <v>413560.05</v>
      </c>
      <c r="H134" s="50">
        <v>359700.8</v>
      </c>
      <c r="I134" s="50">
        <v>398447.8</v>
      </c>
      <c r="J134" s="50">
        <v>410282.55</v>
      </c>
      <c r="K134" s="50">
        <v>336724.05</v>
      </c>
      <c r="L134" s="50">
        <v>333084.55</v>
      </c>
      <c r="M134" s="50">
        <v>338071.8</v>
      </c>
      <c r="N134" s="50">
        <v>300700.55</v>
      </c>
      <c r="O134" s="50">
        <v>318195.3</v>
      </c>
    </row>
    <row r="135" spans="1:16" x14ac:dyDescent="0.35">
      <c r="A135" s="41">
        <f>Dashboard!A172</f>
        <v>5</v>
      </c>
      <c r="B135" s="41" t="str">
        <f>Dashboard!B172</f>
        <v>KIHOTO- SEWER(KES)</v>
      </c>
      <c r="C135" s="41" t="str">
        <f>Dashboard!C172</f>
        <v>Ksh</v>
      </c>
      <c r="D135" s="50">
        <v>0</v>
      </c>
      <c r="E135" s="50">
        <v>0</v>
      </c>
      <c r="F135" s="50">
        <v>0</v>
      </c>
      <c r="G135" s="50">
        <v>0</v>
      </c>
      <c r="H135" s="50">
        <v>0</v>
      </c>
      <c r="I135" s="50">
        <v>0</v>
      </c>
      <c r="J135" s="50">
        <v>0</v>
      </c>
      <c r="K135" s="50">
        <v>0</v>
      </c>
      <c r="L135" s="50">
        <v>0</v>
      </c>
      <c r="M135" s="50">
        <v>0</v>
      </c>
      <c r="N135" s="50">
        <v>0</v>
      </c>
      <c r="O135" s="50">
        <v>0</v>
      </c>
    </row>
    <row r="136" spans="1:16" x14ac:dyDescent="0.35">
      <c r="A136" s="41">
        <f>Dashboard!A173</f>
        <v>6</v>
      </c>
      <c r="B136" s="41" t="str">
        <f>Dashboard!B173</f>
        <v>LAKEVIEW- SEWER(KES)</v>
      </c>
      <c r="C136" s="41" t="str">
        <f>Dashboard!C173</f>
        <v>Ksh</v>
      </c>
      <c r="D136" s="50">
        <v>790160</v>
      </c>
      <c r="E136" s="50">
        <v>854292.9</v>
      </c>
      <c r="F136" s="50">
        <v>586502.40000000002</v>
      </c>
      <c r="G136" s="50">
        <v>551349.4</v>
      </c>
      <c r="H136" s="50">
        <v>520855.75</v>
      </c>
      <c r="I136" s="50">
        <v>388459.65</v>
      </c>
      <c r="J136" s="50">
        <v>464771.65</v>
      </c>
      <c r="K136" s="50">
        <v>307253.65000000002</v>
      </c>
      <c r="L136" s="50">
        <v>344050.4</v>
      </c>
      <c r="M136" s="50">
        <v>310677.15000000002</v>
      </c>
      <c r="N136" s="50">
        <v>209159.15</v>
      </c>
      <c r="O136" s="50">
        <v>302428.59999999998</v>
      </c>
    </row>
    <row r="137" spans="1:16" s="40" customFormat="1" x14ac:dyDescent="0.35">
      <c r="A137" s="40">
        <f>Dashboard!A175</f>
        <v>0</v>
      </c>
      <c r="B137" s="40" t="str">
        <f>Dashboard!B175</f>
        <v>TOTAL SEWER SALES-CENTRAL</v>
      </c>
      <c r="C137" s="40" t="str">
        <f>Dashboard!C175</f>
        <v>Ksh</v>
      </c>
      <c r="D137" s="64">
        <f>SUM(D131:D136)</f>
        <v>5108862</v>
      </c>
      <c r="E137" s="64">
        <f t="shared" ref="E137:O137" si="47">SUM(E131:E136)</f>
        <v>5075106.4000000004</v>
      </c>
      <c r="F137" s="64">
        <f t="shared" si="47"/>
        <v>4844721.9000000004</v>
      </c>
      <c r="G137" s="64">
        <f t="shared" si="47"/>
        <v>4846991.4000000004</v>
      </c>
      <c r="H137" s="64">
        <f t="shared" si="47"/>
        <v>5367743.75</v>
      </c>
      <c r="I137" s="64">
        <f t="shared" si="47"/>
        <v>5547386.9000000004</v>
      </c>
      <c r="J137" s="64">
        <f t="shared" si="47"/>
        <v>5661177.4000000004</v>
      </c>
      <c r="K137" s="64">
        <f t="shared" si="47"/>
        <v>5105156.4000000004</v>
      </c>
      <c r="L137" s="64">
        <f t="shared" si="47"/>
        <v>5265856.4000000004</v>
      </c>
      <c r="M137" s="66">
        <f t="shared" si="47"/>
        <v>5122145.9000000004</v>
      </c>
      <c r="N137" s="64">
        <f t="shared" si="47"/>
        <v>4916428.3</v>
      </c>
      <c r="O137" s="64">
        <f t="shared" si="47"/>
        <v>5107057.6999999993</v>
      </c>
    </row>
    <row r="138" spans="1:16" x14ac:dyDescent="0.35">
      <c r="A138" s="41">
        <f>Dashboard!A176</f>
        <v>1</v>
      </c>
      <c r="B138" s="41" t="str">
        <f>Dashboard!B176</f>
        <v>HELLSGATE- SEWER(KES)</v>
      </c>
      <c r="C138" s="41" t="str">
        <f>Dashboard!C176</f>
        <v>Ksh</v>
      </c>
      <c r="D138" s="50">
        <v>0</v>
      </c>
      <c r="E138" s="50">
        <v>0</v>
      </c>
      <c r="F138" s="50">
        <v>0</v>
      </c>
      <c r="G138" s="50">
        <v>0</v>
      </c>
      <c r="H138" s="50">
        <v>0</v>
      </c>
      <c r="I138" s="50">
        <v>0</v>
      </c>
      <c r="J138" s="50">
        <v>0</v>
      </c>
      <c r="K138" s="50">
        <v>0</v>
      </c>
      <c r="L138" s="50">
        <v>0</v>
      </c>
      <c r="M138" s="50">
        <v>0</v>
      </c>
      <c r="N138" s="50">
        <v>0</v>
      </c>
      <c r="O138" s="50"/>
    </row>
    <row r="139" spans="1:16" x14ac:dyDescent="0.35">
      <c r="A139" s="41">
        <f>Dashboard!A177</f>
        <v>2</v>
      </c>
      <c r="B139" s="41" t="str">
        <f>Dashboard!B177</f>
        <v>KAMERE- SEWER(KES)</v>
      </c>
      <c r="C139" s="41" t="str">
        <f>Dashboard!C177</f>
        <v>Ksh</v>
      </c>
      <c r="D139" s="50">
        <v>0</v>
      </c>
      <c r="E139" s="50">
        <v>0</v>
      </c>
      <c r="F139" s="50">
        <v>0</v>
      </c>
      <c r="G139" s="50">
        <v>0</v>
      </c>
      <c r="H139" s="50">
        <v>0</v>
      </c>
      <c r="I139" s="50">
        <v>0</v>
      </c>
      <c r="J139" s="50">
        <v>0</v>
      </c>
      <c r="K139" s="50">
        <v>0</v>
      </c>
      <c r="L139" s="50">
        <v>0</v>
      </c>
      <c r="M139" s="50">
        <v>0</v>
      </c>
      <c r="N139" s="50">
        <v>0</v>
      </c>
      <c r="O139" s="50"/>
    </row>
    <row r="140" spans="1:16" x14ac:dyDescent="0.35">
      <c r="A140" s="41">
        <f>Dashboard!A178</f>
        <v>3</v>
      </c>
      <c r="B140" s="41" t="str">
        <f>Dashboard!B178</f>
        <v>MAI-MAHIU- SEWER(KES)</v>
      </c>
      <c r="C140" s="41" t="str">
        <f>Dashboard!C178</f>
        <v>Ksh</v>
      </c>
      <c r="D140" s="50">
        <v>0</v>
      </c>
      <c r="E140" s="50">
        <v>0</v>
      </c>
      <c r="F140" s="50">
        <v>0</v>
      </c>
      <c r="G140" s="50">
        <v>0</v>
      </c>
      <c r="H140" s="50">
        <v>0</v>
      </c>
      <c r="I140" s="50">
        <v>0</v>
      </c>
      <c r="J140" s="50">
        <v>0</v>
      </c>
      <c r="K140" s="50">
        <v>0</v>
      </c>
      <c r="L140" s="50">
        <v>0</v>
      </c>
      <c r="M140" s="50">
        <v>0</v>
      </c>
      <c r="N140" s="50">
        <v>0</v>
      </c>
      <c r="O140" s="50"/>
    </row>
    <row r="141" spans="1:16" s="40" customFormat="1" x14ac:dyDescent="0.35">
      <c r="A141" s="40">
        <f>Dashboard!A179</f>
        <v>0</v>
      </c>
      <c r="B141" s="40" t="str">
        <f>Dashboard!B179</f>
        <v>TOTAL SEWER SALES-SOUTHERN</v>
      </c>
      <c r="C141" s="40" t="str">
        <f>Dashboard!C179</f>
        <v>Ksh</v>
      </c>
      <c r="D141" s="64">
        <f t="shared" ref="D141:O141" si="48">SUM(D138:D140)</f>
        <v>0</v>
      </c>
      <c r="E141" s="64">
        <f t="shared" si="48"/>
        <v>0</v>
      </c>
      <c r="F141" s="64">
        <f t="shared" si="48"/>
        <v>0</v>
      </c>
      <c r="G141" s="64">
        <f t="shared" si="48"/>
        <v>0</v>
      </c>
      <c r="H141" s="64">
        <f t="shared" si="48"/>
        <v>0</v>
      </c>
      <c r="I141" s="64">
        <f t="shared" si="48"/>
        <v>0</v>
      </c>
      <c r="J141" s="64">
        <f t="shared" si="48"/>
        <v>0</v>
      </c>
      <c r="K141" s="64">
        <f t="shared" si="48"/>
        <v>0</v>
      </c>
      <c r="L141" s="64">
        <f t="shared" si="48"/>
        <v>0</v>
      </c>
      <c r="M141" s="64">
        <f t="shared" si="48"/>
        <v>0</v>
      </c>
      <c r="N141" s="64">
        <f t="shared" si="48"/>
        <v>0</v>
      </c>
      <c r="O141" s="64">
        <f t="shared" si="48"/>
        <v>0</v>
      </c>
    </row>
    <row r="142" spans="1:16" x14ac:dyDescent="0.35">
      <c r="A142" s="41">
        <f>Dashboard!A181</f>
        <v>1</v>
      </c>
      <c r="B142" s="41" t="str">
        <f>Dashboard!B181</f>
        <v>KAYOLE- SEWER(KES)</v>
      </c>
      <c r="C142" s="41" t="str">
        <f>Dashboard!C181</f>
        <v>Ksh</v>
      </c>
      <c r="D142" s="50">
        <v>54328</v>
      </c>
      <c r="E142" s="50">
        <v>40857</v>
      </c>
      <c r="F142" s="50">
        <v>224874.25</v>
      </c>
      <c r="G142" s="50">
        <v>220988</v>
      </c>
      <c r="H142" s="50">
        <v>237712.75</v>
      </c>
      <c r="I142" s="50">
        <v>232914.5</v>
      </c>
      <c r="J142" s="50">
        <v>238107</v>
      </c>
      <c r="K142" s="50">
        <v>45758.25</v>
      </c>
      <c r="L142" s="50">
        <v>25557</v>
      </c>
      <c r="M142" s="50">
        <v>23933</v>
      </c>
      <c r="N142" s="50">
        <v>26044.5</v>
      </c>
      <c r="O142" s="50">
        <v>34400.25</v>
      </c>
    </row>
    <row r="143" spans="1:16" s="40" customFormat="1" x14ac:dyDescent="0.35">
      <c r="A143" s="40" t="str">
        <f>Dashboard!A182</f>
        <v>SUMMARY SALES</v>
      </c>
    </row>
    <row r="144" spans="1:16" x14ac:dyDescent="0.35">
      <c r="A144" s="41">
        <f>Dashboard!A183</f>
        <v>1</v>
      </c>
      <c r="B144" s="41" t="str">
        <f>Dashboard!B183</f>
        <v>TOTAL VOLUME BILLED</v>
      </c>
      <c r="C144" s="41" t="str">
        <f>Dashboard!C183</f>
        <v>M3</v>
      </c>
      <c r="D144" s="53">
        <f>D98+D102+D103</f>
        <v>145097</v>
      </c>
      <c r="E144" s="53">
        <f t="shared" ref="E144:O144" si="49">E98+E102+E103</f>
        <v>152315</v>
      </c>
      <c r="F144" s="53">
        <f t="shared" si="49"/>
        <v>139547</v>
      </c>
      <c r="G144" s="53">
        <f t="shared" si="49"/>
        <v>120836</v>
      </c>
      <c r="H144" s="53">
        <f t="shared" si="49"/>
        <v>123996</v>
      </c>
      <c r="I144" s="53">
        <f t="shared" si="49"/>
        <v>130054</v>
      </c>
      <c r="J144" s="53">
        <f t="shared" si="49"/>
        <v>138635</v>
      </c>
      <c r="K144" s="53">
        <f t="shared" si="49"/>
        <v>153470</v>
      </c>
      <c r="L144" s="53">
        <f t="shared" si="49"/>
        <v>163824</v>
      </c>
      <c r="M144" s="53">
        <f t="shared" si="49"/>
        <v>145291</v>
      </c>
      <c r="N144" s="53">
        <f t="shared" si="49"/>
        <v>117706</v>
      </c>
      <c r="O144" s="53">
        <f t="shared" si="49"/>
        <v>137010</v>
      </c>
      <c r="P144" s="53">
        <f>SUM(M144:O144)</f>
        <v>400007</v>
      </c>
    </row>
    <row r="145" spans="1:16" x14ac:dyDescent="0.35">
      <c r="A145" s="41">
        <f>Dashboard!A184</f>
        <v>2</v>
      </c>
      <c r="B145" s="41" t="str">
        <f>Dashboard!B184</f>
        <v>TOTAL WATER SALES</v>
      </c>
      <c r="C145" s="41" t="str">
        <f>Dashboard!C184</f>
        <v>Ksh</v>
      </c>
      <c r="D145" s="53">
        <f>D111+D115+D116</f>
        <v>12198588</v>
      </c>
      <c r="E145" s="53">
        <f t="shared" ref="E145:O145" si="50">E111+E115+E116</f>
        <v>12735676</v>
      </c>
      <c r="F145" s="53">
        <f t="shared" si="50"/>
        <v>11968928</v>
      </c>
      <c r="G145" s="53">
        <f t="shared" si="50"/>
        <v>9537854</v>
      </c>
      <c r="H145" s="53">
        <f t="shared" si="50"/>
        <v>10102428</v>
      </c>
      <c r="I145" s="53">
        <f t="shared" si="50"/>
        <v>11416020</v>
      </c>
      <c r="J145" s="53">
        <f t="shared" si="50"/>
        <v>11599157</v>
      </c>
      <c r="K145" s="53">
        <f t="shared" si="50"/>
        <v>12676005</v>
      </c>
      <c r="L145" s="53">
        <f t="shared" si="50"/>
        <v>13715682</v>
      </c>
      <c r="M145" s="53">
        <f t="shared" si="50"/>
        <v>12172674</v>
      </c>
      <c r="N145" s="53">
        <f t="shared" si="50"/>
        <v>10015215</v>
      </c>
      <c r="O145" s="53">
        <f t="shared" si="50"/>
        <v>11728511</v>
      </c>
      <c r="P145" s="53">
        <f>SUM(M145:O145)</f>
        <v>33916400</v>
      </c>
    </row>
    <row r="146" spans="1:16" x14ac:dyDescent="0.35">
      <c r="A146" s="41">
        <f>Dashboard!A185</f>
        <v>3</v>
      </c>
      <c r="B146" s="41" t="str">
        <f>Dashboard!B185</f>
        <v>TOTAL SEWER SALES</v>
      </c>
      <c r="C146" s="41" t="str">
        <f>Dashboard!C185</f>
        <v>Ksh</v>
      </c>
      <c r="D146" s="53">
        <f>D137+D141+D142</f>
        <v>5163190</v>
      </c>
      <c r="E146" s="53">
        <f t="shared" ref="E146:O146" si="51">E137+E141+E142</f>
        <v>5115963.4000000004</v>
      </c>
      <c r="F146" s="53">
        <f t="shared" si="51"/>
        <v>5069596.1500000004</v>
      </c>
      <c r="G146" s="53">
        <f t="shared" si="51"/>
        <v>5067979.4000000004</v>
      </c>
      <c r="H146" s="53">
        <f t="shared" si="51"/>
        <v>5605456.5</v>
      </c>
      <c r="I146" s="53">
        <f t="shared" si="51"/>
        <v>5780301.4000000004</v>
      </c>
      <c r="J146" s="53">
        <f t="shared" si="51"/>
        <v>5899284.4000000004</v>
      </c>
      <c r="K146" s="53">
        <f t="shared" si="51"/>
        <v>5150914.6500000004</v>
      </c>
      <c r="L146" s="53">
        <f t="shared" si="51"/>
        <v>5291413.4000000004</v>
      </c>
      <c r="M146" s="53">
        <f t="shared" si="51"/>
        <v>5146078.9000000004</v>
      </c>
      <c r="N146" s="53">
        <f t="shared" si="51"/>
        <v>4942472.8</v>
      </c>
      <c r="O146" s="53">
        <f t="shared" si="51"/>
        <v>5141457.9499999993</v>
      </c>
      <c r="P146" s="53">
        <f>SUM(M146:O146)</f>
        <v>15230009.649999999</v>
      </c>
    </row>
    <row r="147" spans="1:16" x14ac:dyDescent="0.35">
      <c r="B147" s="41" t="str">
        <f>Dashboard!B186</f>
        <v>TOTAL WATER &amp; SEWER SALES</v>
      </c>
      <c r="D147" s="53">
        <f>D146+D145</f>
        <v>17361778</v>
      </c>
      <c r="E147" s="53">
        <f t="shared" ref="E147:O147" si="52">E146+E145</f>
        <v>17851639.399999999</v>
      </c>
      <c r="F147" s="53">
        <f t="shared" si="52"/>
        <v>17038524.149999999</v>
      </c>
      <c r="G147" s="53">
        <f t="shared" si="52"/>
        <v>14605833.4</v>
      </c>
      <c r="H147" s="53">
        <f t="shared" si="52"/>
        <v>15707884.5</v>
      </c>
      <c r="I147" s="53">
        <f t="shared" si="52"/>
        <v>17196321.399999999</v>
      </c>
      <c r="J147" s="53">
        <f t="shared" si="52"/>
        <v>17498441.399999999</v>
      </c>
      <c r="K147" s="53">
        <f t="shared" si="52"/>
        <v>17826919.649999999</v>
      </c>
      <c r="L147" s="53">
        <f t="shared" si="52"/>
        <v>19007095.399999999</v>
      </c>
      <c r="M147" s="53">
        <f t="shared" si="52"/>
        <v>17318752.899999999</v>
      </c>
      <c r="N147" s="53">
        <f t="shared" si="52"/>
        <v>14957687.800000001</v>
      </c>
      <c r="O147" s="53">
        <f t="shared" si="52"/>
        <v>16869968.949999999</v>
      </c>
      <c r="P147" s="53"/>
    </row>
    <row r="148" spans="1:16" x14ac:dyDescent="0.35">
      <c r="A148" s="41">
        <f>Dashboard!A187</f>
        <v>4</v>
      </c>
      <c r="B148" s="41" t="str">
        <f>Dashboard!B187</f>
        <v>AVG TARIFF WATER (KSH/M3)</v>
      </c>
      <c r="C148" s="41" t="str">
        <f>Dashboard!C187</f>
        <v>Ksh/M3</v>
      </c>
      <c r="D148" s="52">
        <f>D145/D144</f>
        <v>84.071951866682284</v>
      </c>
      <c r="E148" s="52">
        <f t="shared" ref="E148:O148" si="53">E145/E144</f>
        <v>83.614062961625578</v>
      </c>
      <c r="F148" s="52">
        <f t="shared" si="53"/>
        <v>85.769869649652094</v>
      </c>
      <c r="G148" s="52">
        <f t="shared" si="53"/>
        <v>78.932222185441418</v>
      </c>
      <c r="H148" s="52">
        <f t="shared" si="53"/>
        <v>81.473821736185045</v>
      </c>
      <c r="I148" s="52">
        <f t="shared" si="53"/>
        <v>87.779076383656019</v>
      </c>
      <c r="J148" s="52">
        <f t="shared" si="53"/>
        <v>83.666873444656829</v>
      </c>
      <c r="K148" s="52">
        <f t="shared" si="53"/>
        <v>82.595979670293872</v>
      </c>
      <c r="L148" s="52">
        <f t="shared" si="53"/>
        <v>83.722055376501615</v>
      </c>
      <c r="M148" s="52">
        <f t="shared" si="53"/>
        <v>83.781335388977979</v>
      </c>
      <c r="N148" s="52">
        <f t="shared" si="53"/>
        <v>85.086699063769046</v>
      </c>
      <c r="O148" s="52">
        <f t="shared" si="53"/>
        <v>85.603320925479892</v>
      </c>
      <c r="P148" s="53"/>
    </row>
    <row r="149" spans="1:16" x14ac:dyDescent="0.35">
      <c r="A149" s="41">
        <f>Dashboard!A188</f>
        <v>5</v>
      </c>
      <c r="B149" s="41" t="str">
        <f>Dashboard!B188</f>
        <v>AVG TARIFF SEWER (KSH/NO.)</v>
      </c>
      <c r="C149" s="41" t="str">
        <f>Dashboard!C188</f>
        <v>ksh/No</v>
      </c>
      <c r="D149" s="52">
        <f t="shared" ref="D149:O149" si="54">D146/D89</f>
        <v>3159.84700122399</v>
      </c>
      <c r="E149" s="52">
        <f t="shared" si="54"/>
        <v>3125.2067196090411</v>
      </c>
      <c r="F149" s="52">
        <f t="shared" si="54"/>
        <v>3089.3334247410116</v>
      </c>
      <c r="G149" s="52">
        <f t="shared" si="54"/>
        <v>3052.9996385542172</v>
      </c>
      <c r="H149" s="52">
        <f t="shared" si="54"/>
        <v>3378.8164556962024</v>
      </c>
      <c r="I149" s="52">
        <f t="shared" si="54"/>
        <v>3475.8276608538786</v>
      </c>
      <c r="J149" s="52">
        <f t="shared" si="54"/>
        <v>3545.2430288461542</v>
      </c>
      <c r="K149" s="52">
        <f t="shared" si="54"/>
        <v>3086.2280707010186</v>
      </c>
      <c r="L149" s="52">
        <f t="shared" si="54"/>
        <v>3532.3186915887854</v>
      </c>
      <c r="M149" s="52">
        <f t="shared" si="54"/>
        <v>3417.0510624169988</v>
      </c>
      <c r="N149" s="52">
        <f t="shared" si="54"/>
        <v>3245.2217990807617</v>
      </c>
      <c r="O149" s="52">
        <f t="shared" si="54"/>
        <v>3382.5381249999996</v>
      </c>
      <c r="P149" s="53"/>
    </row>
    <row r="150" spans="1:16" s="40" customFormat="1" x14ac:dyDescent="0.35">
      <c r="A150" s="40" t="str">
        <f>Dashboard!A201</f>
        <v>TOTAL EXHAUSTER SALES</v>
      </c>
    </row>
    <row r="151" spans="1:16" x14ac:dyDescent="0.35">
      <c r="A151" s="41">
        <f>Dashboard!A202</f>
        <v>1</v>
      </c>
      <c r="B151" s="41" t="str">
        <f>Dashboard!B202</f>
        <v>CBD- EXHAUSTER SALES</v>
      </c>
      <c r="C151" s="41" t="str">
        <f>Dashboard!C202</f>
        <v>Ksh</v>
      </c>
      <c r="D151" s="50">
        <f>7500+2500+2500</f>
        <v>12500</v>
      </c>
      <c r="E151" s="50">
        <v>7500</v>
      </c>
      <c r="F151" s="50">
        <v>10000</v>
      </c>
      <c r="G151" s="50">
        <v>5000</v>
      </c>
      <c r="H151" s="50">
        <v>10000</v>
      </c>
      <c r="I151" s="50">
        <v>5000</v>
      </c>
      <c r="J151" s="50">
        <v>15000</v>
      </c>
      <c r="K151" s="50">
        <v>5000</v>
      </c>
      <c r="L151" s="50">
        <v>10000</v>
      </c>
      <c r="M151" s="50">
        <v>17500</v>
      </c>
      <c r="N151" s="50">
        <v>72500</v>
      </c>
      <c r="O151" s="50">
        <v>90000</v>
      </c>
    </row>
    <row r="152" spans="1:16" x14ac:dyDescent="0.35">
      <c r="A152" s="41">
        <f>Dashboard!A203</f>
        <v>2</v>
      </c>
      <c r="B152" s="41" t="str">
        <f>Dashboard!B203</f>
        <v>CCCR- EXHAUSTER SALES</v>
      </c>
      <c r="C152" s="41" t="str">
        <f>Dashboard!C203</f>
        <v>Ksh</v>
      </c>
      <c r="D152" s="50">
        <v>2500</v>
      </c>
      <c r="E152" s="50">
        <v>2500</v>
      </c>
      <c r="F152" s="50">
        <v>5000</v>
      </c>
      <c r="G152" s="50">
        <v>2500</v>
      </c>
      <c r="H152" s="50">
        <v>0</v>
      </c>
      <c r="I152" s="50">
        <v>0</v>
      </c>
      <c r="J152" s="50">
        <f>2500+2500</f>
        <v>5000</v>
      </c>
      <c r="K152" s="50">
        <v>0</v>
      </c>
      <c r="L152" s="50">
        <v>0</v>
      </c>
      <c r="M152" s="50"/>
      <c r="N152" s="50"/>
      <c r="O152" s="50">
        <v>7500</v>
      </c>
    </row>
    <row r="153" spans="1:16" x14ac:dyDescent="0.35">
      <c r="A153" s="41">
        <f>Dashboard!A204</f>
        <v>3</v>
      </c>
      <c r="B153" s="41" t="str">
        <f>Dashboard!B204</f>
        <v>KABATI- EXHAUSTER SALES</v>
      </c>
      <c r="C153" s="41" t="str">
        <f>Dashboard!C204</f>
        <v>Ksh</v>
      </c>
      <c r="D153" s="50">
        <f>2500+7500</f>
        <v>10000</v>
      </c>
      <c r="E153" s="50">
        <v>5000</v>
      </c>
      <c r="F153" s="50">
        <v>7500</v>
      </c>
      <c r="G153" s="50">
        <v>5000</v>
      </c>
      <c r="H153" s="50">
        <v>2500</v>
      </c>
      <c r="I153" s="50">
        <v>2500</v>
      </c>
      <c r="J153" s="50">
        <v>2500</v>
      </c>
      <c r="K153" s="50">
        <v>5000</v>
      </c>
      <c r="L153" s="50">
        <v>0</v>
      </c>
      <c r="M153" s="50">
        <v>7500</v>
      </c>
      <c r="N153" s="50"/>
      <c r="O153" s="50"/>
    </row>
    <row r="154" spans="1:16" x14ac:dyDescent="0.35">
      <c r="A154" s="41">
        <f>Dashboard!A205</f>
        <v>4</v>
      </c>
      <c r="B154" s="41" t="str">
        <f>Dashboard!B205</f>
        <v>SITE- EXHAUSTER SALES</v>
      </c>
      <c r="C154" s="41" t="str">
        <f>Dashboard!C205</f>
        <v>Ksh</v>
      </c>
      <c r="D154" s="50">
        <v>2500</v>
      </c>
      <c r="E154" s="50">
        <v>0</v>
      </c>
      <c r="F154" s="50">
        <v>2500</v>
      </c>
      <c r="G154" s="50">
        <v>0</v>
      </c>
      <c r="H154" s="50">
        <v>2500</v>
      </c>
      <c r="I154" s="50">
        <v>0</v>
      </c>
      <c r="J154" s="50">
        <v>5000</v>
      </c>
      <c r="K154" s="50">
        <v>0</v>
      </c>
      <c r="L154" s="50">
        <v>0</v>
      </c>
      <c r="M154" s="50"/>
      <c r="N154" s="50"/>
      <c r="O154" s="50"/>
    </row>
    <row r="155" spans="1:16" x14ac:dyDescent="0.35">
      <c r="A155" s="41">
        <f>Dashboard!A206</f>
        <v>5</v>
      </c>
      <c r="B155" s="41" t="str">
        <f>Dashboard!B206</f>
        <v>KIHOTO- EXHAUSTER SALES</v>
      </c>
      <c r="C155" s="41" t="str">
        <f>Dashboard!C206</f>
        <v>Ksh</v>
      </c>
      <c r="D155" s="50">
        <v>5000</v>
      </c>
      <c r="E155" s="50">
        <v>2500</v>
      </c>
      <c r="F155" s="50">
        <v>2500</v>
      </c>
      <c r="G155" s="50">
        <v>0</v>
      </c>
      <c r="H155" s="50">
        <v>5000</v>
      </c>
      <c r="I155" s="50">
        <v>2500</v>
      </c>
      <c r="J155" s="50">
        <f>5000+2500</f>
        <v>7500</v>
      </c>
      <c r="K155" s="50">
        <v>5000</v>
      </c>
      <c r="L155" s="50">
        <v>0</v>
      </c>
      <c r="M155" s="50"/>
      <c r="N155" s="50"/>
      <c r="O155" s="50"/>
    </row>
    <row r="156" spans="1:16" x14ac:dyDescent="0.35">
      <c r="A156" s="41">
        <f>Dashboard!A207</f>
        <v>6</v>
      </c>
      <c r="B156" s="41" t="str">
        <f>Dashboard!B207</f>
        <v>LAKEVIEW- EXHAUSTER SALES</v>
      </c>
      <c r="C156" s="41" t="str">
        <f>Dashboard!C207</f>
        <v>Ksh</v>
      </c>
      <c r="D156" s="50">
        <f>5000+2500</f>
        <v>7500</v>
      </c>
      <c r="E156" s="50">
        <v>5000</v>
      </c>
      <c r="F156" s="50">
        <v>2500</v>
      </c>
      <c r="G156" s="50">
        <v>7500</v>
      </c>
      <c r="H156" s="50">
        <v>2500</v>
      </c>
      <c r="I156" s="50">
        <v>7500</v>
      </c>
      <c r="J156" s="50">
        <v>10000</v>
      </c>
      <c r="K156" s="50">
        <v>20000</v>
      </c>
      <c r="L156" s="50">
        <v>7500</v>
      </c>
      <c r="M156" s="50">
        <v>2500</v>
      </c>
      <c r="N156" s="50"/>
      <c r="O156" s="50"/>
    </row>
    <row r="157" spans="1:16" x14ac:dyDescent="0.35">
      <c r="A157" s="41">
        <f>Dashboard!A208</f>
        <v>0</v>
      </c>
      <c r="B157" s="41" t="str">
        <f>Dashboard!B208</f>
        <v>TOTAL EXHAUSTER SALES-CENTRAL</v>
      </c>
      <c r="C157" s="41" t="str">
        <f>Dashboard!C208</f>
        <v>Ksh</v>
      </c>
      <c r="D157" s="51">
        <f>SUM(D151:D156)</f>
        <v>40000</v>
      </c>
      <c r="E157" s="51">
        <f t="shared" ref="E157:O157" si="55">SUM(E151:E156)</f>
        <v>22500</v>
      </c>
      <c r="F157" s="51">
        <f t="shared" si="55"/>
        <v>30000</v>
      </c>
      <c r="G157" s="51">
        <f t="shared" si="55"/>
        <v>20000</v>
      </c>
      <c r="H157" s="51">
        <f t="shared" si="55"/>
        <v>22500</v>
      </c>
      <c r="I157" s="51">
        <f t="shared" si="55"/>
        <v>17500</v>
      </c>
      <c r="J157" s="51">
        <f t="shared" si="55"/>
        <v>45000</v>
      </c>
      <c r="K157" s="51">
        <f t="shared" si="55"/>
        <v>35000</v>
      </c>
      <c r="L157" s="51">
        <f t="shared" si="55"/>
        <v>17500</v>
      </c>
      <c r="M157" s="51">
        <f t="shared" si="55"/>
        <v>27500</v>
      </c>
      <c r="N157" s="51">
        <f t="shared" si="55"/>
        <v>72500</v>
      </c>
      <c r="O157" s="51">
        <f t="shared" si="55"/>
        <v>97500</v>
      </c>
    </row>
    <row r="158" spans="1:16" x14ac:dyDescent="0.35">
      <c r="A158" s="41">
        <f>Dashboard!A209</f>
        <v>1</v>
      </c>
      <c r="B158" s="41" t="str">
        <f>Dashboard!B209</f>
        <v>HELLSGATE- EXHAUSTER SALES</v>
      </c>
      <c r="C158" s="41" t="str">
        <f>Dashboard!C209</f>
        <v>Ksh</v>
      </c>
      <c r="D158" s="50">
        <f>37500+5000</f>
        <v>42500</v>
      </c>
      <c r="E158" s="50">
        <v>35000</v>
      </c>
      <c r="F158" s="50">
        <v>32500</v>
      </c>
      <c r="G158" s="50">
        <v>30000</v>
      </c>
      <c r="H158" s="50">
        <f>30000+7500</f>
        <v>37500</v>
      </c>
      <c r="I158" s="50">
        <v>32500</v>
      </c>
      <c r="J158" s="50">
        <f>10000+12500+15000+5000</f>
        <v>42500</v>
      </c>
      <c r="K158" s="50">
        <v>17500</v>
      </c>
      <c r="L158" s="50">
        <v>15000</v>
      </c>
      <c r="M158" s="50">
        <v>47500</v>
      </c>
      <c r="N158" s="50">
        <v>57500</v>
      </c>
      <c r="O158" s="50">
        <v>57500</v>
      </c>
    </row>
    <row r="159" spans="1:16" x14ac:dyDescent="0.35">
      <c r="A159" s="41">
        <f>Dashboard!A210</f>
        <v>2</v>
      </c>
      <c r="B159" s="41" t="str">
        <f>Dashboard!B210</f>
        <v>KAMERE- EXHAUSTER SALES</v>
      </c>
      <c r="C159" s="41" t="str">
        <f>Dashboard!C210</f>
        <v>Ksh</v>
      </c>
      <c r="D159" s="50">
        <v>10000</v>
      </c>
      <c r="E159" s="50">
        <v>5000</v>
      </c>
      <c r="F159" s="50">
        <v>10000</v>
      </c>
      <c r="G159" s="50">
        <v>10000</v>
      </c>
      <c r="H159" s="50">
        <v>5000</v>
      </c>
      <c r="I159" s="50">
        <v>10000</v>
      </c>
      <c r="J159" s="50">
        <v>5000</v>
      </c>
      <c r="K159" s="50">
        <v>5000</v>
      </c>
      <c r="L159" s="50">
        <v>0</v>
      </c>
      <c r="M159" s="50"/>
      <c r="N159" s="50"/>
      <c r="O159" s="50"/>
    </row>
    <row r="160" spans="1:16" x14ac:dyDescent="0.35">
      <c r="A160" s="41">
        <f>Dashboard!A214</f>
        <v>2</v>
      </c>
      <c r="B160" s="41" t="str">
        <f>Dashboard!B214</f>
        <v>OTHER- EXHAUSTER SALES</v>
      </c>
      <c r="C160" s="41" t="str">
        <f>Dashboard!C214</f>
        <v>Ksh</v>
      </c>
      <c r="D160" s="50">
        <v>23000</v>
      </c>
      <c r="E160" s="50">
        <v>11000</v>
      </c>
      <c r="F160" s="50">
        <v>7500</v>
      </c>
      <c r="G160" s="50">
        <v>7500</v>
      </c>
      <c r="H160" s="50">
        <f>55000+7500</f>
        <v>62500</v>
      </c>
      <c r="I160" s="50">
        <v>15500</v>
      </c>
      <c r="J160" s="50">
        <f>145000+8000+20000</f>
        <v>173000</v>
      </c>
      <c r="K160" s="50">
        <f>37500+30000+55000+5000+8000</f>
        <v>135500</v>
      </c>
      <c r="L160" s="50">
        <v>13000</v>
      </c>
      <c r="M160" s="50">
        <v>15000</v>
      </c>
      <c r="N160" s="50">
        <v>40000</v>
      </c>
      <c r="O160" s="50"/>
    </row>
    <row r="161" spans="1:16" x14ac:dyDescent="0.35">
      <c r="A161" s="41">
        <f>Dashboard!A211</f>
        <v>0</v>
      </c>
      <c r="B161" s="41" t="str">
        <f>Dashboard!B211</f>
        <v>TOTAL EXHAUSTER SALES-SOUTHERN</v>
      </c>
      <c r="C161" s="41" t="str">
        <f>Dashboard!C211</f>
        <v>Ksh</v>
      </c>
      <c r="D161" s="51">
        <f>SUM(D158:D160)</f>
        <v>75500</v>
      </c>
      <c r="E161" s="51">
        <f t="shared" ref="E161:N161" si="56">SUM(E158:E160)</f>
        <v>51000</v>
      </c>
      <c r="F161" s="51">
        <f t="shared" si="56"/>
        <v>50000</v>
      </c>
      <c r="G161" s="51">
        <f t="shared" si="56"/>
        <v>47500</v>
      </c>
      <c r="H161" s="51">
        <f t="shared" si="56"/>
        <v>105000</v>
      </c>
      <c r="I161" s="51">
        <f t="shared" si="56"/>
        <v>58000</v>
      </c>
      <c r="J161" s="51">
        <f t="shared" si="56"/>
        <v>220500</v>
      </c>
      <c r="K161" s="51">
        <f t="shared" si="56"/>
        <v>158000</v>
      </c>
      <c r="L161" s="51">
        <f t="shared" si="56"/>
        <v>28000</v>
      </c>
      <c r="M161" s="51">
        <f t="shared" si="56"/>
        <v>62500</v>
      </c>
      <c r="N161" s="51">
        <f t="shared" si="56"/>
        <v>97500</v>
      </c>
      <c r="O161" s="51">
        <v>57500</v>
      </c>
    </row>
    <row r="162" spans="1:16" x14ac:dyDescent="0.35">
      <c r="A162" s="41">
        <f>Dashboard!A213</f>
        <v>1</v>
      </c>
      <c r="B162" s="41" t="str">
        <f>Dashboard!B213</f>
        <v>KAYOLE- EXHAUSTER SALES</v>
      </c>
      <c r="C162" s="41" t="str">
        <f>Dashboard!C213</f>
        <v>Ksh</v>
      </c>
      <c r="D162" s="50">
        <f>45000+2500</f>
        <v>47500</v>
      </c>
      <c r="E162" s="50">
        <v>50000</v>
      </c>
      <c r="F162" s="50">
        <v>40000</v>
      </c>
      <c r="G162" s="50">
        <f>15000+17500</f>
        <v>32500</v>
      </c>
      <c r="H162" s="50">
        <f>38000+20000</f>
        <v>58000</v>
      </c>
      <c r="I162" s="50">
        <v>55000</v>
      </c>
      <c r="J162" s="50">
        <f>22500+2500</f>
        <v>25000</v>
      </c>
      <c r="K162" s="50">
        <v>25000</v>
      </c>
      <c r="L162" s="50">
        <v>25000</v>
      </c>
      <c r="M162" s="50">
        <v>27500</v>
      </c>
      <c r="N162" s="50">
        <v>40000</v>
      </c>
      <c r="O162" s="50">
        <v>38500</v>
      </c>
    </row>
    <row r="163" spans="1:16" x14ac:dyDescent="0.35">
      <c r="A163" s="41" t="str">
        <f>Dashboard!A215</f>
        <v>SUMMARY EXHAUSTER SALES</v>
      </c>
      <c r="D163" s="53"/>
      <c r="E163" s="53"/>
      <c r="F163" s="53"/>
      <c r="G163" s="53"/>
      <c r="H163" s="53"/>
      <c r="I163" s="53"/>
      <c r="J163" s="53"/>
      <c r="K163" s="53"/>
      <c r="L163" s="53"/>
      <c r="M163" s="53"/>
      <c r="N163" s="53"/>
      <c r="O163" s="53"/>
    </row>
    <row r="164" spans="1:16" ht="15" thickBot="1" x14ac:dyDescent="0.4">
      <c r="A164" s="41">
        <f>Dashboard!A216</f>
        <v>1</v>
      </c>
      <c r="B164" s="41" t="str">
        <f>Dashboard!B216</f>
        <v>EXHAUSTER SALES</v>
      </c>
      <c r="C164" s="41" t="str">
        <f>Dashboard!C216</f>
        <v>Ksh</v>
      </c>
      <c r="D164" s="57">
        <f>D162+D161+D157</f>
        <v>163000</v>
      </c>
      <c r="E164" s="57">
        <f t="shared" ref="E164:O164" si="57">E162+E161+E157</f>
        <v>123500</v>
      </c>
      <c r="F164" s="57">
        <f t="shared" si="57"/>
        <v>120000</v>
      </c>
      <c r="G164" s="57">
        <f t="shared" si="57"/>
        <v>100000</v>
      </c>
      <c r="H164" s="57">
        <f t="shared" si="57"/>
        <v>185500</v>
      </c>
      <c r="I164" s="57">
        <f t="shared" si="57"/>
        <v>130500</v>
      </c>
      <c r="J164" s="57">
        <f t="shared" si="57"/>
        <v>290500</v>
      </c>
      <c r="K164" s="57">
        <f t="shared" si="57"/>
        <v>218000</v>
      </c>
      <c r="L164" s="57">
        <f t="shared" si="57"/>
        <v>70500</v>
      </c>
      <c r="M164" s="57">
        <f t="shared" si="57"/>
        <v>117500</v>
      </c>
      <c r="N164" s="57">
        <f t="shared" si="57"/>
        <v>210000</v>
      </c>
      <c r="O164" s="57">
        <f t="shared" si="57"/>
        <v>193500</v>
      </c>
      <c r="P164" s="53"/>
    </row>
    <row r="165" spans="1:16" ht="15" hidden="1" thickTop="1" x14ac:dyDescent="0.35">
      <c r="A165" s="41" t="str">
        <f>Dashboard!A217</f>
        <v xml:space="preserve">COMPLAINTS </v>
      </c>
    </row>
    <row r="166" spans="1:16" hidden="1" x14ac:dyDescent="0.35">
      <c r="A166" s="41">
        <f>Dashboard!A218</f>
        <v>1</v>
      </c>
      <c r="B166" s="41" t="str">
        <f>Dashboard!B218</f>
        <v>NO. COMPLAINTS BOOKED</v>
      </c>
      <c r="C166" s="41" t="str">
        <f>Dashboard!C218</f>
        <v>No.</v>
      </c>
      <c r="D166">
        <v>411</v>
      </c>
      <c r="E166">
        <v>447</v>
      </c>
      <c r="F166"/>
      <c r="G166"/>
      <c r="H166"/>
      <c r="I166"/>
      <c r="J166"/>
      <c r="K166"/>
      <c r="L166"/>
      <c r="M166"/>
      <c r="N166"/>
      <c r="O166"/>
    </row>
    <row r="167" spans="1:16" hidden="1" x14ac:dyDescent="0.35">
      <c r="A167" s="41">
        <f>Dashboard!A219</f>
        <v>2</v>
      </c>
      <c r="B167" s="41" t="str">
        <f>Dashboard!B219</f>
        <v>NO. COMPLAINTS SOLVED</v>
      </c>
      <c r="C167" s="41" t="str">
        <f>Dashboard!C219</f>
        <v>No.</v>
      </c>
      <c r="D167">
        <v>383</v>
      </c>
      <c r="E167">
        <v>418</v>
      </c>
      <c r="F167"/>
      <c r="G167"/>
      <c r="H167"/>
      <c r="I167"/>
      <c r="J167"/>
      <c r="K167"/>
      <c r="L167"/>
      <c r="M167"/>
      <c r="N167"/>
      <c r="O167"/>
    </row>
    <row r="168" spans="1:16" hidden="1" x14ac:dyDescent="0.35">
      <c r="A168" s="41">
        <f>Dashboard!A220</f>
        <v>3</v>
      </c>
      <c r="B168" s="41" t="str">
        <f>Dashboard!B220</f>
        <v>% RESOLUTION</v>
      </c>
      <c r="C168" s="41" t="str">
        <f>Dashboard!C220</f>
        <v>%</v>
      </c>
      <c r="D168" s="58">
        <f>D167/D166</f>
        <v>0.93187347931873477</v>
      </c>
      <c r="E168" s="58">
        <f t="shared" ref="E168:O168" si="58">E167/E166</f>
        <v>0.93512304250559286</v>
      </c>
      <c r="F168" s="58" t="e">
        <f t="shared" si="58"/>
        <v>#DIV/0!</v>
      </c>
      <c r="G168" s="58" t="e">
        <f t="shared" si="58"/>
        <v>#DIV/0!</v>
      </c>
      <c r="H168" s="58" t="e">
        <f t="shared" si="58"/>
        <v>#DIV/0!</v>
      </c>
      <c r="I168" s="58" t="e">
        <f t="shared" si="58"/>
        <v>#DIV/0!</v>
      </c>
      <c r="J168" s="58" t="e">
        <f t="shared" si="58"/>
        <v>#DIV/0!</v>
      </c>
      <c r="K168" s="58" t="e">
        <f t="shared" si="58"/>
        <v>#DIV/0!</v>
      </c>
      <c r="L168" s="58" t="e">
        <f t="shared" si="58"/>
        <v>#DIV/0!</v>
      </c>
      <c r="M168" s="58" t="e">
        <f t="shared" si="58"/>
        <v>#DIV/0!</v>
      </c>
      <c r="N168" s="58" t="e">
        <f t="shared" si="58"/>
        <v>#DIV/0!</v>
      </c>
      <c r="O168" s="58" t="e">
        <f t="shared" si="58"/>
        <v>#DIV/0!</v>
      </c>
    </row>
    <row r="169" spans="1:16" hidden="1" x14ac:dyDescent="0.35">
      <c r="A169" s="41" t="str">
        <f>Dashboard!A221</f>
        <v>METER READING EFFICIENCY</v>
      </c>
    </row>
    <row r="170" spans="1:16" hidden="1" x14ac:dyDescent="0.35">
      <c r="A170" s="41">
        <f>Dashboard!A222</f>
        <v>1</v>
      </c>
      <c r="B170" s="41" t="str">
        <f>Dashboard!B222</f>
        <v>AVG METERS READ PER METER READER</v>
      </c>
      <c r="C170" s="41" t="str">
        <f>Dashboard!C222</f>
        <v>No.</v>
      </c>
      <c r="D170" s="50">
        <v>1868</v>
      </c>
      <c r="E170" s="50">
        <v>1887</v>
      </c>
      <c r="F170" s="50">
        <v>1367</v>
      </c>
      <c r="G170" s="50"/>
      <c r="H170" s="50"/>
      <c r="I170" s="50"/>
      <c r="J170" s="50"/>
      <c r="K170" s="50"/>
      <c r="L170" s="50"/>
      <c r="M170" s="50"/>
      <c r="N170" s="50"/>
      <c r="O170" s="50"/>
    </row>
    <row r="171" spans="1:16" hidden="1" x14ac:dyDescent="0.35">
      <c r="A171" s="41">
        <f>Dashboard!A223</f>
        <v>2</v>
      </c>
      <c r="B171" s="41" t="str">
        <f>Dashboard!B223</f>
        <v>NO DAYS TAKEN METER READING DTI</v>
      </c>
      <c r="C171" s="41" t="str">
        <f>Dashboard!C223</f>
        <v>No.</v>
      </c>
      <c r="D171" s="50">
        <v>9</v>
      </c>
      <c r="E171" s="50">
        <v>9</v>
      </c>
      <c r="F171" s="50"/>
      <c r="G171" s="50"/>
      <c r="H171" s="50"/>
      <c r="I171" s="50"/>
      <c r="J171" s="50"/>
      <c r="K171" s="50"/>
      <c r="L171" s="50"/>
      <c r="M171" s="50"/>
      <c r="N171" s="50"/>
      <c r="O171" s="50"/>
    </row>
    <row r="172" spans="1:16" hidden="1" x14ac:dyDescent="0.35">
      <c r="A172" s="41">
        <f>Dashboard!A224</f>
        <v>3</v>
      </c>
      <c r="B172" s="41" t="str">
        <f>Dashboard!B224</f>
        <v>NO DAYS TAKEN METER READING KARATI</v>
      </c>
      <c r="C172" s="41" t="str">
        <f>Dashboard!C224</f>
        <v>No.</v>
      </c>
      <c r="D172" s="50">
        <v>19</v>
      </c>
      <c r="E172" s="50">
        <v>18</v>
      </c>
      <c r="F172" s="50"/>
      <c r="G172" s="50"/>
      <c r="H172" s="50"/>
      <c r="I172" s="50"/>
      <c r="J172" s="50"/>
      <c r="K172" s="50"/>
      <c r="L172" s="50"/>
      <c r="M172" s="50"/>
      <c r="N172" s="50"/>
      <c r="O172" s="50"/>
    </row>
    <row r="173" spans="1:16" ht="15" thickTop="1" x14ac:dyDescent="0.35"/>
    <row r="174" spans="1:16" x14ac:dyDescent="0.35">
      <c r="L174" s="53"/>
    </row>
  </sheetData>
  <phoneticPr fontId="11" type="noConversion"/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zoomScale="80" zoomScaleNormal="80" workbookViewId="0"/>
  </sheetViews>
  <sheetFormatPr defaultRowHeight="14.5" x14ac:dyDescent="0.35"/>
  <sheetData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/>
  <dimension ref="A1:P169"/>
  <sheetViews>
    <sheetView zoomScale="90" zoomScaleNormal="90" workbookViewId="0">
      <pane xSplit="3" ySplit="4" topLeftCell="D127" activePane="bottomRight" state="frozen"/>
      <selection activeCell="A174" sqref="A174:XFD181"/>
      <selection pane="topRight" activeCell="A174" sqref="A174:XFD181"/>
      <selection pane="bottomLeft" activeCell="A174" sqref="A174:XFD181"/>
      <selection pane="bottomRight" activeCell="B142" sqref="B142"/>
    </sheetView>
  </sheetViews>
  <sheetFormatPr defaultColWidth="9.1796875" defaultRowHeight="14.5" x14ac:dyDescent="0.35"/>
  <cols>
    <col min="1" max="1" width="9.1796875" style="41"/>
    <col min="2" max="2" width="69" style="41" bestFit="1" customWidth="1"/>
    <col min="3" max="15" width="9.1796875" style="41"/>
    <col min="16" max="16" width="15" style="72" bestFit="1" customWidth="1"/>
    <col min="17" max="16384" width="9.1796875" style="41"/>
  </cols>
  <sheetData>
    <row r="1" spans="1:16" s="42" customFormat="1" x14ac:dyDescent="0.35">
      <c r="A1" s="42" t="str">
        <f>Dashboard!A1</f>
        <v>SALES &amp; CC DASHBOARD</v>
      </c>
      <c r="J1" s="42">
        <f>J11+J17</f>
        <v>51</v>
      </c>
      <c r="K1" s="42">
        <f t="shared" ref="K1:O1" si="0">K11+K17</f>
        <v>99</v>
      </c>
      <c r="L1" s="42">
        <f t="shared" si="0"/>
        <v>161</v>
      </c>
      <c r="M1" s="42">
        <f t="shared" si="0"/>
        <v>103</v>
      </c>
      <c r="N1" s="42">
        <f t="shared" si="0"/>
        <v>52</v>
      </c>
      <c r="O1" s="42">
        <f t="shared" si="0"/>
        <v>113</v>
      </c>
      <c r="P1" s="71"/>
    </row>
    <row r="2" spans="1:16" x14ac:dyDescent="0.35">
      <c r="J2" s="41">
        <f>J24+J30</f>
        <v>1</v>
      </c>
      <c r="K2" s="41">
        <f t="shared" ref="K2:O2" si="1">K24+K30</f>
        <v>1</v>
      </c>
      <c r="L2" s="41">
        <f t="shared" si="1"/>
        <v>73</v>
      </c>
      <c r="M2" s="41">
        <f t="shared" si="1"/>
        <v>14</v>
      </c>
      <c r="N2" s="41">
        <f t="shared" si="1"/>
        <v>1</v>
      </c>
      <c r="O2" s="41">
        <f t="shared" si="1"/>
        <v>0</v>
      </c>
    </row>
    <row r="4" spans="1:16" x14ac:dyDescent="0.35">
      <c r="B4" s="41" t="s">
        <v>28</v>
      </c>
      <c r="C4" s="41" t="s">
        <v>29</v>
      </c>
      <c r="D4" s="48" t="s">
        <v>30</v>
      </c>
      <c r="E4" s="48" t="s">
        <v>31</v>
      </c>
      <c r="F4" s="48" t="s">
        <v>32</v>
      </c>
      <c r="G4" s="48" t="s">
        <v>33</v>
      </c>
      <c r="H4" s="48" t="s">
        <v>34</v>
      </c>
      <c r="I4" s="48" t="s">
        <v>35</v>
      </c>
      <c r="J4" s="48" t="s">
        <v>36</v>
      </c>
      <c r="K4" s="48" t="s">
        <v>37</v>
      </c>
      <c r="L4" s="48" t="s">
        <v>38</v>
      </c>
      <c r="M4" s="48" t="s">
        <v>39</v>
      </c>
      <c r="N4" s="48" t="s">
        <v>40</v>
      </c>
      <c r="O4" s="48" t="s">
        <v>41</v>
      </c>
    </row>
    <row r="5" spans="1:16" x14ac:dyDescent="0.35">
      <c r="A5" s="41" t="str">
        <f>Dashboard!A5</f>
        <v>NEW CONNECTIONS WATER</v>
      </c>
    </row>
    <row r="6" spans="1:16" x14ac:dyDescent="0.35">
      <c r="A6" s="41">
        <f>Dashboard!A6</f>
        <v>1</v>
      </c>
      <c r="B6" s="41" t="str">
        <f>Dashboard!B6</f>
        <v>CBD - NEW WATER</v>
      </c>
      <c r="C6" s="41" t="str">
        <f>Dashboard!C6</f>
        <v>No.</v>
      </c>
      <c r="D6">
        <v>2</v>
      </c>
      <c r="E6">
        <v>2</v>
      </c>
      <c r="F6">
        <v>5</v>
      </c>
      <c r="G6">
        <v>0</v>
      </c>
      <c r="H6">
        <v>3</v>
      </c>
      <c r="I6">
        <v>2</v>
      </c>
      <c r="J6">
        <v>0</v>
      </c>
      <c r="K6">
        <v>3</v>
      </c>
      <c r="L6">
        <v>5</v>
      </c>
      <c r="M6">
        <v>0</v>
      </c>
      <c r="N6">
        <v>2</v>
      </c>
      <c r="O6">
        <v>2</v>
      </c>
    </row>
    <row r="7" spans="1:16" x14ac:dyDescent="0.35">
      <c r="A7" s="41">
        <f>Dashboard!A7</f>
        <v>2</v>
      </c>
      <c r="B7" s="41" t="str">
        <f>Dashboard!B7</f>
        <v>CCCR- NEW WATER</v>
      </c>
      <c r="C7" s="41" t="str">
        <f>Dashboard!C7</f>
        <v>No.</v>
      </c>
      <c r="D7">
        <v>4</v>
      </c>
      <c r="E7">
        <v>6</v>
      </c>
      <c r="F7">
        <v>4</v>
      </c>
      <c r="G7">
        <v>6</v>
      </c>
      <c r="H7">
        <v>2</v>
      </c>
      <c r="I7">
        <v>12</v>
      </c>
      <c r="J7">
        <v>2</v>
      </c>
      <c r="K7">
        <v>28</v>
      </c>
      <c r="L7">
        <v>3</v>
      </c>
      <c r="M7">
        <v>0</v>
      </c>
      <c r="N7">
        <v>3</v>
      </c>
      <c r="O7">
        <v>2</v>
      </c>
    </row>
    <row r="8" spans="1:16" x14ac:dyDescent="0.35">
      <c r="A8" s="41">
        <f>Dashboard!A8</f>
        <v>3</v>
      </c>
      <c r="B8" s="41" t="str">
        <f>Dashboard!B8</f>
        <v>KABATI- NEW WATER</v>
      </c>
      <c r="C8" s="41" t="str">
        <f>Dashboard!C8</f>
        <v>No.</v>
      </c>
      <c r="D8">
        <v>16</v>
      </c>
      <c r="E8">
        <v>3</v>
      </c>
      <c r="F8">
        <v>3</v>
      </c>
      <c r="G8">
        <v>9</v>
      </c>
      <c r="H8">
        <v>4</v>
      </c>
      <c r="I8">
        <v>30</v>
      </c>
      <c r="J8">
        <v>0</v>
      </c>
      <c r="K8">
        <v>3</v>
      </c>
      <c r="L8">
        <v>2</v>
      </c>
      <c r="M8">
        <v>5</v>
      </c>
      <c r="N8">
        <v>4</v>
      </c>
      <c r="O8">
        <v>5</v>
      </c>
    </row>
    <row r="9" spans="1:16" x14ac:dyDescent="0.35">
      <c r="A9" s="41">
        <f>Dashboard!A9</f>
        <v>4</v>
      </c>
      <c r="B9" s="41" t="str">
        <f>Dashboard!B9</f>
        <v>SITE- NEW WATER</v>
      </c>
      <c r="C9" s="41" t="str">
        <f>Dashboard!C9</f>
        <v>No.</v>
      </c>
      <c r="D9">
        <v>6</v>
      </c>
      <c r="E9">
        <v>12</v>
      </c>
      <c r="F9">
        <v>9</v>
      </c>
      <c r="G9">
        <v>3</v>
      </c>
      <c r="H9">
        <v>5</v>
      </c>
      <c r="I9">
        <v>11</v>
      </c>
      <c r="J9">
        <v>3</v>
      </c>
      <c r="K9">
        <v>3</v>
      </c>
      <c r="L9">
        <v>3</v>
      </c>
      <c r="M9">
        <v>3</v>
      </c>
      <c r="N9">
        <v>2</v>
      </c>
      <c r="O9">
        <v>3</v>
      </c>
    </row>
    <row r="10" spans="1:16" x14ac:dyDescent="0.35">
      <c r="A10" s="41">
        <f>Dashboard!A10</f>
        <v>5</v>
      </c>
      <c r="B10" s="41" t="str">
        <f>Dashboard!B10</f>
        <v>KIHOTO- NEW WATER</v>
      </c>
      <c r="C10" s="41" t="str">
        <f>Dashboard!C10</f>
        <v>No.</v>
      </c>
      <c r="D10">
        <v>2</v>
      </c>
      <c r="E10">
        <v>1</v>
      </c>
      <c r="F10">
        <v>2</v>
      </c>
      <c r="G10">
        <v>2</v>
      </c>
      <c r="H10">
        <v>0</v>
      </c>
      <c r="I10">
        <v>5</v>
      </c>
      <c r="J10">
        <v>0</v>
      </c>
      <c r="K10">
        <v>0</v>
      </c>
      <c r="L10">
        <v>3</v>
      </c>
      <c r="M10">
        <v>2</v>
      </c>
      <c r="N10">
        <v>3</v>
      </c>
      <c r="O10">
        <v>0</v>
      </c>
    </row>
    <row r="11" spans="1:16" x14ac:dyDescent="0.35">
      <c r="A11" s="41">
        <f>Dashboard!A13</f>
        <v>0</v>
      </c>
      <c r="B11" s="41" t="str">
        <f>Dashboard!B13</f>
        <v>TOTAL NEW WATER CONNECTIONS CENTRAL REGION</v>
      </c>
      <c r="C11" s="41" t="str">
        <f>Dashboard!C13</f>
        <v>No.</v>
      </c>
      <c r="D11" s="46">
        <v>30</v>
      </c>
      <c r="E11" s="46">
        <v>24</v>
      </c>
      <c r="F11" s="46">
        <v>23</v>
      </c>
      <c r="G11" s="46">
        <v>20</v>
      </c>
      <c r="H11" s="46">
        <v>14</v>
      </c>
      <c r="I11" s="46">
        <v>60</v>
      </c>
      <c r="J11" s="46">
        <v>5</v>
      </c>
      <c r="K11" s="46">
        <v>37</v>
      </c>
      <c r="L11" s="46">
        <v>16</v>
      </c>
      <c r="M11" s="46">
        <v>10</v>
      </c>
      <c r="N11" s="46">
        <v>14</v>
      </c>
      <c r="O11" s="46">
        <v>12</v>
      </c>
    </row>
    <row r="12" spans="1:16" x14ac:dyDescent="0.35">
      <c r="A12" s="41">
        <f>Dashboard!A14</f>
        <v>1</v>
      </c>
      <c r="B12" s="41" t="str">
        <f>Dashboard!B14</f>
        <v>HELLSGATE- NEW WATER</v>
      </c>
      <c r="C12" s="41" t="str">
        <f>Dashboard!C14</f>
        <v>No.</v>
      </c>
      <c r="D12" t="s">
        <v>184</v>
      </c>
      <c r="E12">
        <v>37</v>
      </c>
      <c r="F12">
        <v>55</v>
      </c>
      <c r="G12">
        <v>66</v>
      </c>
      <c r="H12">
        <v>34</v>
      </c>
      <c r="I12">
        <v>29</v>
      </c>
      <c r="J12">
        <v>20</v>
      </c>
      <c r="K12">
        <v>18</v>
      </c>
      <c r="L12">
        <v>42</v>
      </c>
      <c r="M12">
        <v>13</v>
      </c>
      <c r="N12">
        <v>13</v>
      </c>
      <c r="O12">
        <v>26</v>
      </c>
    </row>
    <row r="13" spans="1:16" x14ac:dyDescent="0.35">
      <c r="A13" s="41">
        <f>Dashboard!A15</f>
        <v>2</v>
      </c>
      <c r="B13" s="41" t="str">
        <f>Dashboard!B15</f>
        <v>KAMERE- NEW WATER</v>
      </c>
      <c r="C13" s="41" t="str">
        <f>Dashboard!C15</f>
        <v>No.</v>
      </c>
      <c r="D13">
        <v>1</v>
      </c>
      <c r="E13">
        <v>3</v>
      </c>
      <c r="F13">
        <v>1</v>
      </c>
      <c r="G13">
        <v>1</v>
      </c>
      <c r="H13">
        <v>1</v>
      </c>
      <c r="I13">
        <v>0</v>
      </c>
      <c r="J13">
        <v>0</v>
      </c>
      <c r="K13">
        <v>1</v>
      </c>
      <c r="L13">
        <v>1</v>
      </c>
      <c r="M13">
        <v>0</v>
      </c>
      <c r="N13">
        <v>2</v>
      </c>
      <c r="O13">
        <v>0</v>
      </c>
    </row>
    <row r="14" spans="1:16" x14ac:dyDescent="0.35">
      <c r="A14" s="41">
        <f>Dashboard!A20</f>
        <v>1</v>
      </c>
      <c r="B14" s="41" t="str">
        <f>Dashboard!B20</f>
        <v>KAYOLE- NEW WATER</v>
      </c>
      <c r="C14" s="41" t="str">
        <f>Dashboard!C20</f>
        <v>No.</v>
      </c>
      <c r="D14">
        <v>24</v>
      </c>
      <c r="E14">
        <v>20</v>
      </c>
      <c r="F14">
        <v>19</v>
      </c>
      <c r="G14">
        <v>20</v>
      </c>
      <c r="H14">
        <v>23</v>
      </c>
      <c r="I14">
        <v>25</v>
      </c>
      <c r="J14">
        <v>15</v>
      </c>
      <c r="K14">
        <v>16</v>
      </c>
      <c r="L14">
        <v>84</v>
      </c>
      <c r="M14">
        <v>17</v>
      </c>
      <c r="N14">
        <v>11</v>
      </c>
      <c r="O14">
        <v>37</v>
      </c>
    </row>
    <row r="15" spans="1:16" x14ac:dyDescent="0.35">
      <c r="A15" s="41">
        <f>Dashboard!A11</f>
        <v>6</v>
      </c>
      <c r="B15" s="41" t="str">
        <f>Dashboard!B11</f>
        <v>LAKEVIEW- NEW WATER</v>
      </c>
      <c r="C15" s="41" t="str">
        <f>Dashboard!C11</f>
        <v>No.</v>
      </c>
      <c r="D15">
        <v>4</v>
      </c>
      <c r="E15">
        <v>6</v>
      </c>
      <c r="F15">
        <v>10</v>
      </c>
      <c r="G15">
        <v>18</v>
      </c>
      <c r="H15">
        <v>54</v>
      </c>
      <c r="I15">
        <v>34</v>
      </c>
      <c r="J15">
        <v>5</v>
      </c>
      <c r="K15">
        <v>8</v>
      </c>
      <c r="L15">
        <v>12</v>
      </c>
      <c r="M15">
        <v>37</v>
      </c>
      <c r="N15">
        <v>4</v>
      </c>
      <c r="O15">
        <v>4</v>
      </c>
    </row>
    <row r="16" spans="1:16" x14ac:dyDescent="0.35">
      <c r="A16" s="41">
        <f>Dashboard!A16</f>
        <v>3</v>
      </c>
      <c r="B16" s="41" t="str">
        <f>Dashboard!B16</f>
        <v>MAI-MAHIU- NEW WATER</v>
      </c>
      <c r="C16" s="41" t="str">
        <f>Dashboard!C16</f>
        <v>No.</v>
      </c>
      <c r="D16">
        <v>22</v>
      </c>
      <c r="E16">
        <v>24</v>
      </c>
      <c r="F16">
        <v>57</v>
      </c>
      <c r="G16">
        <v>192</v>
      </c>
      <c r="H16">
        <v>58</v>
      </c>
      <c r="I16">
        <v>87</v>
      </c>
      <c r="J16">
        <v>6</v>
      </c>
      <c r="K16">
        <v>19</v>
      </c>
      <c r="L16">
        <v>6</v>
      </c>
      <c r="M16">
        <v>26</v>
      </c>
      <c r="N16">
        <v>8</v>
      </c>
      <c r="O16">
        <v>34</v>
      </c>
    </row>
    <row r="17" spans="1:15" x14ac:dyDescent="0.35">
      <c r="A17" s="41">
        <f>Dashboard!A18</f>
        <v>0</v>
      </c>
      <c r="B17" s="41" t="str">
        <f>Dashboard!B18</f>
        <v>TOTAL NEW WATER CONNECTION SOUTHERN REGION</v>
      </c>
      <c r="C17" s="41" t="str">
        <f>Dashboard!C18</f>
        <v>No.</v>
      </c>
      <c r="D17" s="46">
        <v>51</v>
      </c>
      <c r="E17" s="46">
        <v>90</v>
      </c>
      <c r="F17" s="46">
        <v>142</v>
      </c>
      <c r="G17" s="46">
        <v>297</v>
      </c>
      <c r="H17" s="46">
        <v>170</v>
      </c>
      <c r="I17" s="46">
        <v>175</v>
      </c>
      <c r="J17" s="46">
        <v>46</v>
      </c>
      <c r="K17" s="46">
        <v>62</v>
      </c>
      <c r="L17" s="46">
        <v>145</v>
      </c>
      <c r="M17" s="46">
        <v>93</v>
      </c>
      <c r="N17" s="46">
        <v>38</v>
      </c>
      <c r="O17" s="46">
        <v>101</v>
      </c>
    </row>
    <row r="18" spans="1:15" x14ac:dyDescent="0.35">
      <c r="A18" s="41" t="str">
        <f>Dashboard!A23</f>
        <v>NEW CONNECTIONS SEWER</v>
      </c>
    </row>
    <row r="19" spans="1:15" x14ac:dyDescent="0.35">
      <c r="A19" s="41">
        <f>Dashboard!A24</f>
        <v>1</v>
      </c>
      <c r="B19" s="41" t="str">
        <f>Dashboard!B24</f>
        <v>CBD- NEW SEWER</v>
      </c>
      <c r="C19" s="41" t="str">
        <f>Dashboard!C24</f>
        <v>No.</v>
      </c>
      <c r="D19">
        <v>2</v>
      </c>
      <c r="E19">
        <v>2</v>
      </c>
      <c r="F19">
        <v>0</v>
      </c>
      <c r="G19">
        <v>0</v>
      </c>
      <c r="H19">
        <v>4</v>
      </c>
      <c r="I19">
        <v>0</v>
      </c>
      <c r="J19">
        <v>0</v>
      </c>
      <c r="K19">
        <v>0</v>
      </c>
      <c r="L19">
        <v>2</v>
      </c>
      <c r="M19">
        <v>0</v>
      </c>
      <c r="N19">
        <v>0</v>
      </c>
      <c r="O19">
        <v>0</v>
      </c>
    </row>
    <row r="20" spans="1:15" x14ac:dyDescent="0.35">
      <c r="A20" s="41">
        <f>Dashboard!A25</f>
        <v>2</v>
      </c>
      <c r="B20" s="41" t="str">
        <f>Dashboard!B25</f>
        <v>CCCR- NEW SEWER</v>
      </c>
      <c r="C20" s="41" t="str">
        <f>Dashboard!C25</f>
        <v>No.</v>
      </c>
      <c r="D20">
        <v>0</v>
      </c>
      <c r="E20">
        <v>2</v>
      </c>
      <c r="F20">
        <v>0</v>
      </c>
      <c r="G20">
        <v>1</v>
      </c>
      <c r="H20">
        <v>2</v>
      </c>
      <c r="I20">
        <v>0</v>
      </c>
      <c r="J20">
        <v>0</v>
      </c>
      <c r="K20">
        <v>0</v>
      </c>
      <c r="L20">
        <v>2</v>
      </c>
      <c r="M20">
        <v>9</v>
      </c>
      <c r="N20">
        <v>0</v>
      </c>
      <c r="O20">
        <v>0</v>
      </c>
    </row>
    <row r="21" spans="1:15" x14ac:dyDescent="0.35">
      <c r="A21" s="41">
        <f>Dashboard!A26</f>
        <v>3</v>
      </c>
      <c r="B21" s="41" t="str">
        <f>Dashboard!B26</f>
        <v>KABATI- NEW SEWER</v>
      </c>
      <c r="C21" s="41" t="str">
        <f>Dashboard!C26</f>
        <v>No.</v>
      </c>
      <c r="D21">
        <v>1</v>
      </c>
      <c r="E21">
        <v>1</v>
      </c>
      <c r="F21">
        <v>0</v>
      </c>
      <c r="G21">
        <v>0</v>
      </c>
      <c r="H21">
        <v>4</v>
      </c>
      <c r="I21">
        <v>0</v>
      </c>
      <c r="J21">
        <v>1</v>
      </c>
      <c r="K21">
        <v>0</v>
      </c>
      <c r="L21">
        <v>2</v>
      </c>
      <c r="M21">
        <v>0</v>
      </c>
      <c r="N21">
        <v>1</v>
      </c>
      <c r="O21">
        <v>0</v>
      </c>
    </row>
    <row r="22" spans="1:15" x14ac:dyDescent="0.35">
      <c r="A22" s="41">
        <f>Dashboard!A27</f>
        <v>4</v>
      </c>
      <c r="B22" s="41" t="str">
        <f>Dashboard!B27</f>
        <v>SITE- NEW SEWER</v>
      </c>
      <c r="C22" s="41" t="str">
        <f>Dashboard!C27</f>
        <v>No.</v>
      </c>
      <c r="D22">
        <v>0</v>
      </c>
      <c r="E22">
        <v>0</v>
      </c>
      <c r="F22">
        <v>0</v>
      </c>
      <c r="G22">
        <v>0</v>
      </c>
      <c r="H22">
        <v>2</v>
      </c>
      <c r="I22">
        <v>1</v>
      </c>
      <c r="J22">
        <v>0</v>
      </c>
      <c r="K22">
        <v>0</v>
      </c>
      <c r="L22">
        <v>0</v>
      </c>
      <c r="M22">
        <v>2</v>
      </c>
      <c r="N22">
        <v>0</v>
      </c>
      <c r="O22">
        <v>0</v>
      </c>
    </row>
    <row r="23" spans="1:15" x14ac:dyDescent="0.35">
      <c r="A23" s="41">
        <f>Dashboard!A28</f>
        <v>5</v>
      </c>
      <c r="B23" s="41" t="str">
        <f>Dashboard!B28</f>
        <v>KIHOTO- NEW SEWER</v>
      </c>
      <c r="C23" s="41" t="str">
        <f>Dashboard!C28</f>
        <v>No.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</row>
    <row r="24" spans="1:15" x14ac:dyDescent="0.35">
      <c r="A24" s="41">
        <f>Dashboard!A31</f>
        <v>0</v>
      </c>
      <c r="B24" s="41" t="str">
        <f>Dashboard!B31</f>
        <v>TOTAL NEW SEWER CONNECTIONS CENTRAL REGION</v>
      </c>
      <c r="C24" s="41" t="str">
        <f>Dashboard!C31</f>
        <v>No.</v>
      </c>
      <c r="D24" s="46">
        <v>3</v>
      </c>
      <c r="E24" s="46">
        <v>5</v>
      </c>
      <c r="F24" s="46">
        <v>0</v>
      </c>
      <c r="G24" s="46">
        <v>1</v>
      </c>
      <c r="H24" s="46">
        <v>12</v>
      </c>
      <c r="I24" s="46">
        <v>1</v>
      </c>
      <c r="J24" s="46">
        <v>1</v>
      </c>
      <c r="K24" s="46">
        <v>0</v>
      </c>
      <c r="L24" s="46">
        <v>6</v>
      </c>
      <c r="M24" s="46">
        <v>11</v>
      </c>
      <c r="N24" s="46">
        <v>1</v>
      </c>
      <c r="O24" s="46">
        <v>0</v>
      </c>
    </row>
    <row r="25" spans="1:15" x14ac:dyDescent="0.35">
      <c r="A25" s="41">
        <f>Dashboard!A32</f>
        <v>1</v>
      </c>
      <c r="B25" s="41" t="str">
        <f>Dashboard!B32</f>
        <v>HELLSGATE- NEW SEWER</v>
      </c>
      <c r="C25" s="41" t="str">
        <f>Dashboard!C32</f>
        <v>No.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</row>
    <row r="26" spans="1:15" x14ac:dyDescent="0.35">
      <c r="A26" s="41">
        <f>Dashboard!A33</f>
        <v>2</v>
      </c>
      <c r="B26" s="41" t="str">
        <f>Dashboard!B33</f>
        <v>KAMERE- NEW SEWER</v>
      </c>
      <c r="C26" s="41" t="str">
        <f>Dashboard!C33</f>
        <v>No.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</row>
    <row r="27" spans="1:15" x14ac:dyDescent="0.35">
      <c r="A27" s="41">
        <f>Dashboard!A37</f>
        <v>1</v>
      </c>
      <c r="B27" s="41" t="str">
        <f>Dashboard!B37</f>
        <v>KAYOLE- NEW SEWER</v>
      </c>
      <c r="C27" s="41" t="str">
        <f>Dashboard!C37</f>
        <v>No.</v>
      </c>
      <c r="D27">
        <v>0</v>
      </c>
      <c r="E27">
        <v>0</v>
      </c>
      <c r="F27">
        <v>0</v>
      </c>
      <c r="G27">
        <v>2</v>
      </c>
      <c r="H27">
        <v>0</v>
      </c>
      <c r="I27">
        <v>0</v>
      </c>
      <c r="J27">
        <v>0</v>
      </c>
      <c r="K27">
        <v>0</v>
      </c>
      <c r="L27">
        <v>63</v>
      </c>
      <c r="M27">
        <v>3</v>
      </c>
      <c r="N27">
        <v>0</v>
      </c>
      <c r="O27">
        <v>0</v>
      </c>
    </row>
    <row r="28" spans="1:15" x14ac:dyDescent="0.35">
      <c r="A28" s="41">
        <f>Dashboard!A29</f>
        <v>6</v>
      </c>
      <c r="B28" s="41" t="str">
        <f>Dashboard!B29</f>
        <v>LAKEVIEW- NEW SEWER</v>
      </c>
      <c r="C28" s="41" t="str">
        <f>Dashboard!C29</f>
        <v>No.</v>
      </c>
      <c r="D28">
        <v>1</v>
      </c>
      <c r="E28">
        <v>1</v>
      </c>
      <c r="F28">
        <v>0</v>
      </c>
      <c r="G28">
        <v>4</v>
      </c>
      <c r="H28">
        <v>2</v>
      </c>
      <c r="I28">
        <v>1</v>
      </c>
      <c r="J28">
        <v>0</v>
      </c>
      <c r="K28">
        <v>1</v>
      </c>
      <c r="L28">
        <v>4</v>
      </c>
      <c r="M28">
        <v>0</v>
      </c>
      <c r="N28">
        <v>0</v>
      </c>
      <c r="O28">
        <v>0</v>
      </c>
    </row>
    <row r="29" spans="1:15" x14ac:dyDescent="0.35">
      <c r="A29" s="41">
        <f>Dashboard!A34</f>
        <v>3</v>
      </c>
      <c r="B29" s="41" t="str">
        <f>Dashboard!B34</f>
        <v>MAI-MAHIU- NEW SEWER</v>
      </c>
      <c r="C29" s="41" t="str">
        <f>Dashboard!C34</f>
        <v>No.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</row>
    <row r="30" spans="1:15" x14ac:dyDescent="0.35">
      <c r="A30" s="41">
        <f>Dashboard!A35</f>
        <v>0</v>
      </c>
      <c r="B30" s="41" t="str">
        <f>Dashboard!B35</f>
        <v>TOTAL NEW S CONNECTION SOUTHERN REGION</v>
      </c>
      <c r="C30" s="41" t="str">
        <f>Dashboard!C35</f>
        <v>No.</v>
      </c>
      <c r="D30" s="46">
        <v>1</v>
      </c>
      <c r="E30" s="46">
        <v>1</v>
      </c>
      <c r="F30" s="46">
        <v>0</v>
      </c>
      <c r="G30" s="46">
        <v>6</v>
      </c>
      <c r="H30" s="46">
        <v>2</v>
      </c>
      <c r="I30" s="46">
        <v>1</v>
      </c>
      <c r="J30" s="46">
        <v>0</v>
      </c>
      <c r="K30" s="46">
        <v>1</v>
      </c>
      <c r="L30" s="46">
        <v>67</v>
      </c>
      <c r="M30" s="46">
        <v>3</v>
      </c>
      <c r="N30" s="46">
        <v>0</v>
      </c>
      <c r="O30" s="46">
        <v>0</v>
      </c>
    </row>
    <row r="31" spans="1:15" x14ac:dyDescent="0.35">
      <c r="A31" s="41" t="str">
        <f>Dashboard!A38</f>
        <v>TOTAL CONNECTIONS-WATER</v>
      </c>
    </row>
    <row r="32" spans="1:15" x14ac:dyDescent="0.35">
      <c r="A32" s="41">
        <f>Dashboard!A39</f>
        <v>1</v>
      </c>
      <c r="B32" s="41" t="str">
        <f>Dashboard!B39</f>
        <v>CBD-  WATER</v>
      </c>
      <c r="C32" s="41" t="str">
        <f>Dashboard!C39</f>
        <v>No.</v>
      </c>
      <c r="D32">
        <v>734</v>
      </c>
      <c r="E32">
        <v>733</v>
      </c>
      <c r="F32">
        <v>738</v>
      </c>
      <c r="G32">
        <v>743</v>
      </c>
      <c r="H32">
        <v>746</v>
      </c>
      <c r="I32">
        <v>748</v>
      </c>
      <c r="J32">
        <v>748</v>
      </c>
      <c r="K32">
        <v>751</v>
      </c>
      <c r="L32">
        <v>756</v>
      </c>
      <c r="M32">
        <v>752</v>
      </c>
      <c r="N32">
        <v>754</v>
      </c>
      <c r="O32">
        <v>756</v>
      </c>
    </row>
    <row r="33" spans="1:15" x14ac:dyDescent="0.35">
      <c r="A33" s="41">
        <f>Dashboard!A40</f>
        <v>2</v>
      </c>
      <c r="B33" s="41" t="str">
        <f>Dashboard!B40</f>
        <v>CCCR-  WATER</v>
      </c>
      <c r="C33" s="41" t="str">
        <f>Dashboard!C40</f>
        <v>No.</v>
      </c>
      <c r="D33">
        <v>669</v>
      </c>
      <c r="E33">
        <v>672</v>
      </c>
      <c r="F33">
        <v>676</v>
      </c>
      <c r="G33">
        <v>682</v>
      </c>
      <c r="H33">
        <v>684</v>
      </c>
      <c r="I33">
        <v>696</v>
      </c>
      <c r="J33">
        <v>698</v>
      </c>
      <c r="K33">
        <v>726</v>
      </c>
      <c r="L33">
        <v>729</v>
      </c>
      <c r="M33">
        <v>704</v>
      </c>
      <c r="N33">
        <v>707</v>
      </c>
      <c r="O33">
        <v>709</v>
      </c>
    </row>
    <row r="34" spans="1:15" x14ac:dyDescent="0.35">
      <c r="A34" s="41">
        <f>Dashboard!A41</f>
        <v>3</v>
      </c>
      <c r="B34" s="41" t="str">
        <f>Dashboard!B41</f>
        <v>KABATI- WATER</v>
      </c>
      <c r="C34" s="41" t="str">
        <f>Dashboard!C41</f>
        <v>No.</v>
      </c>
      <c r="D34">
        <v>787</v>
      </c>
      <c r="E34">
        <v>789</v>
      </c>
      <c r="F34">
        <v>792</v>
      </c>
      <c r="G34">
        <v>793</v>
      </c>
      <c r="H34">
        <v>800</v>
      </c>
      <c r="I34">
        <v>830</v>
      </c>
      <c r="J34">
        <v>827</v>
      </c>
      <c r="K34">
        <v>830</v>
      </c>
      <c r="L34">
        <v>832</v>
      </c>
      <c r="M34">
        <v>837</v>
      </c>
      <c r="N34">
        <v>841</v>
      </c>
      <c r="O34">
        <v>846</v>
      </c>
    </row>
    <row r="35" spans="1:15" x14ac:dyDescent="0.35">
      <c r="A35" s="41">
        <f>Dashboard!A42</f>
        <v>4</v>
      </c>
      <c r="B35" s="41" t="str">
        <f>Dashboard!B42</f>
        <v>SITE- WATER</v>
      </c>
      <c r="C35" s="41" t="str">
        <f>Dashboard!C42</f>
        <v>No.</v>
      </c>
      <c r="D35">
        <v>838</v>
      </c>
      <c r="E35">
        <v>848</v>
      </c>
      <c r="F35">
        <v>857</v>
      </c>
      <c r="G35">
        <v>860</v>
      </c>
      <c r="H35">
        <v>865</v>
      </c>
      <c r="I35">
        <v>876</v>
      </c>
      <c r="J35">
        <v>882</v>
      </c>
      <c r="K35">
        <v>885</v>
      </c>
      <c r="L35">
        <v>888</v>
      </c>
      <c r="M35">
        <v>891</v>
      </c>
      <c r="N35">
        <v>893</v>
      </c>
      <c r="O35">
        <v>896</v>
      </c>
    </row>
    <row r="36" spans="1:15" x14ac:dyDescent="0.35">
      <c r="A36" s="41">
        <f>Dashboard!A43</f>
        <v>5</v>
      </c>
      <c r="B36" s="41" t="str">
        <f>Dashboard!B43</f>
        <v>KIHOTO- WATER</v>
      </c>
      <c r="C36" s="41" t="str">
        <f>Dashboard!C43</f>
        <v>No.</v>
      </c>
      <c r="D36">
        <v>171</v>
      </c>
      <c r="E36">
        <v>172</v>
      </c>
      <c r="F36">
        <v>174</v>
      </c>
      <c r="G36">
        <v>176</v>
      </c>
      <c r="H36">
        <v>176</v>
      </c>
      <c r="I36">
        <v>181</v>
      </c>
      <c r="J36">
        <v>181</v>
      </c>
      <c r="K36">
        <v>181</v>
      </c>
      <c r="L36">
        <v>184</v>
      </c>
      <c r="M36">
        <v>186</v>
      </c>
      <c r="N36">
        <v>189</v>
      </c>
      <c r="O36">
        <v>189</v>
      </c>
    </row>
    <row r="37" spans="1:15" x14ac:dyDescent="0.35">
      <c r="A37" s="41">
        <f>Dashboard!A46</f>
        <v>0</v>
      </c>
      <c r="B37" s="41" t="str">
        <f>Dashboard!B46</f>
        <v>TOTALWATER CONNECTION CENTRAL REGION</v>
      </c>
      <c r="C37" s="41" t="str">
        <f>Dashboard!C46</f>
        <v>No.</v>
      </c>
      <c r="D37" s="46">
        <v>3199</v>
      </c>
      <c r="E37" s="46">
        <v>3214</v>
      </c>
      <c r="F37" s="46">
        <v>3237</v>
      </c>
      <c r="G37" s="46">
        <v>3254</v>
      </c>
      <c r="H37" s="46">
        <v>3271</v>
      </c>
      <c r="I37" s="46">
        <v>3331</v>
      </c>
      <c r="J37" s="46">
        <v>3336</v>
      </c>
      <c r="K37" s="46">
        <v>3373</v>
      </c>
      <c r="L37" s="46">
        <v>3389</v>
      </c>
      <c r="M37" s="46">
        <v>3370</v>
      </c>
      <c r="N37" s="46">
        <v>3384</v>
      </c>
      <c r="O37" s="46">
        <v>3396</v>
      </c>
    </row>
    <row r="38" spans="1:15" x14ac:dyDescent="0.35">
      <c r="A38" s="41">
        <f>Dashboard!A47</f>
        <v>1</v>
      </c>
      <c r="B38" s="41" t="str">
        <f>Dashboard!B47</f>
        <v>HELLSGATE-  WATER</v>
      </c>
      <c r="C38" s="41" t="str">
        <f>Dashboard!C47</f>
        <v>No.</v>
      </c>
      <c r="D38">
        <v>1026</v>
      </c>
      <c r="E38">
        <v>1062</v>
      </c>
      <c r="F38">
        <v>1117</v>
      </c>
      <c r="G38">
        <v>1183</v>
      </c>
      <c r="H38">
        <v>1217</v>
      </c>
      <c r="I38">
        <v>1246</v>
      </c>
      <c r="J38">
        <v>1266</v>
      </c>
      <c r="K38">
        <v>1284</v>
      </c>
      <c r="L38">
        <v>1326</v>
      </c>
      <c r="M38">
        <v>1339</v>
      </c>
      <c r="N38">
        <v>1352</v>
      </c>
      <c r="O38">
        <v>1378</v>
      </c>
    </row>
    <row r="39" spans="1:15" x14ac:dyDescent="0.35">
      <c r="A39" s="41">
        <f>Dashboard!A48</f>
        <v>2</v>
      </c>
      <c r="B39" s="41" t="str">
        <f>Dashboard!B48</f>
        <v>KAMERE- WATER</v>
      </c>
      <c r="C39" s="41" t="str">
        <f>Dashboard!C48</f>
        <v>No.</v>
      </c>
      <c r="D39">
        <v>323</v>
      </c>
      <c r="E39">
        <v>326</v>
      </c>
      <c r="F39">
        <v>327</v>
      </c>
      <c r="G39">
        <v>328</v>
      </c>
      <c r="H39">
        <v>329</v>
      </c>
      <c r="I39">
        <v>329</v>
      </c>
      <c r="J39">
        <v>329</v>
      </c>
      <c r="K39">
        <v>330</v>
      </c>
      <c r="L39">
        <v>331</v>
      </c>
      <c r="M39">
        <v>331</v>
      </c>
      <c r="N39">
        <v>333</v>
      </c>
      <c r="O39">
        <v>333</v>
      </c>
    </row>
    <row r="40" spans="1:15" x14ac:dyDescent="0.35">
      <c r="A40" s="41">
        <f>Dashboard!A53</f>
        <v>1</v>
      </c>
      <c r="B40" s="41" t="str">
        <f>Dashboard!B53</f>
        <v>KAYOLE-WATER</v>
      </c>
      <c r="C40" s="41" t="str">
        <f>Dashboard!C53</f>
        <v>No.</v>
      </c>
      <c r="D40">
        <v>1891</v>
      </c>
      <c r="E40">
        <v>1913</v>
      </c>
      <c r="F40">
        <v>1932</v>
      </c>
      <c r="G40">
        <v>1952</v>
      </c>
      <c r="H40">
        <v>1975</v>
      </c>
      <c r="I40">
        <v>2000</v>
      </c>
      <c r="J40">
        <v>2015</v>
      </c>
      <c r="K40">
        <v>2031</v>
      </c>
      <c r="L40">
        <v>2115</v>
      </c>
      <c r="M40">
        <v>2132</v>
      </c>
      <c r="N40">
        <v>2143</v>
      </c>
      <c r="O40">
        <v>2180</v>
      </c>
    </row>
    <row r="41" spans="1:15" x14ac:dyDescent="0.35">
      <c r="A41" s="41">
        <f>Dashboard!A44</f>
        <v>6</v>
      </c>
      <c r="B41" s="41" t="str">
        <f>Dashboard!B44</f>
        <v>LAKEVIEW- WATER</v>
      </c>
      <c r="C41" s="41" t="str">
        <f>Dashboard!C44</f>
        <v>No.</v>
      </c>
      <c r="D41">
        <v>1148</v>
      </c>
      <c r="E41">
        <v>1157</v>
      </c>
      <c r="F41">
        <v>1167</v>
      </c>
      <c r="G41">
        <v>1185</v>
      </c>
      <c r="H41">
        <v>1239</v>
      </c>
      <c r="I41">
        <v>1273</v>
      </c>
      <c r="J41">
        <v>1278</v>
      </c>
      <c r="K41">
        <v>1286</v>
      </c>
      <c r="L41">
        <v>1298</v>
      </c>
      <c r="M41">
        <v>1335</v>
      </c>
      <c r="N41">
        <v>1339</v>
      </c>
      <c r="O41">
        <v>1343</v>
      </c>
    </row>
    <row r="42" spans="1:15" x14ac:dyDescent="0.35">
      <c r="A42" s="41">
        <f>Dashboard!A49</f>
        <v>3</v>
      </c>
      <c r="B42" s="41" t="str">
        <f>Dashboard!B49</f>
        <v>MAI-MAHIU- WATER</v>
      </c>
      <c r="C42" s="41" t="str">
        <f>Dashboard!C49</f>
        <v>No.</v>
      </c>
      <c r="D42">
        <v>170</v>
      </c>
      <c r="E42">
        <v>194</v>
      </c>
      <c r="F42">
        <v>251</v>
      </c>
      <c r="G42">
        <v>443</v>
      </c>
      <c r="H42">
        <v>501</v>
      </c>
      <c r="I42">
        <v>588</v>
      </c>
      <c r="J42">
        <v>594</v>
      </c>
      <c r="K42">
        <v>613</v>
      </c>
      <c r="L42">
        <v>619</v>
      </c>
      <c r="M42">
        <v>645</v>
      </c>
      <c r="N42">
        <v>653</v>
      </c>
      <c r="O42">
        <v>687</v>
      </c>
    </row>
    <row r="43" spans="1:15" x14ac:dyDescent="0.35">
      <c r="A43" s="41">
        <f>Dashboard!A51</f>
        <v>0</v>
      </c>
      <c r="B43" s="41" t="str">
        <f>Dashboard!B51</f>
        <v>TOTAL WATER CONNECTION SOUTHERN REGION</v>
      </c>
      <c r="C43" s="41" t="str">
        <f>Dashboard!C51</f>
        <v>No.</v>
      </c>
      <c r="D43" s="46">
        <v>4558</v>
      </c>
      <c r="E43" s="46">
        <v>4652</v>
      </c>
      <c r="F43" s="46">
        <v>4794</v>
      </c>
      <c r="G43" s="46">
        <v>5091</v>
      </c>
      <c r="H43" s="46">
        <v>5261</v>
      </c>
      <c r="I43" s="46">
        <v>5436</v>
      </c>
      <c r="J43" s="46">
        <v>5482</v>
      </c>
      <c r="K43" s="46">
        <v>5544</v>
      </c>
      <c r="L43" s="46">
        <v>5689</v>
      </c>
      <c r="M43" s="46">
        <v>5782</v>
      </c>
      <c r="N43" s="46">
        <v>5820</v>
      </c>
      <c r="O43" s="46">
        <v>5921</v>
      </c>
    </row>
    <row r="44" spans="1:15" x14ac:dyDescent="0.35">
      <c r="A44" s="41" t="str">
        <f>Dashboard!A56</f>
        <v>TOTAL  CONNECTIONS-SEWER</v>
      </c>
    </row>
    <row r="45" spans="1:15" x14ac:dyDescent="0.35">
      <c r="A45" s="41">
        <f>Dashboard!A57</f>
        <v>1</v>
      </c>
      <c r="B45" s="41" t="str">
        <f>Dashboard!B57</f>
        <v>CBD- SEWER</v>
      </c>
      <c r="C45" s="41" t="str">
        <f>Dashboard!C57</f>
        <v>No.</v>
      </c>
      <c r="D45">
        <v>421</v>
      </c>
      <c r="E45">
        <v>423</v>
      </c>
      <c r="F45">
        <v>423</v>
      </c>
      <c r="G45">
        <v>423</v>
      </c>
      <c r="H45">
        <v>427</v>
      </c>
      <c r="I45">
        <v>427</v>
      </c>
      <c r="J45">
        <v>427</v>
      </c>
      <c r="K45">
        <v>427</v>
      </c>
      <c r="L45">
        <v>429</v>
      </c>
      <c r="M45">
        <v>428</v>
      </c>
      <c r="N45">
        <v>428</v>
      </c>
      <c r="O45">
        <v>428</v>
      </c>
    </row>
    <row r="46" spans="1:15" x14ac:dyDescent="0.35">
      <c r="A46" s="41">
        <f>Dashboard!A58</f>
        <v>2</v>
      </c>
      <c r="B46" s="41" t="str">
        <f>Dashboard!B58</f>
        <v>CCCR-SEWER</v>
      </c>
      <c r="C46" s="41" t="str">
        <f>Dashboard!C58</f>
        <v>No.</v>
      </c>
      <c r="D46">
        <v>338</v>
      </c>
      <c r="E46">
        <v>339</v>
      </c>
      <c r="F46">
        <v>338</v>
      </c>
      <c r="G46">
        <v>339</v>
      </c>
      <c r="H46">
        <v>341</v>
      </c>
      <c r="I46">
        <v>341</v>
      </c>
      <c r="J46">
        <v>341</v>
      </c>
      <c r="K46">
        <v>340</v>
      </c>
      <c r="L46">
        <v>342</v>
      </c>
      <c r="M46">
        <v>351</v>
      </c>
      <c r="N46">
        <v>351</v>
      </c>
      <c r="O46">
        <v>351</v>
      </c>
    </row>
    <row r="47" spans="1:15" x14ac:dyDescent="0.35">
      <c r="A47" s="41">
        <f>Dashboard!A59</f>
        <v>3</v>
      </c>
      <c r="B47" s="41" t="str">
        <f>Dashboard!B59</f>
        <v>KABATI-SEWER</v>
      </c>
      <c r="C47" s="41" t="str">
        <f>Dashboard!C59</f>
        <v>No.</v>
      </c>
      <c r="D47">
        <v>293</v>
      </c>
      <c r="E47">
        <v>296</v>
      </c>
      <c r="F47">
        <v>296</v>
      </c>
      <c r="G47">
        <v>305</v>
      </c>
      <c r="H47">
        <v>309</v>
      </c>
      <c r="I47">
        <v>309</v>
      </c>
      <c r="J47">
        <v>310</v>
      </c>
      <c r="K47">
        <v>310</v>
      </c>
      <c r="L47">
        <v>312</v>
      </c>
      <c r="M47">
        <v>312</v>
      </c>
      <c r="N47">
        <v>313</v>
      </c>
      <c r="O47">
        <v>313</v>
      </c>
    </row>
    <row r="48" spans="1:15" x14ac:dyDescent="0.35">
      <c r="A48" s="41">
        <f>Dashboard!A60</f>
        <v>4</v>
      </c>
      <c r="B48" s="41" t="str">
        <f>Dashboard!B60</f>
        <v>SITE- SEWER</v>
      </c>
      <c r="C48" s="41" t="str">
        <f>Dashboard!C60</f>
        <v>No.</v>
      </c>
      <c r="D48">
        <v>510</v>
      </c>
      <c r="E48">
        <v>510</v>
      </c>
      <c r="F48">
        <v>509</v>
      </c>
      <c r="G48">
        <v>508</v>
      </c>
      <c r="H48">
        <v>510</v>
      </c>
      <c r="I48">
        <v>511</v>
      </c>
      <c r="J48">
        <v>511</v>
      </c>
      <c r="K48">
        <v>510</v>
      </c>
      <c r="L48">
        <v>510</v>
      </c>
      <c r="M48">
        <v>512</v>
      </c>
      <c r="N48">
        <v>512</v>
      </c>
      <c r="O48">
        <v>512</v>
      </c>
    </row>
    <row r="49" spans="1:15" x14ac:dyDescent="0.35">
      <c r="A49" s="41">
        <f>Dashboard!A61</f>
        <v>5</v>
      </c>
      <c r="B49" s="41" t="str">
        <f>Dashboard!B61</f>
        <v>KIHOTO- SEWER</v>
      </c>
      <c r="C49" s="41" t="str">
        <f>Dashboard!C61</f>
        <v>No.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</row>
    <row r="50" spans="1:15" x14ac:dyDescent="0.35">
      <c r="A50" s="41">
        <f>Dashboard!A64</f>
        <v>0</v>
      </c>
      <c r="B50" s="41" t="str">
        <f>Dashboard!B64</f>
        <v>TOTAL SEWER CONNECTION CENTRAL REGION</v>
      </c>
      <c r="C50" s="41" t="str">
        <f>Dashboard!C64</f>
        <v>No.</v>
      </c>
      <c r="D50" s="46">
        <v>1562</v>
      </c>
      <c r="E50" s="46">
        <v>1568</v>
      </c>
      <c r="F50" s="46">
        <v>1566</v>
      </c>
      <c r="G50" s="46">
        <v>1575</v>
      </c>
      <c r="H50" s="46">
        <v>1587</v>
      </c>
      <c r="I50" s="46">
        <v>1588</v>
      </c>
      <c r="J50" s="46">
        <v>1589</v>
      </c>
      <c r="K50" s="46">
        <v>1587</v>
      </c>
      <c r="L50" s="46">
        <v>1593</v>
      </c>
      <c r="M50" s="46">
        <v>1603</v>
      </c>
      <c r="N50" s="46">
        <v>1604</v>
      </c>
      <c r="O50" s="46">
        <v>1604</v>
      </c>
    </row>
    <row r="51" spans="1:15" x14ac:dyDescent="0.35">
      <c r="A51" s="41">
        <f>Dashboard!A66</f>
        <v>1</v>
      </c>
      <c r="B51" s="41" t="str">
        <f>Dashboard!B66</f>
        <v>HELLSGATE-SEWER</v>
      </c>
      <c r="C51" s="41" t="str">
        <f>Dashboard!C66</f>
        <v>No.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</row>
    <row r="52" spans="1:15" x14ac:dyDescent="0.35">
      <c r="A52" s="41">
        <f>Dashboard!A67</f>
        <v>2</v>
      </c>
      <c r="B52" s="41" t="str">
        <f>Dashboard!B67</f>
        <v>KAMERE-  SEWER</v>
      </c>
      <c r="C52" s="41" t="str">
        <f>Dashboard!C67</f>
        <v>No.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</row>
    <row r="53" spans="1:15" x14ac:dyDescent="0.35">
      <c r="A53" s="41">
        <f>Dashboard!A71</f>
        <v>1</v>
      </c>
      <c r="B53" s="41" t="str">
        <f>Dashboard!B71</f>
        <v>KAYOLE-SEWER</v>
      </c>
      <c r="C53" s="41" t="str">
        <f>Dashboard!C71</f>
        <v>No.</v>
      </c>
      <c r="D53">
        <v>0</v>
      </c>
      <c r="E53">
        <v>0</v>
      </c>
      <c r="F53">
        <v>0</v>
      </c>
      <c r="G53">
        <v>2</v>
      </c>
      <c r="H53">
        <v>2</v>
      </c>
      <c r="I53">
        <v>2</v>
      </c>
      <c r="J53">
        <v>2</v>
      </c>
      <c r="K53">
        <v>2</v>
      </c>
      <c r="L53">
        <v>65</v>
      </c>
      <c r="M53">
        <v>68</v>
      </c>
      <c r="N53">
        <v>68</v>
      </c>
      <c r="O53">
        <v>68</v>
      </c>
    </row>
    <row r="54" spans="1:15" x14ac:dyDescent="0.35">
      <c r="A54" s="41">
        <f>Dashboard!A62</f>
        <v>6</v>
      </c>
      <c r="B54" s="41" t="str">
        <f>Dashboard!B62</f>
        <v>LAKEVIEW- SEWER</v>
      </c>
      <c r="C54" s="41" t="str">
        <f>Dashboard!C62</f>
        <v>No.</v>
      </c>
      <c r="D54">
        <v>142</v>
      </c>
      <c r="E54">
        <v>144</v>
      </c>
      <c r="F54">
        <v>144</v>
      </c>
      <c r="G54">
        <v>148</v>
      </c>
      <c r="H54">
        <v>150</v>
      </c>
      <c r="I54">
        <v>149</v>
      </c>
      <c r="J54">
        <v>149</v>
      </c>
      <c r="K54">
        <v>150</v>
      </c>
      <c r="L54">
        <v>154</v>
      </c>
      <c r="M54">
        <v>151</v>
      </c>
      <c r="N54">
        <v>151</v>
      </c>
      <c r="O54">
        <v>151</v>
      </c>
    </row>
    <row r="55" spans="1:15" x14ac:dyDescent="0.35">
      <c r="A55" s="41">
        <f>Dashboard!A68</f>
        <v>3</v>
      </c>
      <c r="B55" s="41" t="str">
        <f>Dashboard!B68</f>
        <v>MAI-MAHIU-SEWER</v>
      </c>
      <c r="C55" s="41" t="str">
        <f>Dashboard!C68</f>
        <v>No.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</row>
    <row r="56" spans="1:15" x14ac:dyDescent="0.35">
      <c r="A56" s="41">
        <f>Dashboard!A69</f>
        <v>0</v>
      </c>
      <c r="B56" s="41" t="str">
        <f>Dashboard!B69</f>
        <v>TOTAL SEWER CONNECTION SOUTHERNREGION</v>
      </c>
      <c r="C56" s="41" t="str">
        <f>Dashboard!C69</f>
        <v>No.</v>
      </c>
      <c r="D56" s="46">
        <v>142</v>
      </c>
      <c r="E56" s="46">
        <v>144</v>
      </c>
      <c r="F56" s="46">
        <v>144</v>
      </c>
      <c r="G56" s="46">
        <v>150</v>
      </c>
      <c r="H56" s="46">
        <v>152</v>
      </c>
      <c r="I56" s="46">
        <v>151</v>
      </c>
      <c r="J56" s="46">
        <v>151</v>
      </c>
      <c r="K56" s="46">
        <v>152</v>
      </c>
      <c r="L56" s="46">
        <v>219</v>
      </c>
      <c r="M56" s="46">
        <v>219</v>
      </c>
      <c r="N56" s="46">
        <v>219</v>
      </c>
      <c r="O56" s="46">
        <v>219</v>
      </c>
    </row>
    <row r="57" spans="1:15" x14ac:dyDescent="0.35">
      <c r="A57" s="41" t="str">
        <f>Dashboard!A72</f>
        <v>TOTAL ACTIVE CONNECTIONS-WATER</v>
      </c>
    </row>
    <row r="58" spans="1:15" x14ac:dyDescent="0.35">
      <c r="A58" s="41">
        <f>Dashboard!A73</f>
        <v>1</v>
      </c>
      <c r="B58" s="41" t="str">
        <f>Dashboard!B73</f>
        <v>CBD- ACTIVE WATER</v>
      </c>
      <c r="C58" s="41" t="str">
        <f>Dashboard!C73</f>
        <v>No.</v>
      </c>
      <c r="D58">
        <v>560</v>
      </c>
      <c r="E58">
        <v>558</v>
      </c>
      <c r="F58">
        <v>556</v>
      </c>
      <c r="G58">
        <v>562</v>
      </c>
      <c r="H58">
        <v>568</v>
      </c>
      <c r="I58">
        <v>568</v>
      </c>
      <c r="J58">
        <v>569</v>
      </c>
      <c r="K58">
        <v>570</v>
      </c>
      <c r="L58">
        <v>574</v>
      </c>
      <c r="M58">
        <v>574</v>
      </c>
      <c r="N58">
        <v>575</v>
      </c>
      <c r="O58">
        <v>576</v>
      </c>
    </row>
    <row r="59" spans="1:15" x14ac:dyDescent="0.35">
      <c r="A59" s="41">
        <f>Dashboard!A74</f>
        <v>2</v>
      </c>
      <c r="B59" s="41" t="str">
        <f>Dashboard!B74</f>
        <v>CCCR- ACTIVE WATER</v>
      </c>
      <c r="C59" s="41" t="str">
        <f>Dashboard!C74</f>
        <v>No.</v>
      </c>
      <c r="D59">
        <v>490</v>
      </c>
      <c r="E59">
        <v>503</v>
      </c>
      <c r="F59">
        <v>506</v>
      </c>
      <c r="G59">
        <v>510</v>
      </c>
      <c r="H59">
        <v>517</v>
      </c>
      <c r="I59">
        <v>523</v>
      </c>
      <c r="J59">
        <v>526</v>
      </c>
      <c r="K59">
        <v>530</v>
      </c>
      <c r="L59">
        <v>534</v>
      </c>
      <c r="M59">
        <v>537</v>
      </c>
      <c r="N59">
        <v>540</v>
      </c>
      <c r="O59">
        <v>543</v>
      </c>
    </row>
    <row r="60" spans="1:15" x14ac:dyDescent="0.35">
      <c r="A60" s="41">
        <f>Dashboard!A75</f>
        <v>3</v>
      </c>
      <c r="B60" s="41" t="str">
        <f>Dashboard!B75</f>
        <v>KABATI- ACTIVE WATER</v>
      </c>
      <c r="C60" s="41" t="str">
        <f>Dashboard!C75</f>
        <v>No.</v>
      </c>
      <c r="D60">
        <v>689</v>
      </c>
      <c r="E60">
        <v>701</v>
      </c>
      <c r="F60">
        <v>704</v>
      </c>
      <c r="G60">
        <v>703</v>
      </c>
      <c r="H60">
        <v>708</v>
      </c>
      <c r="I60">
        <v>714</v>
      </c>
      <c r="J60">
        <v>732</v>
      </c>
      <c r="K60">
        <v>741</v>
      </c>
      <c r="L60">
        <v>743</v>
      </c>
      <c r="M60">
        <v>750</v>
      </c>
      <c r="N60">
        <v>754</v>
      </c>
      <c r="O60">
        <v>758</v>
      </c>
    </row>
    <row r="61" spans="1:15" x14ac:dyDescent="0.35">
      <c r="A61" s="41">
        <f>Dashboard!A76</f>
        <v>4</v>
      </c>
      <c r="B61" s="41" t="str">
        <f>Dashboard!B76</f>
        <v>SITE- ACTIVE WATER</v>
      </c>
      <c r="C61" s="41" t="str">
        <f>Dashboard!C76</f>
        <v>No.</v>
      </c>
      <c r="D61">
        <v>729</v>
      </c>
      <c r="E61">
        <v>736</v>
      </c>
      <c r="F61">
        <v>745</v>
      </c>
      <c r="G61">
        <v>753</v>
      </c>
      <c r="H61">
        <v>757</v>
      </c>
      <c r="I61">
        <v>759</v>
      </c>
      <c r="J61">
        <v>771</v>
      </c>
      <c r="K61">
        <v>775</v>
      </c>
      <c r="L61">
        <v>777</v>
      </c>
      <c r="M61">
        <v>782</v>
      </c>
      <c r="N61">
        <v>784</v>
      </c>
      <c r="O61">
        <v>786</v>
      </c>
    </row>
    <row r="62" spans="1:15" x14ac:dyDescent="0.35">
      <c r="A62" s="41">
        <f>Dashboard!A77</f>
        <v>5</v>
      </c>
      <c r="B62" s="41" t="str">
        <f>Dashboard!B77</f>
        <v>KIHOTO-ACTIVE WATER</v>
      </c>
      <c r="C62" s="41" t="str">
        <f>Dashboard!C77</f>
        <v>No.</v>
      </c>
      <c r="D62">
        <v>126</v>
      </c>
      <c r="E62">
        <v>127</v>
      </c>
      <c r="F62">
        <v>128</v>
      </c>
      <c r="G62">
        <v>131</v>
      </c>
      <c r="H62">
        <v>131</v>
      </c>
      <c r="I62">
        <v>132</v>
      </c>
      <c r="J62">
        <v>134</v>
      </c>
      <c r="K62">
        <v>135</v>
      </c>
      <c r="L62">
        <v>135</v>
      </c>
      <c r="M62">
        <v>140</v>
      </c>
      <c r="N62">
        <v>143</v>
      </c>
      <c r="O62">
        <v>143</v>
      </c>
    </row>
    <row r="63" spans="1:15" x14ac:dyDescent="0.35">
      <c r="A63" s="41">
        <f>Dashboard!A80</f>
        <v>0</v>
      </c>
      <c r="B63" s="41" t="str">
        <f>Dashboard!B80</f>
        <v>TOTAL ACTIVE WATER CONNECTION CENTRAL REGION</v>
      </c>
      <c r="C63" s="41" t="str">
        <f>Dashboard!C80</f>
        <v>No.</v>
      </c>
      <c r="D63" s="46">
        <v>2594</v>
      </c>
      <c r="E63" s="46">
        <v>2625</v>
      </c>
      <c r="F63" s="46">
        <v>2639</v>
      </c>
      <c r="G63" s="46">
        <v>2659</v>
      </c>
      <c r="H63" s="46">
        <v>2681</v>
      </c>
      <c r="I63" s="46">
        <v>2696</v>
      </c>
      <c r="J63" s="46">
        <v>2732</v>
      </c>
      <c r="K63" s="46">
        <v>2751</v>
      </c>
      <c r="L63" s="46">
        <v>2763</v>
      </c>
      <c r="M63" s="46">
        <v>2783</v>
      </c>
      <c r="N63" s="46">
        <v>2796</v>
      </c>
      <c r="O63" s="46">
        <v>2806</v>
      </c>
    </row>
    <row r="64" spans="1:15" x14ac:dyDescent="0.35">
      <c r="A64" s="41">
        <f>Dashboard!A81</f>
        <v>1</v>
      </c>
      <c r="B64" s="41" t="str">
        <f>Dashboard!B81</f>
        <v>HELLSGATE- ACTIVE WATER</v>
      </c>
      <c r="C64" s="41" t="str">
        <f>Dashboard!C81</f>
        <v>No.</v>
      </c>
      <c r="D64">
        <v>811</v>
      </c>
      <c r="E64">
        <v>842</v>
      </c>
      <c r="F64">
        <v>876</v>
      </c>
      <c r="G64">
        <v>930</v>
      </c>
      <c r="H64">
        <v>967</v>
      </c>
      <c r="I64">
        <v>995</v>
      </c>
      <c r="J64">
        <v>1027</v>
      </c>
      <c r="K64">
        <v>1065</v>
      </c>
      <c r="L64">
        <v>1088</v>
      </c>
      <c r="M64">
        <v>1137</v>
      </c>
      <c r="N64">
        <v>1146</v>
      </c>
      <c r="O64">
        <v>1158</v>
      </c>
    </row>
    <row r="65" spans="1:15" x14ac:dyDescent="0.35">
      <c r="A65" s="41">
        <f>Dashboard!A82</f>
        <v>2</v>
      </c>
      <c r="B65" s="41" t="str">
        <f>Dashboard!B82</f>
        <v>KAMERE- ACTIVE WATER</v>
      </c>
      <c r="C65" s="41" t="str">
        <f>Dashboard!C82</f>
        <v>No.</v>
      </c>
      <c r="D65">
        <v>228</v>
      </c>
      <c r="E65">
        <v>230</v>
      </c>
      <c r="F65">
        <v>231</v>
      </c>
      <c r="G65">
        <v>231</v>
      </c>
      <c r="H65">
        <v>231</v>
      </c>
      <c r="I65">
        <v>231</v>
      </c>
      <c r="J65">
        <v>231</v>
      </c>
      <c r="K65">
        <v>232</v>
      </c>
      <c r="L65">
        <v>233</v>
      </c>
      <c r="M65">
        <v>234</v>
      </c>
      <c r="N65">
        <v>236</v>
      </c>
      <c r="O65">
        <v>236</v>
      </c>
    </row>
    <row r="66" spans="1:15" x14ac:dyDescent="0.35">
      <c r="A66" s="41">
        <f>Dashboard!A87</f>
        <v>1</v>
      </c>
      <c r="B66" s="41" t="str">
        <f>Dashboard!B87</f>
        <v>KAYOLE- ACTIVE WATER</v>
      </c>
      <c r="C66" s="41" t="str">
        <f>Dashboard!C87</f>
        <v>No.</v>
      </c>
      <c r="D66">
        <v>1743</v>
      </c>
      <c r="E66">
        <v>1761</v>
      </c>
      <c r="F66">
        <v>1780</v>
      </c>
      <c r="G66">
        <v>1798</v>
      </c>
      <c r="H66">
        <v>1825</v>
      </c>
      <c r="I66">
        <v>1841</v>
      </c>
      <c r="J66">
        <v>1866</v>
      </c>
      <c r="K66">
        <v>1882</v>
      </c>
      <c r="L66">
        <v>1944</v>
      </c>
      <c r="M66">
        <v>1990</v>
      </c>
      <c r="N66">
        <v>2001</v>
      </c>
      <c r="O66">
        <v>2028</v>
      </c>
    </row>
    <row r="67" spans="1:15" x14ac:dyDescent="0.35">
      <c r="A67" s="41">
        <f>Dashboard!A78</f>
        <v>6</v>
      </c>
      <c r="B67" s="41" t="str">
        <f>Dashboard!B78</f>
        <v>LAKEVIEW- ACTIVE WATER</v>
      </c>
      <c r="C67" s="41" t="str">
        <f>Dashboard!C78</f>
        <v>No.</v>
      </c>
      <c r="D67">
        <v>969</v>
      </c>
      <c r="E67">
        <v>978</v>
      </c>
      <c r="F67">
        <v>957</v>
      </c>
      <c r="G67">
        <v>964</v>
      </c>
      <c r="H67">
        <v>981</v>
      </c>
      <c r="I67">
        <v>991</v>
      </c>
      <c r="J67">
        <v>998</v>
      </c>
      <c r="K67">
        <v>1007</v>
      </c>
      <c r="L67">
        <v>1040</v>
      </c>
      <c r="M67">
        <v>1066</v>
      </c>
      <c r="N67">
        <v>1068</v>
      </c>
      <c r="O67">
        <v>1069</v>
      </c>
    </row>
    <row r="68" spans="1:15" x14ac:dyDescent="0.35">
      <c r="A68" s="41">
        <f>Dashboard!A83</f>
        <v>3</v>
      </c>
      <c r="B68" s="41" t="str">
        <f>Dashboard!B83</f>
        <v>MAI-MAHIU- ACTIVE WATER</v>
      </c>
      <c r="C68" s="41" t="str">
        <f>Dashboard!C83</f>
        <v>No.</v>
      </c>
      <c r="D68">
        <v>72</v>
      </c>
      <c r="E68">
        <v>76</v>
      </c>
      <c r="F68">
        <v>94</v>
      </c>
      <c r="G68">
        <v>101</v>
      </c>
      <c r="H68">
        <v>130</v>
      </c>
      <c r="I68">
        <v>154</v>
      </c>
      <c r="J68">
        <v>178</v>
      </c>
      <c r="K68">
        <v>188</v>
      </c>
      <c r="L68">
        <v>197</v>
      </c>
      <c r="M68">
        <v>231</v>
      </c>
      <c r="N68">
        <v>235</v>
      </c>
      <c r="O68">
        <v>242</v>
      </c>
    </row>
    <row r="69" spans="1:15" x14ac:dyDescent="0.35">
      <c r="A69" s="41">
        <f>Dashboard!A85</f>
        <v>0</v>
      </c>
      <c r="B69" s="41" t="str">
        <f>Dashboard!B85</f>
        <v>TOTAL ACTIVE WATER CONNECTION SOUTHERN REGION</v>
      </c>
      <c r="C69" s="41" t="str">
        <f>Dashboard!C85</f>
        <v>No.</v>
      </c>
      <c r="D69" s="46">
        <v>3823</v>
      </c>
      <c r="E69" s="46">
        <v>3887</v>
      </c>
      <c r="F69" s="46">
        <v>3938</v>
      </c>
      <c r="G69" s="46">
        <v>4024</v>
      </c>
      <c r="H69" s="46">
        <v>4134</v>
      </c>
      <c r="I69" s="46">
        <v>4212</v>
      </c>
      <c r="J69" s="46">
        <v>4300</v>
      </c>
      <c r="K69" s="46">
        <v>4374</v>
      </c>
      <c r="L69" s="46">
        <v>4502</v>
      </c>
      <c r="M69" s="46">
        <v>4658</v>
      </c>
      <c r="N69" s="46">
        <v>4686</v>
      </c>
      <c r="O69" s="46">
        <v>4733</v>
      </c>
    </row>
    <row r="70" spans="1:15" x14ac:dyDescent="0.35">
      <c r="A70" s="41" t="str">
        <f>Dashboard!A90</f>
        <v>TOTAL ACTIVE CONNECTIONS-SEWER</v>
      </c>
    </row>
    <row r="71" spans="1:15" x14ac:dyDescent="0.35">
      <c r="A71" s="41">
        <f>Dashboard!A91</f>
        <v>1</v>
      </c>
      <c r="B71" s="41" t="str">
        <f>Dashboard!B91</f>
        <v>CBD- ACTIVE SEWER</v>
      </c>
      <c r="C71" s="41" t="str">
        <f>Dashboard!C91</f>
        <v>No.</v>
      </c>
      <c r="D71">
        <v>372</v>
      </c>
      <c r="E71">
        <v>373</v>
      </c>
      <c r="F71">
        <v>373</v>
      </c>
      <c r="G71">
        <v>373</v>
      </c>
      <c r="H71">
        <v>375</v>
      </c>
      <c r="I71">
        <v>375</v>
      </c>
      <c r="J71">
        <v>375</v>
      </c>
      <c r="K71">
        <v>375</v>
      </c>
      <c r="L71">
        <v>374</v>
      </c>
      <c r="M71">
        <v>374</v>
      </c>
      <c r="N71">
        <v>374</v>
      </c>
      <c r="O71">
        <v>373</v>
      </c>
    </row>
    <row r="72" spans="1:15" x14ac:dyDescent="0.35">
      <c r="A72" s="41">
        <f>Dashboard!A92</f>
        <v>2</v>
      </c>
      <c r="B72" s="41" t="str">
        <f>Dashboard!B92</f>
        <v>CCCR- ACTIVE SEWER</v>
      </c>
      <c r="C72" s="41" t="str">
        <f>Dashboard!C92</f>
        <v>No.</v>
      </c>
      <c r="D72">
        <v>297</v>
      </c>
      <c r="E72">
        <v>300</v>
      </c>
      <c r="F72">
        <v>297</v>
      </c>
      <c r="G72">
        <v>300</v>
      </c>
      <c r="H72">
        <v>300</v>
      </c>
      <c r="I72">
        <v>301</v>
      </c>
      <c r="J72">
        <v>301</v>
      </c>
      <c r="K72">
        <v>299</v>
      </c>
      <c r="L72">
        <v>301</v>
      </c>
      <c r="M72">
        <v>310</v>
      </c>
      <c r="N72">
        <v>310</v>
      </c>
      <c r="O72">
        <v>311</v>
      </c>
    </row>
    <row r="73" spans="1:15" x14ac:dyDescent="0.35">
      <c r="A73" s="41">
        <f>Dashboard!A93</f>
        <v>3</v>
      </c>
      <c r="B73" s="41" t="str">
        <f>Dashboard!B93</f>
        <v>KABATI- ACTIVE SEWER</v>
      </c>
      <c r="C73" s="41" t="str">
        <f>Dashboard!C93</f>
        <v>No.</v>
      </c>
      <c r="D73">
        <v>270</v>
      </c>
      <c r="E73">
        <v>274</v>
      </c>
      <c r="F73">
        <v>275</v>
      </c>
      <c r="G73">
        <v>283</v>
      </c>
      <c r="H73">
        <v>284</v>
      </c>
      <c r="I73">
        <v>285</v>
      </c>
      <c r="J73">
        <v>288</v>
      </c>
      <c r="K73">
        <v>289</v>
      </c>
      <c r="L73">
        <v>291</v>
      </c>
      <c r="M73">
        <v>291</v>
      </c>
      <c r="N73">
        <v>292</v>
      </c>
      <c r="O73">
        <v>292</v>
      </c>
    </row>
    <row r="74" spans="1:15" x14ac:dyDescent="0.35">
      <c r="A74" s="41">
        <f>Dashboard!A94</f>
        <v>4</v>
      </c>
      <c r="B74" s="41" t="str">
        <f>Dashboard!B94</f>
        <v>SITE- ACTIVE SEWER</v>
      </c>
      <c r="C74" s="41" t="str">
        <f>Dashboard!C94</f>
        <v>No.</v>
      </c>
      <c r="D74">
        <v>451</v>
      </c>
      <c r="E74">
        <v>453</v>
      </c>
      <c r="F74">
        <v>452</v>
      </c>
      <c r="G74">
        <v>450</v>
      </c>
      <c r="H74">
        <v>453</v>
      </c>
      <c r="I74">
        <v>452</v>
      </c>
      <c r="J74">
        <v>453</v>
      </c>
      <c r="K74">
        <v>452</v>
      </c>
      <c r="L74">
        <v>452</v>
      </c>
      <c r="M74">
        <v>454</v>
      </c>
      <c r="N74">
        <v>454</v>
      </c>
      <c r="O74">
        <v>453</v>
      </c>
    </row>
    <row r="75" spans="1:15" x14ac:dyDescent="0.35">
      <c r="A75" s="41">
        <f>Dashboard!A95</f>
        <v>5</v>
      </c>
      <c r="B75" s="41" t="str">
        <f>Dashboard!B95</f>
        <v>KIHOTO- ACTIVE SEWER</v>
      </c>
      <c r="C75" s="41" t="str">
        <f>Dashboard!C95</f>
        <v>No.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</row>
    <row r="76" spans="1:15" x14ac:dyDescent="0.35">
      <c r="A76" s="41">
        <f>Dashboard!A98</f>
        <v>0</v>
      </c>
      <c r="B76" s="41" t="str">
        <f>Dashboard!B98</f>
        <v>TOTAL ACTIVE SEWER CONNECTION CENTRAL REGION</v>
      </c>
      <c r="C76" s="41" t="str">
        <f>Dashboard!C98</f>
        <v>No.</v>
      </c>
      <c r="D76" s="46">
        <v>1390</v>
      </c>
      <c r="E76" s="46">
        <v>1400</v>
      </c>
      <c r="F76" s="46">
        <v>1397</v>
      </c>
      <c r="G76" s="46">
        <v>1406</v>
      </c>
      <c r="H76" s="46">
        <v>1412</v>
      </c>
      <c r="I76" s="46">
        <v>1413</v>
      </c>
      <c r="J76" s="46">
        <v>1417</v>
      </c>
      <c r="K76" s="46">
        <v>1415</v>
      </c>
      <c r="L76" s="46">
        <v>1418</v>
      </c>
      <c r="M76" s="46">
        <v>1429</v>
      </c>
      <c r="N76" s="46">
        <v>1430</v>
      </c>
      <c r="O76" s="46">
        <v>1429</v>
      </c>
    </row>
    <row r="77" spans="1:15" x14ac:dyDescent="0.35">
      <c r="A77" s="41">
        <f>Dashboard!A99</f>
        <v>1</v>
      </c>
      <c r="B77" s="41" t="str">
        <f>Dashboard!B99</f>
        <v>HELLSGATE- ACTIVE SEWER</v>
      </c>
      <c r="C77" s="41" t="str">
        <f>Dashboard!C99</f>
        <v>No.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</row>
    <row r="78" spans="1:15" x14ac:dyDescent="0.35">
      <c r="A78" s="41">
        <f>Dashboard!A100</f>
        <v>2</v>
      </c>
      <c r="B78" s="41" t="str">
        <f>Dashboard!B100</f>
        <v>KAMERE- ACTIVE SEWER</v>
      </c>
      <c r="C78" s="41" t="str">
        <f>Dashboard!C100</f>
        <v>No.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</row>
    <row r="79" spans="1:15" x14ac:dyDescent="0.35">
      <c r="A79" s="41">
        <f>Dashboard!A104</f>
        <v>1</v>
      </c>
      <c r="B79" s="41" t="str">
        <f>Dashboard!B104</f>
        <v>KAYOLE- ACTIVE SEWER</v>
      </c>
      <c r="C79" s="41" t="str">
        <f>Dashboard!C104</f>
        <v>No.</v>
      </c>
      <c r="D79">
        <v>0</v>
      </c>
      <c r="E79">
        <v>0</v>
      </c>
      <c r="F79">
        <v>0</v>
      </c>
      <c r="G79">
        <v>1</v>
      </c>
      <c r="H79">
        <v>1</v>
      </c>
      <c r="I79">
        <v>1</v>
      </c>
      <c r="J79">
        <v>1</v>
      </c>
      <c r="K79">
        <v>1</v>
      </c>
      <c r="L79">
        <v>47</v>
      </c>
      <c r="M79">
        <v>68</v>
      </c>
      <c r="N79">
        <v>68</v>
      </c>
      <c r="O79">
        <v>68</v>
      </c>
    </row>
    <row r="80" spans="1:15" x14ac:dyDescent="0.35">
      <c r="A80" s="41">
        <f>Dashboard!A96</f>
        <v>6</v>
      </c>
      <c r="B80" s="41" t="str">
        <f>Dashboard!B96</f>
        <v>LAKEVIEW- ACTIVE SEWER</v>
      </c>
      <c r="C80" s="41" t="str">
        <f>Dashboard!C96</f>
        <v>No.</v>
      </c>
      <c r="D80">
        <v>113</v>
      </c>
      <c r="E80">
        <v>116</v>
      </c>
      <c r="F80">
        <v>114</v>
      </c>
      <c r="G80">
        <v>118</v>
      </c>
      <c r="H80">
        <v>122</v>
      </c>
      <c r="I80">
        <v>122</v>
      </c>
      <c r="J80">
        <v>121</v>
      </c>
      <c r="K80">
        <v>123</v>
      </c>
      <c r="L80">
        <v>125</v>
      </c>
      <c r="M80">
        <v>124</v>
      </c>
      <c r="N80">
        <v>124</v>
      </c>
      <c r="O80">
        <v>124</v>
      </c>
    </row>
    <row r="81" spans="1:15" x14ac:dyDescent="0.35">
      <c r="A81" s="41">
        <f>Dashboard!A101</f>
        <v>3</v>
      </c>
      <c r="B81" s="41" t="str">
        <f>Dashboard!B101</f>
        <v>MAI-MAHIU- ACTIVE SEWER</v>
      </c>
      <c r="C81" s="41" t="str">
        <f>Dashboard!C101</f>
        <v>No.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</row>
    <row r="82" spans="1:15" x14ac:dyDescent="0.35">
      <c r="A82" s="41">
        <f>Dashboard!A102</f>
        <v>0</v>
      </c>
      <c r="B82" s="41" t="str">
        <f>Dashboard!B102</f>
        <v>TOTAL ACTIVE SEWER CONNECTION SOUTHERN REGION</v>
      </c>
      <c r="C82" s="41" t="str">
        <f>Dashboard!C102</f>
        <v>No.</v>
      </c>
      <c r="D82" s="46">
        <v>113</v>
      </c>
      <c r="E82" s="46">
        <v>116</v>
      </c>
      <c r="F82" s="46">
        <v>114</v>
      </c>
      <c r="G82" s="46">
        <v>119</v>
      </c>
      <c r="H82" s="46">
        <v>123</v>
      </c>
      <c r="I82" s="46">
        <v>123</v>
      </c>
      <c r="J82" s="46">
        <v>122</v>
      </c>
      <c r="K82" s="46">
        <v>124</v>
      </c>
      <c r="L82" s="46">
        <v>172</v>
      </c>
      <c r="M82" s="46">
        <v>192</v>
      </c>
      <c r="N82" s="46">
        <v>192</v>
      </c>
      <c r="O82" s="46">
        <v>192</v>
      </c>
    </row>
    <row r="83" spans="1:15" x14ac:dyDescent="0.35">
      <c r="A83" s="41" t="str">
        <f>Dashboard!A105</f>
        <v>SUMMARY CONNECTIONS</v>
      </c>
    </row>
    <row r="84" spans="1:15" x14ac:dyDescent="0.35">
      <c r="A84" s="41">
        <f>Dashboard!A106</f>
        <v>1</v>
      </c>
      <c r="B84" s="41" t="str">
        <f>Dashboard!B106</f>
        <v>TOTAL WATER CONNECTIONS</v>
      </c>
      <c r="C84" s="41" t="str">
        <f>Dashboard!C106</f>
        <v>No.</v>
      </c>
      <c r="D84" s="41">
        <v>7757</v>
      </c>
      <c r="E84" s="41">
        <v>7866</v>
      </c>
      <c r="F84" s="41">
        <v>8031</v>
      </c>
      <c r="G84" s="41">
        <v>8345</v>
      </c>
      <c r="H84" s="41">
        <v>8532</v>
      </c>
      <c r="I84" s="41">
        <v>8767</v>
      </c>
      <c r="J84" s="41">
        <v>8818</v>
      </c>
      <c r="K84" s="41">
        <v>8917</v>
      </c>
      <c r="L84" s="41">
        <v>9078</v>
      </c>
      <c r="M84" s="41">
        <v>9152</v>
      </c>
      <c r="N84" s="41">
        <v>9204</v>
      </c>
      <c r="O84" s="41">
        <v>9317</v>
      </c>
    </row>
    <row r="85" spans="1:15" x14ac:dyDescent="0.35">
      <c r="A85" s="41">
        <f>Dashboard!A107</f>
        <v>2</v>
      </c>
      <c r="B85" s="41" t="str">
        <f>Dashboard!B107</f>
        <v xml:space="preserve">TOTAL SEWER CONNECTIONS </v>
      </c>
      <c r="C85" s="41" t="str">
        <f>Dashboard!C107</f>
        <v>No.</v>
      </c>
      <c r="D85" s="41">
        <v>1704</v>
      </c>
      <c r="E85" s="41">
        <v>1712</v>
      </c>
      <c r="F85" s="41">
        <v>1710</v>
      </c>
      <c r="G85" s="41">
        <v>1725</v>
      </c>
      <c r="H85" s="41">
        <v>1739</v>
      </c>
      <c r="I85" s="41">
        <v>1739</v>
      </c>
      <c r="J85" s="41">
        <v>1740</v>
      </c>
      <c r="K85" s="41">
        <v>1739</v>
      </c>
      <c r="L85" s="41">
        <v>1812</v>
      </c>
      <c r="M85" s="41">
        <v>1822</v>
      </c>
      <c r="N85" s="41">
        <v>1823</v>
      </c>
      <c r="O85" s="41">
        <v>1823</v>
      </c>
    </row>
    <row r="86" spans="1:15" x14ac:dyDescent="0.35">
      <c r="A86" s="41">
        <f>Dashboard!A108</f>
        <v>3</v>
      </c>
      <c r="B86" s="41" t="str">
        <f>Dashboard!B108</f>
        <v>TOTAL ACTIVE WATER CONNECTIONS</v>
      </c>
      <c r="C86" s="41" t="str">
        <f>Dashboard!C108</f>
        <v>No.</v>
      </c>
      <c r="D86" s="41">
        <v>6417</v>
      </c>
      <c r="E86" s="41">
        <v>6512</v>
      </c>
      <c r="F86" s="41">
        <v>6577</v>
      </c>
      <c r="G86" s="41">
        <v>6683</v>
      </c>
      <c r="H86" s="41">
        <v>6815</v>
      </c>
      <c r="I86" s="41">
        <v>6908</v>
      </c>
      <c r="J86" s="41">
        <v>7032</v>
      </c>
      <c r="K86" s="41">
        <v>7125</v>
      </c>
      <c r="L86" s="41">
        <v>7265</v>
      </c>
      <c r="M86" s="41">
        <v>7441</v>
      </c>
      <c r="N86" s="41">
        <v>7482</v>
      </c>
      <c r="O86" s="41">
        <v>7539</v>
      </c>
    </row>
    <row r="87" spans="1:15" x14ac:dyDescent="0.35">
      <c r="A87" s="41">
        <f>Dashboard!A109</f>
        <v>4</v>
      </c>
      <c r="B87" s="41" t="str">
        <f>Dashboard!B109</f>
        <v>TOTAL SEWER ACTIVE CONNECTIONS</v>
      </c>
      <c r="C87" s="41" t="str">
        <f>Dashboard!C109</f>
        <v>No.</v>
      </c>
      <c r="D87" s="41">
        <v>1503</v>
      </c>
      <c r="E87" s="41">
        <v>1516</v>
      </c>
      <c r="F87" s="41">
        <v>1511</v>
      </c>
      <c r="G87" s="41">
        <v>1525</v>
      </c>
      <c r="H87" s="41">
        <v>1535</v>
      </c>
      <c r="I87" s="41">
        <v>1536</v>
      </c>
      <c r="J87" s="41">
        <v>1539</v>
      </c>
      <c r="K87" s="41">
        <v>1539</v>
      </c>
      <c r="L87" s="41">
        <v>1590</v>
      </c>
      <c r="M87" s="41">
        <v>1621</v>
      </c>
      <c r="N87" s="41">
        <v>1622</v>
      </c>
      <c r="O87" s="41">
        <v>1621</v>
      </c>
    </row>
    <row r="88" spans="1:15" x14ac:dyDescent="0.35">
      <c r="A88" s="41">
        <f>Dashboard!A112</f>
        <v>5</v>
      </c>
      <c r="B88" s="41" t="str">
        <f>Dashboard!B112</f>
        <v>% ACTIVE CONNECTIONS</v>
      </c>
      <c r="C88" s="41" t="str">
        <f>Dashboard!C112</f>
        <v>No.</v>
      </c>
      <c r="D88" s="41">
        <v>0.83712081175351438</v>
      </c>
      <c r="E88" s="41">
        <v>0.83817080810190014</v>
      </c>
      <c r="F88" s="41">
        <v>0.83030489682784103</v>
      </c>
      <c r="G88" s="41">
        <v>0.81509433962264155</v>
      </c>
      <c r="H88" s="41">
        <v>0.81296855223444653</v>
      </c>
      <c r="I88" s="41">
        <v>0.8037312012183514</v>
      </c>
      <c r="J88" s="41">
        <v>0.81180147755256682</v>
      </c>
      <c r="K88" s="41">
        <v>0.81306306306306309</v>
      </c>
      <c r="L88" s="41">
        <v>0.81313131313131315</v>
      </c>
      <c r="M88" s="41">
        <v>0.8257700018224895</v>
      </c>
      <c r="N88" s="41">
        <v>0.82560986669084968</v>
      </c>
      <c r="O88" s="41">
        <v>0.82226211849192099</v>
      </c>
    </row>
    <row r="89" spans="1:15" x14ac:dyDescent="0.35">
      <c r="A89" s="41" t="str">
        <f>Dashboard!A113</f>
        <v>TOTAL BILLING IN M3 - WATER</v>
      </c>
    </row>
    <row r="90" spans="1:15" x14ac:dyDescent="0.35">
      <c r="A90" s="41">
        <f>Dashboard!A114</f>
        <v>1</v>
      </c>
      <c r="B90" s="41" t="str">
        <f>Dashboard!B114</f>
        <v>CBD - WATER(M3)</v>
      </c>
      <c r="C90" s="41" t="str">
        <f>Dashboard!C114</f>
        <v>M3</v>
      </c>
      <c r="D90">
        <v>14570</v>
      </c>
      <c r="E90">
        <v>12703</v>
      </c>
      <c r="F90">
        <v>14042</v>
      </c>
      <c r="G90">
        <v>14935</v>
      </c>
      <c r="H90">
        <v>13880</v>
      </c>
      <c r="I90">
        <v>13632</v>
      </c>
      <c r="J90">
        <v>12993</v>
      </c>
      <c r="K90">
        <v>16261</v>
      </c>
      <c r="L90">
        <v>13989</v>
      </c>
      <c r="M90">
        <v>15297</v>
      </c>
      <c r="N90">
        <v>13743</v>
      </c>
      <c r="O90">
        <v>15808</v>
      </c>
    </row>
    <row r="91" spans="1:15" x14ac:dyDescent="0.35">
      <c r="A91" s="41">
        <f>Dashboard!A115</f>
        <v>2</v>
      </c>
      <c r="B91" s="41" t="str">
        <f>Dashboard!B115</f>
        <v>CCCR - WATER(M3)</v>
      </c>
      <c r="C91" s="41" t="str">
        <f>Dashboard!C115</f>
        <v>M3</v>
      </c>
      <c r="D91">
        <v>21194</v>
      </c>
      <c r="E91">
        <v>20639</v>
      </c>
      <c r="F91">
        <v>23153</v>
      </c>
      <c r="G91">
        <v>22430</v>
      </c>
      <c r="H91">
        <v>26502</v>
      </c>
      <c r="I91">
        <v>28276</v>
      </c>
      <c r="J91">
        <v>27957</v>
      </c>
      <c r="K91">
        <v>30971</v>
      </c>
      <c r="L91">
        <v>26244</v>
      </c>
      <c r="M91">
        <v>25791</v>
      </c>
      <c r="N91">
        <v>21206</v>
      </c>
      <c r="O91">
        <v>14455</v>
      </c>
    </row>
    <row r="92" spans="1:15" x14ac:dyDescent="0.35">
      <c r="A92" s="41">
        <f>Dashboard!A116</f>
        <v>3</v>
      </c>
      <c r="B92" s="41" t="str">
        <f>Dashboard!B116</f>
        <v>KABATI - WATER(M3)</v>
      </c>
      <c r="C92" s="41" t="str">
        <f>Dashboard!C116</f>
        <v>M3</v>
      </c>
      <c r="D92">
        <v>11902</v>
      </c>
      <c r="E92">
        <v>11649</v>
      </c>
      <c r="F92">
        <v>11670</v>
      </c>
      <c r="G92">
        <v>11430</v>
      </c>
      <c r="H92">
        <v>11627</v>
      </c>
      <c r="I92">
        <v>9817</v>
      </c>
      <c r="J92">
        <v>11168</v>
      </c>
      <c r="K92">
        <v>11595</v>
      </c>
      <c r="L92">
        <v>9144</v>
      </c>
      <c r="M92">
        <v>11551</v>
      </c>
      <c r="N92">
        <v>11007</v>
      </c>
      <c r="O92">
        <v>12306</v>
      </c>
    </row>
    <row r="93" spans="1:15" x14ac:dyDescent="0.35">
      <c r="A93" s="41">
        <f>Dashboard!A117</f>
        <v>4</v>
      </c>
      <c r="B93" s="41" t="str">
        <f>Dashboard!B117</f>
        <v>SITE - WATER(M3)</v>
      </c>
      <c r="C93" s="41" t="str">
        <f>Dashboard!C117</f>
        <v>M3</v>
      </c>
      <c r="D93">
        <v>10380</v>
      </c>
      <c r="E93">
        <v>10384</v>
      </c>
      <c r="F93">
        <v>9824</v>
      </c>
      <c r="G93">
        <v>9575</v>
      </c>
      <c r="H93">
        <v>9820</v>
      </c>
      <c r="I93">
        <v>8786</v>
      </c>
      <c r="J93">
        <v>10525</v>
      </c>
      <c r="K93">
        <v>10497</v>
      </c>
      <c r="L93">
        <v>10543</v>
      </c>
      <c r="M93">
        <v>9624</v>
      </c>
      <c r="N93">
        <v>10549</v>
      </c>
      <c r="O93">
        <v>10453</v>
      </c>
    </row>
    <row r="94" spans="1:15" x14ac:dyDescent="0.35">
      <c r="A94" s="41">
        <f>Dashboard!A118</f>
        <v>5</v>
      </c>
      <c r="B94" s="41" t="str">
        <f>Dashboard!B118</f>
        <v>KIHOTO - WATER(M3)</v>
      </c>
      <c r="C94" s="41" t="str">
        <f>Dashboard!C118</f>
        <v>M3</v>
      </c>
      <c r="D94">
        <v>1694</v>
      </c>
      <c r="E94">
        <v>1250</v>
      </c>
      <c r="F94">
        <v>1780</v>
      </c>
      <c r="G94">
        <v>1549</v>
      </c>
      <c r="H94">
        <v>1676</v>
      </c>
      <c r="I94">
        <v>1491</v>
      </c>
      <c r="J94">
        <v>1848</v>
      </c>
      <c r="K94">
        <v>1558</v>
      </c>
      <c r="L94">
        <v>1422</v>
      </c>
      <c r="M94">
        <v>1627</v>
      </c>
      <c r="N94">
        <v>1047</v>
      </c>
      <c r="O94">
        <v>1497</v>
      </c>
    </row>
    <row r="95" spans="1:15" x14ac:dyDescent="0.35">
      <c r="A95" s="41">
        <f>Dashboard!A121</f>
        <v>0</v>
      </c>
      <c r="B95" s="41" t="str">
        <f>Dashboard!B121</f>
        <v>TOTAL  - WATER(M3) CENTRAL REGION</v>
      </c>
      <c r="C95" s="41" t="str">
        <f>Dashboard!C121</f>
        <v>M3</v>
      </c>
      <c r="D95" s="46">
        <v>59740</v>
      </c>
      <c r="E95" s="46">
        <v>56625</v>
      </c>
      <c r="F95" s="46">
        <v>60469</v>
      </c>
      <c r="G95" s="46">
        <v>59919</v>
      </c>
      <c r="H95" s="46">
        <v>63505</v>
      </c>
      <c r="I95" s="46">
        <v>62002</v>
      </c>
      <c r="J95" s="46">
        <v>64491</v>
      </c>
      <c r="K95" s="46">
        <v>70882</v>
      </c>
      <c r="L95" s="46">
        <v>61342</v>
      </c>
      <c r="M95" s="46">
        <v>63890</v>
      </c>
      <c r="N95" s="46">
        <v>57552</v>
      </c>
      <c r="O95" s="46">
        <v>54519</v>
      </c>
    </row>
    <row r="96" spans="1:15" x14ac:dyDescent="0.35">
      <c r="A96" s="41">
        <f>Dashboard!A122</f>
        <v>1</v>
      </c>
      <c r="B96" s="41" t="str">
        <f>Dashboard!B122</f>
        <v>HELLSGATE - WATER(M3)</v>
      </c>
      <c r="C96" s="41" t="str">
        <f>Dashboard!C122</f>
        <v>M3</v>
      </c>
      <c r="D96">
        <v>15499</v>
      </c>
      <c r="E96">
        <v>15491</v>
      </c>
      <c r="F96">
        <v>15957</v>
      </c>
      <c r="G96">
        <v>17272</v>
      </c>
      <c r="H96">
        <v>16979</v>
      </c>
      <c r="I96">
        <v>16972</v>
      </c>
      <c r="J96">
        <v>20812</v>
      </c>
      <c r="K96">
        <v>18533</v>
      </c>
      <c r="L96">
        <v>17119</v>
      </c>
      <c r="M96">
        <v>23651</v>
      </c>
      <c r="N96">
        <v>16398</v>
      </c>
      <c r="O96">
        <v>17921</v>
      </c>
    </row>
    <row r="97" spans="1:15" x14ac:dyDescent="0.35">
      <c r="A97" s="41">
        <f>Dashboard!A123</f>
        <v>2</v>
      </c>
      <c r="B97" s="41" t="str">
        <f>Dashboard!B123</f>
        <v>KAMERE - WATER(M3)</v>
      </c>
      <c r="C97" s="41" t="str">
        <f>Dashboard!C123</f>
        <v>M3</v>
      </c>
      <c r="D97">
        <v>3826</v>
      </c>
      <c r="E97">
        <v>5784</v>
      </c>
      <c r="F97">
        <v>5973</v>
      </c>
      <c r="G97">
        <v>6283</v>
      </c>
      <c r="H97">
        <v>6051</v>
      </c>
      <c r="I97">
        <v>5901</v>
      </c>
      <c r="J97">
        <v>6534</v>
      </c>
      <c r="K97">
        <v>6121</v>
      </c>
      <c r="L97">
        <v>4679</v>
      </c>
      <c r="M97">
        <v>6665</v>
      </c>
      <c r="N97">
        <v>5651</v>
      </c>
      <c r="O97">
        <v>5352</v>
      </c>
    </row>
    <row r="98" spans="1:15" x14ac:dyDescent="0.35">
      <c r="A98" s="41">
        <f>Dashboard!A128</f>
        <v>1</v>
      </c>
      <c r="B98" s="41" t="str">
        <f>Dashboard!B128</f>
        <v>KAYOLE - WATER(M3)</v>
      </c>
      <c r="C98" s="41" t="str">
        <f>Dashboard!C128</f>
        <v>M3</v>
      </c>
      <c r="D98">
        <v>19638</v>
      </c>
      <c r="E98">
        <v>18845</v>
      </c>
      <c r="F98">
        <v>16366</v>
      </c>
      <c r="G98">
        <v>20028</v>
      </c>
      <c r="H98">
        <v>17507</v>
      </c>
      <c r="I98">
        <v>17716</v>
      </c>
      <c r="J98">
        <v>20471</v>
      </c>
      <c r="K98">
        <v>18921</v>
      </c>
      <c r="L98">
        <v>18590</v>
      </c>
      <c r="M98">
        <v>23996</v>
      </c>
      <c r="N98">
        <v>18450</v>
      </c>
      <c r="O98">
        <v>17776</v>
      </c>
    </row>
    <row r="99" spans="1:15" x14ac:dyDescent="0.35">
      <c r="A99" s="41">
        <f>Dashboard!A119</f>
        <v>6</v>
      </c>
      <c r="B99" s="41" t="str">
        <f>Dashboard!B119</f>
        <v>LAKEVIEW - WATER(M3)</v>
      </c>
      <c r="C99" s="41" t="str">
        <f>Dashboard!C119</f>
        <v>M3</v>
      </c>
      <c r="D99">
        <v>21080</v>
      </c>
      <c r="E99">
        <v>23926</v>
      </c>
      <c r="F99">
        <v>22037</v>
      </c>
      <c r="G99">
        <v>21522</v>
      </c>
      <c r="H99">
        <v>19960</v>
      </c>
      <c r="I99">
        <v>18923</v>
      </c>
      <c r="J99">
        <v>22230</v>
      </c>
      <c r="K99">
        <v>21621</v>
      </c>
      <c r="L99">
        <v>18992</v>
      </c>
      <c r="M99">
        <v>23353</v>
      </c>
      <c r="N99">
        <v>18377</v>
      </c>
      <c r="O99">
        <v>19259</v>
      </c>
    </row>
    <row r="100" spans="1:15" x14ac:dyDescent="0.35">
      <c r="A100" s="41">
        <f>Dashboard!A124</f>
        <v>3</v>
      </c>
      <c r="B100" s="41" t="str">
        <f>Dashboard!B124</f>
        <v>MAI-MAHIU - WATER(M3)</v>
      </c>
      <c r="C100" s="41" t="str">
        <f>Dashboard!C124</f>
        <v>M3</v>
      </c>
      <c r="D100">
        <v>483</v>
      </c>
      <c r="E100">
        <v>757</v>
      </c>
      <c r="F100">
        <v>1812</v>
      </c>
      <c r="G100">
        <v>1248</v>
      </c>
      <c r="H100">
        <v>1499</v>
      </c>
      <c r="I100">
        <v>1237</v>
      </c>
      <c r="J100">
        <v>2594</v>
      </c>
      <c r="K100">
        <v>1783</v>
      </c>
      <c r="L100">
        <v>1985</v>
      </c>
      <c r="M100">
        <v>3030</v>
      </c>
      <c r="N100">
        <v>1560</v>
      </c>
      <c r="O100">
        <v>1997</v>
      </c>
    </row>
    <row r="101" spans="1:15" x14ac:dyDescent="0.35">
      <c r="A101" s="41">
        <f>Dashboard!A126</f>
        <v>0</v>
      </c>
      <c r="B101" s="41" t="str">
        <f>Dashboard!B126</f>
        <v>TOTAL  WATER(M3) SOUTHERN REGION</v>
      </c>
      <c r="C101" s="41" t="str">
        <f>Dashboard!C126</f>
        <v>M3</v>
      </c>
      <c r="D101" s="46">
        <v>60526</v>
      </c>
      <c r="E101" s="46">
        <v>64803</v>
      </c>
      <c r="F101" s="46">
        <v>62145</v>
      </c>
      <c r="G101" s="46">
        <v>66353</v>
      </c>
      <c r="H101" s="46">
        <v>61996</v>
      </c>
      <c r="I101" s="46">
        <v>60749</v>
      </c>
      <c r="J101" s="46">
        <v>72641</v>
      </c>
      <c r="K101" s="46">
        <v>66979</v>
      </c>
      <c r="L101" s="46">
        <v>61365</v>
      </c>
      <c r="M101" s="46">
        <v>80695</v>
      </c>
      <c r="N101" s="46">
        <v>60436</v>
      </c>
      <c r="O101" s="46">
        <v>62305</v>
      </c>
    </row>
    <row r="102" spans="1:15" x14ac:dyDescent="0.35">
      <c r="A102" s="41" t="str">
        <f>Dashboard!A131</f>
        <v>TOTAL BILLING IN KSH - WATER</v>
      </c>
    </row>
    <row r="103" spans="1:15" x14ac:dyDescent="0.35">
      <c r="A103" s="41">
        <f>Dashboard!A132</f>
        <v>1</v>
      </c>
      <c r="B103" s="41" t="str">
        <f>Dashboard!B132</f>
        <v>CBD - WATER(KES)</v>
      </c>
      <c r="C103" s="41" t="str">
        <f>Dashboard!C132</f>
        <v>Ksh</v>
      </c>
      <c r="D103">
        <v>1314750</v>
      </c>
      <c r="E103">
        <v>1079305</v>
      </c>
      <c r="F103">
        <v>1224540</v>
      </c>
      <c r="G103">
        <v>1322020</v>
      </c>
      <c r="H103">
        <v>1192110</v>
      </c>
      <c r="I103">
        <v>1162935</v>
      </c>
      <c r="J103">
        <v>1113649</v>
      </c>
      <c r="K103">
        <v>1476521</v>
      </c>
      <c r="L103">
        <v>1223867</v>
      </c>
      <c r="M103">
        <v>1383327</v>
      </c>
      <c r="N103">
        <v>1204429</v>
      </c>
      <c r="O103">
        <v>1403779</v>
      </c>
    </row>
    <row r="104" spans="1:15" x14ac:dyDescent="0.35">
      <c r="A104" s="41">
        <f>Dashboard!A133</f>
        <v>2</v>
      </c>
      <c r="B104" s="41" t="str">
        <f>Dashboard!B133</f>
        <v>CCCR - WATER(KES)</v>
      </c>
      <c r="C104" s="41" t="str">
        <f>Dashboard!C133</f>
        <v>Ksh</v>
      </c>
      <c r="D104">
        <v>2294380</v>
      </c>
      <c r="E104">
        <v>2205022</v>
      </c>
      <c r="F104">
        <v>2591230</v>
      </c>
      <c r="G104">
        <v>2498860</v>
      </c>
      <c r="H104">
        <v>2990520</v>
      </c>
      <c r="I104">
        <v>3255475</v>
      </c>
      <c r="J104">
        <v>3399475</v>
      </c>
      <c r="K104">
        <v>3744372</v>
      </c>
      <c r="L104">
        <v>3083622</v>
      </c>
      <c r="M104">
        <v>2974984</v>
      </c>
      <c r="N104">
        <v>2398044</v>
      </c>
      <c r="O104">
        <v>1304411</v>
      </c>
    </row>
    <row r="105" spans="1:15" x14ac:dyDescent="0.35">
      <c r="A105" s="41">
        <f>Dashboard!A134</f>
        <v>3</v>
      </c>
      <c r="B105" s="41" t="str">
        <f>Dashboard!B134</f>
        <v>KABATI - WATER(KES)</v>
      </c>
      <c r="C105" s="41" t="str">
        <f>Dashboard!C134</f>
        <v>Ksh</v>
      </c>
      <c r="D105">
        <v>872970</v>
      </c>
      <c r="E105">
        <v>818990</v>
      </c>
      <c r="F105">
        <v>826623.3</v>
      </c>
      <c r="G105">
        <v>826540</v>
      </c>
      <c r="H105">
        <v>813730</v>
      </c>
      <c r="I105">
        <v>687405</v>
      </c>
      <c r="J105">
        <v>827935</v>
      </c>
      <c r="K105">
        <v>871053</v>
      </c>
      <c r="L105">
        <v>656677</v>
      </c>
      <c r="M105">
        <v>880897</v>
      </c>
      <c r="N105">
        <v>823861</v>
      </c>
      <c r="O105">
        <v>965085</v>
      </c>
    </row>
    <row r="106" spans="1:15" x14ac:dyDescent="0.35">
      <c r="A106" s="41">
        <f>Dashboard!A135</f>
        <v>4</v>
      </c>
      <c r="B106" s="41" t="str">
        <f>Dashboard!B135</f>
        <v>SITE - WATER(KES)</v>
      </c>
      <c r="C106" s="41" t="str">
        <f>Dashboard!C135</f>
        <v>Ksh</v>
      </c>
      <c r="D106">
        <v>696955</v>
      </c>
      <c r="E106">
        <v>688640</v>
      </c>
      <c r="F106">
        <v>678935</v>
      </c>
      <c r="G106">
        <v>651830</v>
      </c>
      <c r="H106">
        <v>672340</v>
      </c>
      <c r="I106">
        <v>603400</v>
      </c>
      <c r="J106">
        <v>809982</v>
      </c>
      <c r="K106">
        <v>773342</v>
      </c>
      <c r="L106">
        <v>823022</v>
      </c>
      <c r="M106">
        <v>702975</v>
      </c>
      <c r="N106">
        <v>801835</v>
      </c>
      <c r="O106">
        <v>788364</v>
      </c>
    </row>
    <row r="107" spans="1:15" x14ac:dyDescent="0.35">
      <c r="A107" s="41">
        <f>Dashboard!A136</f>
        <v>5</v>
      </c>
      <c r="B107" s="41" t="str">
        <f>Dashboard!B136</f>
        <v>KIHOTO - WATER(KES)</v>
      </c>
      <c r="C107" s="41" t="str">
        <f>Dashboard!C136</f>
        <v>Ksh</v>
      </c>
      <c r="D107">
        <v>122975</v>
      </c>
      <c r="E107">
        <v>95850</v>
      </c>
      <c r="F107">
        <v>134290</v>
      </c>
      <c r="G107">
        <v>117445</v>
      </c>
      <c r="H107">
        <v>123085</v>
      </c>
      <c r="I107">
        <v>110630</v>
      </c>
      <c r="J107">
        <v>143113</v>
      </c>
      <c r="K107">
        <v>121590</v>
      </c>
      <c r="L107">
        <v>106372</v>
      </c>
      <c r="M107">
        <v>119127</v>
      </c>
      <c r="N107">
        <v>72832</v>
      </c>
      <c r="O107">
        <v>107383</v>
      </c>
    </row>
    <row r="108" spans="1:15" x14ac:dyDescent="0.35">
      <c r="A108" s="41">
        <f>Dashboard!A139</f>
        <v>0</v>
      </c>
      <c r="B108" s="41" t="str">
        <f>Dashboard!B139</f>
        <v>TOTAL - WATER(KES)CENTRAL REGION</v>
      </c>
      <c r="C108" s="41" t="str">
        <f>Dashboard!C139</f>
        <v>Ksh</v>
      </c>
      <c r="D108" s="46">
        <v>5302030</v>
      </c>
      <c r="E108" s="46">
        <v>4887807</v>
      </c>
      <c r="F108" s="46">
        <v>5455618.2999999998</v>
      </c>
      <c r="G108" s="46">
        <v>5416695</v>
      </c>
      <c r="H108" s="46">
        <v>5791785</v>
      </c>
      <c r="I108" s="46">
        <v>5819845</v>
      </c>
      <c r="J108" s="46">
        <v>6294154</v>
      </c>
      <c r="K108" s="46">
        <v>6986878</v>
      </c>
      <c r="L108" s="46">
        <v>5893560</v>
      </c>
      <c r="M108" s="46">
        <v>6061310</v>
      </c>
      <c r="N108" s="46">
        <v>5301001</v>
      </c>
      <c r="O108" s="46">
        <v>4569022</v>
      </c>
    </row>
    <row r="109" spans="1:15" x14ac:dyDescent="0.35">
      <c r="A109" s="41">
        <f>Dashboard!A140</f>
        <v>1</v>
      </c>
      <c r="B109" s="41" t="str">
        <f>Dashboard!B140</f>
        <v>HELLSGATE - WATER(KES)</v>
      </c>
      <c r="C109" s="41" t="str">
        <f>Dashboard!C140</f>
        <v>Ksh</v>
      </c>
      <c r="D109">
        <v>1081140</v>
      </c>
      <c r="E109">
        <v>1097130</v>
      </c>
      <c r="F109">
        <v>1123975</v>
      </c>
      <c r="G109">
        <v>1207365</v>
      </c>
      <c r="H109">
        <v>1215745</v>
      </c>
      <c r="I109">
        <v>1215285</v>
      </c>
      <c r="J109">
        <v>1624568</v>
      </c>
      <c r="K109">
        <v>1426112</v>
      </c>
      <c r="L109">
        <v>1267750</v>
      </c>
      <c r="M109">
        <v>1847168</v>
      </c>
      <c r="N109">
        <v>1204087</v>
      </c>
      <c r="O109">
        <v>1310740</v>
      </c>
    </row>
    <row r="110" spans="1:15" x14ac:dyDescent="0.35">
      <c r="A110" s="41">
        <f>Dashboard!A141</f>
        <v>2</v>
      </c>
      <c r="B110" s="41" t="str">
        <f>Dashboard!B141</f>
        <v>KAMERE - WATER(KES)</v>
      </c>
      <c r="C110" s="41" t="str">
        <f>Dashboard!C141</f>
        <v>Ksh</v>
      </c>
      <c r="D110">
        <v>261860</v>
      </c>
      <c r="E110">
        <v>419440</v>
      </c>
      <c r="F110">
        <v>430630</v>
      </c>
      <c r="G110">
        <v>456335</v>
      </c>
      <c r="H110">
        <v>441575</v>
      </c>
      <c r="I110">
        <v>417925</v>
      </c>
      <c r="J110">
        <v>502801</v>
      </c>
      <c r="K110">
        <v>445103</v>
      </c>
      <c r="L110">
        <v>350327</v>
      </c>
      <c r="M110">
        <v>503410</v>
      </c>
      <c r="N110">
        <v>426950</v>
      </c>
      <c r="O110">
        <v>395674</v>
      </c>
    </row>
    <row r="111" spans="1:15" x14ac:dyDescent="0.35">
      <c r="A111" s="41">
        <f>Dashboard!A146</f>
        <v>1</v>
      </c>
      <c r="B111" s="41" t="str">
        <f>Dashboard!B146</f>
        <v>KAYOLE - WATER(KES)</v>
      </c>
      <c r="C111" s="41" t="str">
        <f>Dashboard!C146</f>
        <v>Ksh</v>
      </c>
      <c r="D111">
        <v>1529830</v>
      </c>
      <c r="E111">
        <v>1395460</v>
      </c>
      <c r="F111">
        <v>1244770</v>
      </c>
      <c r="G111">
        <v>1500085</v>
      </c>
      <c r="H111">
        <v>1324150</v>
      </c>
      <c r="I111">
        <v>1277850</v>
      </c>
      <c r="J111">
        <v>1494427</v>
      </c>
      <c r="K111">
        <v>1370992</v>
      </c>
      <c r="L111">
        <v>1358402</v>
      </c>
      <c r="M111">
        <v>1782322</v>
      </c>
      <c r="N111">
        <v>1325520</v>
      </c>
      <c r="O111">
        <v>1284509</v>
      </c>
    </row>
    <row r="112" spans="1:15" x14ac:dyDescent="0.35">
      <c r="A112" s="41">
        <f>Dashboard!A137</f>
        <v>6</v>
      </c>
      <c r="B112" s="41" t="str">
        <f>Dashboard!B137</f>
        <v>LAKEVIEW - WATER(KES)</v>
      </c>
      <c r="C112" s="41" t="str">
        <f>Dashboard!C137</f>
        <v>Ksh</v>
      </c>
      <c r="D112">
        <v>1629340</v>
      </c>
      <c r="E112">
        <v>1783915</v>
      </c>
      <c r="F112">
        <v>1644820</v>
      </c>
      <c r="G112">
        <v>1661950</v>
      </c>
      <c r="H112">
        <v>1555545</v>
      </c>
      <c r="I112">
        <v>1441085</v>
      </c>
      <c r="J112">
        <v>1838046</v>
      </c>
      <c r="K112">
        <v>1750997</v>
      </c>
      <c r="L112">
        <v>1522371</v>
      </c>
      <c r="M112">
        <v>1912531</v>
      </c>
      <c r="N112">
        <v>1577143</v>
      </c>
      <c r="O112">
        <v>1511930</v>
      </c>
    </row>
    <row r="113" spans="1:15" x14ac:dyDescent="0.35">
      <c r="A113" s="41">
        <f>Dashboard!A142</f>
        <v>3</v>
      </c>
      <c r="B113" s="41" t="str">
        <f>Dashboard!B142</f>
        <v>MAI-MAHIU - WATER(KES)</v>
      </c>
      <c r="C113" s="41" t="str">
        <f>Dashboard!C142</f>
        <v>Ksh</v>
      </c>
      <c r="D113">
        <v>36760</v>
      </c>
      <c r="E113">
        <v>45790</v>
      </c>
      <c r="F113">
        <v>90765</v>
      </c>
      <c r="G113">
        <v>80595</v>
      </c>
      <c r="H113">
        <v>105555</v>
      </c>
      <c r="I113">
        <v>85780</v>
      </c>
      <c r="J113">
        <v>202130</v>
      </c>
      <c r="K113">
        <v>142122</v>
      </c>
      <c r="L113">
        <v>157801</v>
      </c>
      <c r="M113">
        <v>257852</v>
      </c>
      <c r="N113">
        <v>115234</v>
      </c>
      <c r="O113">
        <v>155567</v>
      </c>
    </row>
    <row r="114" spans="1:15" x14ac:dyDescent="0.35">
      <c r="A114" s="41">
        <f>Dashboard!A144</f>
        <v>0</v>
      </c>
      <c r="B114" s="41" t="str">
        <f>Dashboard!B144</f>
        <v>TOTAL  - WATER(KES) SOUTHERN REGION</v>
      </c>
      <c r="C114" s="41" t="str">
        <f>Dashboard!C144</f>
        <v>Ksh</v>
      </c>
      <c r="D114" s="46">
        <v>4538930</v>
      </c>
      <c r="E114" s="46">
        <v>4741735</v>
      </c>
      <c r="F114" s="46">
        <v>4534960</v>
      </c>
      <c r="G114" s="46">
        <v>4906330</v>
      </c>
      <c r="H114" s="46">
        <v>4642570</v>
      </c>
      <c r="I114" s="46">
        <v>4437925</v>
      </c>
      <c r="J114" s="46">
        <v>5661972</v>
      </c>
      <c r="K114" s="46">
        <v>5135326</v>
      </c>
      <c r="L114" s="46">
        <v>4656651</v>
      </c>
      <c r="M114" s="46">
        <v>6303283</v>
      </c>
      <c r="N114" s="46">
        <v>4648934</v>
      </c>
      <c r="O114" s="46">
        <v>4658420</v>
      </c>
    </row>
    <row r="115" spans="1:15" x14ac:dyDescent="0.35">
      <c r="A115" s="41" t="str">
        <f>Dashboard!A149</f>
        <v>AVG TARIFF- WATER KSH/M3</v>
      </c>
    </row>
    <row r="116" spans="1:15" x14ac:dyDescent="0.35">
      <c r="A116" s="41">
        <f>Dashboard!A150</f>
        <v>1</v>
      </c>
      <c r="B116" s="41" t="str">
        <f>Dashboard!B150</f>
        <v>CBD - KSH/M3</v>
      </c>
      <c r="C116" s="41" t="str">
        <f>Dashboard!C150</f>
        <v>Ksh/M3</v>
      </c>
      <c r="D116" s="41">
        <f>D103/D90</f>
        <v>90.236787920384344</v>
      </c>
      <c r="E116" s="41">
        <f t="shared" ref="E116:O116" si="2">E103/E90</f>
        <v>84.964575297173894</v>
      </c>
      <c r="F116" s="41">
        <f t="shared" si="2"/>
        <v>87.205526278307929</v>
      </c>
      <c r="G116" s="41">
        <f t="shared" si="2"/>
        <v>88.518245731503185</v>
      </c>
      <c r="H116" s="41">
        <f t="shared" si="2"/>
        <v>85.886887608069159</v>
      </c>
      <c r="I116" s="41">
        <f t="shared" si="2"/>
        <v>85.309198943661968</v>
      </c>
      <c r="J116" s="41">
        <f t="shared" si="2"/>
        <v>85.711460016932193</v>
      </c>
      <c r="K116" s="41">
        <f t="shared" si="2"/>
        <v>90.801365229690674</v>
      </c>
      <c r="L116" s="41">
        <f t="shared" si="2"/>
        <v>87.487811852169557</v>
      </c>
      <c r="M116" s="41">
        <f t="shared" si="2"/>
        <v>90.43126103157482</v>
      </c>
      <c r="N116" s="41">
        <f t="shared" si="2"/>
        <v>87.639452812340835</v>
      </c>
      <c r="O116" s="41">
        <f t="shared" si="2"/>
        <v>88.801809210526315</v>
      </c>
    </row>
    <row r="117" spans="1:15" x14ac:dyDescent="0.35">
      <c r="A117" s="41">
        <f>Dashboard!A151</f>
        <v>2</v>
      </c>
      <c r="B117" s="41" t="str">
        <f>Dashboard!B151</f>
        <v>CCCR - KSH/M3</v>
      </c>
      <c r="C117" s="41" t="str">
        <f>Dashboard!C151</f>
        <v>Ksh/M3</v>
      </c>
      <c r="D117" s="41">
        <f t="shared" ref="D117:O127" si="3">D104/D91</f>
        <v>108.25611021987355</v>
      </c>
      <c r="E117" s="41">
        <f t="shared" si="3"/>
        <v>106.83763748243616</v>
      </c>
      <c r="F117" s="41">
        <f t="shared" si="3"/>
        <v>111.91767805467974</v>
      </c>
      <c r="G117" s="41">
        <f t="shared" si="3"/>
        <v>111.40704413731609</v>
      </c>
      <c r="H117" s="41">
        <f t="shared" si="3"/>
        <v>112.84129499660403</v>
      </c>
      <c r="I117" s="41">
        <f t="shared" si="3"/>
        <v>115.13209081906918</v>
      </c>
      <c r="J117" s="41">
        <f t="shared" si="3"/>
        <v>121.59655900132346</v>
      </c>
      <c r="K117" s="41">
        <f t="shared" si="3"/>
        <v>120.89929288689419</v>
      </c>
      <c r="L117" s="41">
        <f t="shared" si="3"/>
        <v>117.49817101051669</v>
      </c>
      <c r="M117" s="41">
        <f t="shared" si="3"/>
        <v>115.34969563025862</v>
      </c>
      <c r="N117" s="41">
        <f t="shared" si="3"/>
        <v>113.08327831745733</v>
      </c>
      <c r="O117" s="41">
        <f t="shared" si="3"/>
        <v>90.239432722241432</v>
      </c>
    </row>
    <row r="118" spans="1:15" x14ac:dyDescent="0.35">
      <c r="A118" s="41">
        <f>Dashboard!A152</f>
        <v>3</v>
      </c>
      <c r="B118" s="41" t="str">
        <f>Dashboard!B152</f>
        <v>KABATI - KSH/M3</v>
      </c>
      <c r="C118" s="41" t="str">
        <f>Dashboard!C152</f>
        <v>Ksh/M3</v>
      </c>
      <c r="D118" s="41">
        <f t="shared" si="3"/>
        <v>73.346496387161821</v>
      </c>
      <c r="E118" s="41">
        <f t="shared" si="3"/>
        <v>70.305605631384665</v>
      </c>
      <c r="F118" s="41">
        <f t="shared" si="3"/>
        <v>70.833187660668386</v>
      </c>
      <c r="G118" s="41">
        <f t="shared" si="3"/>
        <v>72.313210848643919</v>
      </c>
      <c r="H118" s="41">
        <f t="shared" si="3"/>
        <v>69.986238926636275</v>
      </c>
      <c r="I118" s="41">
        <f t="shared" si="3"/>
        <v>70.021900784353676</v>
      </c>
      <c r="J118" s="41">
        <f t="shared" si="3"/>
        <v>74.134580945558739</v>
      </c>
      <c r="K118" s="41">
        <f t="shared" si="3"/>
        <v>75.123156532988361</v>
      </c>
      <c r="L118" s="41">
        <f t="shared" si="3"/>
        <v>71.815069991251093</v>
      </c>
      <c r="M118" s="41">
        <f t="shared" si="3"/>
        <v>76.261535797766427</v>
      </c>
      <c r="N118" s="41">
        <f t="shared" si="3"/>
        <v>74.848823475969837</v>
      </c>
      <c r="O118" s="41">
        <f t="shared" si="3"/>
        <v>78.423939541686977</v>
      </c>
    </row>
    <row r="119" spans="1:15" x14ac:dyDescent="0.35">
      <c r="A119" s="41">
        <f>Dashboard!A153</f>
        <v>4</v>
      </c>
      <c r="B119" s="41" t="str">
        <f>Dashboard!B153</f>
        <v>SITE - KSH/M3</v>
      </c>
      <c r="C119" s="41" t="str">
        <f>Dashboard!C153</f>
        <v>Ksh/M3</v>
      </c>
      <c r="D119" s="41">
        <f t="shared" si="3"/>
        <v>67.144026974951828</v>
      </c>
      <c r="E119" s="41">
        <f t="shared" si="3"/>
        <v>66.317411402157163</v>
      </c>
      <c r="F119" s="41">
        <f t="shared" si="3"/>
        <v>69.109833061889248</v>
      </c>
      <c r="G119" s="41">
        <f t="shared" si="3"/>
        <v>68.07624020887728</v>
      </c>
      <c r="H119" s="41">
        <f t="shared" si="3"/>
        <v>68.466395112016286</v>
      </c>
      <c r="I119" s="41">
        <f t="shared" si="3"/>
        <v>68.677441384020028</v>
      </c>
      <c r="J119" s="41">
        <f t="shared" si="3"/>
        <v>76.957909738717333</v>
      </c>
      <c r="K119" s="41">
        <f t="shared" si="3"/>
        <v>73.672668381442321</v>
      </c>
      <c r="L119" s="41">
        <f t="shared" si="3"/>
        <v>78.063359575073505</v>
      </c>
      <c r="M119" s="41">
        <f t="shared" si="3"/>
        <v>73.043952618453872</v>
      </c>
      <c r="N119" s="41">
        <f t="shared" si="3"/>
        <v>76.010522324390934</v>
      </c>
      <c r="O119" s="41">
        <f t="shared" si="3"/>
        <v>75.419879460441976</v>
      </c>
    </row>
    <row r="120" spans="1:15" x14ac:dyDescent="0.35">
      <c r="A120" s="41">
        <f>Dashboard!A154</f>
        <v>5</v>
      </c>
      <c r="B120" s="41" t="str">
        <f>Dashboard!B154</f>
        <v>KIHOTO - KSH/M3</v>
      </c>
      <c r="C120" s="41" t="str">
        <f>Dashboard!C154</f>
        <v>Ksh/M3</v>
      </c>
      <c r="D120" s="41">
        <f t="shared" si="3"/>
        <v>72.594451003541906</v>
      </c>
      <c r="E120" s="41">
        <f t="shared" si="3"/>
        <v>76.680000000000007</v>
      </c>
      <c r="F120" s="41">
        <f t="shared" si="3"/>
        <v>75.443820224719104</v>
      </c>
      <c r="G120" s="41">
        <f t="shared" si="3"/>
        <v>75.819883795997413</v>
      </c>
      <c r="H120" s="41">
        <f t="shared" si="3"/>
        <v>73.43973747016706</v>
      </c>
      <c r="I120" s="41">
        <f t="shared" si="3"/>
        <v>74.198524480214616</v>
      </c>
      <c r="J120" s="41">
        <f t="shared" si="3"/>
        <v>77.442099567099561</v>
      </c>
      <c r="K120" s="41">
        <f t="shared" si="3"/>
        <v>78.042362002567401</v>
      </c>
      <c r="L120" s="41">
        <f t="shared" si="3"/>
        <v>74.804500703234879</v>
      </c>
      <c r="M120" s="41">
        <f t="shared" si="3"/>
        <v>73.218807621389061</v>
      </c>
      <c r="N120" s="41">
        <f t="shared" si="3"/>
        <v>69.56255969436485</v>
      </c>
      <c r="O120" s="41">
        <f t="shared" si="3"/>
        <v>71.732130928523716</v>
      </c>
    </row>
    <row r="121" spans="1:15" x14ac:dyDescent="0.35">
      <c r="A121" s="41">
        <f>Dashboard!A157</f>
        <v>0</v>
      </c>
      <c r="B121" s="41" t="str">
        <f>Dashboard!B157</f>
        <v xml:space="preserve"> - KSH/M3 CENTRAL REGION</v>
      </c>
      <c r="C121" s="41" t="str">
        <f>Dashboard!C157</f>
        <v>Ksh/M3</v>
      </c>
      <c r="D121" s="41">
        <f t="shared" si="3"/>
        <v>88.751757616337457</v>
      </c>
      <c r="E121" s="41">
        <f t="shared" si="3"/>
        <v>86.318887417218548</v>
      </c>
      <c r="F121" s="41">
        <f t="shared" si="3"/>
        <v>90.221738411417419</v>
      </c>
      <c r="G121" s="41">
        <f t="shared" si="3"/>
        <v>90.400290392029234</v>
      </c>
      <c r="H121" s="41">
        <f t="shared" si="3"/>
        <v>91.202031336115269</v>
      </c>
      <c r="I121" s="41">
        <f t="shared" si="3"/>
        <v>93.865439824521786</v>
      </c>
      <c r="J121" s="41">
        <f t="shared" si="3"/>
        <v>97.597401187762628</v>
      </c>
      <c r="K121" s="41">
        <f t="shared" si="3"/>
        <v>98.57055387827657</v>
      </c>
      <c r="L121" s="41">
        <f t="shared" si="3"/>
        <v>96.077076065338588</v>
      </c>
      <c r="M121" s="41">
        <f t="shared" si="3"/>
        <v>94.871028329942092</v>
      </c>
      <c r="N121" s="41">
        <f t="shared" si="3"/>
        <v>92.108024047817622</v>
      </c>
      <c r="O121" s="41">
        <f t="shared" si="3"/>
        <v>83.806049267227934</v>
      </c>
    </row>
    <row r="122" spans="1:15" x14ac:dyDescent="0.35">
      <c r="A122" s="41">
        <f>Dashboard!A158</f>
        <v>1</v>
      </c>
      <c r="B122" s="41" t="str">
        <f>Dashboard!B158</f>
        <v>HELLSGATE - KSH/M3</v>
      </c>
      <c r="C122" s="41" t="str">
        <f>Dashboard!C158</f>
        <v>Ksh/M3</v>
      </c>
      <c r="D122" s="41">
        <f t="shared" si="3"/>
        <v>69.755468094715795</v>
      </c>
      <c r="E122" s="41">
        <f t="shared" si="3"/>
        <v>70.823704086243623</v>
      </c>
      <c r="F122" s="41">
        <f t="shared" si="3"/>
        <v>70.43773892335652</v>
      </c>
      <c r="G122" s="41">
        <f t="shared" si="3"/>
        <v>69.903022232515056</v>
      </c>
      <c r="H122" s="41">
        <f t="shared" si="3"/>
        <v>71.602862359385128</v>
      </c>
      <c r="I122" s="41">
        <f t="shared" si="3"/>
        <v>71.60529106764082</v>
      </c>
      <c r="J122" s="41">
        <f t="shared" si="3"/>
        <v>78.059196617336156</v>
      </c>
      <c r="K122" s="41">
        <f t="shared" si="3"/>
        <v>76.949873199158262</v>
      </c>
      <c r="L122" s="41">
        <f t="shared" si="3"/>
        <v>74.055143407909341</v>
      </c>
      <c r="M122" s="41">
        <f t="shared" si="3"/>
        <v>78.101052809606358</v>
      </c>
      <c r="N122" s="41">
        <f t="shared" si="3"/>
        <v>73.428893767532628</v>
      </c>
      <c r="O122" s="41">
        <f t="shared" si="3"/>
        <v>73.13989174711233</v>
      </c>
    </row>
    <row r="123" spans="1:15" x14ac:dyDescent="0.35">
      <c r="A123" s="41">
        <f>Dashboard!A159</f>
        <v>2</v>
      </c>
      <c r="B123" s="41" t="str">
        <f>Dashboard!B159</f>
        <v>KAMERE - KSH/M3</v>
      </c>
      <c r="C123" s="41" t="str">
        <f>Dashboard!C159</f>
        <v>Ksh/M3</v>
      </c>
      <c r="D123" s="41">
        <f t="shared" si="3"/>
        <v>68.44223732357554</v>
      </c>
      <c r="E123" s="41">
        <f t="shared" si="3"/>
        <v>72.517289073305676</v>
      </c>
      <c r="F123" s="41">
        <f t="shared" si="3"/>
        <v>72.096099112673699</v>
      </c>
      <c r="G123" s="41">
        <f t="shared" si="3"/>
        <v>72.630113003342359</v>
      </c>
      <c r="H123" s="41">
        <f t="shared" si="3"/>
        <v>72.97554123285407</v>
      </c>
      <c r="I123" s="41">
        <f t="shared" si="3"/>
        <v>70.822741908151158</v>
      </c>
      <c r="J123" s="41">
        <f t="shared" si="3"/>
        <v>76.951484542393629</v>
      </c>
      <c r="K123" s="41">
        <f t="shared" si="3"/>
        <v>72.717366443391597</v>
      </c>
      <c r="L123" s="41">
        <f t="shared" si="3"/>
        <v>74.872194913443039</v>
      </c>
      <c r="M123" s="41">
        <f t="shared" si="3"/>
        <v>75.530382595648916</v>
      </c>
      <c r="N123" s="41">
        <f t="shared" si="3"/>
        <v>75.552999469120508</v>
      </c>
      <c r="O123" s="41">
        <f t="shared" si="3"/>
        <v>73.930119581464879</v>
      </c>
    </row>
    <row r="124" spans="1:15" x14ac:dyDescent="0.35">
      <c r="A124" s="41">
        <f>Dashboard!A164</f>
        <v>1</v>
      </c>
      <c r="B124" s="41" t="str">
        <f>Dashboard!B164</f>
        <v>KAYOLE - KSH/M3</v>
      </c>
      <c r="C124" s="41" t="str">
        <f>Dashboard!C164</f>
        <v>Ksh/M3</v>
      </c>
      <c r="D124" s="41">
        <f t="shared" si="3"/>
        <v>77.901517466137079</v>
      </c>
      <c r="E124" s="41">
        <f t="shared" si="3"/>
        <v>74.049349960201639</v>
      </c>
      <c r="F124" s="41">
        <f t="shared" si="3"/>
        <v>76.058291580105092</v>
      </c>
      <c r="G124" s="41">
        <f t="shared" si="3"/>
        <v>74.899390852806079</v>
      </c>
      <c r="H124" s="41">
        <f t="shared" si="3"/>
        <v>75.635460101673615</v>
      </c>
      <c r="I124" s="41">
        <f t="shared" si="3"/>
        <v>72.129713253556105</v>
      </c>
      <c r="J124" s="41">
        <f t="shared" si="3"/>
        <v>73.002149382052664</v>
      </c>
      <c r="K124" s="41">
        <f t="shared" si="3"/>
        <v>72.458749537550872</v>
      </c>
      <c r="L124" s="41">
        <f t="shared" si="3"/>
        <v>73.071651425497578</v>
      </c>
      <c r="M124" s="41">
        <f t="shared" si="3"/>
        <v>74.275795965994334</v>
      </c>
      <c r="N124" s="41">
        <f t="shared" si="3"/>
        <v>71.84390243902439</v>
      </c>
      <c r="O124" s="41">
        <f t="shared" si="3"/>
        <v>72.260857335733576</v>
      </c>
    </row>
    <row r="125" spans="1:15" x14ac:dyDescent="0.35">
      <c r="A125" s="41">
        <f>Dashboard!A155</f>
        <v>6</v>
      </c>
      <c r="B125" s="41" t="str">
        <f>Dashboard!B155</f>
        <v>LAKEVIEW - KSH/M3</v>
      </c>
      <c r="C125" s="41" t="str">
        <f>Dashboard!C155</f>
        <v>Ksh/M3</v>
      </c>
      <c r="D125" s="41">
        <f t="shared" si="3"/>
        <v>77.293168880455411</v>
      </c>
      <c r="E125" s="41">
        <f t="shared" si="3"/>
        <v>74.559684025746051</v>
      </c>
      <c r="F125" s="41">
        <f t="shared" si="3"/>
        <v>74.639016200027228</v>
      </c>
      <c r="G125" s="41">
        <f t="shared" si="3"/>
        <v>77.220983180001852</v>
      </c>
      <c r="H125" s="41">
        <f t="shared" si="3"/>
        <v>77.933116232464926</v>
      </c>
      <c r="I125" s="41">
        <f t="shared" si="3"/>
        <v>76.155207947999784</v>
      </c>
      <c r="J125" s="41">
        <f t="shared" si="3"/>
        <v>82.683130904183542</v>
      </c>
      <c r="K125" s="41">
        <f t="shared" si="3"/>
        <v>80.985939595763384</v>
      </c>
      <c r="L125" s="41">
        <f t="shared" si="3"/>
        <v>80.158540438079186</v>
      </c>
      <c r="M125" s="41">
        <f t="shared" si="3"/>
        <v>81.896587162248963</v>
      </c>
      <c r="N125" s="41">
        <f t="shared" si="3"/>
        <v>85.821570441312517</v>
      </c>
      <c r="O125" s="41">
        <f t="shared" si="3"/>
        <v>78.505114491925852</v>
      </c>
    </row>
    <row r="126" spans="1:15" x14ac:dyDescent="0.35">
      <c r="A126" s="41">
        <f>Dashboard!A160</f>
        <v>3</v>
      </c>
      <c r="B126" s="41" t="str">
        <f>Dashboard!B160</f>
        <v>MAI-MAHIU - KSH/M3</v>
      </c>
      <c r="C126" s="41" t="str">
        <f>Dashboard!C160</f>
        <v>Ksh/M3</v>
      </c>
      <c r="D126" s="41">
        <f t="shared" si="3"/>
        <v>76.107660455486538</v>
      </c>
      <c r="E126" s="41">
        <f t="shared" si="3"/>
        <v>60.488771466314397</v>
      </c>
      <c r="F126" s="41">
        <f t="shared" si="3"/>
        <v>50.091059602649004</v>
      </c>
      <c r="G126" s="41">
        <f t="shared" si="3"/>
        <v>64.57932692307692</v>
      </c>
      <c r="H126" s="41">
        <f t="shared" si="3"/>
        <v>70.416944629753175</v>
      </c>
      <c r="I126" s="41">
        <f t="shared" si="3"/>
        <v>69.345189975747772</v>
      </c>
      <c r="J126" s="41">
        <f t="shared" si="3"/>
        <v>77.922127987663842</v>
      </c>
      <c r="K126" s="41">
        <f t="shared" si="3"/>
        <v>79.709478407178906</v>
      </c>
      <c r="L126" s="41">
        <f t="shared" si="3"/>
        <v>79.496725440806046</v>
      </c>
      <c r="M126" s="41">
        <f t="shared" si="3"/>
        <v>85.0996699669967</v>
      </c>
      <c r="N126" s="41">
        <f t="shared" si="3"/>
        <v>73.867948717948721</v>
      </c>
      <c r="O126" s="41">
        <f t="shared" si="3"/>
        <v>77.900350525788681</v>
      </c>
    </row>
    <row r="127" spans="1:15" x14ac:dyDescent="0.35">
      <c r="A127" s="41">
        <f>Dashboard!A162</f>
        <v>0</v>
      </c>
      <c r="B127" s="41" t="str">
        <f>Dashboard!B162</f>
        <v xml:space="preserve"> - KSH/M3 SOUTHERN REGION</v>
      </c>
      <c r="C127" s="41" t="str">
        <f>Dashboard!C162</f>
        <v>Ksh/M3</v>
      </c>
      <c r="D127" s="41">
        <f t="shared" si="3"/>
        <v>74.991408650827736</v>
      </c>
      <c r="E127" s="41">
        <f t="shared" si="3"/>
        <v>73.171535268428926</v>
      </c>
      <c r="F127" s="41">
        <f t="shared" si="3"/>
        <v>72.973851476385875</v>
      </c>
      <c r="G127" s="41">
        <f t="shared" si="3"/>
        <v>73.942851114493692</v>
      </c>
      <c r="H127" s="41">
        <f t="shared" si="3"/>
        <v>74.884992580166468</v>
      </c>
      <c r="I127" s="41">
        <f t="shared" si="3"/>
        <v>73.05346590067326</v>
      </c>
      <c r="J127" s="41">
        <f t="shared" si="3"/>
        <v>77.944576754174633</v>
      </c>
      <c r="K127" s="41">
        <f t="shared" si="3"/>
        <v>76.670687827528027</v>
      </c>
      <c r="L127" s="41">
        <f t="shared" si="3"/>
        <v>75.884478122708387</v>
      </c>
      <c r="M127" s="41">
        <f t="shared" si="3"/>
        <v>78.112435714728292</v>
      </c>
      <c r="N127" s="41">
        <f t="shared" si="3"/>
        <v>76.923257660996754</v>
      </c>
      <c r="O127" s="41">
        <f t="shared" si="3"/>
        <v>74.767996147981705</v>
      </c>
    </row>
    <row r="128" spans="1:15" x14ac:dyDescent="0.35">
      <c r="A128" s="41" t="str">
        <f>Dashboard!A167</f>
        <v>TOTAL SALES SEWER - KSH.</v>
      </c>
    </row>
    <row r="129" spans="1:16" x14ac:dyDescent="0.35">
      <c r="A129" s="41">
        <f>Dashboard!A168</f>
        <v>1</v>
      </c>
      <c r="B129" s="41" t="str">
        <f>Dashboard!B168</f>
        <v>CBD - SEWER(KES)</v>
      </c>
      <c r="C129" s="41" t="str">
        <f>Dashboard!C168</f>
        <v>Ksh</v>
      </c>
      <c r="D129">
        <v>985045.0499999997</v>
      </c>
      <c r="E129">
        <v>1008806.6</v>
      </c>
      <c r="F129">
        <v>981659.24999999988</v>
      </c>
      <c r="G129">
        <v>989112.99999999965</v>
      </c>
      <c r="H129">
        <v>979101.1</v>
      </c>
      <c r="I129">
        <v>952018</v>
      </c>
      <c r="J129">
        <v>1093407</v>
      </c>
      <c r="K129">
        <v>1290116</v>
      </c>
      <c r="L129">
        <v>1176784</v>
      </c>
      <c r="M129">
        <v>1488655</v>
      </c>
      <c r="N129">
        <v>1463367</v>
      </c>
      <c r="O129">
        <v>1878042</v>
      </c>
    </row>
    <row r="130" spans="1:16" x14ac:dyDescent="0.35">
      <c r="A130" s="41">
        <f>Dashboard!A169</f>
        <v>2</v>
      </c>
      <c r="B130" s="41" t="str">
        <f>Dashboard!B169</f>
        <v>CCCR- SEWER(KES)</v>
      </c>
      <c r="C130" s="41" t="str">
        <f>Dashboard!C169</f>
        <v>Ksh</v>
      </c>
      <c r="D130">
        <v>1674527.0999999999</v>
      </c>
      <c r="E130">
        <v>1594854.75</v>
      </c>
      <c r="F130">
        <v>1881149.45</v>
      </c>
      <c r="G130">
        <v>1853744.3499999999</v>
      </c>
      <c r="H130">
        <v>2035489.95</v>
      </c>
      <c r="I130">
        <v>2328839.6</v>
      </c>
      <c r="J130">
        <v>2253572</v>
      </c>
      <c r="K130">
        <v>2321750</v>
      </c>
      <c r="L130">
        <v>1932459</v>
      </c>
      <c r="M130">
        <v>1809460</v>
      </c>
      <c r="N130">
        <v>1675455</v>
      </c>
      <c r="O130">
        <v>671027</v>
      </c>
    </row>
    <row r="131" spans="1:16" x14ac:dyDescent="0.35">
      <c r="A131" s="41">
        <f>Dashboard!A170</f>
        <v>3</v>
      </c>
      <c r="B131" s="41" t="str">
        <f>Dashboard!B170</f>
        <v>KABATI- SEWER(KES)</v>
      </c>
      <c r="C131" s="41" t="str">
        <f>Dashboard!C170</f>
        <v>Ksh</v>
      </c>
      <c r="D131">
        <v>293273.2</v>
      </c>
      <c r="E131">
        <v>275943.40000000002</v>
      </c>
      <c r="F131">
        <v>288160.14999999997</v>
      </c>
      <c r="G131">
        <v>300148.85000000009</v>
      </c>
      <c r="H131">
        <v>278265.34999999998</v>
      </c>
      <c r="I131">
        <v>262541.84999999998</v>
      </c>
      <c r="J131">
        <v>336187</v>
      </c>
      <c r="K131">
        <v>351146</v>
      </c>
      <c r="L131">
        <v>317651</v>
      </c>
      <c r="M131">
        <v>371945</v>
      </c>
      <c r="N131">
        <v>347635</v>
      </c>
      <c r="O131">
        <v>420477</v>
      </c>
    </row>
    <row r="132" spans="1:16" x14ac:dyDescent="0.35">
      <c r="A132" s="41">
        <f>Dashboard!A171</f>
        <v>4</v>
      </c>
      <c r="B132" s="41" t="str">
        <f>Dashboard!B171</f>
        <v>SITE- SEWER(KES)</v>
      </c>
      <c r="C132" s="41" t="str">
        <f>Dashboard!C171</f>
        <v>Ksh</v>
      </c>
      <c r="D132">
        <v>335242.44999999995</v>
      </c>
      <c r="E132">
        <v>321932.95</v>
      </c>
      <c r="F132">
        <v>305729.49999999994</v>
      </c>
      <c r="G132">
        <v>300292.95000000013</v>
      </c>
      <c r="H132">
        <v>308390.75</v>
      </c>
      <c r="I132">
        <v>287224.19999999995</v>
      </c>
      <c r="J132">
        <v>415725</v>
      </c>
      <c r="K132">
        <v>423851</v>
      </c>
      <c r="L132">
        <v>489723</v>
      </c>
      <c r="M132">
        <v>418972</v>
      </c>
      <c r="N132">
        <v>421081</v>
      </c>
      <c r="O132">
        <v>423840</v>
      </c>
    </row>
    <row r="133" spans="1:16" x14ac:dyDescent="0.35">
      <c r="A133" s="41">
        <f>Dashboard!A172</f>
        <v>5</v>
      </c>
      <c r="B133" s="41" t="str">
        <f>Dashboard!B172</f>
        <v>KIHOTO- SEWER(KES)</v>
      </c>
      <c r="C133" s="41" t="str">
        <f>Dashboard!C172</f>
        <v>Ksh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/>
    </row>
    <row r="134" spans="1:16" x14ac:dyDescent="0.35">
      <c r="A134" s="41">
        <f>Dashboard!A175</f>
        <v>0</v>
      </c>
      <c r="B134" s="41" t="str">
        <f>Dashboard!B175</f>
        <v>TOTAL SEWER SALES-CENTRAL</v>
      </c>
      <c r="C134" s="41" t="str">
        <f>Dashboard!C175</f>
        <v>Ksh</v>
      </c>
      <c r="D134" s="46">
        <v>3288087.8</v>
      </c>
      <c r="E134" s="46">
        <v>3201537.7</v>
      </c>
      <c r="F134" s="46">
        <v>3456698.3499999996</v>
      </c>
      <c r="G134" s="46">
        <v>3443299.15</v>
      </c>
      <c r="H134" s="46">
        <v>3601247.15</v>
      </c>
      <c r="I134" s="46">
        <v>3830623.6500000004</v>
      </c>
      <c r="J134" s="46">
        <v>4098891</v>
      </c>
      <c r="K134" s="46">
        <v>4386863</v>
      </c>
      <c r="L134" s="46">
        <v>3916617</v>
      </c>
      <c r="M134" s="46">
        <v>4089032</v>
      </c>
      <c r="N134" s="46">
        <v>3907538</v>
      </c>
      <c r="O134" s="46">
        <v>3393386</v>
      </c>
    </row>
    <row r="135" spans="1:16" x14ac:dyDescent="0.35">
      <c r="A135" s="41">
        <f>Dashboard!A176</f>
        <v>1</v>
      </c>
      <c r="B135" s="41" t="str">
        <f>Dashboard!B176</f>
        <v>HELLSGATE- SEWER(KES)</v>
      </c>
      <c r="C135" s="41" t="str">
        <f>Dashboard!C176</f>
        <v>Ksh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</row>
    <row r="136" spans="1:16" x14ac:dyDescent="0.35">
      <c r="A136" s="41">
        <f>Dashboard!A177</f>
        <v>2</v>
      </c>
      <c r="B136" s="41" t="str">
        <f>Dashboard!B177</f>
        <v>KAMERE- SEWER(KES)</v>
      </c>
      <c r="C136" s="41" t="str">
        <f>Dashboard!C177</f>
        <v>Ksh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</row>
    <row r="137" spans="1:16" x14ac:dyDescent="0.35">
      <c r="A137" s="41">
        <f>Dashboard!A181</f>
        <v>1</v>
      </c>
      <c r="B137" s="41" t="str">
        <f>Dashboard!B181</f>
        <v>KAYOLE- SEWER(KES)</v>
      </c>
      <c r="C137" s="41" t="str">
        <f>Dashboard!C181</f>
        <v>Ksh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16140</v>
      </c>
      <c r="K137">
        <v>7985</v>
      </c>
      <c r="L137">
        <v>11928</v>
      </c>
      <c r="M137">
        <v>42135</v>
      </c>
      <c r="N137">
        <v>38408</v>
      </c>
      <c r="O137">
        <v>45953</v>
      </c>
    </row>
    <row r="138" spans="1:16" x14ac:dyDescent="0.35">
      <c r="A138" s="41">
        <f>Dashboard!A173</f>
        <v>6</v>
      </c>
      <c r="B138" s="41" t="str">
        <f>Dashboard!B173</f>
        <v>LAKEVIEW- SEWER(KES)</v>
      </c>
      <c r="C138" s="41" t="str">
        <f>Dashboard!C173</f>
        <v>Ksh</v>
      </c>
      <c r="D138">
        <v>1112109.3500000001</v>
      </c>
      <c r="E138">
        <v>1149845.6000000001</v>
      </c>
      <c r="F138">
        <v>1081878.1000000001</v>
      </c>
      <c r="G138">
        <v>1101855.1000000001</v>
      </c>
      <c r="H138">
        <v>1473132.55</v>
      </c>
      <c r="I138">
        <v>511091.50000000006</v>
      </c>
      <c r="J138">
        <v>446428</v>
      </c>
      <c r="K138">
        <v>417171</v>
      </c>
      <c r="L138">
        <v>375034</v>
      </c>
      <c r="M138">
        <v>639939</v>
      </c>
      <c r="N138">
        <v>569215</v>
      </c>
      <c r="O138">
        <v>614604</v>
      </c>
    </row>
    <row r="139" spans="1:16" x14ac:dyDescent="0.35">
      <c r="A139" s="41">
        <f>Dashboard!A178</f>
        <v>3</v>
      </c>
      <c r="B139" s="41" t="str">
        <f>Dashboard!B178</f>
        <v>MAI-MAHIU- SEWER(KES)</v>
      </c>
      <c r="C139" s="41" t="str">
        <f>Dashboard!C178</f>
        <v>Ksh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</row>
    <row r="140" spans="1:16" x14ac:dyDescent="0.35">
      <c r="A140" s="41">
        <f>Dashboard!A179</f>
        <v>0</v>
      </c>
      <c r="B140" s="41" t="str">
        <f>Dashboard!B179</f>
        <v>TOTAL SEWER SALES-SOUTHERN</v>
      </c>
      <c r="C140" s="41" t="str">
        <f>Dashboard!C179</f>
        <v>Ksh</v>
      </c>
      <c r="D140" s="46">
        <v>1112109.3500000001</v>
      </c>
      <c r="E140" s="46">
        <v>1149845.6000000001</v>
      </c>
      <c r="F140" s="46">
        <v>1081878.1000000001</v>
      </c>
      <c r="G140" s="46">
        <v>1101855.1000000001</v>
      </c>
      <c r="H140" s="46">
        <v>1473132.55</v>
      </c>
      <c r="I140" s="46">
        <v>511091.50000000006</v>
      </c>
      <c r="J140" s="46">
        <v>462568</v>
      </c>
      <c r="K140" s="46">
        <v>425156</v>
      </c>
      <c r="L140" s="46">
        <v>386962</v>
      </c>
      <c r="M140" s="46">
        <v>682074</v>
      </c>
      <c r="N140" s="46">
        <v>607623</v>
      </c>
      <c r="O140" s="46">
        <v>660557</v>
      </c>
    </row>
    <row r="141" spans="1:16" x14ac:dyDescent="0.35">
      <c r="A141" s="41" t="str">
        <f>Dashboard!A182</f>
        <v>SUMMARY SALES</v>
      </c>
    </row>
    <row r="142" spans="1:16" x14ac:dyDescent="0.35">
      <c r="A142" s="41">
        <f>Dashboard!A183</f>
        <v>1</v>
      </c>
      <c r="B142" s="41" t="str">
        <f>Dashboard!B183</f>
        <v>TOTAL VOLUME BILLED</v>
      </c>
      <c r="C142" s="41" t="str">
        <f>Dashboard!C183</f>
        <v>M3</v>
      </c>
      <c r="D142" s="41">
        <f>D95+D101</f>
        <v>120266</v>
      </c>
      <c r="E142" s="41">
        <f t="shared" ref="E142:O142" si="4">E95+E101</f>
        <v>121428</v>
      </c>
      <c r="F142" s="41">
        <f t="shared" si="4"/>
        <v>122614</v>
      </c>
      <c r="G142" s="41">
        <f t="shared" si="4"/>
        <v>126272</v>
      </c>
      <c r="H142" s="41">
        <f t="shared" si="4"/>
        <v>125501</v>
      </c>
      <c r="I142" s="41">
        <f t="shared" si="4"/>
        <v>122751</v>
      </c>
      <c r="J142" s="41">
        <f t="shared" si="4"/>
        <v>137132</v>
      </c>
      <c r="K142" s="41">
        <f t="shared" si="4"/>
        <v>137861</v>
      </c>
      <c r="L142" s="41">
        <f t="shared" si="4"/>
        <v>122707</v>
      </c>
      <c r="M142" s="41">
        <f t="shared" si="4"/>
        <v>144585</v>
      </c>
      <c r="N142" s="41">
        <f t="shared" si="4"/>
        <v>117988</v>
      </c>
      <c r="O142" s="41">
        <f t="shared" si="4"/>
        <v>116824</v>
      </c>
    </row>
    <row r="143" spans="1:16" x14ac:dyDescent="0.35">
      <c r="A143" s="41">
        <f>Dashboard!A184</f>
        <v>2</v>
      </c>
      <c r="B143" s="41" t="str">
        <f>Dashboard!B184</f>
        <v>TOTAL WATER SALES</v>
      </c>
      <c r="C143" s="41" t="str">
        <f>Dashboard!C184</f>
        <v>Ksh</v>
      </c>
      <c r="D143" s="41">
        <f>D108+D114</f>
        <v>9840960</v>
      </c>
      <c r="E143" s="41">
        <f t="shared" ref="E143:O143" si="5">E108+E114</f>
        <v>9629542</v>
      </c>
      <c r="F143" s="41">
        <f t="shared" si="5"/>
        <v>9990578.3000000007</v>
      </c>
      <c r="G143" s="41">
        <f t="shared" si="5"/>
        <v>10323025</v>
      </c>
      <c r="H143" s="41">
        <f t="shared" si="5"/>
        <v>10434355</v>
      </c>
      <c r="I143" s="41">
        <f t="shared" si="5"/>
        <v>10257770</v>
      </c>
      <c r="J143" s="41">
        <f t="shared" si="5"/>
        <v>11956126</v>
      </c>
      <c r="K143" s="41">
        <f t="shared" si="5"/>
        <v>12122204</v>
      </c>
      <c r="L143" s="41">
        <f t="shared" si="5"/>
        <v>10550211</v>
      </c>
      <c r="M143" s="41">
        <f t="shared" si="5"/>
        <v>12364593</v>
      </c>
      <c r="N143" s="41">
        <f t="shared" si="5"/>
        <v>9949935</v>
      </c>
      <c r="O143" s="41">
        <f t="shared" si="5"/>
        <v>9227442</v>
      </c>
      <c r="P143" s="72">
        <f>SUM(M143:O143)</f>
        <v>31541970</v>
      </c>
    </row>
    <row r="144" spans="1:16" x14ac:dyDescent="0.35">
      <c r="A144" s="41">
        <f>Dashboard!A185</f>
        <v>3</v>
      </c>
      <c r="B144" s="41" t="str">
        <f>Dashboard!B185</f>
        <v>TOTAL SEWER SALES</v>
      </c>
      <c r="C144" s="41" t="str">
        <f>Dashboard!C185</f>
        <v>Ksh</v>
      </c>
      <c r="D144" s="41">
        <f>D134+D140</f>
        <v>4400197.1500000004</v>
      </c>
      <c r="E144" s="41">
        <f t="shared" ref="E144:O144" si="6">E134+E140</f>
        <v>4351383.3000000007</v>
      </c>
      <c r="F144" s="41">
        <f t="shared" si="6"/>
        <v>4538576.4499999993</v>
      </c>
      <c r="G144" s="41">
        <f t="shared" si="6"/>
        <v>4545154.25</v>
      </c>
      <c r="H144" s="41">
        <f t="shared" si="6"/>
        <v>5074379.7</v>
      </c>
      <c r="I144" s="41">
        <f t="shared" si="6"/>
        <v>4341715.1500000004</v>
      </c>
      <c r="J144" s="41">
        <f t="shared" si="6"/>
        <v>4561459</v>
      </c>
      <c r="K144" s="41">
        <f t="shared" si="6"/>
        <v>4812019</v>
      </c>
      <c r="L144" s="41">
        <f t="shared" si="6"/>
        <v>4303579</v>
      </c>
      <c r="M144" s="41">
        <f t="shared" si="6"/>
        <v>4771106</v>
      </c>
      <c r="N144" s="41">
        <f t="shared" si="6"/>
        <v>4515161</v>
      </c>
      <c r="O144" s="41">
        <f t="shared" si="6"/>
        <v>4053943</v>
      </c>
      <c r="P144" s="72">
        <f>SUM(M144:O144)</f>
        <v>13340210</v>
      </c>
    </row>
    <row r="145" spans="1:15" x14ac:dyDescent="0.35">
      <c r="A145" s="41">
        <f>Dashboard!A187</f>
        <v>4</v>
      </c>
      <c r="B145" s="41" t="str">
        <f>Dashboard!B187</f>
        <v>AVG TARIFF WATER (KSH/M3)</v>
      </c>
      <c r="C145" s="41" t="str">
        <f>Dashboard!C187</f>
        <v>Ksh/M3</v>
      </c>
      <c r="D145" s="41">
        <f>D143/D142</f>
        <v>81.826617664177746</v>
      </c>
      <c r="E145" s="41">
        <f t="shared" ref="E145:O145" si="7">E143/E142</f>
        <v>79.30248377639424</v>
      </c>
      <c r="F145" s="41">
        <f t="shared" si="7"/>
        <v>81.479915017860932</v>
      </c>
      <c r="G145" s="41">
        <f t="shared" si="7"/>
        <v>81.752288710086162</v>
      </c>
      <c r="H145" s="41">
        <f t="shared" si="7"/>
        <v>83.141608433398943</v>
      </c>
      <c r="I145" s="41">
        <f t="shared" si="7"/>
        <v>83.565673599400412</v>
      </c>
      <c r="J145" s="41">
        <f t="shared" si="7"/>
        <v>87.18698771986115</v>
      </c>
      <c r="K145" s="41">
        <f t="shared" si="7"/>
        <v>87.930625775237374</v>
      </c>
      <c r="L145" s="41">
        <f t="shared" si="7"/>
        <v>85.97888466020683</v>
      </c>
      <c r="M145" s="41">
        <f t="shared" si="7"/>
        <v>85.517813051146391</v>
      </c>
      <c r="N145" s="41">
        <f t="shared" si="7"/>
        <v>84.330058989049732</v>
      </c>
      <c r="O145" s="41">
        <f t="shared" si="7"/>
        <v>78.985841950284183</v>
      </c>
    </row>
    <row r="146" spans="1:15" x14ac:dyDescent="0.35">
      <c r="A146" s="41">
        <f>Dashboard!A188</f>
        <v>5</v>
      </c>
      <c r="B146" s="41" t="str">
        <f>Dashboard!B188</f>
        <v>AVG TARIFF SEWER (KSH/NO.)</v>
      </c>
      <c r="C146" s="41" t="str">
        <f>Dashboard!C188</f>
        <v>ksh/No</v>
      </c>
      <c r="D146" s="41">
        <f>D144/D87</f>
        <v>2927.6095475715238</v>
      </c>
      <c r="E146" s="41">
        <f t="shared" ref="E146:O146" si="8">E144/E87</f>
        <v>2870.3056068601586</v>
      </c>
      <c r="F146" s="41">
        <f t="shared" si="8"/>
        <v>3003.6905691594966</v>
      </c>
      <c r="G146" s="41">
        <f t="shared" si="8"/>
        <v>2980.4290163934425</v>
      </c>
      <c r="H146" s="41">
        <f t="shared" si="8"/>
        <v>3305.7848208469059</v>
      </c>
      <c r="I146" s="41">
        <f t="shared" si="8"/>
        <v>2826.6374674479171</v>
      </c>
      <c r="J146" s="41">
        <f t="shared" si="8"/>
        <v>2963.910981156595</v>
      </c>
      <c r="K146" s="41">
        <f t="shared" si="8"/>
        <v>3126.7179987004547</v>
      </c>
      <c r="L146" s="41">
        <f t="shared" si="8"/>
        <v>2706.6534591194968</v>
      </c>
      <c r="M146" s="41">
        <f t="shared" si="8"/>
        <v>2943.3103022825417</v>
      </c>
      <c r="N146" s="41">
        <f t="shared" si="8"/>
        <v>2783.6997533908757</v>
      </c>
      <c r="O146" s="41">
        <f t="shared" si="8"/>
        <v>2500.8901912399751</v>
      </c>
    </row>
    <row r="147" spans="1:15" x14ac:dyDescent="0.35">
      <c r="A147" s="41" t="str">
        <f>Dashboard!A201</f>
        <v>TOTAL EXHAUSTER SALES</v>
      </c>
    </row>
    <row r="148" spans="1:15" x14ac:dyDescent="0.35">
      <c r="A148" s="41">
        <f>Dashboard!A202</f>
        <v>1</v>
      </c>
      <c r="B148" s="41" t="str">
        <f>Dashboard!B202</f>
        <v>CBD- EXHAUSTER SALES</v>
      </c>
      <c r="C148" s="41" t="str">
        <f>Dashboard!C202</f>
        <v>Ksh</v>
      </c>
      <c r="D148">
        <v>85000</v>
      </c>
      <c r="E148">
        <v>49000</v>
      </c>
      <c r="F148">
        <v>35000</v>
      </c>
      <c r="G148">
        <v>25000</v>
      </c>
      <c r="H148">
        <v>22500</v>
      </c>
      <c r="I148">
        <v>22500</v>
      </c>
      <c r="J148">
        <v>20000</v>
      </c>
      <c r="K148">
        <v>15000</v>
      </c>
      <c r="L148">
        <v>30000</v>
      </c>
      <c r="M148">
        <v>15000</v>
      </c>
      <c r="N148">
        <v>7500</v>
      </c>
      <c r="O148">
        <v>40000</v>
      </c>
    </row>
    <row r="149" spans="1:15" x14ac:dyDescent="0.35">
      <c r="A149" s="41">
        <f>Dashboard!A203</f>
        <v>2</v>
      </c>
      <c r="B149" s="41" t="str">
        <f>Dashboard!B203</f>
        <v>CCCR- EXHAUSTER SALES</v>
      </c>
      <c r="C149" s="41" t="str">
        <f>Dashboard!C203</f>
        <v>Ksh</v>
      </c>
      <c r="D149">
        <v>5000</v>
      </c>
      <c r="E149">
        <v>10000</v>
      </c>
      <c r="F149">
        <v>12500</v>
      </c>
      <c r="G149">
        <v>2500</v>
      </c>
      <c r="H149">
        <v>10000</v>
      </c>
      <c r="I149">
        <v>5000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5000</v>
      </c>
    </row>
    <row r="150" spans="1:15" x14ac:dyDescent="0.35">
      <c r="A150" s="41">
        <f>Dashboard!A204</f>
        <v>3</v>
      </c>
      <c r="B150" s="41" t="str">
        <f>Dashboard!B204</f>
        <v>KABATI- EXHAUSTER SALES</v>
      </c>
      <c r="C150" s="41" t="str">
        <f>Dashboard!C204</f>
        <v>Ksh</v>
      </c>
      <c r="D150">
        <v>5000</v>
      </c>
      <c r="E150">
        <v>5000</v>
      </c>
      <c r="F150">
        <v>7500</v>
      </c>
      <c r="G150">
        <v>2500</v>
      </c>
      <c r="H150">
        <v>7500</v>
      </c>
      <c r="I150">
        <v>15000</v>
      </c>
      <c r="J150">
        <v>2500</v>
      </c>
      <c r="K150">
        <v>5000</v>
      </c>
      <c r="L150">
        <v>5000</v>
      </c>
      <c r="M150">
        <v>5000</v>
      </c>
      <c r="N150">
        <v>5000</v>
      </c>
      <c r="O150">
        <v>2500</v>
      </c>
    </row>
    <row r="151" spans="1:15" x14ac:dyDescent="0.35">
      <c r="A151" s="41">
        <f>Dashboard!A205</f>
        <v>4</v>
      </c>
      <c r="B151" s="41" t="str">
        <f>Dashboard!B205</f>
        <v>SITE- EXHAUSTER SALES</v>
      </c>
      <c r="C151" s="41" t="str">
        <f>Dashboard!C205</f>
        <v>Ksh</v>
      </c>
      <c r="D151">
        <v>0</v>
      </c>
      <c r="E151">
        <v>5000</v>
      </c>
      <c r="F151">
        <v>7500</v>
      </c>
      <c r="G151">
        <v>5000</v>
      </c>
      <c r="H151">
        <v>0</v>
      </c>
      <c r="I151">
        <v>5000</v>
      </c>
      <c r="J151">
        <v>5000</v>
      </c>
      <c r="K151">
        <v>2500</v>
      </c>
      <c r="L151">
        <v>7500</v>
      </c>
      <c r="M151">
        <v>5000</v>
      </c>
      <c r="N151">
        <v>2500</v>
      </c>
      <c r="O151"/>
    </row>
    <row r="152" spans="1:15" x14ac:dyDescent="0.35">
      <c r="A152" s="41">
        <f>Dashboard!A206</f>
        <v>5</v>
      </c>
      <c r="B152" s="41" t="str">
        <f>Dashboard!B206</f>
        <v>KIHOTO- EXHAUSTER SALES</v>
      </c>
      <c r="C152" s="41" t="str">
        <f>Dashboard!C206</f>
        <v>Ksh</v>
      </c>
      <c r="D152">
        <v>0</v>
      </c>
      <c r="E152">
        <v>2500</v>
      </c>
      <c r="F152">
        <v>2500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5000</v>
      </c>
      <c r="O152">
        <v>2500</v>
      </c>
    </row>
    <row r="153" spans="1:15" x14ac:dyDescent="0.35">
      <c r="A153" s="41">
        <f>Dashboard!A208</f>
        <v>0</v>
      </c>
      <c r="B153" s="41" t="str">
        <f>Dashboard!B208</f>
        <v>TOTAL EXHAUSTER SALES-CENTRAL</v>
      </c>
      <c r="C153" s="41" t="str">
        <f>Dashboard!C208</f>
        <v>Ksh</v>
      </c>
      <c r="D153" s="46">
        <v>95000</v>
      </c>
      <c r="E153" s="46">
        <v>95000</v>
      </c>
      <c r="F153" s="46">
        <v>95000</v>
      </c>
      <c r="G153" s="46">
        <v>95000</v>
      </c>
      <c r="H153" s="46">
        <v>95000</v>
      </c>
      <c r="I153" s="46">
        <v>95000</v>
      </c>
      <c r="J153" s="46">
        <v>95000</v>
      </c>
      <c r="K153" s="46">
        <v>95000</v>
      </c>
      <c r="L153" s="46">
        <v>95000</v>
      </c>
      <c r="M153" s="46">
        <v>95000</v>
      </c>
      <c r="N153" s="46">
        <v>95000</v>
      </c>
      <c r="O153" s="46">
        <v>95000</v>
      </c>
    </row>
    <row r="154" spans="1:15" x14ac:dyDescent="0.35">
      <c r="A154" s="41">
        <f>Dashboard!A209</f>
        <v>1</v>
      </c>
      <c r="B154" s="41" t="str">
        <f>Dashboard!B209</f>
        <v>HELLSGATE- EXHAUSTER SALES</v>
      </c>
      <c r="C154" s="41" t="str">
        <f>Dashboard!C209</f>
        <v>Ksh</v>
      </c>
      <c r="D154">
        <v>2500</v>
      </c>
      <c r="E154">
        <v>12500</v>
      </c>
      <c r="F154">
        <v>27500</v>
      </c>
      <c r="G154">
        <v>40000</v>
      </c>
      <c r="H154">
        <v>25000</v>
      </c>
      <c r="I154">
        <v>10000</v>
      </c>
      <c r="J154">
        <v>35000</v>
      </c>
      <c r="K154">
        <v>27500</v>
      </c>
      <c r="L154">
        <v>52500</v>
      </c>
      <c r="M154">
        <v>47500</v>
      </c>
      <c r="N154">
        <v>53500</v>
      </c>
      <c r="O154">
        <v>55000</v>
      </c>
    </row>
    <row r="155" spans="1:15" x14ac:dyDescent="0.35">
      <c r="A155" s="41">
        <f>Dashboard!A210</f>
        <v>2</v>
      </c>
      <c r="B155" s="41" t="str">
        <f>Dashboard!B210</f>
        <v>KAMERE- EXHAUSTER SALES</v>
      </c>
      <c r="C155" s="41" t="str">
        <f>Dashboard!C210</f>
        <v>Ksh</v>
      </c>
      <c r="D155">
        <v>0</v>
      </c>
      <c r="E155">
        <v>10000</v>
      </c>
      <c r="F155">
        <v>10000</v>
      </c>
      <c r="G155">
        <v>0</v>
      </c>
      <c r="H155">
        <v>0</v>
      </c>
      <c r="I155">
        <v>10000</v>
      </c>
      <c r="J155">
        <v>10000</v>
      </c>
      <c r="K155">
        <v>10000</v>
      </c>
      <c r="L155">
        <v>5000</v>
      </c>
      <c r="M155">
        <v>0</v>
      </c>
      <c r="N155">
        <v>0</v>
      </c>
      <c r="O155"/>
    </row>
    <row r="156" spans="1:15" x14ac:dyDescent="0.35">
      <c r="A156" s="41">
        <f>Dashboard!A213</f>
        <v>1</v>
      </c>
      <c r="B156" s="41" t="str">
        <f>Dashboard!B213</f>
        <v>KAYOLE- EXHAUSTER SALES</v>
      </c>
      <c r="C156" s="41" t="str">
        <f>Dashboard!C213</f>
        <v>Ksh</v>
      </c>
      <c r="D156">
        <v>27500</v>
      </c>
      <c r="E156">
        <v>27500</v>
      </c>
      <c r="F156">
        <v>30000</v>
      </c>
      <c r="G156">
        <v>47500</v>
      </c>
      <c r="H156">
        <v>40000</v>
      </c>
      <c r="I156">
        <v>25000</v>
      </c>
      <c r="J156">
        <v>50000</v>
      </c>
      <c r="K156">
        <v>32500</v>
      </c>
      <c r="L156">
        <v>48500</v>
      </c>
      <c r="M156">
        <v>55000</v>
      </c>
      <c r="N156">
        <v>47500</v>
      </c>
      <c r="O156">
        <v>35000</v>
      </c>
    </row>
    <row r="157" spans="1:15" x14ac:dyDescent="0.35">
      <c r="A157" s="41">
        <f>Dashboard!A207</f>
        <v>6</v>
      </c>
      <c r="B157" s="41" t="str">
        <f>Dashboard!B207</f>
        <v>LAKEVIEW- EXHAUSTER SALES</v>
      </c>
      <c r="C157" s="41" t="str">
        <f>Dashboard!C207</f>
        <v>Ksh</v>
      </c>
      <c r="D157">
        <v>10000</v>
      </c>
      <c r="E157">
        <v>7500</v>
      </c>
      <c r="F157">
        <v>0</v>
      </c>
      <c r="G157">
        <v>15000</v>
      </c>
      <c r="H157">
        <v>22500</v>
      </c>
      <c r="I157">
        <v>7500</v>
      </c>
      <c r="J157">
        <v>12500</v>
      </c>
      <c r="K157">
        <v>37500</v>
      </c>
      <c r="L157">
        <v>2500</v>
      </c>
      <c r="M157">
        <v>12500</v>
      </c>
      <c r="N157">
        <v>7500</v>
      </c>
      <c r="O157">
        <v>5000</v>
      </c>
    </row>
    <row r="158" spans="1:15" x14ac:dyDescent="0.35">
      <c r="A158" s="41">
        <f>Dashboard!A214</f>
        <v>2</v>
      </c>
      <c r="B158" s="41" t="str">
        <f>Dashboard!B214</f>
        <v>OTHER- EXHAUSTER SALES</v>
      </c>
      <c r="C158" s="41" t="str">
        <f>Dashboard!C214</f>
        <v>Ksh</v>
      </c>
      <c r="D158">
        <v>5000</v>
      </c>
      <c r="E158">
        <v>5000</v>
      </c>
      <c r="F158">
        <v>13000</v>
      </c>
      <c r="G158">
        <v>2500</v>
      </c>
      <c r="H158">
        <v>2500</v>
      </c>
      <c r="I158">
        <v>0</v>
      </c>
      <c r="J158">
        <v>15000</v>
      </c>
      <c r="K158">
        <v>5000</v>
      </c>
      <c r="L158">
        <v>7500</v>
      </c>
      <c r="M158">
        <v>5000</v>
      </c>
      <c r="N158">
        <v>10500</v>
      </c>
      <c r="O158">
        <v>10500</v>
      </c>
    </row>
    <row r="159" spans="1:15" x14ac:dyDescent="0.35">
      <c r="A159" s="41">
        <f>Dashboard!A211</f>
        <v>0</v>
      </c>
      <c r="B159" s="41" t="str">
        <f>Dashboard!B211</f>
        <v>TOTAL EXHAUSTER SALES-SOUTHERN</v>
      </c>
      <c r="C159" s="41" t="str">
        <f>Dashboard!C211</f>
        <v>Ksh</v>
      </c>
      <c r="D159" s="46">
        <v>45000</v>
      </c>
      <c r="E159" s="46">
        <v>62500</v>
      </c>
      <c r="F159" s="46">
        <v>80500</v>
      </c>
      <c r="G159" s="46">
        <v>105000</v>
      </c>
      <c r="H159" s="46">
        <v>90000</v>
      </c>
      <c r="I159" s="46">
        <v>52500</v>
      </c>
      <c r="J159" s="46">
        <v>122500</v>
      </c>
      <c r="K159" s="46">
        <v>112500</v>
      </c>
      <c r="L159" s="46">
        <v>116000</v>
      </c>
      <c r="M159" s="46">
        <v>120000</v>
      </c>
      <c r="N159" s="46">
        <v>119000</v>
      </c>
      <c r="O159" s="46">
        <v>105500</v>
      </c>
    </row>
    <row r="160" spans="1:15" x14ac:dyDescent="0.35">
      <c r="A160" s="41" t="str">
        <f>Dashboard!A215</f>
        <v>SUMMARY EXHAUSTER SALES</v>
      </c>
    </row>
    <row r="161" spans="1:16" x14ac:dyDescent="0.35">
      <c r="A161" s="41">
        <f>Dashboard!A216</f>
        <v>1</v>
      </c>
      <c r="B161" s="41" t="str">
        <f>Dashboard!B216</f>
        <v>EXHAUSTER SALES</v>
      </c>
      <c r="C161" s="41" t="str">
        <f>Dashboard!C216</f>
        <v>Ksh</v>
      </c>
      <c r="D161">
        <f>D159+D152</f>
        <v>45000</v>
      </c>
      <c r="E161">
        <f t="shared" ref="E161:O161" si="9">E159+E152</f>
        <v>65000</v>
      </c>
      <c r="F161">
        <f t="shared" si="9"/>
        <v>83000</v>
      </c>
      <c r="G161">
        <f t="shared" si="9"/>
        <v>105000</v>
      </c>
      <c r="H161">
        <f t="shared" si="9"/>
        <v>90000</v>
      </c>
      <c r="I161">
        <f t="shared" si="9"/>
        <v>52500</v>
      </c>
      <c r="J161">
        <f t="shared" si="9"/>
        <v>122500</v>
      </c>
      <c r="K161">
        <f t="shared" si="9"/>
        <v>112500</v>
      </c>
      <c r="L161">
        <f t="shared" si="9"/>
        <v>116000</v>
      </c>
      <c r="M161">
        <f t="shared" si="9"/>
        <v>120000</v>
      </c>
      <c r="N161">
        <f t="shared" si="9"/>
        <v>124000</v>
      </c>
      <c r="O161">
        <f t="shared" si="9"/>
        <v>108000</v>
      </c>
      <c r="P161" s="72">
        <f t="shared" ref="P161" si="10">SUM(D161:I161)</f>
        <v>440500</v>
      </c>
    </row>
    <row r="162" spans="1:16" hidden="1" x14ac:dyDescent="0.35">
      <c r="A162" s="41" t="str">
        <f>Dashboard!A217</f>
        <v xml:space="preserve">COMPLAINTS </v>
      </c>
    </row>
    <row r="163" spans="1:16" hidden="1" x14ac:dyDescent="0.35">
      <c r="A163" s="41">
        <f>Dashboard!A218</f>
        <v>1</v>
      </c>
      <c r="B163" s="41" t="str">
        <f>Dashboard!B218</f>
        <v>NO. COMPLAINTS BOOKED</v>
      </c>
      <c r="C163" s="41" t="str">
        <f>Dashboard!C218</f>
        <v>No.</v>
      </c>
      <c r="D163">
        <v>252</v>
      </c>
      <c r="E163">
        <v>417</v>
      </c>
      <c r="F163">
        <v>272</v>
      </c>
      <c r="G163">
        <v>258</v>
      </c>
      <c r="H163">
        <v>306</v>
      </c>
      <c r="I163">
        <v>269</v>
      </c>
      <c r="J163">
        <v>219</v>
      </c>
      <c r="K163">
        <v>1114</v>
      </c>
      <c r="L163">
        <v>1413</v>
      </c>
      <c r="M163">
        <v>1170</v>
      </c>
      <c r="N163">
        <v>310</v>
      </c>
      <c r="O163">
        <v>216</v>
      </c>
    </row>
    <row r="164" spans="1:16" hidden="1" x14ac:dyDescent="0.35">
      <c r="A164" s="41">
        <f>Dashboard!A219</f>
        <v>2</v>
      </c>
      <c r="B164" s="41" t="str">
        <f>Dashboard!B219</f>
        <v>NO. COMPLAINTS SOLVED</v>
      </c>
      <c r="C164" s="41" t="str">
        <f>Dashboard!C219</f>
        <v>No.</v>
      </c>
      <c r="D164">
        <v>237</v>
      </c>
      <c r="E164">
        <v>384</v>
      </c>
      <c r="F164">
        <v>246</v>
      </c>
      <c r="G164">
        <v>236</v>
      </c>
      <c r="H164">
        <v>257</v>
      </c>
      <c r="I164">
        <v>211</v>
      </c>
      <c r="J164">
        <v>84</v>
      </c>
      <c r="K164">
        <v>719</v>
      </c>
      <c r="L164">
        <v>1003</v>
      </c>
      <c r="M164">
        <v>1047</v>
      </c>
      <c r="N164">
        <v>234</v>
      </c>
      <c r="O164">
        <v>99</v>
      </c>
    </row>
    <row r="165" spans="1:16" hidden="1" x14ac:dyDescent="0.35">
      <c r="A165" s="41">
        <f>Dashboard!A220</f>
        <v>3</v>
      </c>
      <c r="B165" s="41" t="str">
        <f>Dashboard!B220</f>
        <v>% RESOLUTION</v>
      </c>
      <c r="C165" s="41" t="str">
        <f>Dashboard!C220</f>
        <v>%</v>
      </c>
      <c r="D165">
        <v>0.94047619047619047</v>
      </c>
      <c r="E165">
        <v>0.92086330935251803</v>
      </c>
      <c r="F165">
        <v>0.90441176470588236</v>
      </c>
      <c r="G165">
        <v>0.9147286821705426</v>
      </c>
      <c r="H165">
        <v>0.83986928104575165</v>
      </c>
      <c r="I165">
        <v>0.78438661710037172</v>
      </c>
      <c r="J165">
        <v>0.38356164383561642</v>
      </c>
      <c r="K165">
        <v>0.64542190305206459</v>
      </c>
      <c r="L165">
        <v>0.70983722576079267</v>
      </c>
      <c r="M165">
        <v>0.89487179487179491</v>
      </c>
      <c r="N165">
        <v>0.75483870967741939</v>
      </c>
      <c r="O165">
        <v>0.45833333333333331</v>
      </c>
    </row>
    <row r="166" spans="1:16" hidden="1" x14ac:dyDescent="0.35">
      <c r="A166" s="41" t="str">
        <f>Dashboard!A221</f>
        <v>METER READING EFFICIENCY</v>
      </c>
    </row>
    <row r="167" spans="1:16" hidden="1" x14ac:dyDescent="0.35">
      <c r="A167" s="41">
        <f>Dashboard!A222</f>
        <v>1</v>
      </c>
      <c r="B167" s="41" t="str">
        <f>Dashboard!B222</f>
        <v>AVG METERS READ PER METER READER</v>
      </c>
      <c r="C167" s="41" t="str">
        <f>Dashboard!C222</f>
        <v>No.</v>
      </c>
      <c r="D167">
        <v>1703</v>
      </c>
      <c r="E167">
        <v>1285</v>
      </c>
      <c r="F167">
        <v>1298</v>
      </c>
      <c r="G167">
        <v>1305</v>
      </c>
      <c r="H167">
        <v>1656</v>
      </c>
      <c r="I167">
        <v>1351</v>
      </c>
      <c r="J167">
        <v>1372</v>
      </c>
      <c r="K167">
        <v>1398</v>
      </c>
      <c r="L167">
        <v>1731</v>
      </c>
      <c r="M167">
        <v>1447</v>
      </c>
      <c r="N167">
        <v>1470</v>
      </c>
      <c r="O167">
        <v>1480</v>
      </c>
    </row>
    <row r="168" spans="1:16" hidden="1" x14ac:dyDescent="0.35">
      <c r="A168" s="41">
        <f>Dashboard!A223</f>
        <v>2</v>
      </c>
      <c r="B168" s="41" t="str">
        <f>Dashboard!B223</f>
        <v>NO DAYS TAKEN METER READING DTI</v>
      </c>
      <c r="C168" s="41" t="str">
        <f>Dashboard!C223</f>
        <v>No.</v>
      </c>
      <c r="D168">
        <v>11</v>
      </c>
      <c r="E168">
        <v>8</v>
      </c>
      <c r="F168">
        <v>9</v>
      </c>
      <c r="G168">
        <v>9</v>
      </c>
      <c r="H168">
        <v>10</v>
      </c>
      <c r="I168">
        <v>8</v>
      </c>
      <c r="J168">
        <v>9</v>
      </c>
      <c r="K168">
        <v>8</v>
      </c>
      <c r="L168">
        <v>8</v>
      </c>
      <c r="M168">
        <v>9</v>
      </c>
      <c r="N168">
        <v>12</v>
      </c>
      <c r="O168">
        <v>10</v>
      </c>
    </row>
    <row r="169" spans="1:16" hidden="1" x14ac:dyDescent="0.35">
      <c r="A169" s="41">
        <f>Dashboard!A224</f>
        <v>3</v>
      </c>
      <c r="B169" s="41" t="str">
        <f>Dashboard!B224</f>
        <v>NO DAYS TAKEN METER READING KARATI</v>
      </c>
      <c r="C169" s="41" t="str">
        <f>Dashboard!C224</f>
        <v>No.</v>
      </c>
      <c r="D169">
        <v>17</v>
      </c>
      <c r="E169">
        <v>16</v>
      </c>
      <c r="F169">
        <v>15</v>
      </c>
      <c r="G169">
        <v>15</v>
      </c>
      <c r="H169">
        <v>15</v>
      </c>
      <c r="I169">
        <v>16</v>
      </c>
      <c r="J169">
        <v>15</v>
      </c>
      <c r="K169">
        <v>16</v>
      </c>
      <c r="L169">
        <v>15</v>
      </c>
      <c r="M169">
        <v>17</v>
      </c>
      <c r="N169">
        <v>15</v>
      </c>
      <c r="O169">
        <v>17</v>
      </c>
    </row>
  </sheetData>
  <phoneticPr fontId="11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5">
    <tabColor rgb="FFFFC000"/>
  </sheetPr>
  <dimension ref="A1:S30"/>
  <sheetViews>
    <sheetView zoomScale="90" zoomScaleNormal="90" workbookViewId="0">
      <selection activeCell="L1" sqref="L1"/>
    </sheetView>
  </sheetViews>
  <sheetFormatPr defaultColWidth="9.1796875" defaultRowHeight="14.5" x14ac:dyDescent="0.35"/>
  <cols>
    <col min="1" max="1" width="9.1796875" style="3"/>
    <col min="2" max="2" width="5.1796875" style="3" customWidth="1"/>
    <col min="3" max="3" width="6.26953125" style="3" customWidth="1"/>
    <col min="4" max="4" width="21.26953125" style="3" bestFit="1" customWidth="1"/>
    <col min="5" max="16" width="11.1796875" style="3" customWidth="1"/>
    <col min="17" max="17" width="12" style="3" bestFit="1" customWidth="1"/>
    <col min="18" max="18" width="9.1796875" style="3" customWidth="1"/>
    <col min="19" max="16384" width="9.1796875" style="3"/>
  </cols>
  <sheetData>
    <row r="1" spans="1:19" ht="21" x14ac:dyDescent="0.5">
      <c r="A1" s="4" t="s">
        <v>4</v>
      </c>
      <c r="B1" s="4">
        <f>Dashboard!A6</f>
        <v>1</v>
      </c>
      <c r="C1" s="4" t="str">
        <f>Dashboard!B6</f>
        <v>CBD - NEW WATER</v>
      </c>
      <c r="G1" s="3" t="s">
        <v>9</v>
      </c>
      <c r="I1" s="12">
        <f>INDEX($E$18:$P$18,Actual_month)</f>
        <v>46054</v>
      </c>
      <c r="L1" s="16" t="s">
        <v>19</v>
      </c>
      <c r="R1" s="5"/>
    </row>
    <row r="2" spans="1:19" x14ac:dyDescent="0.35">
      <c r="A2" s="3" t="s">
        <v>13</v>
      </c>
      <c r="C2" s="3" t="s">
        <v>27</v>
      </c>
      <c r="R2" s="6"/>
    </row>
    <row r="3" spans="1:19" ht="25.5" customHeight="1" thickBot="1" x14ac:dyDescent="0.4">
      <c r="C3" s="1" t="s">
        <v>5</v>
      </c>
      <c r="E3" s="10"/>
      <c r="F3" s="10"/>
      <c r="G3" s="10"/>
      <c r="H3" s="10"/>
      <c r="I3" s="10"/>
      <c r="J3" s="3" t="s">
        <v>6</v>
      </c>
      <c r="K3" s="10"/>
      <c r="M3" s="10"/>
      <c r="N3" s="10"/>
      <c r="O3" s="10"/>
      <c r="P3" s="10"/>
    </row>
    <row r="4" spans="1:19" ht="25.5" customHeight="1" x14ac:dyDescent="0.35">
      <c r="C4" s="1" t="s">
        <v>5</v>
      </c>
      <c r="E4" s="10"/>
      <c r="F4" s="10"/>
      <c r="G4" s="10"/>
      <c r="H4" s="10"/>
      <c r="I4" s="10"/>
      <c r="J4" s="401"/>
      <c r="K4" s="402"/>
      <c r="L4" s="402"/>
      <c r="M4" s="402"/>
      <c r="N4" s="402"/>
      <c r="O4" s="402"/>
      <c r="P4" s="402"/>
      <c r="Q4" s="403"/>
      <c r="R4" s="3" t="s">
        <v>22</v>
      </c>
      <c r="S4" s="5">
        <f>INDEX(E27:P27,Actual_month)</f>
        <v>2</v>
      </c>
    </row>
    <row r="5" spans="1:19" ht="25.5" customHeight="1" x14ac:dyDescent="0.35">
      <c r="C5" s="1" t="s">
        <v>5</v>
      </c>
      <c r="E5" s="10"/>
      <c r="F5" s="10"/>
      <c r="G5" s="10"/>
      <c r="H5" s="10"/>
      <c r="I5" s="10"/>
      <c r="J5" s="404"/>
      <c r="K5" s="405"/>
      <c r="L5" s="405"/>
      <c r="M5" s="405"/>
      <c r="N5" s="405"/>
      <c r="O5" s="405"/>
      <c r="P5" s="405"/>
      <c r="Q5" s="406"/>
      <c r="R5" s="3" t="s">
        <v>23</v>
      </c>
      <c r="S5" s="5">
        <f>INDEX(E26:P26,Actual_month)</f>
        <v>8</v>
      </c>
    </row>
    <row r="6" spans="1:19" x14ac:dyDescent="0.35">
      <c r="J6" s="404"/>
      <c r="K6" s="405"/>
      <c r="L6" s="405"/>
      <c r="M6" s="405"/>
      <c r="N6" s="405"/>
      <c r="O6" s="405"/>
      <c r="P6" s="405"/>
      <c r="Q6" s="406"/>
      <c r="R6" s="6">
        <v>0.9</v>
      </c>
      <c r="S6" s="5">
        <f>+S5*R6</f>
        <v>7.2</v>
      </c>
    </row>
    <row r="7" spans="1:19" x14ac:dyDescent="0.35">
      <c r="J7" s="404"/>
      <c r="K7" s="405"/>
      <c r="L7" s="405"/>
      <c r="M7" s="405"/>
      <c r="N7" s="405"/>
      <c r="O7" s="405"/>
      <c r="P7" s="405"/>
      <c r="Q7" s="406"/>
    </row>
    <row r="8" spans="1:19" ht="15" thickBot="1" x14ac:dyDescent="0.4">
      <c r="J8" s="407"/>
      <c r="K8" s="408"/>
      <c r="L8" s="408"/>
      <c r="M8" s="408"/>
      <c r="N8" s="408"/>
      <c r="O8" s="408"/>
      <c r="P8" s="408"/>
      <c r="Q8" s="409"/>
    </row>
    <row r="9" spans="1:19" ht="15" thickBot="1" x14ac:dyDescent="0.4">
      <c r="J9" s="3" t="s">
        <v>12</v>
      </c>
    </row>
    <row r="10" spans="1:19" x14ac:dyDescent="0.35">
      <c r="J10" s="401"/>
      <c r="K10" s="402"/>
      <c r="L10" s="402"/>
      <c r="M10" s="402"/>
      <c r="N10" s="402"/>
      <c r="O10" s="402"/>
      <c r="P10" s="402"/>
      <c r="Q10" s="403"/>
    </row>
    <row r="11" spans="1:19" x14ac:dyDescent="0.35">
      <c r="J11" s="404"/>
      <c r="K11" s="405"/>
      <c r="L11" s="405"/>
      <c r="M11" s="405"/>
      <c r="N11" s="405"/>
      <c r="O11" s="405"/>
      <c r="P11" s="405"/>
      <c r="Q11" s="406"/>
    </row>
    <row r="12" spans="1:19" x14ac:dyDescent="0.35">
      <c r="J12" s="404"/>
      <c r="K12" s="405"/>
      <c r="L12" s="405"/>
      <c r="M12" s="405"/>
      <c r="N12" s="405"/>
      <c r="O12" s="405"/>
      <c r="P12" s="405"/>
      <c r="Q12" s="406"/>
    </row>
    <row r="13" spans="1:19" x14ac:dyDescent="0.35">
      <c r="J13" s="404"/>
      <c r="K13" s="405"/>
      <c r="L13" s="405"/>
      <c r="M13" s="405"/>
      <c r="N13" s="405"/>
      <c r="O13" s="405"/>
      <c r="P13" s="405"/>
      <c r="Q13" s="406"/>
    </row>
    <row r="14" spans="1:19" x14ac:dyDescent="0.35">
      <c r="J14" s="404"/>
      <c r="K14" s="405"/>
      <c r="L14" s="405"/>
      <c r="M14" s="405"/>
      <c r="N14" s="405"/>
      <c r="O14" s="405"/>
      <c r="P14" s="405"/>
      <c r="Q14" s="406"/>
    </row>
    <row r="15" spans="1:19" ht="15" thickBot="1" x14ac:dyDescent="0.4">
      <c r="J15" s="407"/>
      <c r="K15" s="408"/>
      <c r="L15" s="408"/>
      <c r="M15" s="408"/>
      <c r="N15" s="408"/>
      <c r="O15" s="408"/>
      <c r="P15" s="408"/>
      <c r="Q15" s="409"/>
    </row>
    <row r="18" spans="3:17" x14ac:dyDescent="0.35">
      <c r="C18" s="7" t="s">
        <v>8</v>
      </c>
      <c r="E18" s="11">
        <v>45839</v>
      </c>
      <c r="F18" s="11">
        <v>45870</v>
      </c>
      <c r="G18" s="11">
        <v>45901</v>
      </c>
      <c r="H18" s="11">
        <v>45931</v>
      </c>
      <c r="I18" s="11">
        <v>45962</v>
      </c>
      <c r="J18" s="11">
        <v>45992</v>
      </c>
      <c r="K18" s="11">
        <v>46023</v>
      </c>
      <c r="L18" s="11">
        <v>46054</v>
      </c>
      <c r="M18" s="11">
        <v>46082</v>
      </c>
      <c r="N18" s="11">
        <v>46113</v>
      </c>
      <c r="O18" s="11">
        <v>46143</v>
      </c>
      <c r="P18" s="11">
        <v>46174</v>
      </c>
      <c r="Q18" s="8" t="s">
        <v>0</v>
      </c>
    </row>
    <row r="19" spans="3:17" x14ac:dyDescent="0.35">
      <c r="D19" s="3" t="s">
        <v>501</v>
      </c>
      <c r="E19" s="5">
        <f>'budget 2025-26'!D6</f>
        <v>1</v>
      </c>
      <c r="F19" s="5">
        <f>'budget 2025-26'!E6</f>
        <v>1</v>
      </c>
      <c r="G19" s="5">
        <f>'budget 2025-26'!F6</f>
        <v>1</v>
      </c>
      <c r="H19" s="5">
        <f>'budget 2025-26'!G6</f>
        <v>1</v>
      </c>
      <c r="I19" s="5">
        <f>'budget 2025-26'!H6</f>
        <v>1</v>
      </c>
      <c r="J19" s="5">
        <f>'budget 2025-26'!I6</f>
        <v>1</v>
      </c>
      <c r="K19" s="5">
        <f>'budget 2025-26'!J6</f>
        <v>1</v>
      </c>
      <c r="L19" s="5">
        <f>'budget 2025-26'!K6</f>
        <v>1</v>
      </c>
      <c r="M19" s="5">
        <f>'budget 2025-26'!L6</f>
        <v>1</v>
      </c>
      <c r="N19" s="5">
        <f>'budget 2025-26'!M6</f>
        <v>1</v>
      </c>
      <c r="O19" s="5">
        <f>'budget 2025-26'!N6</f>
        <v>1</v>
      </c>
      <c r="P19" s="5">
        <f>'budget 2025-26'!O6</f>
        <v>1</v>
      </c>
      <c r="Q19" s="5">
        <f>SUM(E19:P19)</f>
        <v>12</v>
      </c>
    </row>
    <row r="20" spans="3:17" x14ac:dyDescent="0.35">
      <c r="D20" s="3" t="s">
        <v>502</v>
      </c>
      <c r="E20" s="5">
        <f>'Input Actual2025-26'!E6</f>
        <v>0</v>
      </c>
      <c r="F20" s="5">
        <f>'Input Actual2025-26'!F6</f>
        <v>0</v>
      </c>
      <c r="G20" s="5">
        <f>'Input Actual2025-26'!G6</f>
        <v>0</v>
      </c>
      <c r="H20" s="5">
        <f>'Input Actual2025-26'!H6</f>
        <v>1</v>
      </c>
      <c r="I20" s="5">
        <f>'Input Actual2025-26'!I6</f>
        <v>0</v>
      </c>
      <c r="J20" s="5">
        <f>'Input Actual2025-26'!J6</f>
        <v>0</v>
      </c>
      <c r="K20" s="5">
        <f>'Input Actual2025-26'!K6</f>
        <v>1</v>
      </c>
      <c r="L20" s="5">
        <f>'Input Actual2025-26'!L6</f>
        <v>0</v>
      </c>
      <c r="M20" s="5">
        <f>'Input Actual2025-26'!M6</f>
        <v>0</v>
      </c>
      <c r="N20" s="5">
        <f>'Input Actual2025-26'!N6</f>
        <v>0</v>
      </c>
      <c r="O20" s="5">
        <f>'Input Actual2025-26'!O6</f>
        <v>0</v>
      </c>
      <c r="P20" s="5">
        <f>'Input Actual2025-26'!P6</f>
        <v>0</v>
      </c>
      <c r="Q20" s="5">
        <f t="shared" ref="Q20:Q22" si="0">SUM(E20:P20)</f>
        <v>2</v>
      </c>
    </row>
    <row r="21" spans="3:17" x14ac:dyDescent="0.35">
      <c r="D21" s="3" t="s">
        <v>424</v>
      </c>
      <c r="E21" s="5">
        <f>'Input Actual2024-25'!E6</f>
        <v>1</v>
      </c>
      <c r="F21" s="5">
        <f>'Input Actual2024-25'!F6</f>
        <v>1</v>
      </c>
      <c r="G21" s="5">
        <f>'Input Actual2024-25'!G6</f>
        <v>2</v>
      </c>
      <c r="H21" s="5">
        <f>'Input Actual2024-25'!H6</f>
        <v>0</v>
      </c>
      <c r="I21" s="5">
        <f>'Input Actual2024-25'!I6</f>
        <v>0</v>
      </c>
      <c r="J21" s="5">
        <f>'Input Actual2024-25'!J6</f>
        <v>0</v>
      </c>
      <c r="K21" s="5">
        <f>'Input Actual2024-25'!K6</f>
        <v>0</v>
      </c>
      <c r="L21" s="5">
        <f>'Input Actual2024-25'!L6</f>
        <v>0</v>
      </c>
      <c r="M21" s="5">
        <f>'Input Actual2024-25'!M6</f>
        <v>0</v>
      </c>
      <c r="N21" s="5">
        <f>'Input Actual2024-25'!N6</f>
        <v>1</v>
      </c>
      <c r="O21" s="5">
        <f>'Input Actual2024-25'!O6</f>
        <v>2</v>
      </c>
      <c r="P21" s="5">
        <f>'Input Actual2024-25'!P6</f>
        <v>2</v>
      </c>
      <c r="Q21" s="5">
        <f>'Input Actual2024-25'!Q6</f>
        <v>0</v>
      </c>
    </row>
    <row r="22" spans="3:17" x14ac:dyDescent="0.35">
      <c r="D22" s="3" t="s">
        <v>7</v>
      </c>
      <c r="E22" s="5">
        <f t="shared" ref="E22:P22" si="1">IF(E20=0,0,E20-E19)</f>
        <v>0</v>
      </c>
      <c r="F22" s="5">
        <f t="shared" si="1"/>
        <v>0</v>
      </c>
      <c r="G22" s="5">
        <f t="shared" si="1"/>
        <v>0</v>
      </c>
      <c r="H22" s="5">
        <f t="shared" si="1"/>
        <v>0</v>
      </c>
      <c r="I22" s="5">
        <f t="shared" si="1"/>
        <v>0</v>
      </c>
      <c r="J22" s="5">
        <f t="shared" si="1"/>
        <v>0</v>
      </c>
      <c r="K22" s="5">
        <f t="shared" si="1"/>
        <v>0</v>
      </c>
      <c r="L22" s="5">
        <f t="shared" si="1"/>
        <v>0</v>
      </c>
      <c r="M22" s="5">
        <f t="shared" si="1"/>
        <v>0</v>
      </c>
      <c r="N22" s="5">
        <f t="shared" si="1"/>
        <v>0</v>
      </c>
      <c r="O22" s="5">
        <f t="shared" si="1"/>
        <v>0</v>
      </c>
      <c r="P22" s="5">
        <f t="shared" si="1"/>
        <v>0</v>
      </c>
      <c r="Q22" s="5">
        <f t="shared" si="0"/>
        <v>0</v>
      </c>
    </row>
    <row r="23" spans="3:17" x14ac:dyDescent="0.35">
      <c r="D23" s="3" t="s">
        <v>43</v>
      </c>
      <c r="E23" s="9">
        <f>E21/E19</f>
        <v>1</v>
      </c>
      <c r="F23" s="9">
        <f t="shared" ref="F23:P23" si="2">F20/F19</f>
        <v>0</v>
      </c>
      <c r="G23" s="9">
        <f t="shared" si="2"/>
        <v>0</v>
      </c>
      <c r="H23" s="9">
        <f t="shared" si="2"/>
        <v>1</v>
      </c>
      <c r="I23" s="9">
        <f t="shared" si="2"/>
        <v>0</v>
      </c>
      <c r="J23" s="9">
        <f t="shared" si="2"/>
        <v>0</v>
      </c>
      <c r="K23" s="9">
        <f t="shared" si="2"/>
        <v>1</v>
      </c>
      <c r="L23" s="9">
        <f t="shared" si="2"/>
        <v>0</v>
      </c>
      <c r="M23" s="9">
        <f t="shared" si="2"/>
        <v>0</v>
      </c>
      <c r="N23" s="9">
        <f t="shared" si="2"/>
        <v>0</v>
      </c>
      <c r="O23" s="9">
        <f t="shared" si="2"/>
        <v>0</v>
      </c>
      <c r="P23" s="9">
        <f t="shared" si="2"/>
        <v>0</v>
      </c>
    </row>
    <row r="25" spans="3:17" x14ac:dyDescent="0.35">
      <c r="C25" s="7" t="s">
        <v>3</v>
      </c>
      <c r="E25" s="11">
        <f>E18</f>
        <v>45839</v>
      </c>
      <c r="F25" s="11">
        <f t="shared" ref="F25:P25" si="3">F18</f>
        <v>45870</v>
      </c>
      <c r="G25" s="11">
        <f t="shared" si="3"/>
        <v>45901</v>
      </c>
      <c r="H25" s="11">
        <f t="shared" si="3"/>
        <v>45931</v>
      </c>
      <c r="I25" s="11">
        <f t="shared" si="3"/>
        <v>45962</v>
      </c>
      <c r="J25" s="11">
        <f t="shared" si="3"/>
        <v>45992</v>
      </c>
      <c r="K25" s="11">
        <f t="shared" si="3"/>
        <v>46023</v>
      </c>
      <c r="L25" s="11">
        <f t="shared" si="3"/>
        <v>46054</v>
      </c>
      <c r="M25" s="11">
        <f t="shared" si="3"/>
        <v>46082</v>
      </c>
      <c r="N25" s="11">
        <f t="shared" si="3"/>
        <v>46113</v>
      </c>
      <c r="O25" s="11">
        <f t="shared" si="3"/>
        <v>46143</v>
      </c>
      <c r="P25" s="11">
        <f t="shared" si="3"/>
        <v>46174</v>
      </c>
    </row>
    <row r="26" spans="3:17" x14ac:dyDescent="0.35">
      <c r="D26" s="3" t="str">
        <f>D19</f>
        <v>Budget 2025-26</v>
      </c>
      <c r="E26" s="5">
        <f>SUM($E19:E19)</f>
        <v>1</v>
      </c>
      <c r="F26" s="5">
        <f>SUM($E19:F19)</f>
        <v>2</v>
      </c>
      <c r="G26" s="5">
        <f>SUM($E19:G19)</f>
        <v>3</v>
      </c>
      <c r="H26" s="5">
        <f>SUM($E19:H19)</f>
        <v>4</v>
      </c>
      <c r="I26" s="5">
        <f>SUM($E19:I19)</f>
        <v>5</v>
      </c>
      <c r="J26" s="5">
        <f>SUM($E19:J19)</f>
        <v>6</v>
      </c>
      <c r="K26" s="5">
        <f>SUM($E19:K19)</f>
        <v>7</v>
      </c>
      <c r="L26" s="5">
        <f>SUM($E19:L19)</f>
        <v>8</v>
      </c>
      <c r="M26" s="5">
        <f>SUM($E19:M19)</f>
        <v>9</v>
      </c>
      <c r="N26" s="5">
        <f>SUM($E19:N19)</f>
        <v>10</v>
      </c>
      <c r="O26" s="5">
        <f>SUM($E19:O19)</f>
        <v>11</v>
      </c>
      <c r="P26" s="5">
        <f>SUM($E19:P19)</f>
        <v>12</v>
      </c>
    </row>
    <row r="27" spans="3:17" x14ac:dyDescent="0.35">
      <c r="D27" s="3" t="str">
        <f t="shared" ref="D27:D30" si="4">D20</f>
        <v>Actual 2025-26</v>
      </c>
      <c r="E27" s="5">
        <f>SUM($E20:E20)</f>
        <v>0</v>
      </c>
      <c r="F27" s="5">
        <f>SUM($E20:F20)</f>
        <v>0</v>
      </c>
      <c r="G27" s="5">
        <f>SUM($E20:G20)</f>
        <v>0</v>
      </c>
      <c r="H27" s="5">
        <f>SUM($E20:H20)</f>
        <v>1</v>
      </c>
      <c r="I27" s="5">
        <f>SUM($E20:I20)</f>
        <v>1</v>
      </c>
      <c r="J27" s="5">
        <f>SUM($E20:J20)</f>
        <v>1</v>
      </c>
      <c r="K27" s="5">
        <f>SUM($E20:K20)</f>
        <v>2</v>
      </c>
      <c r="L27" s="5">
        <f>SUM($E20:L20)</f>
        <v>2</v>
      </c>
      <c r="M27" s="5">
        <f>SUM($E20:M20)</f>
        <v>2</v>
      </c>
      <c r="N27" s="5">
        <f>SUM($E20:N20)</f>
        <v>2</v>
      </c>
      <c r="O27" s="5">
        <f>SUM($E20:O20)</f>
        <v>2</v>
      </c>
      <c r="P27" s="5">
        <f>SUM($E20:P20)</f>
        <v>2</v>
      </c>
    </row>
    <row r="28" spans="3:17" x14ac:dyDescent="0.35">
      <c r="D28" s="3" t="str">
        <f t="shared" si="4"/>
        <v>Actual 2024-25</v>
      </c>
      <c r="E28" s="5">
        <f>SUM($E21:E21)</f>
        <v>1</v>
      </c>
      <c r="F28" s="5">
        <f>SUM($E21:F21)</f>
        <v>2</v>
      </c>
      <c r="G28" s="5">
        <f>SUM($E21:G21)</f>
        <v>4</v>
      </c>
      <c r="H28" s="5">
        <f>SUM($E21:H21)</f>
        <v>4</v>
      </c>
      <c r="I28" s="5">
        <f>SUM($E21:I21)</f>
        <v>4</v>
      </c>
      <c r="J28" s="5">
        <f>SUM($E21:J21)</f>
        <v>4</v>
      </c>
      <c r="K28" s="5">
        <f>SUM($E21:K21)</f>
        <v>4</v>
      </c>
      <c r="L28" s="5">
        <f>SUM($E21:L21)</f>
        <v>4</v>
      </c>
      <c r="M28" s="5">
        <f>SUM($E21:M21)</f>
        <v>4</v>
      </c>
      <c r="N28" s="5">
        <f>SUM($E21:N21)</f>
        <v>5</v>
      </c>
      <c r="O28" s="5">
        <f>SUM($E21:O21)</f>
        <v>7</v>
      </c>
      <c r="P28" s="5">
        <f>SUM($E21:P21)</f>
        <v>9</v>
      </c>
    </row>
    <row r="29" spans="3:17" x14ac:dyDescent="0.35">
      <c r="D29" s="3" t="str">
        <f t="shared" si="4"/>
        <v>Difference</v>
      </c>
      <c r="E29" s="5">
        <f>SUM($E22:E22)</f>
        <v>0</v>
      </c>
      <c r="F29" s="5">
        <f>SUM($E22:F22)</f>
        <v>0</v>
      </c>
      <c r="G29" s="5">
        <f>SUM($E22:G22)</f>
        <v>0</v>
      </c>
      <c r="H29" s="5">
        <f>SUM($E22:H22)</f>
        <v>0</v>
      </c>
      <c r="I29" s="5">
        <f>SUM($E22:I22)</f>
        <v>0</v>
      </c>
      <c r="J29" s="5">
        <f>SUM($E22:J22)</f>
        <v>0</v>
      </c>
      <c r="K29" s="5">
        <f>SUM($E22:K22)</f>
        <v>0</v>
      </c>
      <c r="L29" s="5">
        <f>SUM($E22:L22)</f>
        <v>0</v>
      </c>
      <c r="M29" s="5">
        <f>SUM($E22:M22)</f>
        <v>0</v>
      </c>
      <c r="N29" s="5">
        <f>SUM($E22:N22)</f>
        <v>0</v>
      </c>
      <c r="O29" s="5">
        <f>SUM($E22:O22)</f>
        <v>0</v>
      </c>
      <c r="P29" s="5">
        <f>SUM($E22:P22)</f>
        <v>0</v>
      </c>
    </row>
    <row r="30" spans="3:17" x14ac:dyDescent="0.35">
      <c r="D30" s="3" t="str">
        <f t="shared" si="4"/>
        <v>Realisation</v>
      </c>
      <c r="E30" s="9">
        <f>E28/E26</f>
        <v>1</v>
      </c>
      <c r="F30" s="9">
        <f t="shared" ref="F30:P30" si="5">F27/F26</f>
        <v>0</v>
      </c>
      <c r="G30" s="9">
        <f t="shared" si="5"/>
        <v>0</v>
      </c>
      <c r="H30" s="9">
        <f t="shared" si="5"/>
        <v>0.25</v>
      </c>
      <c r="I30" s="9">
        <f t="shared" si="5"/>
        <v>0.2</v>
      </c>
      <c r="J30" s="9">
        <f t="shared" si="5"/>
        <v>0.16666666666666666</v>
      </c>
      <c r="K30" s="9">
        <f t="shared" si="5"/>
        <v>0.2857142857142857</v>
      </c>
      <c r="L30" s="9">
        <f t="shared" si="5"/>
        <v>0.25</v>
      </c>
      <c r="M30" s="9">
        <f t="shared" si="5"/>
        <v>0.22222222222222221</v>
      </c>
      <c r="N30" s="9">
        <f t="shared" si="5"/>
        <v>0.2</v>
      </c>
      <c r="O30" s="9">
        <f t="shared" si="5"/>
        <v>0.18181818181818182</v>
      </c>
      <c r="P30" s="9">
        <f t="shared" si="5"/>
        <v>0.16666666666666666</v>
      </c>
    </row>
  </sheetData>
  <mergeCells count="2">
    <mergeCell ref="J4:Q8"/>
    <mergeCell ref="J10:Q15"/>
  </mergeCells>
  <conditionalFormatting sqref="C3">
    <cfRule type="expression" dxfId="566" priority="2">
      <formula>S4&lt;S6</formula>
    </cfRule>
  </conditionalFormatting>
  <conditionalFormatting sqref="C5">
    <cfRule type="expression" dxfId="565" priority="3">
      <formula>S4&gt;=S5</formula>
    </cfRule>
  </conditionalFormatting>
  <conditionalFormatting sqref="C4">
    <cfRule type="expression" dxfId="564" priority="1">
      <formula>AND(S4&gt;=S6,S4&lt;S5)</formula>
    </cfRule>
  </conditionalFormatting>
  <hyperlinks>
    <hyperlink ref="L1" location="Dashboard!A1" display="Dashboard"/>
  </hyperlinks>
  <pageMargins left="0.7" right="0.7" top="0.75" bottom="0.75" header="0.3" footer="0.3"/>
  <pageSetup orientation="portrait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624641" r:id="rId4" name="Spinner 1">
              <controlPr defaultSize="0" autoPict="0">
                <anchor moveWithCells="1" sizeWithCells="1">
                  <from>
                    <xdr:col>9</xdr:col>
                    <xdr:colOff>19050</xdr:colOff>
                    <xdr:row>0</xdr:row>
                    <xdr:rowOff>38100</xdr:rowOff>
                  </from>
                  <to>
                    <xdr:col>9</xdr:col>
                    <xdr:colOff>400050</xdr:colOff>
                    <xdr:row>1</xdr:row>
                    <xdr:rowOff>152400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6">
    <tabColor rgb="FFFFC000"/>
  </sheetPr>
  <dimension ref="A1:S30"/>
  <sheetViews>
    <sheetView zoomScale="90" zoomScaleNormal="90" workbookViewId="0">
      <selection activeCell="L1" sqref="L1"/>
    </sheetView>
  </sheetViews>
  <sheetFormatPr defaultColWidth="9.1796875" defaultRowHeight="14.5" x14ac:dyDescent="0.35"/>
  <cols>
    <col min="1" max="1" width="9.1796875" style="3"/>
    <col min="2" max="2" width="5.1796875" style="3" customWidth="1"/>
    <col min="3" max="3" width="6.26953125" style="3" customWidth="1"/>
    <col min="4" max="4" width="21.26953125" style="3" bestFit="1" customWidth="1"/>
    <col min="5" max="16" width="11.1796875" style="3" customWidth="1"/>
    <col min="17" max="17" width="12" style="3" bestFit="1" customWidth="1"/>
    <col min="18" max="18" width="9.1796875" style="3" customWidth="1"/>
    <col min="19" max="16384" width="9.1796875" style="3"/>
  </cols>
  <sheetData>
    <row r="1" spans="1:19" ht="21" x14ac:dyDescent="0.5">
      <c r="A1" s="4" t="s">
        <v>4</v>
      </c>
      <c r="B1" s="4">
        <f>Dashboard!A7</f>
        <v>2</v>
      </c>
      <c r="C1" s="4" t="str">
        <f>Dashboard!B7</f>
        <v>CCCR- NEW WATER</v>
      </c>
      <c r="G1" s="3" t="s">
        <v>9</v>
      </c>
      <c r="I1" s="12">
        <f>INDEX($E$18:$P$18,Actual_month)</f>
        <v>46054</v>
      </c>
      <c r="L1" s="16" t="s">
        <v>19</v>
      </c>
      <c r="R1" s="5"/>
    </row>
    <row r="2" spans="1:19" x14ac:dyDescent="0.35">
      <c r="A2" s="3" t="s">
        <v>13</v>
      </c>
      <c r="C2" s="3" t="s">
        <v>27</v>
      </c>
      <c r="R2" s="6"/>
    </row>
    <row r="3" spans="1:19" ht="25.5" customHeight="1" thickBot="1" x14ac:dyDescent="0.4">
      <c r="C3" s="1" t="s">
        <v>5</v>
      </c>
      <c r="E3" s="10"/>
      <c r="F3" s="10"/>
      <c r="G3" s="10"/>
      <c r="H3" s="10"/>
      <c r="I3" s="10"/>
      <c r="J3" s="3" t="s">
        <v>6</v>
      </c>
      <c r="K3" s="10"/>
      <c r="M3" s="10"/>
      <c r="N3" s="10"/>
      <c r="O3" s="10"/>
      <c r="P3" s="10"/>
    </row>
    <row r="4" spans="1:19" ht="25.5" customHeight="1" x14ac:dyDescent="0.35">
      <c r="C4" s="1" t="s">
        <v>5</v>
      </c>
      <c r="E4" s="10"/>
      <c r="F4" s="10"/>
      <c r="G4" s="10"/>
      <c r="H4" s="10"/>
      <c r="I4" s="10"/>
      <c r="J4" s="401"/>
      <c r="K4" s="402"/>
      <c r="L4" s="402"/>
      <c r="M4" s="402"/>
      <c r="N4" s="402"/>
      <c r="O4" s="402"/>
      <c r="P4" s="402"/>
      <c r="Q4" s="403"/>
      <c r="R4" s="3" t="s">
        <v>22</v>
      </c>
      <c r="S4" s="5">
        <f>INDEX(E27:P27,Actual_month)</f>
        <v>20</v>
      </c>
    </row>
    <row r="5" spans="1:19" ht="25.5" customHeight="1" x14ac:dyDescent="0.35">
      <c r="C5" s="1" t="s">
        <v>5</v>
      </c>
      <c r="E5" s="10"/>
      <c r="F5" s="10"/>
      <c r="G5" s="10"/>
      <c r="H5" s="10"/>
      <c r="I5" s="10"/>
      <c r="J5" s="404"/>
      <c r="K5" s="405"/>
      <c r="L5" s="405"/>
      <c r="M5" s="405"/>
      <c r="N5" s="405"/>
      <c r="O5" s="405"/>
      <c r="P5" s="405"/>
      <c r="Q5" s="406"/>
      <c r="R5" s="3" t="s">
        <v>23</v>
      </c>
      <c r="S5" s="5">
        <f>INDEX(E26:P26,Actual_month)</f>
        <v>79</v>
      </c>
    </row>
    <row r="6" spans="1:19" x14ac:dyDescent="0.35">
      <c r="J6" s="404"/>
      <c r="K6" s="405"/>
      <c r="L6" s="405"/>
      <c r="M6" s="405"/>
      <c r="N6" s="405"/>
      <c r="O6" s="405"/>
      <c r="P6" s="405"/>
      <c r="Q6" s="406"/>
      <c r="R6" s="6">
        <v>0.9</v>
      </c>
      <c r="S6" s="5">
        <f>+S5*R6</f>
        <v>71.100000000000009</v>
      </c>
    </row>
    <row r="7" spans="1:19" x14ac:dyDescent="0.35">
      <c r="J7" s="404"/>
      <c r="K7" s="405"/>
      <c r="L7" s="405"/>
      <c r="M7" s="405"/>
      <c r="N7" s="405"/>
      <c r="O7" s="405"/>
      <c r="P7" s="405"/>
      <c r="Q7" s="406"/>
    </row>
    <row r="8" spans="1:19" ht="15" thickBot="1" x14ac:dyDescent="0.4">
      <c r="J8" s="407"/>
      <c r="K8" s="408"/>
      <c r="L8" s="408"/>
      <c r="M8" s="408"/>
      <c r="N8" s="408"/>
      <c r="O8" s="408"/>
      <c r="P8" s="408"/>
      <c r="Q8" s="409"/>
    </row>
    <row r="9" spans="1:19" ht="15" thickBot="1" x14ac:dyDescent="0.4">
      <c r="J9" s="3" t="s">
        <v>12</v>
      </c>
    </row>
    <row r="10" spans="1:19" x14ac:dyDescent="0.35">
      <c r="J10" s="401"/>
      <c r="K10" s="402"/>
      <c r="L10" s="402"/>
      <c r="M10" s="402"/>
      <c r="N10" s="402"/>
      <c r="O10" s="402"/>
      <c r="P10" s="402"/>
      <c r="Q10" s="403"/>
    </row>
    <row r="11" spans="1:19" x14ac:dyDescent="0.35">
      <c r="J11" s="404"/>
      <c r="K11" s="405"/>
      <c r="L11" s="405"/>
      <c r="M11" s="405"/>
      <c r="N11" s="405"/>
      <c r="O11" s="405"/>
      <c r="P11" s="405"/>
      <c r="Q11" s="406"/>
    </row>
    <row r="12" spans="1:19" x14ac:dyDescent="0.35">
      <c r="J12" s="404"/>
      <c r="K12" s="405"/>
      <c r="L12" s="405"/>
      <c r="M12" s="405"/>
      <c r="N12" s="405"/>
      <c r="O12" s="405"/>
      <c r="P12" s="405"/>
      <c r="Q12" s="406"/>
    </row>
    <row r="13" spans="1:19" x14ac:dyDescent="0.35">
      <c r="J13" s="404"/>
      <c r="K13" s="405"/>
      <c r="L13" s="405"/>
      <c r="M13" s="405"/>
      <c r="N13" s="405"/>
      <c r="O13" s="405"/>
      <c r="P13" s="405"/>
      <c r="Q13" s="406"/>
    </row>
    <row r="14" spans="1:19" x14ac:dyDescent="0.35">
      <c r="J14" s="404"/>
      <c r="K14" s="405"/>
      <c r="L14" s="405"/>
      <c r="M14" s="405"/>
      <c r="N14" s="405"/>
      <c r="O14" s="405"/>
      <c r="P14" s="405"/>
      <c r="Q14" s="406"/>
    </row>
    <row r="15" spans="1:19" ht="15" thickBot="1" x14ac:dyDescent="0.4">
      <c r="J15" s="407"/>
      <c r="K15" s="408"/>
      <c r="L15" s="408"/>
      <c r="M15" s="408"/>
      <c r="N15" s="408"/>
      <c r="O15" s="408"/>
      <c r="P15" s="408"/>
      <c r="Q15" s="409"/>
    </row>
    <row r="18" spans="3:17" x14ac:dyDescent="0.35">
      <c r="C18" s="7" t="s">
        <v>8</v>
      </c>
      <c r="E18" s="11">
        <f>'KPI 1'!E18</f>
        <v>45839</v>
      </c>
      <c r="F18" s="11">
        <f>'KPI 1'!F18</f>
        <v>45870</v>
      </c>
      <c r="G18" s="11">
        <f>'KPI 1'!G18</f>
        <v>45901</v>
      </c>
      <c r="H18" s="11">
        <f>'KPI 1'!H18</f>
        <v>45931</v>
      </c>
      <c r="I18" s="11">
        <f>'KPI 1'!I18</f>
        <v>45962</v>
      </c>
      <c r="J18" s="11">
        <f>'KPI 1'!J18</f>
        <v>45992</v>
      </c>
      <c r="K18" s="11">
        <f>'KPI 1'!K18</f>
        <v>46023</v>
      </c>
      <c r="L18" s="11">
        <f>'KPI 1'!L18</f>
        <v>46054</v>
      </c>
      <c r="M18" s="11">
        <f>'KPI 1'!M18</f>
        <v>46082</v>
      </c>
      <c r="N18" s="11">
        <f>'KPI 1'!N18</f>
        <v>46113</v>
      </c>
      <c r="O18" s="11">
        <f>'KPI 1'!O18</f>
        <v>46143</v>
      </c>
      <c r="P18" s="11">
        <f>'KPI 1'!P18</f>
        <v>46174</v>
      </c>
      <c r="Q18" s="8" t="s">
        <v>0</v>
      </c>
    </row>
    <row r="19" spans="3:17" x14ac:dyDescent="0.35">
      <c r="D19" s="3" t="str">
        <f>'KPI 1'!D19</f>
        <v>Budget 2025-26</v>
      </c>
      <c r="E19" s="5">
        <f>'budget 2025-26'!D7</f>
        <v>9</v>
      </c>
      <c r="F19" s="5">
        <f>'budget 2025-26'!E7</f>
        <v>10</v>
      </c>
      <c r="G19" s="5">
        <f>'budget 2025-26'!F7</f>
        <v>10</v>
      </c>
      <c r="H19" s="5">
        <f>'budget 2025-26'!G7</f>
        <v>10</v>
      </c>
      <c r="I19" s="5">
        <f>'budget 2025-26'!H7</f>
        <v>10</v>
      </c>
      <c r="J19" s="5">
        <f>'budget 2025-26'!I7</f>
        <v>10</v>
      </c>
      <c r="K19" s="5">
        <f>'budget 2025-26'!J7</f>
        <v>10</v>
      </c>
      <c r="L19" s="5">
        <f>'budget 2025-26'!K7</f>
        <v>10</v>
      </c>
      <c r="M19" s="5">
        <f>'budget 2025-26'!L7</f>
        <v>10</v>
      </c>
      <c r="N19" s="5">
        <f>'budget 2025-26'!M7</f>
        <v>10</v>
      </c>
      <c r="O19" s="5">
        <f>'budget 2025-26'!N7</f>
        <v>10</v>
      </c>
      <c r="P19" s="5">
        <f>'budget 2025-26'!O7</f>
        <v>10</v>
      </c>
      <c r="Q19" s="5">
        <f>SUM(E19:P19)</f>
        <v>119</v>
      </c>
    </row>
    <row r="20" spans="3:17" x14ac:dyDescent="0.35">
      <c r="D20" s="3" t="str">
        <f>'KPI 1'!D20</f>
        <v>Actual 2025-26</v>
      </c>
      <c r="E20" s="5">
        <f>'Input Actual2025-26'!E7</f>
        <v>0</v>
      </c>
      <c r="F20" s="5">
        <f>'Input Actual2025-26'!F7</f>
        <v>3</v>
      </c>
      <c r="G20" s="5">
        <f>'Input Actual2025-26'!G7</f>
        <v>2</v>
      </c>
      <c r="H20" s="5">
        <f>'Input Actual2025-26'!H7</f>
        <v>2</v>
      </c>
      <c r="I20" s="5">
        <f>'Input Actual2025-26'!I7</f>
        <v>3</v>
      </c>
      <c r="J20" s="5">
        <f>'Input Actual2025-26'!J7</f>
        <v>2</v>
      </c>
      <c r="K20" s="5">
        <f>'Input Actual2025-26'!K7</f>
        <v>5</v>
      </c>
      <c r="L20" s="5">
        <f>'Input Actual2025-26'!L7</f>
        <v>3</v>
      </c>
      <c r="M20" s="5">
        <f>'Input Actual2025-26'!M7</f>
        <v>0</v>
      </c>
      <c r="N20" s="5">
        <f>'Input Actual2025-26'!N7</f>
        <v>0</v>
      </c>
      <c r="O20" s="5">
        <f>'Input Actual2025-26'!O7</f>
        <v>0</v>
      </c>
      <c r="P20" s="5">
        <f>'Input Actual2025-26'!P7</f>
        <v>0</v>
      </c>
      <c r="Q20" s="5">
        <f t="shared" ref="Q20:Q22" si="0">SUM(E20:P20)</f>
        <v>20</v>
      </c>
    </row>
    <row r="21" spans="3:17" x14ac:dyDescent="0.35">
      <c r="D21" s="3" t="s">
        <v>424</v>
      </c>
      <c r="E21" s="5">
        <f>'Input Actual2024-25'!E7</f>
        <v>6</v>
      </c>
      <c r="F21" s="5">
        <f>'Input Actual2024-25'!F7</f>
        <v>1</v>
      </c>
      <c r="G21" s="5">
        <f>'Input Actual2024-25'!G7</f>
        <v>3</v>
      </c>
      <c r="H21" s="5">
        <f>'Input Actual2024-25'!H7</f>
        <v>0</v>
      </c>
      <c r="I21" s="5">
        <f>'Input Actual2024-25'!I7</f>
        <v>0</v>
      </c>
      <c r="J21" s="5">
        <f>'Input Actual2024-25'!J7</f>
        <v>0</v>
      </c>
      <c r="K21" s="5">
        <f>'Input Actual2024-25'!K7</f>
        <v>7</v>
      </c>
      <c r="L21" s="5">
        <f>'Input Actual2024-25'!L7</f>
        <v>2</v>
      </c>
      <c r="M21" s="5">
        <f>'Input Actual2024-25'!M7</f>
        <v>1</v>
      </c>
      <c r="N21" s="5">
        <f>'Input Actual2024-25'!N7</f>
        <v>3</v>
      </c>
      <c r="O21" s="5">
        <f>'Input Actual2024-25'!O7</f>
        <v>2</v>
      </c>
      <c r="P21" s="5">
        <f>'Input Actual2024-25'!P7</f>
        <v>4</v>
      </c>
      <c r="Q21" s="5">
        <f t="shared" si="0"/>
        <v>29</v>
      </c>
    </row>
    <row r="22" spans="3:17" x14ac:dyDescent="0.35">
      <c r="D22" s="3" t="s">
        <v>7</v>
      </c>
      <c r="E22" s="5">
        <f t="shared" ref="E22:P22" si="1">IF(E20=0,0,E20-E19)</f>
        <v>0</v>
      </c>
      <c r="F22" s="5">
        <f t="shared" si="1"/>
        <v>-7</v>
      </c>
      <c r="G22" s="5">
        <f t="shared" si="1"/>
        <v>-8</v>
      </c>
      <c r="H22" s="5">
        <f t="shared" si="1"/>
        <v>-8</v>
      </c>
      <c r="I22" s="5">
        <f t="shared" si="1"/>
        <v>-7</v>
      </c>
      <c r="J22" s="5">
        <f t="shared" si="1"/>
        <v>-8</v>
      </c>
      <c r="K22" s="5">
        <f t="shared" si="1"/>
        <v>-5</v>
      </c>
      <c r="L22" s="5">
        <f t="shared" si="1"/>
        <v>-7</v>
      </c>
      <c r="M22" s="5">
        <f t="shared" si="1"/>
        <v>0</v>
      </c>
      <c r="N22" s="5">
        <f t="shared" si="1"/>
        <v>0</v>
      </c>
      <c r="O22" s="5">
        <f t="shared" si="1"/>
        <v>0</v>
      </c>
      <c r="P22" s="5">
        <f t="shared" si="1"/>
        <v>0</v>
      </c>
      <c r="Q22" s="5">
        <f t="shared" si="0"/>
        <v>-50</v>
      </c>
    </row>
    <row r="23" spans="3:17" x14ac:dyDescent="0.35">
      <c r="D23" s="3" t="s">
        <v>43</v>
      </c>
      <c r="E23" s="9">
        <f>E21/E19</f>
        <v>0.66666666666666663</v>
      </c>
      <c r="F23" s="9">
        <f t="shared" ref="F23:P23" si="2">F20/F19</f>
        <v>0.3</v>
      </c>
      <c r="G23" s="9">
        <f t="shared" si="2"/>
        <v>0.2</v>
      </c>
      <c r="H23" s="9">
        <f t="shared" si="2"/>
        <v>0.2</v>
      </c>
      <c r="I23" s="9">
        <f t="shared" si="2"/>
        <v>0.3</v>
      </c>
      <c r="J23" s="9">
        <f t="shared" si="2"/>
        <v>0.2</v>
      </c>
      <c r="K23" s="9">
        <f t="shared" si="2"/>
        <v>0.5</v>
      </c>
      <c r="L23" s="9">
        <f t="shared" si="2"/>
        <v>0.3</v>
      </c>
      <c r="M23" s="9">
        <f t="shared" si="2"/>
        <v>0</v>
      </c>
      <c r="N23" s="9">
        <f t="shared" si="2"/>
        <v>0</v>
      </c>
      <c r="O23" s="9">
        <f t="shared" si="2"/>
        <v>0</v>
      </c>
      <c r="P23" s="9">
        <f t="shared" si="2"/>
        <v>0</v>
      </c>
    </row>
    <row r="25" spans="3:17" x14ac:dyDescent="0.35">
      <c r="C25" s="7" t="s">
        <v>3</v>
      </c>
      <c r="E25" s="11">
        <f>E18</f>
        <v>45839</v>
      </c>
      <c r="F25" s="11">
        <f t="shared" ref="F25:P25" si="3">F18</f>
        <v>45870</v>
      </c>
      <c r="G25" s="11">
        <f t="shared" si="3"/>
        <v>45901</v>
      </c>
      <c r="H25" s="11">
        <f t="shared" si="3"/>
        <v>45931</v>
      </c>
      <c r="I25" s="11">
        <f t="shared" si="3"/>
        <v>45962</v>
      </c>
      <c r="J25" s="11">
        <f t="shared" si="3"/>
        <v>45992</v>
      </c>
      <c r="K25" s="11">
        <f t="shared" si="3"/>
        <v>46023</v>
      </c>
      <c r="L25" s="11">
        <f t="shared" si="3"/>
        <v>46054</v>
      </c>
      <c r="M25" s="11">
        <f t="shared" si="3"/>
        <v>46082</v>
      </c>
      <c r="N25" s="11">
        <f t="shared" si="3"/>
        <v>46113</v>
      </c>
      <c r="O25" s="11">
        <f t="shared" si="3"/>
        <v>46143</v>
      </c>
      <c r="P25" s="11">
        <f t="shared" si="3"/>
        <v>46174</v>
      </c>
    </row>
    <row r="26" spans="3:17" x14ac:dyDescent="0.35">
      <c r="D26" s="3" t="str">
        <f>D19</f>
        <v>Budget 2025-26</v>
      </c>
      <c r="E26" s="5">
        <f>SUM($E19:E19)</f>
        <v>9</v>
      </c>
      <c r="F26" s="5">
        <f>SUM($E19:F19)</f>
        <v>19</v>
      </c>
      <c r="G26" s="5">
        <f>SUM($E19:G19)</f>
        <v>29</v>
      </c>
      <c r="H26" s="5">
        <f>SUM($E19:H19)</f>
        <v>39</v>
      </c>
      <c r="I26" s="5">
        <f>SUM($E19:I19)</f>
        <v>49</v>
      </c>
      <c r="J26" s="5">
        <f>SUM($E19:J19)</f>
        <v>59</v>
      </c>
      <c r="K26" s="5">
        <f>SUM($E19:K19)</f>
        <v>69</v>
      </c>
      <c r="L26" s="5">
        <f>SUM($E19:L19)</f>
        <v>79</v>
      </c>
      <c r="M26" s="5">
        <f>SUM($E19:M19)</f>
        <v>89</v>
      </c>
      <c r="N26" s="5">
        <f>SUM($E19:N19)</f>
        <v>99</v>
      </c>
      <c r="O26" s="5">
        <f>SUM($E19:O19)</f>
        <v>109</v>
      </c>
      <c r="P26" s="5">
        <f>SUM($E19:P19)</f>
        <v>119</v>
      </c>
    </row>
    <row r="27" spans="3:17" x14ac:dyDescent="0.35">
      <c r="D27" s="3" t="str">
        <f t="shared" ref="D27:D30" si="4">D20</f>
        <v>Actual 2025-26</v>
      </c>
      <c r="E27" s="5">
        <f>SUM($E20:E20)</f>
        <v>0</v>
      </c>
      <c r="F27" s="5">
        <f>SUM($E20:F20)</f>
        <v>3</v>
      </c>
      <c r="G27" s="5">
        <f>SUM($E20:G20)</f>
        <v>5</v>
      </c>
      <c r="H27" s="5">
        <f>SUM($E20:H20)</f>
        <v>7</v>
      </c>
      <c r="I27" s="5">
        <f>SUM($E20:I20)</f>
        <v>10</v>
      </c>
      <c r="J27" s="5">
        <f>SUM($E20:J20)</f>
        <v>12</v>
      </c>
      <c r="K27" s="5">
        <f>SUM($E20:K20)</f>
        <v>17</v>
      </c>
      <c r="L27" s="5">
        <f>SUM($E20:L20)</f>
        <v>20</v>
      </c>
      <c r="M27" s="5">
        <f>SUM($E20:M20)</f>
        <v>20</v>
      </c>
      <c r="N27" s="5">
        <f>SUM($E20:N20)</f>
        <v>20</v>
      </c>
      <c r="O27" s="5">
        <f>SUM($E20:O20)</f>
        <v>20</v>
      </c>
      <c r="P27" s="5">
        <f>SUM($E20:P20)</f>
        <v>20</v>
      </c>
    </row>
    <row r="28" spans="3:17" x14ac:dyDescent="0.35">
      <c r="D28" s="3" t="str">
        <f t="shared" si="4"/>
        <v>Actual 2024-25</v>
      </c>
      <c r="E28" s="5">
        <f>SUM($E21:E21)</f>
        <v>6</v>
      </c>
      <c r="F28" s="5">
        <f>SUM($E21:F21)</f>
        <v>7</v>
      </c>
      <c r="G28" s="5">
        <f>SUM($E21:G21)</f>
        <v>10</v>
      </c>
      <c r="H28" s="5">
        <f>SUM($E21:H21)</f>
        <v>10</v>
      </c>
      <c r="I28" s="5">
        <f>SUM($E21:I21)</f>
        <v>10</v>
      </c>
      <c r="J28" s="5">
        <f>SUM($E21:J21)</f>
        <v>10</v>
      </c>
      <c r="K28" s="5">
        <f>SUM($E21:K21)</f>
        <v>17</v>
      </c>
      <c r="L28" s="5">
        <f>SUM($E21:L21)</f>
        <v>19</v>
      </c>
      <c r="M28" s="5">
        <f>SUM($E21:M21)</f>
        <v>20</v>
      </c>
      <c r="N28" s="5">
        <f>SUM($E21:N21)</f>
        <v>23</v>
      </c>
      <c r="O28" s="5">
        <f>SUM($E21:O21)</f>
        <v>25</v>
      </c>
      <c r="P28" s="5">
        <f>SUM($E21:P21)</f>
        <v>29</v>
      </c>
    </row>
    <row r="29" spans="3:17" x14ac:dyDescent="0.35">
      <c r="D29" s="3" t="str">
        <f t="shared" si="4"/>
        <v>Difference</v>
      </c>
      <c r="E29" s="5">
        <f>SUM($E22:E22)</f>
        <v>0</v>
      </c>
      <c r="F29" s="5">
        <f>SUM($E22:F22)</f>
        <v>-7</v>
      </c>
      <c r="G29" s="5">
        <f>SUM($E22:G22)</f>
        <v>-15</v>
      </c>
      <c r="H29" s="5">
        <f>SUM($E22:H22)</f>
        <v>-23</v>
      </c>
      <c r="I29" s="5">
        <f>SUM($E22:I22)</f>
        <v>-30</v>
      </c>
      <c r="J29" s="5">
        <f>SUM($E22:J22)</f>
        <v>-38</v>
      </c>
      <c r="K29" s="5">
        <f>SUM($E22:K22)</f>
        <v>-43</v>
      </c>
      <c r="L29" s="5">
        <f>SUM($E22:L22)</f>
        <v>-50</v>
      </c>
      <c r="M29" s="5">
        <f>SUM($E22:M22)</f>
        <v>-50</v>
      </c>
      <c r="N29" s="5">
        <f>SUM($E22:N22)</f>
        <v>-50</v>
      </c>
      <c r="O29" s="5">
        <f>SUM($E22:O22)</f>
        <v>-50</v>
      </c>
      <c r="P29" s="5">
        <f>SUM($E22:P22)</f>
        <v>-50</v>
      </c>
    </row>
    <row r="30" spans="3:17" x14ac:dyDescent="0.35">
      <c r="D30" s="3" t="str">
        <f t="shared" si="4"/>
        <v>Realisation</v>
      </c>
      <c r="E30" s="9">
        <f>E28/E26</f>
        <v>0.66666666666666663</v>
      </c>
      <c r="F30" s="9">
        <f t="shared" ref="F30:P30" si="5">F27/F26</f>
        <v>0.15789473684210525</v>
      </c>
      <c r="G30" s="9">
        <f t="shared" si="5"/>
        <v>0.17241379310344829</v>
      </c>
      <c r="H30" s="9">
        <f t="shared" si="5"/>
        <v>0.17948717948717949</v>
      </c>
      <c r="I30" s="9">
        <f t="shared" si="5"/>
        <v>0.20408163265306123</v>
      </c>
      <c r="J30" s="9">
        <f t="shared" si="5"/>
        <v>0.20338983050847459</v>
      </c>
      <c r="K30" s="9">
        <f t="shared" si="5"/>
        <v>0.24637681159420291</v>
      </c>
      <c r="L30" s="9">
        <f t="shared" si="5"/>
        <v>0.25316455696202533</v>
      </c>
      <c r="M30" s="9">
        <f t="shared" si="5"/>
        <v>0.2247191011235955</v>
      </c>
      <c r="N30" s="9">
        <f t="shared" si="5"/>
        <v>0.20202020202020202</v>
      </c>
      <c r="O30" s="9">
        <f t="shared" si="5"/>
        <v>0.1834862385321101</v>
      </c>
      <c r="P30" s="9">
        <f t="shared" si="5"/>
        <v>0.16806722689075632</v>
      </c>
    </row>
  </sheetData>
  <mergeCells count="2">
    <mergeCell ref="J4:Q8"/>
    <mergeCell ref="J10:Q15"/>
  </mergeCells>
  <conditionalFormatting sqref="C3">
    <cfRule type="expression" dxfId="563" priority="2">
      <formula>S4&lt;S6</formula>
    </cfRule>
  </conditionalFormatting>
  <conditionalFormatting sqref="C5">
    <cfRule type="expression" dxfId="562" priority="3">
      <formula>S4&gt;=S5</formula>
    </cfRule>
  </conditionalFormatting>
  <conditionalFormatting sqref="C4">
    <cfRule type="expression" dxfId="561" priority="1">
      <formula>AND(S4&gt;=S6,S4&lt;S5)</formula>
    </cfRule>
  </conditionalFormatting>
  <hyperlinks>
    <hyperlink ref="L1" location="Dashboard!A1" display="Dashboard"/>
  </hyperlinks>
  <pageMargins left="0.7" right="0.7" top="0.75" bottom="0.75" header="0.3" footer="0.3"/>
  <pageSetup orientation="portrait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936961" r:id="rId4" name="Spinner 1">
              <controlPr defaultSize="0" autoPict="0">
                <anchor moveWithCells="1" sizeWithCells="1">
                  <from>
                    <xdr:col>9</xdr:col>
                    <xdr:colOff>19050</xdr:colOff>
                    <xdr:row>0</xdr:row>
                    <xdr:rowOff>38100</xdr:rowOff>
                  </from>
                  <to>
                    <xdr:col>9</xdr:col>
                    <xdr:colOff>400050</xdr:colOff>
                    <xdr:row>1</xdr:row>
                    <xdr:rowOff>152400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FFC000"/>
  </sheetPr>
  <dimension ref="A1:S30"/>
  <sheetViews>
    <sheetView topLeftCell="E1" workbookViewId="0">
      <selection activeCell="L1" sqref="L1"/>
    </sheetView>
  </sheetViews>
  <sheetFormatPr defaultColWidth="9.1796875" defaultRowHeight="14.5" x14ac:dyDescent="0.35"/>
  <cols>
    <col min="1" max="1" width="9.1796875" style="3"/>
    <col min="2" max="2" width="5.1796875" style="3" customWidth="1"/>
    <col min="3" max="3" width="6.26953125" style="3" customWidth="1"/>
    <col min="4" max="4" width="21.26953125" style="3" bestFit="1" customWidth="1"/>
    <col min="5" max="16" width="11.1796875" style="3" customWidth="1"/>
    <col min="17" max="17" width="12" style="3" bestFit="1" customWidth="1"/>
    <col min="18" max="18" width="9.1796875" style="3" customWidth="1"/>
    <col min="19" max="16384" width="9.1796875" style="3"/>
  </cols>
  <sheetData>
    <row r="1" spans="1:19" ht="21" x14ac:dyDescent="0.5">
      <c r="A1" s="4" t="s">
        <v>4</v>
      </c>
      <c r="B1" s="4">
        <f>Dashboard!A8</f>
        <v>3</v>
      </c>
      <c r="C1" s="4" t="str">
        <f>Dashboard!B186</f>
        <v>TOTAL WATER &amp; SEWER SALES</v>
      </c>
      <c r="G1" s="3" t="s">
        <v>9</v>
      </c>
      <c r="I1" s="12">
        <f>INDEX($E$18:$P$18,Actual_month)</f>
        <v>46054</v>
      </c>
      <c r="L1" s="16" t="s">
        <v>19</v>
      </c>
      <c r="R1" s="5"/>
    </row>
    <row r="2" spans="1:19" x14ac:dyDescent="0.35">
      <c r="A2" s="3" t="s">
        <v>13</v>
      </c>
      <c r="C2" s="3" t="s">
        <v>27</v>
      </c>
      <c r="R2" s="6"/>
    </row>
    <row r="3" spans="1:19" ht="25.5" customHeight="1" thickBot="1" x14ac:dyDescent="0.4">
      <c r="C3" s="1" t="s">
        <v>5</v>
      </c>
      <c r="E3" s="10"/>
      <c r="F3" s="10"/>
      <c r="G3" s="10"/>
      <c r="H3" s="10"/>
      <c r="I3" s="10"/>
      <c r="J3" s="3" t="s">
        <v>6</v>
      </c>
      <c r="K3" s="10"/>
      <c r="M3" s="10"/>
      <c r="N3" s="10"/>
      <c r="O3" s="10"/>
      <c r="P3" s="10"/>
    </row>
    <row r="4" spans="1:19" ht="25.5" customHeight="1" x14ac:dyDescent="0.35">
      <c r="C4" s="1" t="s">
        <v>5</v>
      </c>
      <c r="E4" s="10"/>
      <c r="F4" s="10"/>
      <c r="G4" s="10"/>
      <c r="H4" s="10"/>
      <c r="I4" s="10"/>
      <c r="J4" s="401"/>
      <c r="K4" s="402"/>
      <c r="L4" s="402"/>
      <c r="M4" s="402"/>
      <c r="N4" s="402"/>
      <c r="O4" s="402"/>
      <c r="P4" s="402"/>
      <c r="Q4" s="403"/>
      <c r="R4" s="3" t="s">
        <v>22</v>
      </c>
      <c r="S4" s="5">
        <f>INDEX(E27:P27,Actual_month)</f>
        <v>207792965.80000001</v>
      </c>
    </row>
    <row r="5" spans="1:19" ht="25.5" customHeight="1" x14ac:dyDescent="0.35">
      <c r="C5" s="1" t="s">
        <v>5</v>
      </c>
      <c r="E5" s="10"/>
      <c r="F5" s="10"/>
      <c r="G5" s="10"/>
      <c r="H5" s="10"/>
      <c r="I5" s="10"/>
      <c r="J5" s="404"/>
      <c r="K5" s="405"/>
      <c r="L5" s="405"/>
      <c r="M5" s="405"/>
      <c r="N5" s="405"/>
      <c r="O5" s="405"/>
      <c r="P5" s="405"/>
      <c r="Q5" s="406"/>
      <c r="R5" s="3" t="s">
        <v>23</v>
      </c>
      <c r="S5" s="5">
        <f>INDEX(E26:P26,Actual_month)</f>
        <v>183439224.26087779</v>
      </c>
    </row>
    <row r="6" spans="1:19" x14ac:dyDescent="0.35">
      <c r="J6" s="404"/>
      <c r="K6" s="405"/>
      <c r="L6" s="405"/>
      <c r="M6" s="405"/>
      <c r="N6" s="405"/>
      <c r="O6" s="405"/>
      <c r="P6" s="405"/>
      <c r="Q6" s="406"/>
      <c r="R6" s="6">
        <v>0.9</v>
      </c>
      <c r="S6" s="5">
        <f>+S5*R6</f>
        <v>165095301.83479002</v>
      </c>
    </row>
    <row r="7" spans="1:19" x14ac:dyDescent="0.35">
      <c r="J7" s="404"/>
      <c r="K7" s="405"/>
      <c r="L7" s="405"/>
      <c r="M7" s="405"/>
      <c r="N7" s="405"/>
      <c r="O7" s="405"/>
      <c r="P7" s="405"/>
      <c r="Q7" s="406"/>
    </row>
    <row r="8" spans="1:19" ht="15" thickBot="1" x14ac:dyDescent="0.4">
      <c r="J8" s="407"/>
      <c r="K8" s="408"/>
      <c r="L8" s="408"/>
      <c r="M8" s="408"/>
      <c r="N8" s="408"/>
      <c r="O8" s="408"/>
      <c r="P8" s="408"/>
      <c r="Q8" s="409"/>
    </row>
    <row r="9" spans="1:19" ht="15" thickBot="1" x14ac:dyDescent="0.4">
      <c r="J9" s="3" t="s">
        <v>12</v>
      </c>
    </row>
    <row r="10" spans="1:19" x14ac:dyDescent="0.35">
      <c r="J10" s="401"/>
      <c r="K10" s="402"/>
      <c r="L10" s="402"/>
      <c r="M10" s="402"/>
      <c r="N10" s="402"/>
      <c r="O10" s="402"/>
      <c r="P10" s="402"/>
      <c r="Q10" s="403"/>
    </row>
    <row r="11" spans="1:19" x14ac:dyDescent="0.35">
      <c r="J11" s="404"/>
      <c r="K11" s="405"/>
      <c r="L11" s="405"/>
      <c r="M11" s="405"/>
      <c r="N11" s="405"/>
      <c r="O11" s="405"/>
      <c r="P11" s="405"/>
      <c r="Q11" s="406"/>
    </row>
    <row r="12" spans="1:19" x14ac:dyDescent="0.35">
      <c r="J12" s="404"/>
      <c r="K12" s="405"/>
      <c r="L12" s="405"/>
      <c r="M12" s="405"/>
      <c r="N12" s="405"/>
      <c r="O12" s="405"/>
      <c r="P12" s="405"/>
      <c r="Q12" s="406"/>
    </row>
    <row r="13" spans="1:19" x14ac:dyDescent="0.35">
      <c r="J13" s="404"/>
      <c r="K13" s="405"/>
      <c r="L13" s="405"/>
      <c r="M13" s="405"/>
      <c r="N13" s="405"/>
      <c r="O13" s="405"/>
      <c r="P13" s="405"/>
      <c r="Q13" s="406"/>
    </row>
    <row r="14" spans="1:19" x14ac:dyDescent="0.35">
      <c r="J14" s="404"/>
      <c r="K14" s="405"/>
      <c r="L14" s="405"/>
      <c r="M14" s="405"/>
      <c r="N14" s="405"/>
      <c r="O14" s="405"/>
      <c r="P14" s="405"/>
      <c r="Q14" s="406"/>
    </row>
    <row r="15" spans="1:19" ht="15" thickBot="1" x14ac:dyDescent="0.4">
      <c r="J15" s="407"/>
      <c r="K15" s="408"/>
      <c r="L15" s="408"/>
      <c r="M15" s="408"/>
      <c r="N15" s="408"/>
      <c r="O15" s="408"/>
      <c r="P15" s="408"/>
      <c r="Q15" s="409"/>
    </row>
    <row r="18" spans="3:17" x14ac:dyDescent="0.35">
      <c r="C18" s="7" t="s">
        <v>8</v>
      </c>
      <c r="E18" s="11">
        <v>45839</v>
      </c>
      <c r="F18" s="11">
        <v>45870</v>
      </c>
      <c r="G18" s="11">
        <v>45901</v>
      </c>
      <c r="H18" s="11">
        <v>45931</v>
      </c>
      <c r="I18" s="11">
        <v>45962</v>
      </c>
      <c r="J18" s="11">
        <v>45992</v>
      </c>
      <c r="K18" s="11">
        <v>46023</v>
      </c>
      <c r="L18" s="11">
        <v>46054</v>
      </c>
      <c r="M18" s="11">
        <v>46082</v>
      </c>
      <c r="N18" s="11">
        <v>46113</v>
      </c>
      <c r="O18" s="11">
        <v>46143</v>
      </c>
      <c r="P18" s="11">
        <v>46174</v>
      </c>
      <c r="Q18" s="8" t="s">
        <v>0</v>
      </c>
    </row>
    <row r="19" spans="3:17" x14ac:dyDescent="0.35">
      <c r="D19" s="3" t="s">
        <v>501</v>
      </c>
      <c r="E19" s="5">
        <f>'budget 2025-26'!D175</f>
        <v>22014751.869720884</v>
      </c>
      <c r="F19" s="5">
        <f>'budget 2025-26'!E175</f>
        <v>22256147.201974843</v>
      </c>
      <c r="G19" s="5">
        <f>'budget 2025-26'!F175</f>
        <v>22500782.534228787</v>
      </c>
      <c r="H19" s="5">
        <f>'budget 2025-26'!G175</f>
        <v>22794017.866482742</v>
      </c>
      <c r="I19" s="5">
        <f>'budget 2025-26'!H175</f>
        <v>23071053.198736697</v>
      </c>
      <c r="J19" s="5">
        <f>'budget 2025-26'!I175</f>
        <v>23331888.530990653</v>
      </c>
      <c r="K19" s="5">
        <f>'budget 2025-26'!J175</f>
        <v>23608923.863244612</v>
      </c>
      <c r="L19" s="5">
        <f>'budget 2025-26'!K175</f>
        <v>23861659.195498556</v>
      </c>
      <c r="M19" s="5">
        <f>'budget 2025-26'!L175</f>
        <v>24090094.527752511</v>
      </c>
      <c r="N19" s="5">
        <f>'budget 2025-26'!M175</f>
        <v>24302329.860006467</v>
      </c>
      <c r="O19" s="5">
        <f>'budget 2025-26'!N175</f>
        <v>24514565.192260422</v>
      </c>
      <c r="P19" s="5">
        <f>'budget 2025-26'!O175</f>
        <v>24723560.524514373</v>
      </c>
      <c r="Q19" s="5">
        <f>SUM(E19:P19)</f>
        <v>281069774.36541152</v>
      </c>
    </row>
    <row r="20" spans="3:17" x14ac:dyDescent="0.35">
      <c r="D20" s="3" t="s">
        <v>502</v>
      </c>
      <c r="E20" s="5">
        <f>'Input Actual2025-26'!E178</f>
        <v>24092391</v>
      </c>
      <c r="F20" s="5">
        <f>'Input Actual2025-26'!F178</f>
        <v>28116426</v>
      </c>
      <c r="G20" s="5">
        <f>'Input Actual2025-26'!G178</f>
        <v>24118066</v>
      </c>
      <c r="H20" s="5">
        <f>'Input Actual2025-26'!H178</f>
        <v>27515501</v>
      </c>
      <c r="I20" s="5">
        <f>'Input Actual2025-26'!I178</f>
        <v>22379913.5</v>
      </c>
      <c r="J20" s="5">
        <f>'Input Actual2025-26'!J178</f>
        <v>21346713.800000001</v>
      </c>
      <c r="K20" s="5">
        <f>'Input Actual2025-26'!K178</f>
        <v>32566213.5</v>
      </c>
      <c r="L20" s="5">
        <f>'Input Actual2025-26'!L178</f>
        <v>27657741</v>
      </c>
      <c r="M20" s="5">
        <f>'Input Actual2025-26'!M178</f>
        <v>0</v>
      </c>
      <c r="N20" s="5">
        <f>'Input Actual2025-26'!N178</f>
        <v>0</v>
      </c>
      <c r="O20" s="5">
        <f>'Input Actual2025-26'!O178</f>
        <v>0</v>
      </c>
      <c r="P20" s="5">
        <f>'Input Actual2025-26'!P178</f>
        <v>0</v>
      </c>
      <c r="Q20" s="5">
        <f t="shared" ref="Q20:Q22" si="0">SUM(E20:P20)</f>
        <v>207792965.80000001</v>
      </c>
    </row>
    <row r="21" spans="3:17" x14ac:dyDescent="0.35">
      <c r="D21" s="3" t="s">
        <v>424</v>
      </c>
      <c r="E21" s="5">
        <f>'Input Actual2024-25'!E165</f>
        <v>15292420.4</v>
      </c>
      <c r="F21" s="5">
        <f>'Input Actual2024-25'!F165</f>
        <v>18966349.149999999</v>
      </c>
      <c r="G21" s="5">
        <f>'Input Actual2024-25'!G165</f>
        <v>17301726.699999999</v>
      </c>
      <c r="H21" s="5">
        <f>'Input Actual2024-25'!H165</f>
        <v>17045651.699999999</v>
      </c>
      <c r="I21" s="5">
        <f>'Input Actual2024-25'!I165</f>
        <v>18658037.5</v>
      </c>
      <c r="J21" s="5">
        <f>'Input Actual2024-25'!J165</f>
        <v>12741781.699999999</v>
      </c>
      <c r="K21" s="5">
        <f>'Input Actual2024-25'!K165</f>
        <v>20192574.199999999</v>
      </c>
      <c r="L21" s="5">
        <f>'Input Actual2024-25'!L165</f>
        <v>17727809.199999999</v>
      </c>
      <c r="M21" s="5">
        <f>'Input Actual2024-25'!M165</f>
        <v>18914962.449999999</v>
      </c>
      <c r="N21" s="5">
        <f>'Input Actual2024-25'!N165</f>
        <v>19667435.75</v>
      </c>
      <c r="O21" s="5">
        <f>'Input Actual2024-25'!O165</f>
        <v>25648341</v>
      </c>
      <c r="P21" s="5">
        <f>'Input Actual2024-25'!P165</f>
        <v>27123523.5</v>
      </c>
      <c r="Q21" s="5">
        <f t="shared" si="0"/>
        <v>229280613.25</v>
      </c>
    </row>
    <row r="22" spans="3:17" x14ac:dyDescent="0.35">
      <c r="D22" s="3" t="s">
        <v>7</v>
      </c>
      <c r="E22" s="5">
        <f t="shared" ref="E22:P22" si="1">IF(E20=0,0,E20-E19)</f>
        <v>2077639.1302791163</v>
      </c>
      <c r="F22" s="5">
        <f t="shared" si="1"/>
        <v>5860278.7980251573</v>
      </c>
      <c r="G22" s="5">
        <f t="shared" si="1"/>
        <v>1617283.4657712132</v>
      </c>
      <c r="H22" s="5">
        <f t="shared" si="1"/>
        <v>4721483.1335172579</v>
      </c>
      <c r="I22" s="5">
        <f t="shared" si="1"/>
        <v>-691139.69873669744</v>
      </c>
      <c r="J22" s="5">
        <f t="shared" si="1"/>
        <v>-1985174.730990652</v>
      </c>
      <c r="K22" s="5">
        <f t="shared" si="1"/>
        <v>8957289.6367553882</v>
      </c>
      <c r="L22" s="5">
        <f t="shared" si="1"/>
        <v>3796081.8045014441</v>
      </c>
      <c r="M22" s="5">
        <f t="shared" si="1"/>
        <v>0</v>
      </c>
      <c r="N22" s="5">
        <f t="shared" si="1"/>
        <v>0</v>
      </c>
      <c r="O22" s="5">
        <f t="shared" si="1"/>
        <v>0</v>
      </c>
      <c r="P22" s="5">
        <f t="shared" si="1"/>
        <v>0</v>
      </c>
      <c r="Q22" s="5">
        <f t="shared" si="0"/>
        <v>24353741.539122228</v>
      </c>
    </row>
    <row r="23" spans="3:17" x14ac:dyDescent="0.35">
      <c r="D23" s="3" t="s">
        <v>43</v>
      </c>
      <c r="E23" s="9">
        <f>E21/E19</f>
        <v>0.69464423176321211</v>
      </c>
      <c r="F23" s="9">
        <f t="shared" ref="F23:P23" si="2">F20/F19</f>
        <v>1.2633105696526468</v>
      </c>
      <c r="G23" s="9">
        <f t="shared" si="2"/>
        <v>1.0718767653218708</v>
      </c>
      <c r="H23" s="9">
        <f t="shared" si="2"/>
        <v>1.2071369409804631</v>
      </c>
      <c r="I23" s="9">
        <f t="shared" si="2"/>
        <v>0.97004299314889786</v>
      </c>
      <c r="J23" s="9">
        <f t="shared" si="2"/>
        <v>0.91491581453623705</v>
      </c>
      <c r="K23" s="9">
        <f t="shared" si="2"/>
        <v>1.3794027075795896</v>
      </c>
      <c r="L23" s="9">
        <f t="shared" si="2"/>
        <v>1.1590870849927135</v>
      </c>
      <c r="M23" s="9">
        <f t="shared" si="2"/>
        <v>0</v>
      </c>
      <c r="N23" s="9">
        <f t="shared" si="2"/>
        <v>0</v>
      </c>
      <c r="O23" s="9">
        <f t="shared" si="2"/>
        <v>0</v>
      </c>
      <c r="P23" s="9">
        <f t="shared" si="2"/>
        <v>0</v>
      </c>
    </row>
    <row r="25" spans="3:17" x14ac:dyDescent="0.35">
      <c r="C25" s="7" t="s">
        <v>3</v>
      </c>
      <c r="E25" s="11">
        <f>E18</f>
        <v>45839</v>
      </c>
      <c r="F25" s="11">
        <f t="shared" ref="F25:P25" si="3">F18</f>
        <v>45870</v>
      </c>
      <c r="G25" s="11">
        <f t="shared" si="3"/>
        <v>45901</v>
      </c>
      <c r="H25" s="11">
        <f t="shared" si="3"/>
        <v>45931</v>
      </c>
      <c r="I25" s="11">
        <f t="shared" si="3"/>
        <v>45962</v>
      </c>
      <c r="J25" s="11">
        <f t="shared" si="3"/>
        <v>45992</v>
      </c>
      <c r="K25" s="11">
        <f t="shared" si="3"/>
        <v>46023</v>
      </c>
      <c r="L25" s="11">
        <f t="shared" si="3"/>
        <v>46054</v>
      </c>
      <c r="M25" s="11">
        <f t="shared" si="3"/>
        <v>46082</v>
      </c>
      <c r="N25" s="11">
        <f t="shared" si="3"/>
        <v>46113</v>
      </c>
      <c r="O25" s="11">
        <f t="shared" si="3"/>
        <v>46143</v>
      </c>
      <c r="P25" s="11">
        <f t="shared" si="3"/>
        <v>46174</v>
      </c>
    </row>
    <row r="26" spans="3:17" x14ac:dyDescent="0.35">
      <c r="D26" s="3" t="str">
        <f>D19</f>
        <v>Budget 2025-26</v>
      </c>
      <c r="E26" s="5">
        <f>SUM($E19:E19)</f>
        <v>22014751.869720884</v>
      </c>
      <c r="F26" s="5">
        <f>SUM($E19:F19)</f>
        <v>44270899.07169573</v>
      </c>
      <c r="G26" s="5">
        <f>SUM($E19:G19)</f>
        <v>66771681.605924517</v>
      </c>
      <c r="H26" s="5">
        <f>SUM($E19:H19)</f>
        <v>89565699.472407252</v>
      </c>
      <c r="I26" s="5">
        <f>SUM($E19:I19)</f>
        <v>112636752.67114395</v>
      </c>
      <c r="J26" s="5">
        <f>SUM($E19:J19)</f>
        <v>135968641.20213461</v>
      </c>
      <c r="K26" s="5">
        <f>SUM($E19:K19)</f>
        <v>159577565.06537923</v>
      </c>
      <c r="L26" s="5">
        <f>SUM($E19:L19)</f>
        <v>183439224.26087779</v>
      </c>
      <c r="M26" s="5">
        <f>SUM($E19:M19)</f>
        <v>207529318.78863031</v>
      </c>
      <c r="N26" s="5">
        <f>SUM($E19:N19)</f>
        <v>231831648.64863676</v>
      </c>
      <c r="O26" s="5">
        <f>SUM($E19:O19)</f>
        <v>256346213.84089717</v>
      </c>
      <c r="P26" s="5">
        <f>SUM($E19:P19)</f>
        <v>281069774.36541152</v>
      </c>
    </row>
    <row r="27" spans="3:17" x14ac:dyDescent="0.35">
      <c r="D27" s="3" t="str">
        <f t="shared" ref="D27:D30" si="4">D20</f>
        <v>Actual 2025-26</v>
      </c>
      <c r="E27" s="5">
        <f>SUM($E20:E20)</f>
        <v>24092391</v>
      </c>
      <c r="F27" s="5">
        <f>SUM($E20:F20)</f>
        <v>52208817</v>
      </c>
      <c r="G27" s="5">
        <f>SUM($E20:G20)</f>
        <v>76326883</v>
      </c>
      <c r="H27" s="5">
        <f>SUM($E20:H20)</f>
        <v>103842384</v>
      </c>
      <c r="I27" s="5">
        <f>SUM($E20:I20)</f>
        <v>126222297.5</v>
      </c>
      <c r="J27" s="5">
        <f>SUM($E20:J20)</f>
        <v>147569011.30000001</v>
      </c>
      <c r="K27" s="5">
        <f>SUM($E20:K20)</f>
        <v>180135224.80000001</v>
      </c>
      <c r="L27" s="5">
        <f>SUM($E20:L20)</f>
        <v>207792965.80000001</v>
      </c>
      <c r="M27" s="5">
        <f>SUM($E20:M20)</f>
        <v>207792965.80000001</v>
      </c>
      <c r="N27" s="5">
        <f>SUM($E20:N20)</f>
        <v>207792965.80000001</v>
      </c>
      <c r="O27" s="5">
        <f>SUM($E20:O20)</f>
        <v>207792965.80000001</v>
      </c>
      <c r="P27" s="5">
        <f>SUM($E20:P20)</f>
        <v>207792965.80000001</v>
      </c>
    </row>
    <row r="28" spans="3:17" x14ac:dyDescent="0.35">
      <c r="D28" s="3" t="str">
        <f t="shared" si="4"/>
        <v>Actual 2024-25</v>
      </c>
      <c r="E28" s="5">
        <f>SUM($E21:E21)</f>
        <v>15292420.4</v>
      </c>
      <c r="F28" s="5">
        <f>SUM($E21:F21)</f>
        <v>34258769.549999997</v>
      </c>
      <c r="G28" s="5">
        <f>SUM($E21:G21)</f>
        <v>51560496.25</v>
      </c>
      <c r="H28" s="5">
        <f>SUM($E21:H21)</f>
        <v>68606147.950000003</v>
      </c>
      <c r="I28" s="5">
        <f>SUM($E21:I21)</f>
        <v>87264185.450000003</v>
      </c>
      <c r="J28" s="5">
        <f>SUM($E21:J21)</f>
        <v>100005967.15000001</v>
      </c>
      <c r="K28" s="5">
        <f>SUM($E21:K21)</f>
        <v>120198541.35000001</v>
      </c>
      <c r="L28" s="5">
        <f>SUM($E21:L21)</f>
        <v>137926350.55000001</v>
      </c>
      <c r="M28" s="5">
        <f>SUM($E21:M21)</f>
        <v>156841313</v>
      </c>
      <c r="N28" s="5">
        <f>SUM($E21:N21)</f>
        <v>176508748.75</v>
      </c>
      <c r="O28" s="5">
        <f>SUM($E21:O21)</f>
        <v>202157089.75</v>
      </c>
      <c r="P28" s="5">
        <f>SUM($E21:P21)</f>
        <v>229280613.25</v>
      </c>
    </row>
    <row r="29" spans="3:17" x14ac:dyDescent="0.35">
      <c r="D29" s="3" t="str">
        <f t="shared" si="4"/>
        <v>Difference</v>
      </c>
      <c r="E29" s="5">
        <f>SUM($E22:E22)</f>
        <v>2077639.1302791163</v>
      </c>
      <c r="F29" s="5">
        <f>SUM($E22:F22)</f>
        <v>7937917.9283042736</v>
      </c>
      <c r="G29" s="5">
        <f>SUM($E22:G22)</f>
        <v>9555201.3940754868</v>
      </c>
      <c r="H29" s="5">
        <f>SUM($E22:H22)</f>
        <v>14276684.527592745</v>
      </c>
      <c r="I29" s="5">
        <f>SUM($E22:I22)</f>
        <v>13585544.828856047</v>
      </c>
      <c r="J29" s="5">
        <f>SUM($E22:J22)</f>
        <v>11600370.097865395</v>
      </c>
      <c r="K29" s="5">
        <f>SUM($E22:K22)</f>
        <v>20557659.734620783</v>
      </c>
      <c r="L29" s="5">
        <f>SUM($E22:L22)</f>
        <v>24353741.539122228</v>
      </c>
      <c r="M29" s="5">
        <f>SUM($E22:M22)</f>
        <v>24353741.539122228</v>
      </c>
      <c r="N29" s="5">
        <f>SUM($E22:N22)</f>
        <v>24353741.539122228</v>
      </c>
      <c r="O29" s="5">
        <f>SUM($E22:O22)</f>
        <v>24353741.539122228</v>
      </c>
      <c r="P29" s="5">
        <f>SUM($E22:P22)</f>
        <v>24353741.539122228</v>
      </c>
    </row>
    <row r="30" spans="3:17" x14ac:dyDescent="0.35">
      <c r="D30" s="3" t="str">
        <f t="shared" si="4"/>
        <v>Realisation</v>
      </c>
      <c r="E30" s="9">
        <f>E28/E26</f>
        <v>0.69464423176321211</v>
      </c>
      <c r="F30" s="9">
        <f t="shared" ref="F30:P30" si="5">F27/F26</f>
        <v>1.1793032916600359</v>
      </c>
      <c r="G30" s="9">
        <f t="shared" si="5"/>
        <v>1.1431026022448965</v>
      </c>
      <c r="H30" s="9">
        <f t="shared" si="5"/>
        <v>1.1593990178348466</v>
      </c>
      <c r="I30" s="9">
        <f t="shared" si="5"/>
        <v>1.1206137828610936</v>
      </c>
      <c r="J30" s="9">
        <f t="shared" si="5"/>
        <v>1.0853165111845162</v>
      </c>
      <c r="K30" s="9">
        <f t="shared" si="5"/>
        <v>1.1288255007914068</v>
      </c>
      <c r="L30" s="9">
        <f t="shared" si="5"/>
        <v>1.1327619086771081</v>
      </c>
      <c r="M30" s="9">
        <f t="shared" si="5"/>
        <v>1.0012704085037654</v>
      </c>
      <c r="N30" s="9">
        <f t="shared" si="5"/>
        <v>0.89630974464116553</v>
      </c>
      <c r="O30" s="9">
        <f t="shared" si="5"/>
        <v>0.81059502571381048</v>
      </c>
      <c r="P30" s="9">
        <f t="shared" si="5"/>
        <v>0.73929317468997491</v>
      </c>
    </row>
  </sheetData>
  <mergeCells count="2">
    <mergeCell ref="J4:Q8"/>
    <mergeCell ref="J10:Q15"/>
  </mergeCells>
  <conditionalFormatting sqref="C3">
    <cfRule type="expression" dxfId="560" priority="2">
      <formula>S4&lt;S6</formula>
    </cfRule>
  </conditionalFormatting>
  <conditionalFormatting sqref="C5">
    <cfRule type="expression" dxfId="559" priority="3">
      <formula>S4&gt;=S5</formula>
    </cfRule>
  </conditionalFormatting>
  <conditionalFormatting sqref="C4">
    <cfRule type="expression" dxfId="558" priority="1">
      <formula>AND(S4&gt;=S6,S4&lt;S5)</formula>
    </cfRule>
  </conditionalFormatting>
  <hyperlinks>
    <hyperlink ref="L1" location="Dashboard!A1" display="Dashboard"/>
  </hyperlinks>
  <pageMargins left="0.7" right="0.7" top="0.75" bottom="0.75" header="0.3" footer="0.3"/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185793" r:id="rId3" name="Spinner 1">
              <controlPr defaultSize="0" autoPict="0">
                <anchor moveWithCells="1" sizeWithCells="1">
                  <from>
                    <xdr:col>9</xdr:col>
                    <xdr:colOff>19050</xdr:colOff>
                    <xdr:row>0</xdr:row>
                    <xdr:rowOff>38100</xdr:rowOff>
                  </from>
                  <to>
                    <xdr:col>9</xdr:col>
                    <xdr:colOff>400050</xdr:colOff>
                    <xdr:row>1</xdr:row>
                    <xdr:rowOff>152400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7">
    <tabColor rgb="FFFFC000"/>
  </sheetPr>
  <dimension ref="A1:S30"/>
  <sheetViews>
    <sheetView zoomScale="90" zoomScaleNormal="90" workbookViewId="0">
      <selection activeCell="L1" sqref="L1"/>
    </sheetView>
  </sheetViews>
  <sheetFormatPr defaultColWidth="9.1796875" defaultRowHeight="14.5" x14ac:dyDescent="0.35"/>
  <cols>
    <col min="1" max="1" width="9.1796875" style="3"/>
    <col min="2" max="2" width="5.1796875" style="3" customWidth="1"/>
    <col min="3" max="3" width="6.26953125" style="3" customWidth="1"/>
    <col min="4" max="4" width="21.26953125" style="3" bestFit="1" customWidth="1"/>
    <col min="5" max="16" width="11.1796875" style="3" customWidth="1"/>
    <col min="17" max="17" width="12" style="3" bestFit="1" customWidth="1"/>
    <col min="18" max="18" width="9.1796875" style="3" customWidth="1"/>
    <col min="19" max="16384" width="9.1796875" style="3"/>
  </cols>
  <sheetData>
    <row r="1" spans="1:19" ht="21" x14ac:dyDescent="0.5">
      <c r="A1" s="4" t="s">
        <v>4</v>
      </c>
      <c r="B1" s="4">
        <f>Dashboard!A8</f>
        <v>3</v>
      </c>
      <c r="C1" s="4" t="str">
        <f>Dashboard!B8</f>
        <v>KABATI- NEW WATER</v>
      </c>
      <c r="G1" s="3" t="s">
        <v>9</v>
      </c>
      <c r="I1" s="12">
        <f>INDEX($E$18:$P$18,Actual_month)</f>
        <v>46054</v>
      </c>
      <c r="L1" s="16" t="s">
        <v>19</v>
      </c>
      <c r="R1" s="5"/>
    </row>
    <row r="2" spans="1:19" x14ac:dyDescent="0.35">
      <c r="A2" s="3" t="s">
        <v>13</v>
      </c>
      <c r="C2" s="3" t="s">
        <v>27</v>
      </c>
      <c r="R2" s="6"/>
    </row>
    <row r="3" spans="1:19" ht="25.5" customHeight="1" thickBot="1" x14ac:dyDescent="0.4">
      <c r="C3" s="1" t="s">
        <v>5</v>
      </c>
      <c r="E3" s="10"/>
      <c r="F3" s="10"/>
      <c r="G3" s="10"/>
      <c r="H3" s="10"/>
      <c r="I3" s="10"/>
      <c r="J3" s="3" t="s">
        <v>6</v>
      </c>
      <c r="K3" s="10"/>
      <c r="M3" s="10"/>
      <c r="N3" s="10"/>
      <c r="O3" s="10"/>
      <c r="P3" s="10"/>
    </row>
    <row r="4" spans="1:19" ht="25.5" customHeight="1" x14ac:dyDescent="0.35">
      <c r="C4" s="1" t="s">
        <v>5</v>
      </c>
      <c r="E4" s="10"/>
      <c r="F4" s="10"/>
      <c r="G4" s="10"/>
      <c r="H4" s="10"/>
      <c r="I4" s="10"/>
      <c r="J4" s="401"/>
      <c r="K4" s="402"/>
      <c r="L4" s="402"/>
      <c r="M4" s="402"/>
      <c r="N4" s="402"/>
      <c r="O4" s="402"/>
      <c r="P4" s="402"/>
      <c r="Q4" s="403"/>
      <c r="R4" s="3" t="s">
        <v>22</v>
      </c>
      <c r="S4" s="5">
        <f>INDEX(E27:P27,Actual_month)</f>
        <v>10</v>
      </c>
    </row>
    <row r="5" spans="1:19" ht="25.5" customHeight="1" x14ac:dyDescent="0.35">
      <c r="C5" s="1" t="s">
        <v>5</v>
      </c>
      <c r="E5" s="10"/>
      <c r="F5" s="10"/>
      <c r="G5" s="10"/>
      <c r="H5" s="10"/>
      <c r="I5" s="10"/>
      <c r="J5" s="404"/>
      <c r="K5" s="405"/>
      <c r="L5" s="405"/>
      <c r="M5" s="405"/>
      <c r="N5" s="405"/>
      <c r="O5" s="405"/>
      <c r="P5" s="405"/>
      <c r="Q5" s="406"/>
      <c r="R5" s="3" t="s">
        <v>23</v>
      </c>
      <c r="S5" s="5">
        <f>INDEX(E26:P26,Actual_month)</f>
        <v>32</v>
      </c>
    </row>
    <row r="6" spans="1:19" x14ac:dyDescent="0.35">
      <c r="J6" s="404"/>
      <c r="K6" s="405"/>
      <c r="L6" s="405"/>
      <c r="M6" s="405"/>
      <c r="N6" s="405"/>
      <c r="O6" s="405"/>
      <c r="P6" s="405"/>
      <c r="Q6" s="406"/>
      <c r="R6" s="6">
        <v>0.9</v>
      </c>
      <c r="S6" s="5">
        <f>+S5*R6</f>
        <v>28.8</v>
      </c>
    </row>
    <row r="7" spans="1:19" x14ac:dyDescent="0.35">
      <c r="J7" s="404"/>
      <c r="K7" s="405"/>
      <c r="L7" s="405"/>
      <c r="M7" s="405"/>
      <c r="N7" s="405"/>
      <c r="O7" s="405"/>
      <c r="P7" s="405"/>
      <c r="Q7" s="406"/>
    </row>
    <row r="8" spans="1:19" ht="15" thickBot="1" x14ac:dyDescent="0.4">
      <c r="J8" s="407"/>
      <c r="K8" s="408"/>
      <c r="L8" s="408"/>
      <c r="M8" s="408"/>
      <c r="N8" s="408"/>
      <c r="O8" s="408"/>
      <c r="P8" s="408"/>
      <c r="Q8" s="409"/>
    </row>
    <row r="9" spans="1:19" ht="15" thickBot="1" x14ac:dyDescent="0.4">
      <c r="J9" s="3" t="s">
        <v>12</v>
      </c>
    </row>
    <row r="10" spans="1:19" x14ac:dyDescent="0.35">
      <c r="J10" s="401"/>
      <c r="K10" s="402"/>
      <c r="L10" s="402"/>
      <c r="M10" s="402"/>
      <c r="N10" s="402"/>
      <c r="O10" s="402"/>
      <c r="P10" s="402"/>
      <c r="Q10" s="403"/>
    </row>
    <row r="11" spans="1:19" x14ac:dyDescent="0.35">
      <c r="J11" s="404"/>
      <c r="K11" s="405"/>
      <c r="L11" s="405"/>
      <c r="M11" s="405"/>
      <c r="N11" s="405"/>
      <c r="O11" s="405"/>
      <c r="P11" s="405"/>
      <c r="Q11" s="406"/>
    </row>
    <row r="12" spans="1:19" x14ac:dyDescent="0.35">
      <c r="J12" s="404"/>
      <c r="K12" s="405"/>
      <c r="L12" s="405"/>
      <c r="M12" s="405"/>
      <c r="N12" s="405"/>
      <c r="O12" s="405"/>
      <c r="P12" s="405"/>
      <c r="Q12" s="406"/>
    </row>
    <row r="13" spans="1:19" x14ac:dyDescent="0.35">
      <c r="J13" s="404"/>
      <c r="K13" s="405"/>
      <c r="L13" s="405"/>
      <c r="M13" s="405"/>
      <c r="N13" s="405"/>
      <c r="O13" s="405"/>
      <c r="P13" s="405"/>
      <c r="Q13" s="406"/>
    </row>
    <row r="14" spans="1:19" x14ac:dyDescent="0.35">
      <c r="J14" s="404"/>
      <c r="K14" s="405"/>
      <c r="L14" s="405"/>
      <c r="M14" s="405"/>
      <c r="N14" s="405"/>
      <c r="O14" s="405"/>
      <c r="P14" s="405"/>
      <c r="Q14" s="406"/>
    </row>
    <row r="15" spans="1:19" ht="15" thickBot="1" x14ac:dyDescent="0.4">
      <c r="J15" s="407"/>
      <c r="K15" s="408"/>
      <c r="L15" s="408"/>
      <c r="M15" s="408"/>
      <c r="N15" s="408"/>
      <c r="O15" s="408"/>
      <c r="P15" s="408"/>
      <c r="Q15" s="409"/>
    </row>
    <row r="18" spans="3:17" x14ac:dyDescent="0.35">
      <c r="C18" s="7" t="s">
        <v>8</v>
      </c>
      <c r="E18" s="11">
        <v>45839</v>
      </c>
      <c r="F18" s="11">
        <v>45870</v>
      </c>
      <c r="G18" s="11">
        <v>45901</v>
      </c>
      <c r="H18" s="11">
        <v>45931</v>
      </c>
      <c r="I18" s="11">
        <v>45962</v>
      </c>
      <c r="J18" s="11">
        <v>45992</v>
      </c>
      <c r="K18" s="11">
        <v>46023</v>
      </c>
      <c r="L18" s="11">
        <v>46054</v>
      </c>
      <c r="M18" s="11">
        <v>46082</v>
      </c>
      <c r="N18" s="11">
        <v>46113</v>
      </c>
      <c r="O18" s="11">
        <v>46143</v>
      </c>
      <c r="P18" s="11">
        <v>46174</v>
      </c>
      <c r="Q18" s="8" t="s">
        <v>0</v>
      </c>
    </row>
    <row r="19" spans="3:17" x14ac:dyDescent="0.35">
      <c r="D19" s="3" t="s">
        <v>501</v>
      </c>
      <c r="E19" s="5">
        <f>'budget 2025-26'!D8</f>
        <v>4</v>
      </c>
      <c r="F19" s="5">
        <f>'budget 2025-26'!E8</f>
        <v>4</v>
      </c>
      <c r="G19" s="5">
        <f>'budget 2025-26'!F8</f>
        <v>4</v>
      </c>
      <c r="H19" s="5">
        <f>'budget 2025-26'!G8</f>
        <v>4</v>
      </c>
      <c r="I19" s="5">
        <f>'budget 2025-26'!H8</f>
        <v>4</v>
      </c>
      <c r="J19" s="5">
        <f>'budget 2025-26'!I8</f>
        <v>4</v>
      </c>
      <c r="K19" s="5">
        <f>'budget 2025-26'!J8</f>
        <v>4</v>
      </c>
      <c r="L19" s="5">
        <f>'budget 2025-26'!K8</f>
        <v>4</v>
      </c>
      <c r="M19" s="5">
        <f>'budget 2025-26'!L8</f>
        <v>4</v>
      </c>
      <c r="N19" s="5">
        <f>'budget 2025-26'!M8</f>
        <v>4</v>
      </c>
      <c r="O19" s="5">
        <f>'budget 2025-26'!N8</f>
        <v>4</v>
      </c>
      <c r="P19" s="5">
        <f>'budget 2025-26'!O8</f>
        <v>4</v>
      </c>
      <c r="Q19" s="5">
        <f>SUM(E19:P19)</f>
        <v>48</v>
      </c>
    </row>
    <row r="20" spans="3:17" x14ac:dyDescent="0.35">
      <c r="D20" s="3" t="s">
        <v>502</v>
      </c>
      <c r="E20" s="5">
        <f>'Input Actual2025-26'!E8</f>
        <v>0</v>
      </c>
      <c r="F20" s="5">
        <f>'Input Actual2025-26'!F8</f>
        <v>0</v>
      </c>
      <c r="G20" s="5">
        <f>'Input Actual2025-26'!G8</f>
        <v>5</v>
      </c>
      <c r="H20" s="5">
        <f>'Input Actual2025-26'!H8</f>
        <v>1</v>
      </c>
      <c r="I20" s="5">
        <f>'Input Actual2025-26'!I8</f>
        <v>2</v>
      </c>
      <c r="J20" s="5">
        <f>'Input Actual2025-26'!J8</f>
        <v>0</v>
      </c>
      <c r="K20" s="5">
        <f>'Input Actual2025-26'!K8</f>
        <v>2</v>
      </c>
      <c r="L20" s="5">
        <f>'Input Actual2025-26'!L8</f>
        <v>0</v>
      </c>
      <c r="M20" s="5">
        <f>'Input Actual2025-26'!M8</f>
        <v>0</v>
      </c>
      <c r="N20" s="5">
        <f>'Input Actual2025-26'!N8</f>
        <v>0</v>
      </c>
      <c r="O20" s="5">
        <f>'Input Actual2025-26'!O8</f>
        <v>0</v>
      </c>
      <c r="P20" s="5">
        <f>'Input Actual2025-26'!P8</f>
        <v>0</v>
      </c>
      <c r="Q20" s="5">
        <f t="shared" ref="Q20:Q22" si="0">SUM(E20:P20)</f>
        <v>10</v>
      </c>
    </row>
    <row r="21" spans="3:17" x14ac:dyDescent="0.35">
      <c r="D21" s="3" t="s">
        <v>424</v>
      </c>
      <c r="E21" s="5">
        <f>'Input Actual2024-25'!E8</f>
        <v>1</v>
      </c>
      <c r="F21" s="5">
        <f>'Input Actual2024-25'!F8</f>
        <v>4</v>
      </c>
      <c r="G21" s="5">
        <f>'Input Actual2024-25'!G8</f>
        <v>5</v>
      </c>
      <c r="H21" s="5">
        <f>'Input Actual2024-25'!H8</f>
        <v>0</v>
      </c>
      <c r="I21" s="5">
        <f>'Input Actual2024-25'!I8</f>
        <v>3</v>
      </c>
      <c r="J21" s="5">
        <f>'Input Actual2024-25'!J8</f>
        <v>0</v>
      </c>
      <c r="K21" s="5">
        <f>'Input Actual2024-25'!K8</f>
        <v>1</v>
      </c>
      <c r="L21" s="5">
        <f>'Input Actual2024-25'!L8</f>
        <v>4</v>
      </c>
      <c r="M21" s="5">
        <f>'Input Actual2024-25'!M8</f>
        <v>0</v>
      </c>
      <c r="N21" s="5">
        <f>'Input Actual2024-25'!N8</f>
        <v>2</v>
      </c>
      <c r="O21" s="5">
        <f>'Input Actual2024-25'!O8</f>
        <v>2</v>
      </c>
      <c r="P21" s="5">
        <f>'Input Actual2024-25'!P8</f>
        <v>0</v>
      </c>
      <c r="Q21" s="5">
        <f t="shared" si="0"/>
        <v>22</v>
      </c>
    </row>
    <row r="22" spans="3:17" x14ac:dyDescent="0.35">
      <c r="D22" s="3" t="s">
        <v>7</v>
      </c>
      <c r="E22" s="5">
        <f t="shared" ref="E22:P22" si="1">IF(E20=0,0,E20-E19)</f>
        <v>0</v>
      </c>
      <c r="F22" s="5">
        <f t="shared" si="1"/>
        <v>0</v>
      </c>
      <c r="G22" s="5">
        <f t="shared" si="1"/>
        <v>1</v>
      </c>
      <c r="H22" s="5">
        <f t="shared" si="1"/>
        <v>-3</v>
      </c>
      <c r="I22" s="5">
        <f t="shared" si="1"/>
        <v>-2</v>
      </c>
      <c r="J22" s="5">
        <f t="shared" si="1"/>
        <v>0</v>
      </c>
      <c r="K22" s="5">
        <f t="shared" si="1"/>
        <v>-2</v>
      </c>
      <c r="L22" s="5">
        <f t="shared" si="1"/>
        <v>0</v>
      </c>
      <c r="M22" s="5">
        <f t="shared" si="1"/>
        <v>0</v>
      </c>
      <c r="N22" s="5">
        <f t="shared" si="1"/>
        <v>0</v>
      </c>
      <c r="O22" s="5">
        <f t="shared" si="1"/>
        <v>0</v>
      </c>
      <c r="P22" s="5">
        <f t="shared" si="1"/>
        <v>0</v>
      </c>
      <c r="Q22" s="5">
        <f t="shared" si="0"/>
        <v>-6</v>
      </c>
    </row>
    <row r="23" spans="3:17" x14ac:dyDescent="0.35">
      <c r="D23" s="3" t="s">
        <v>43</v>
      </c>
      <c r="E23" s="9">
        <f>E21/E19</f>
        <v>0.25</v>
      </c>
      <c r="F23" s="9">
        <f t="shared" ref="F23:P23" si="2">F20/F19</f>
        <v>0</v>
      </c>
      <c r="G23" s="9">
        <f t="shared" si="2"/>
        <v>1.25</v>
      </c>
      <c r="H23" s="9">
        <f t="shared" si="2"/>
        <v>0.25</v>
      </c>
      <c r="I23" s="9">
        <f t="shared" si="2"/>
        <v>0.5</v>
      </c>
      <c r="J23" s="9">
        <f t="shared" si="2"/>
        <v>0</v>
      </c>
      <c r="K23" s="9">
        <f t="shared" si="2"/>
        <v>0.5</v>
      </c>
      <c r="L23" s="9">
        <f t="shared" si="2"/>
        <v>0</v>
      </c>
      <c r="M23" s="9">
        <f t="shared" si="2"/>
        <v>0</v>
      </c>
      <c r="N23" s="9">
        <f t="shared" si="2"/>
        <v>0</v>
      </c>
      <c r="O23" s="9">
        <f t="shared" si="2"/>
        <v>0</v>
      </c>
      <c r="P23" s="9">
        <f t="shared" si="2"/>
        <v>0</v>
      </c>
    </row>
    <row r="25" spans="3:17" x14ac:dyDescent="0.35">
      <c r="C25" s="7" t="s">
        <v>3</v>
      </c>
      <c r="E25" s="11">
        <f>E18</f>
        <v>45839</v>
      </c>
      <c r="F25" s="11">
        <f t="shared" ref="F25:P25" si="3">F18</f>
        <v>45870</v>
      </c>
      <c r="G25" s="11">
        <f t="shared" si="3"/>
        <v>45901</v>
      </c>
      <c r="H25" s="11">
        <f t="shared" si="3"/>
        <v>45931</v>
      </c>
      <c r="I25" s="11">
        <f t="shared" si="3"/>
        <v>45962</v>
      </c>
      <c r="J25" s="11">
        <f t="shared" si="3"/>
        <v>45992</v>
      </c>
      <c r="K25" s="11">
        <f t="shared" si="3"/>
        <v>46023</v>
      </c>
      <c r="L25" s="11">
        <f t="shared" si="3"/>
        <v>46054</v>
      </c>
      <c r="M25" s="11">
        <f t="shared" si="3"/>
        <v>46082</v>
      </c>
      <c r="N25" s="11">
        <f t="shared" si="3"/>
        <v>46113</v>
      </c>
      <c r="O25" s="11">
        <f t="shared" si="3"/>
        <v>46143</v>
      </c>
      <c r="P25" s="11">
        <f t="shared" si="3"/>
        <v>46174</v>
      </c>
    </row>
    <row r="26" spans="3:17" x14ac:dyDescent="0.35">
      <c r="D26" s="3" t="str">
        <f>D19</f>
        <v>Budget 2025-26</v>
      </c>
      <c r="E26" s="5">
        <f>SUM($E19:E19)</f>
        <v>4</v>
      </c>
      <c r="F26" s="5">
        <f>SUM($E19:F19)</f>
        <v>8</v>
      </c>
      <c r="G26" s="5">
        <f>SUM($E19:G19)</f>
        <v>12</v>
      </c>
      <c r="H26" s="5">
        <f>SUM($E19:H19)</f>
        <v>16</v>
      </c>
      <c r="I26" s="5">
        <f>SUM($E19:I19)</f>
        <v>20</v>
      </c>
      <c r="J26" s="5">
        <f>SUM($E19:J19)</f>
        <v>24</v>
      </c>
      <c r="K26" s="5">
        <f>SUM($E19:K19)</f>
        <v>28</v>
      </c>
      <c r="L26" s="5">
        <f>SUM($E19:L19)</f>
        <v>32</v>
      </c>
      <c r="M26" s="5">
        <f>SUM($E19:M19)</f>
        <v>36</v>
      </c>
      <c r="N26" s="5">
        <f>SUM($E19:N19)</f>
        <v>40</v>
      </c>
      <c r="O26" s="5">
        <f>SUM($E19:O19)</f>
        <v>44</v>
      </c>
      <c r="P26" s="5">
        <f>SUM($E19:P19)</f>
        <v>48</v>
      </c>
    </row>
    <row r="27" spans="3:17" x14ac:dyDescent="0.35">
      <c r="D27" s="3" t="str">
        <f t="shared" ref="D27:D30" si="4">D20</f>
        <v>Actual 2025-26</v>
      </c>
      <c r="E27" s="5">
        <f>SUM($E20:E20)</f>
        <v>0</v>
      </c>
      <c r="F27" s="5">
        <f>SUM($E20:F20)</f>
        <v>0</v>
      </c>
      <c r="G27" s="5">
        <f>SUM($E20:G20)</f>
        <v>5</v>
      </c>
      <c r="H27" s="5">
        <f>SUM($E20:H20)</f>
        <v>6</v>
      </c>
      <c r="I27" s="5">
        <f>SUM($E20:I20)</f>
        <v>8</v>
      </c>
      <c r="J27" s="5">
        <f>SUM($E20:J20)</f>
        <v>8</v>
      </c>
      <c r="K27" s="5">
        <f>SUM($E20:K20)</f>
        <v>10</v>
      </c>
      <c r="L27" s="5">
        <f>SUM($E20:L20)</f>
        <v>10</v>
      </c>
      <c r="M27" s="5">
        <f>SUM($E20:M20)</f>
        <v>10</v>
      </c>
      <c r="N27" s="5">
        <f>SUM($E20:N20)</f>
        <v>10</v>
      </c>
      <c r="O27" s="5">
        <f>SUM($E20:O20)</f>
        <v>10</v>
      </c>
      <c r="P27" s="5">
        <f>SUM($E20:P20)</f>
        <v>10</v>
      </c>
    </row>
    <row r="28" spans="3:17" x14ac:dyDescent="0.35">
      <c r="D28" s="3" t="str">
        <f t="shared" si="4"/>
        <v>Actual 2024-25</v>
      </c>
      <c r="E28" s="5">
        <f>SUM($E21:E21)</f>
        <v>1</v>
      </c>
      <c r="F28" s="5">
        <f>SUM($E21:F21)</f>
        <v>5</v>
      </c>
      <c r="G28" s="5">
        <f>SUM($E21:G21)</f>
        <v>10</v>
      </c>
      <c r="H28" s="5">
        <f>SUM($E21:H21)</f>
        <v>10</v>
      </c>
      <c r="I28" s="5">
        <f>SUM($E21:I21)</f>
        <v>13</v>
      </c>
      <c r="J28" s="5">
        <f>SUM($E21:J21)</f>
        <v>13</v>
      </c>
      <c r="K28" s="5">
        <f>SUM($E21:K21)</f>
        <v>14</v>
      </c>
      <c r="L28" s="5">
        <f>SUM($E21:L21)</f>
        <v>18</v>
      </c>
      <c r="M28" s="5">
        <f>SUM($E21:M21)</f>
        <v>18</v>
      </c>
      <c r="N28" s="5">
        <f>SUM($E21:N21)</f>
        <v>20</v>
      </c>
      <c r="O28" s="5">
        <f>SUM($E21:O21)</f>
        <v>22</v>
      </c>
      <c r="P28" s="5">
        <f>SUM($E21:P21)</f>
        <v>22</v>
      </c>
    </row>
    <row r="29" spans="3:17" x14ac:dyDescent="0.35">
      <c r="D29" s="3" t="str">
        <f t="shared" si="4"/>
        <v>Difference</v>
      </c>
      <c r="E29" s="5">
        <f>SUM($E22:E22)</f>
        <v>0</v>
      </c>
      <c r="F29" s="5">
        <f>SUM($E22:F22)</f>
        <v>0</v>
      </c>
      <c r="G29" s="5">
        <f>SUM($E22:G22)</f>
        <v>1</v>
      </c>
      <c r="H29" s="5">
        <f>SUM($E22:H22)</f>
        <v>-2</v>
      </c>
      <c r="I29" s="5">
        <f>SUM($E22:I22)</f>
        <v>-4</v>
      </c>
      <c r="J29" s="5">
        <f>SUM($E22:J22)</f>
        <v>-4</v>
      </c>
      <c r="K29" s="5">
        <f>SUM($E22:K22)</f>
        <v>-6</v>
      </c>
      <c r="L29" s="5">
        <f>SUM($E22:L22)</f>
        <v>-6</v>
      </c>
      <c r="M29" s="5">
        <f>SUM($E22:M22)</f>
        <v>-6</v>
      </c>
      <c r="N29" s="5">
        <f>SUM($E22:N22)</f>
        <v>-6</v>
      </c>
      <c r="O29" s="5">
        <f>SUM($E22:O22)</f>
        <v>-6</v>
      </c>
      <c r="P29" s="5">
        <f>SUM($E22:P22)</f>
        <v>-6</v>
      </c>
    </row>
    <row r="30" spans="3:17" x14ac:dyDescent="0.35">
      <c r="D30" s="3" t="str">
        <f t="shared" si="4"/>
        <v>Realisation</v>
      </c>
      <c r="E30" s="9">
        <f>E28/E26</f>
        <v>0.25</v>
      </c>
      <c r="F30" s="9">
        <f t="shared" ref="F30:P30" si="5">F27/F26</f>
        <v>0</v>
      </c>
      <c r="G30" s="9">
        <f t="shared" si="5"/>
        <v>0.41666666666666669</v>
      </c>
      <c r="H30" s="9">
        <f t="shared" si="5"/>
        <v>0.375</v>
      </c>
      <c r="I30" s="9">
        <f t="shared" si="5"/>
        <v>0.4</v>
      </c>
      <c r="J30" s="9">
        <f t="shared" si="5"/>
        <v>0.33333333333333331</v>
      </c>
      <c r="K30" s="9">
        <f t="shared" si="5"/>
        <v>0.35714285714285715</v>
      </c>
      <c r="L30" s="9">
        <f t="shared" si="5"/>
        <v>0.3125</v>
      </c>
      <c r="M30" s="9">
        <f t="shared" si="5"/>
        <v>0.27777777777777779</v>
      </c>
      <c r="N30" s="9">
        <f t="shared" si="5"/>
        <v>0.25</v>
      </c>
      <c r="O30" s="9">
        <f t="shared" si="5"/>
        <v>0.22727272727272727</v>
      </c>
      <c r="P30" s="9">
        <f t="shared" si="5"/>
        <v>0.20833333333333334</v>
      </c>
    </row>
  </sheetData>
  <mergeCells count="2">
    <mergeCell ref="J4:Q8"/>
    <mergeCell ref="J10:Q15"/>
  </mergeCells>
  <conditionalFormatting sqref="C3">
    <cfRule type="expression" dxfId="557" priority="2">
      <formula>S4&lt;S6</formula>
    </cfRule>
  </conditionalFormatting>
  <conditionalFormatting sqref="C5">
    <cfRule type="expression" dxfId="556" priority="3">
      <formula>S4&gt;=S5</formula>
    </cfRule>
  </conditionalFormatting>
  <conditionalFormatting sqref="C4">
    <cfRule type="expression" dxfId="555" priority="1">
      <formula>AND(S4&gt;=S6,S4&lt;S5)</formula>
    </cfRule>
  </conditionalFormatting>
  <hyperlinks>
    <hyperlink ref="L1" location="Dashboard!A1" display="Dashboard"/>
  </hyperlinks>
  <pageMargins left="0.7" right="0.7" top="0.75" bottom="0.75" header="0.3" footer="0.3"/>
  <pageSetup orientation="portrait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937985" r:id="rId4" name="Spinner 1">
              <controlPr defaultSize="0" autoPict="0">
                <anchor moveWithCells="1" sizeWithCells="1">
                  <from>
                    <xdr:col>9</xdr:col>
                    <xdr:colOff>19050</xdr:colOff>
                    <xdr:row>0</xdr:row>
                    <xdr:rowOff>38100</xdr:rowOff>
                  </from>
                  <to>
                    <xdr:col>9</xdr:col>
                    <xdr:colOff>400050</xdr:colOff>
                    <xdr:row>1</xdr:row>
                    <xdr:rowOff>152400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8">
    <tabColor rgb="FFFFC000"/>
  </sheetPr>
  <dimension ref="A1:S30"/>
  <sheetViews>
    <sheetView zoomScale="90" zoomScaleNormal="90" workbookViewId="0">
      <selection activeCell="L1" sqref="L1"/>
    </sheetView>
  </sheetViews>
  <sheetFormatPr defaultColWidth="9.1796875" defaultRowHeight="14.5" x14ac:dyDescent="0.35"/>
  <cols>
    <col min="1" max="1" width="9.1796875" style="3"/>
    <col min="2" max="2" width="5.1796875" style="3" customWidth="1"/>
    <col min="3" max="3" width="6.26953125" style="3" customWidth="1"/>
    <col min="4" max="4" width="21.26953125" style="3" bestFit="1" customWidth="1"/>
    <col min="5" max="16" width="11.1796875" style="3" customWidth="1"/>
    <col min="17" max="17" width="12" style="3" bestFit="1" customWidth="1"/>
    <col min="18" max="18" width="9.1796875" style="3" customWidth="1"/>
    <col min="19" max="16384" width="9.1796875" style="3"/>
  </cols>
  <sheetData>
    <row r="1" spans="1:19" ht="21" x14ac:dyDescent="0.5">
      <c r="A1" s="4" t="s">
        <v>4</v>
      </c>
      <c r="B1" s="4">
        <f>Dashboard!A9</f>
        <v>4</v>
      </c>
      <c r="C1" s="4" t="str">
        <f>Dashboard!B9</f>
        <v>SITE- NEW WATER</v>
      </c>
      <c r="G1" s="3" t="s">
        <v>9</v>
      </c>
      <c r="I1" s="12">
        <f>INDEX($E$18:$P$18,Actual_month)</f>
        <v>46054</v>
      </c>
      <c r="L1" s="16" t="s">
        <v>19</v>
      </c>
      <c r="R1" s="5"/>
    </row>
    <row r="2" spans="1:19" x14ac:dyDescent="0.35">
      <c r="A2" s="3" t="s">
        <v>13</v>
      </c>
      <c r="C2" s="3" t="s">
        <v>27</v>
      </c>
      <c r="R2" s="6"/>
    </row>
    <row r="3" spans="1:19" ht="25.5" customHeight="1" thickBot="1" x14ac:dyDescent="0.4">
      <c r="C3" s="1" t="s">
        <v>5</v>
      </c>
      <c r="E3" s="10"/>
      <c r="F3" s="10"/>
      <c r="G3" s="10"/>
      <c r="H3" s="10"/>
      <c r="I3" s="10"/>
      <c r="J3" s="3" t="s">
        <v>6</v>
      </c>
      <c r="K3" s="10"/>
      <c r="M3" s="10"/>
      <c r="N3" s="10"/>
      <c r="O3" s="10"/>
      <c r="P3" s="10"/>
    </row>
    <row r="4" spans="1:19" ht="25.5" customHeight="1" x14ac:dyDescent="0.35">
      <c r="C4" s="1" t="s">
        <v>5</v>
      </c>
      <c r="E4" s="10"/>
      <c r="F4" s="10"/>
      <c r="G4" s="10"/>
      <c r="H4" s="10"/>
      <c r="I4" s="10"/>
      <c r="J4" s="401"/>
      <c r="K4" s="402"/>
      <c r="L4" s="402"/>
      <c r="M4" s="402"/>
      <c r="N4" s="402"/>
      <c r="O4" s="402"/>
      <c r="P4" s="402"/>
      <c r="Q4" s="403"/>
      <c r="R4" s="3" t="s">
        <v>22</v>
      </c>
      <c r="S4" s="5">
        <f>INDEX(E27:P27,Actual_month)</f>
        <v>7</v>
      </c>
    </row>
    <row r="5" spans="1:19" ht="25.5" customHeight="1" x14ac:dyDescent="0.35">
      <c r="C5" s="1" t="s">
        <v>5</v>
      </c>
      <c r="E5" s="10"/>
      <c r="F5" s="10"/>
      <c r="G5" s="10"/>
      <c r="H5" s="10"/>
      <c r="I5" s="10"/>
      <c r="J5" s="404"/>
      <c r="K5" s="405"/>
      <c r="L5" s="405"/>
      <c r="M5" s="405"/>
      <c r="N5" s="405"/>
      <c r="O5" s="405"/>
      <c r="P5" s="405"/>
      <c r="Q5" s="406"/>
      <c r="R5" s="3" t="s">
        <v>23</v>
      </c>
      <c r="S5" s="5">
        <f>INDEX(E26:P26,Actual_month)</f>
        <v>8</v>
      </c>
    </row>
    <row r="6" spans="1:19" x14ac:dyDescent="0.35">
      <c r="J6" s="404"/>
      <c r="K6" s="405"/>
      <c r="L6" s="405"/>
      <c r="M6" s="405"/>
      <c r="N6" s="405"/>
      <c r="O6" s="405"/>
      <c r="P6" s="405"/>
      <c r="Q6" s="406"/>
      <c r="R6" s="6">
        <v>0.9</v>
      </c>
      <c r="S6" s="5">
        <f>+S5*R6</f>
        <v>7.2</v>
      </c>
    </row>
    <row r="7" spans="1:19" x14ac:dyDescent="0.35">
      <c r="J7" s="404"/>
      <c r="K7" s="405"/>
      <c r="L7" s="405"/>
      <c r="M7" s="405"/>
      <c r="N7" s="405"/>
      <c r="O7" s="405"/>
      <c r="P7" s="405"/>
      <c r="Q7" s="406"/>
    </row>
    <row r="8" spans="1:19" ht="15" thickBot="1" x14ac:dyDescent="0.4">
      <c r="J8" s="407"/>
      <c r="K8" s="408"/>
      <c r="L8" s="408"/>
      <c r="M8" s="408"/>
      <c r="N8" s="408"/>
      <c r="O8" s="408"/>
      <c r="P8" s="408"/>
      <c r="Q8" s="409"/>
    </row>
    <row r="9" spans="1:19" ht="15" thickBot="1" x14ac:dyDescent="0.4">
      <c r="J9" s="3" t="s">
        <v>12</v>
      </c>
    </row>
    <row r="10" spans="1:19" x14ac:dyDescent="0.35">
      <c r="J10" s="401"/>
      <c r="K10" s="402"/>
      <c r="L10" s="402"/>
      <c r="M10" s="402"/>
      <c r="N10" s="402"/>
      <c r="O10" s="402"/>
      <c r="P10" s="402"/>
      <c r="Q10" s="403"/>
    </row>
    <row r="11" spans="1:19" x14ac:dyDescent="0.35">
      <c r="J11" s="404"/>
      <c r="K11" s="405"/>
      <c r="L11" s="405"/>
      <c r="M11" s="405"/>
      <c r="N11" s="405"/>
      <c r="O11" s="405"/>
      <c r="P11" s="405"/>
      <c r="Q11" s="406"/>
    </row>
    <row r="12" spans="1:19" x14ac:dyDescent="0.35">
      <c r="J12" s="404"/>
      <c r="K12" s="405"/>
      <c r="L12" s="405"/>
      <c r="M12" s="405"/>
      <c r="N12" s="405"/>
      <c r="O12" s="405"/>
      <c r="P12" s="405"/>
      <c r="Q12" s="406"/>
    </row>
    <row r="13" spans="1:19" x14ac:dyDescent="0.35">
      <c r="J13" s="404"/>
      <c r="K13" s="405"/>
      <c r="L13" s="405"/>
      <c r="M13" s="405"/>
      <c r="N13" s="405"/>
      <c r="O13" s="405"/>
      <c r="P13" s="405"/>
      <c r="Q13" s="406"/>
    </row>
    <row r="14" spans="1:19" x14ac:dyDescent="0.35">
      <c r="J14" s="404"/>
      <c r="K14" s="405"/>
      <c r="L14" s="405"/>
      <c r="M14" s="405"/>
      <c r="N14" s="405"/>
      <c r="O14" s="405"/>
      <c r="P14" s="405"/>
      <c r="Q14" s="406"/>
    </row>
    <row r="15" spans="1:19" ht="15" thickBot="1" x14ac:dyDescent="0.4">
      <c r="J15" s="407"/>
      <c r="K15" s="408"/>
      <c r="L15" s="408"/>
      <c r="M15" s="408"/>
      <c r="N15" s="408"/>
      <c r="O15" s="408"/>
      <c r="P15" s="408"/>
      <c r="Q15" s="409"/>
    </row>
    <row r="18" spans="3:17" x14ac:dyDescent="0.35">
      <c r="C18" s="7" t="s">
        <v>8</v>
      </c>
      <c r="E18" s="11">
        <f>'KPI 1'!E18</f>
        <v>45839</v>
      </c>
      <c r="F18" s="11">
        <f>'KPI 1'!F18</f>
        <v>45870</v>
      </c>
      <c r="G18" s="11">
        <f>'KPI 1'!G18</f>
        <v>45901</v>
      </c>
      <c r="H18" s="11">
        <f>'KPI 1'!H18</f>
        <v>45931</v>
      </c>
      <c r="I18" s="11">
        <f>'KPI 1'!I18</f>
        <v>45962</v>
      </c>
      <c r="J18" s="11">
        <f>'KPI 1'!J18</f>
        <v>45992</v>
      </c>
      <c r="K18" s="11">
        <f>'KPI 1'!K18</f>
        <v>46023</v>
      </c>
      <c r="L18" s="11">
        <f>'KPI 1'!L18</f>
        <v>46054</v>
      </c>
      <c r="M18" s="11">
        <f>'KPI 1'!M18</f>
        <v>46082</v>
      </c>
      <c r="N18" s="11">
        <f>'KPI 1'!N18</f>
        <v>46113</v>
      </c>
      <c r="O18" s="11">
        <f>'KPI 1'!O18</f>
        <v>46143</v>
      </c>
      <c r="P18" s="11">
        <f>'KPI 1'!P18</f>
        <v>46174</v>
      </c>
      <c r="Q18" s="8" t="s">
        <v>0</v>
      </c>
    </row>
    <row r="19" spans="3:17" x14ac:dyDescent="0.35">
      <c r="D19" s="3" t="str">
        <f>'KPI 1'!D19</f>
        <v>Budget 2025-26</v>
      </c>
      <c r="E19" s="5">
        <f>'budget 2025-26'!D9</f>
        <v>1</v>
      </c>
      <c r="F19" s="5">
        <f>'budget 2025-26'!E9</f>
        <v>1</v>
      </c>
      <c r="G19" s="5">
        <f>'budget 2025-26'!F9</f>
        <v>1</v>
      </c>
      <c r="H19" s="5">
        <f>'budget 2025-26'!G9</f>
        <v>1</v>
      </c>
      <c r="I19" s="5">
        <f>'budget 2025-26'!H9</f>
        <v>1</v>
      </c>
      <c r="J19" s="5">
        <f>'budget 2025-26'!I9</f>
        <v>1</v>
      </c>
      <c r="K19" s="5">
        <f>'budget 2025-26'!J9</f>
        <v>1</v>
      </c>
      <c r="L19" s="5">
        <f>'budget 2025-26'!K9</f>
        <v>1</v>
      </c>
      <c r="M19" s="5">
        <f>'budget 2025-26'!L9</f>
        <v>1</v>
      </c>
      <c r="N19" s="5">
        <f>'budget 2025-26'!M9</f>
        <v>1</v>
      </c>
      <c r="O19" s="5">
        <f>'budget 2025-26'!N9</f>
        <v>1</v>
      </c>
      <c r="P19" s="5">
        <f>'budget 2025-26'!O9</f>
        <v>1</v>
      </c>
      <c r="Q19" s="5">
        <f>SUM(E19:P19)</f>
        <v>12</v>
      </c>
    </row>
    <row r="20" spans="3:17" x14ac:dyDescent="0.35">
      <c r="D20" s="3" t="str">
        <f>'KPI 1'!D20</f>
        <v>Actual 2025-26</v>
      </c>
      <c r="E20" s="5">
        <f>'Input Actual2025-26'!E9</f>
        <v>0</v>
      </c>
      <c r="F20" s="5">
        <f>'Input Actual2025-26'!F9</f>
        <v>2</v>
      </c>
      <c r="G20" s="5">
        <f>'Input Actual2025-26'!G9</f>
        <v>0</v>
      </c>
      <c r="H20" s="5">
        <f>'Input Actual2025-26'!H9</f>
        <v>3</v>
      </c>
      <c r="I20" s="5">
        <f>'Input Actual2025-26'!I9</f>
        <v>0</v>
      </c>
      <c r="J20" s="5">
        <f>'Input Actual2025-26'!J9</f>
        <v>0</v>
      </c>
      <c r="K20" s="5">
        <f>'Input Actual2025-26'!K9</f>
        <v>2</v>
      </c>
      <c r="L20" s="5">
        <f>'Input Actual2025-26'!L9</f>
        <v>0</v>
      </c>
      <c r="M20" s="5">
        <f>'Input Actual2025-26'!M9</f>
        <v>0</v>
      </c>
      <c r="N20" s="5">
        <f>'Input Actual2025-26'!N9</f>
        <v>0</v>
      </c>
      <c r="O20" s="5">
        <f>'Input Actual2025-26'!O9</f>
        <v>0</v>
      </c>
      <c r="P20" s="5">
        <f>'Input Actual2025-26'!P9</f>
        <v>0</v>
      </c>
      <c r="Q20" s="5">
        <f t="shared" ref="Q20:Q22" si="0">SUM(E20:P20)</f>
        <v>7</v>
      </c>
    </row>
    <row r="21" spans="3:17" x14ac:dyDescent="0.35">
      <c r="D21" s="3" t="s">
        <v>424</v>
      </c>
      <c r="E21" s="5">
        <f>'Input Actual2024-25'!E9</f>
        <v>1</v>
      </c>
      <c r="F21" s="5">
        <f>'Input Actual2024-25'!F9</f>
        <v>0</v>
      </c>
      <c r="G21" s="5">
        <f>'Input Actual2024-25'!G9</f>
        <v>0</v>
      </c>
      <c r="H21" s="5">
        <f>'Input Actual2024-25'!H9</f>
        <v>0</v>
      </c>
      <c r="I21" s="5">
        <f>'Input Actual2024-25'!I9</f>
        <v>0</v>
      </c>
      <c r="J21" s="5">
        <f>'Input Actual2024-25'!J9</f>
        <v>0</v>
      </c>
      <c r="K21" s="5">
        <f>'Input Actual2024-25'!K9</f>
        <v>1</v>
      </c>
      <c r="L21" s="5">
        <f>'Input Actual2024-25'!L9</f>
        <v>0</v>
      </c>
      <c r="M21" s="5">
        <f>'Input Actual2024-25'!M9</f>
        <v>0</v>
      </c>
      <c r="N21" s="5">
        <f>'Input Actual2024-25'!N9</f>
        <v>0</v>
      </c>
      <c r="O21" s="5">
        <f>'Input Actual2024-25'!O9</f>
        <v>0</v>
      </c>
      <c r="P21" s="5">
        <f>'Input Actual2024-25'!P9</f>
        <v>2</v>
      </c>
      <c r="Q21" s="5">
        <f t="shared" si="0"/>
        <v>4</v>
      </c>
    </row>
    <row r="22" spans="3:17" x14ac:dyDescent="0.35">
      <c r="D22" s="3" t="s">
        <v>7</v>
      </c>
      <c r="E22" s="5">
        <f t="shared" ref="E22:P22" si="1">IF(E20=0,0,E20-E19)</f>
        <v>0</v>
      </c>
      <c r="F22" s="5">
        <f t="shared" si="1"/>
        <v>1</v>
      </c>
      <c r="G22" s="5">
        <f t="shared" si="1"/>
        <v>0</v>
      </c>
      <c r="H22" s="5">
        <f t="shared" si="1"/>
        <v>2</v>
      </c>
      <c r="I22" s="5">
        <f t="shared" si="1"/>
        <v>0</v>
      </c>
      <c r="J22" s="5">
        <f t="shared" si="1"/>
        <v>0</v>
      </c>
      <c r="K22" s="5">
        <f t="shared" si="1"/>
        <v>1</v>
      </c>
      <c r="L22" s="5">
        <f t="shared" si="1"/>
        <v>0</v>
      </c>
      <c r="M22" s="5">
        <f t="shared" si="1"/>
        <v>0</v>
      </c>
      <c r="N22" s="5">
        <f t="shared" si="1"/>
        <v>0</v>
      </c>
      <c r="O22" s="5">
        <f t="shared" si="1"/>
        <v>0</v>
      </c>
      <c r="P22" s="5">
        <f t="shared" si="1"/>
        <v>0</v>
      </c>
      <c r="Q22" s="5">
        <f t="shared" si="0"/>
        <v>4</v>
      </c>
    </row>
    <row r="23" spans="3:17" x14ac:dyDescent="0.35">
      <c r="D23" s="3" t="s">
        <v>43</v>
      </c>
      <c r="E23" s="9">
        <f>E21/E19</f>
        <v>1</v>
      </c>
      <c r="F23" s="9">
        <f t="shared" ref="F23:P23" si="2">F20/F19</f>
        <v>2</v>
      </c>
      <c r="G23" s="9">
        <f t="shared" si="2"/>
        <v>0</v>
      </c>
      <c r="H23" s="9">
        <f t="shared" si="2"/>
        <v>3</v>
      </c>
      <c r="I23" s="9">
        <f t="shared" si="2"/>
        <v>0</v>
      </c>
      <c r="J23" s="9">
        <f t="shared" si="2"/>
        <v>0</v>
      </c>
      <c r="K23" s="9">
        <f t="shared" si="2"/>
        <v>2</v>
      </c>
      <c r="L23" s="9">
        <f t="shared" si="2"/>
        <v>0</v>
      </c>
      <c r="M23" s="9">
        <f t="shared" si="2"/>
        <v>0</v>
      </c>
      <c r="N23" s="9">
        <f t="shared" si="2"/>
        <v>0</v>
      </c>
      <c r="O23" s="9">
        <f t="shared" si="2"/>
        <v>0</v>
      </c>
      <c r="P23" s="9">
        <f t="shared" si="2"/>
        <v>0</v>
      </c>
    </row>
    <row r="25" spans="3:17" x14ac:dyDescent="0.35">
      <c r="C25" s="7" t="s">
        <v>3</v>
      </c>
      <c r="E25" s="11">
        <f>E18</f>
        <v>45839</v>
      </c>
      <c r="F25" s="11">
        <f t="shared" ref="F25:P25" si="3">F18</f>
        <v>45870</v>
      </c>
      <c r="G25" s="11">
        <f t="shared" si="3"/>
        <v>45901</v>
      </c>
      <c r="H25" s="11">
        <f t="shared" si="3"/>
        <v>45931</v>
      </c>
      <c r="I25" s="11">
        <f t="shared" si="3"/>
        <v>45962</v>
      </c>
      <c r="J25" s="11">
        <f t="shared" si="3"/>
        <v>45992</v>
      </c>
      <c r="K25" s="11">
        <f t="shared" si="3"/>
        <v>46023</v>
      </c>
      <c r="L25" s="11">
        <f t="shared" si="3"/>
        <v>46054</v>
      </c>
      <c r="M25" s="11">
        <f t="shared" si="3"/>
        <v>46082</v>
      </c>
      <c r="N25" s="11">
        <f t="shared" si="3"/>
        <v>46113</v>
      </c>
      <c r="O25" s="11">
        <f t="shared" si="3"/>
        <v>46143</v>
      </c>
      <c r="P25" s="11">
        <f t="shared" si="3"/>
        <v>46174</v>
      </c>
    </row>
    <row r="26" spans="3:17" x14ac:dyDescent="0.35">
      <c r="D26" s="3" t="str">
        <f>D19</f>
        <v>Budget 2025-26</v>
      </c>
      <c r="E26" s="5">
        <f>SUM($E19:E19)</f>
        <v>1</v>
      </c>
      <c r="F26" s="5">
        <f>SUM($E19:F19)</f>
        <v>2</v>
      </c>
      <c r="G26" s="5">
        <f>SUM($E19:G19)</f>
        <v>3</v>
      </c>
      <c r="H26" s="5">
        <f>SUM($E19:H19)</f>
        <v>4</v>
      </c>
      <c r="I26" s="5">
        <f>SUM($E19:I19)</f>
        <v>5</v>
      </c>
      <c r="J26" s="5">
        <f>SUM($E19:J19)</f>
        <v>6</v>
      </c>
      <c r="K26" s="5">
        <f>SUM($E19:K19)</f>
        <v>7</v>
      </c>
      <c r="L26" s="5">
        <f>SUM($E19:L19)</f>
        <v>8</v>
      </c>
      <c r="M26" s="5">
        <f>SUM($E19:M19)</f>
        <v>9</v>
      </c>
      <c r="N26" s="5">
        <f>SUM($E19:N19)</f>
        <v>10</v>
      </c>
      <c r="O26" s="5">
        <f>SUM($E19:O19)</f>
        <v>11</v>
      </c>
      <c r="P26" s="5">
        <f>SUM($E19:P19)</f>
        <v>12</v>
      </c>
    </row>
    <row r="27" spans="3:17" x14ac:dyDescent="0.35">
      <c r="D27" s="3" t="str">
        <f t="shared" ref="D27:D30" si="4">D20</f>
        <v>Actual 2025-26</v>
      </c>
      <c r="E27" s="5">
        <f>SUM($E20:E20)</f>
        <v>0</v>
      </c>
      <c r="F27" s="5">
        <f>SUM($E20:F20)</f>
        <v>2</v>
      </c>
      <c r="G27" s="5">
        <f>SUM($E20:G20)</f>
        <v>2</v>
      </c>
      <c r="H27" s="5">
        <f>SUM($E20:H20)</f>
        <v>5</v>
      </c>
      <c r="I27" s="5">
        <f>SUM($E20:I20)</f>
        <v>5</v>
      </c>
      <c r="J27" s="5">
        <f>SUM($E20:J20)</f>
        <v>5</v>
      </c>
      <c r="K27" s="5">
        <f>SUM($E20:K20)</f>
        <v>7</v>
      </c>
      <c r="L27" s="5">
        <f>SUM($E20:L20)</f>
        <v>7</v>
      </c>
      <c r="M27" s="5">
        <f>SUM($E20:M20)</f>
        <v>7</v>
      </c>
      <c r="N27" s="5">
        <f>SUM($E20:N20)</f>
        <v>7</v>
      </c>
      <c r="O27" s="5">
        <f>SUM($E20:O20)</f>
        <v>7</v>
      </c>
      <c r="P27" s="5">
        <f>SUM($E20:P20)</f>
        <v>7</v>
      </c>
    </row>
    <row r="28" spans="3:17" x14ac:dyDescent="0.35">
      <c r="D28" s="3" t="str">
        <f t="shared" si="4"/>
        <v>Actual 2024-25</v>
      </c>
      <c r="E28" s="5">
        <f>SUM($E21:E21)</f>
        <v>1</v>
      </c>
      <c r="F28" s="5">
        <f>SUM($E21:F21)</f>
        <v>1</v>
      </c>
      <c r="G28" s="5">
        <f>SUM($E21:G21)</f>
        <v>1</v>
      </c>
      <c r="H28" s="5">
        <f>SUM($E21:H21)</f>
        <v>1</v>
      </c>
      <c r="I28" s="5">
        <f>SUM($E21:I21)</f>
        <v>1</v>
      </c>
      <c r="J28" s="5">
        <f>SUM($E21:J21)</f>
        <v>1</v>
      </c>
      <c r="K28" s="5">
        <f>SUM($E21:K21)</f>
        <v>2</v>
      </c>
      <c r="L28" s="5">
        <f>SUM($E21:L21)</f>
        <v>2</v>
      </c>
      <c r="M28" s="5">
        <f>SUM($E21:M21)</f>
        <v>2</v>
      </c>
      <c r="N28" s="5">
        <f>SUM($E21:N21)</f>
        <v>2</v>
      </c>
      <c r="O28" s="5">
        <f>SUM($E21:O21)</f>
        <v>2</v>
      </c>
      <c r="P28" s="5">
        <f>SUM($E21:P21)</f>
        <v>4</v>
      </c>
    </row>
    <row r="29" spans="3:17" x14ac:dyDescent="0.35">
      <c r="D29" s="3" t="str">
        <f t="shared" si="4"/>
        <v>Difference</v>
      </c>
      <c r="E29" s="5">
        <f>SUM($E22:E22)</f>
        <v>0</v>
      </c>
      <c r="F29" s="5">
        <f>SUM($E22:F22)</f>
        <v>1</v>
      </c>
      <c r="G29" s="5">
        <f>SUM($E22:G22)</f>
        <v>1</v>
      </c>
      <c r="H29" s="5">
        <f>SUM($E22:H22)</f>
        <v>3</v>
      </c>
      <c r="I29" s="5">
        <f>SUM($E22:I22)</f>
        <v>3</v>
      </c>
      <c r="J29" s="5">
        <f>SUM($E22:J22)</f>
        <v>3</v>
      </c>
      <c r="K29" s="5">
        <f>SUM($E22:K22)</f>
        <v>4</v>
      </c>
      <c r="L29" s="5">
        <f>SUM($E22:L22)</f>
        <v>4</v>
      </c>
      <c r="M29" s="5">
        <f>SUM($E22:M22)</f>
        <v>4</v>
      </c>
      <c r="N29" s="5">
        <f>SUM($E22:N22)</f>
        <v>4</v>
      </c>
      <c r="O29" s="5">
        <f>SUM($E22:O22)</f>
        <v>4</v>
      </c>
      <c r="P29" s="5">
        <f>SUM($E22:P22)</f>
        <v>4</v>
      </c>
    </row>
    <row r="30" spans="3:17" x14ac:dyDescent="0.35">
      <c r="D30" s="3" t="str">
        <f t="shared" si="4"/>
        <v>Realisation</v>
      </c>
      <c r="E30" s="9">
        <f>E28/E26</f>
        <v>1</v>
      </c>
      <c r="F30" s="9">
        <f t="shared" ref="F30:P30" si="5">F27/F26</f>
        <v>1</v>
      </c>
      <c r="G30" s="9">
        <f t="shared" si="5"/>
        <v>0.66666666666666663</v>
      </c>
      <c r="H30" s="9">
        <f t="shared" si="5"/>
        <v>1.25</v>
      </c>
      <c r="I30" s="9">
        <f t="shared" si="5"/>
        <v>1</v>
      </c>
      <c r="J30" s="9">
        <f t="shared" si="5"/>
        <v>0.83333333333333337</v>
      </c>
      <c r="K30" s="9">
        <f t="shared" si="5"/>
        <v>1</v>
      </c>
      <c r="L30" s="9">
        <f t="shared" si="5"/>
        <v>0.875</v>
      </c>
      <c r="M30" s="9">
        <f t="shared" si="5"/>
        <v>0.77777777777777779</v>
      </c>
      <c r="N30" s="9">
        <f t="shared" si="5"/>
        <v>0.7</v>
      </c>
      <c r="O30" s="9">
        <f t="shared" si="5"/>
        <v>0.63636363636363635</v>
      </c>
      <c r="P30" s="9">
        <f t="shared" si="5"/>
        <v>0.58333333333333337</v>
      </c>
    </row>
  </sheetData>
  <mergeCells count="2">
    <mergeCell ref="J4:Q8"/>
    <mergeCell ref="J10:Q15"/>
  </mergeCells>
  <conditionalFormatting sqref="C3">
    <cfRule type="expression" dxfId="554" priority="2">
      <formula>S4&lt;S6</formula>
    </cfRule>
  </conditionalFormatting>
  <conditionalFormatting sqref="C5">
    <cfRule type="expression" dxfId="553" priority="3">
      <formula>S4&gt;=S5</formula>
    </cfRule>
  </conditionalFormatting>
  <conditionalFormatting sqref="C4">
    <cfRule type="expression" dxfId="552" priority="1">
      <formula>AND(S4&gt;=S6,S4&lt;S5)</formula>
    </cfRule>
  </conditionalFormatting>
  <hyperlinks>
    <hyperlink ref="L1" location="Dashboard!A1" display="Dashboard"/>
  </hyperlinks>
  <pageMargins left="0.7" right="0.7" top="0.75" bottom="0.75" header="0.3" footer="0.3"/>
  <pageSetup orientation="portrait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939009" r:id="rId4" name="Spinner 1">
              <controlPr defaultSize="0" autoPict="0">
                <anchor moveWithCells="1" sizeWithCells="1">
                  <from>
                    <xdr:col>9</xdr:col>
                    <xdr:colOff>19050</xdr:colOff>
                    <xdr:row>0</xdr:row>
                    <xdr:rowOff>38100</xdr:rowOff>
                  </from>
                  <to>
                    <xdr:col>9</xdr:col>
                    <xdr:colOff>400050</xdr:colOff>
                    <xdr:row>1</xdr:row>
                    <xdr:rowOff>152400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9">
    <tabColor rgb="FFFFC000"/>
  </sheetPr>
  <dimension ref="A1:S30"/>
  <sheetViews>
    <sheetView zoomScale="90" zoomScaleNormal="90" workbookViewId="0">
      <selection activeCell="L1" sqref="L1"/>
    </sheetView>
  </sheetViews>
  <sheetFormatPr defaultColWidth="9.1796875" defaultRowHeight="14.5" x14ac:dyDescent="0.35"/>
  <cols>
    <col min="1" max="1" width="9.1796875" style="3"/>
    <col min="2" max="2" width="5.1796875" style="3" customWidth="1"/>
    <col min="3" max="3" width="6.26953125" style="3" customWidth="1"/>
    <col min="4" max="4" width="21.26953125" style="3" bestFit="1" customWidth="1"/>
    <col min="5" max="16" width="11.1796875" style="3" customWidth="1"/>
    <col min="17" max="17" width="12" style="3" bestFit="1" customWidth="1"/>
    <col min="18" max="18" width="9.1796875" style="3" customWidth="1"/>
    <col min="19" max="16384" width="9.1796875" style="3"/>
  </cols>
  <sheetData>
    <row r="1" spans="1:19" ht="21" x14ac:dyDescent="0.5">
      <c r="A1" s="4" t="s">
        <v>4</v>
      </c>
      <c r="B1" s="4">
        <f>Dashboard!A10</f>
        <v>5</v>
      </c>
      <c r="C1" s="4" t="str">
        <f>Dashboard!B10</f>
        <v>KIHOTO- NEW WATER</v>
      </c>
      <c r="G1" s="3" t="s">
        <v>9</v>
      </c>
      <c r="I1" s="12">
        <f>INDEX($E$18:$P$18,Actual_month)</f>
        <v>46054</v>
      </c>
      <c r="L1" s="16" t="s">
        <v>19</v>
      </c>
      <c r="R1" s="5"/>
    </row>
    <row r="2" spans="1:19" x14ac:dyDescent="0.35">
      <c r="A2" s="3" t="s">
        <v>13</v>
      </c>
      <c r="C2" s="3" t="s">
        <v>27</v>
      </c>
      <c r="R2" s="6"/>
    </row>
    <row r="3" spans="1:19" ht="25.5" customHeight="1" thickBot="1" x14ac:dyDescent="0.4">
      <c r="C3" s="1" t="s">
        <v>5</v>
      </c>
      <c r="E3" s="10"/>
      <c r="F3" s="10"/>
      <c r="G3" s="10"/>
      <c r="H3" s="10"/>
      <c r="I3" s="10"/>
      <c r="J3" s="3" t="s">
        <v>6</v>
      </c>
      <c r="K3" s="10"/>
      <c r="M3" s="10"/>
      <c r="N3" s="10"/>
      <c r="O3" s="10"/>
      <c r="P3" s="10"/>
    </row>
    <row r="4" spans="1:19" ht="25.5" customHeight="1" x14ac:dyDescent="0.35">
      <c r="C4" s="1" t="s">
        <v>5</v>
      </c>
      <c r="E4" s="10"/>
      <c r="F4" s="10"/>
      <c r="G4" s="10"/>
      <c r="H4" s="10"/>
      <c r="I4" s="10"/>
      <c r="J4" s="401"/>
      <c r="K4" s="402"/>
      <c r="L4" s="402"/>
      <c r="M4" s="402"/>
      <c r="N4" s="402"/>
      <c r="O4" s="402"/>
      <c r="P4" s="402"/>
      <c r="Q4" s="403"/>
      <c r="R4" s="3" t="s">
        <v>22</v>
      </c>
      <c r="S4" s="5">
        <f>INDEX(E27:P27,Actual_month)</f>
        <v>3</v>
      </c>
    </row>
    <row r="5" spans="1:19" ht="25.5" customHeight="1" x14ac:dyDescent="0.35">
      <c r="C5" s="1" t="s">
        <v>5</v>
      </c>
      <c r="E5" s="10"/>
      <c r="F5" s="10"/>
      <c r="G5" s="10"/>
      <c r="H5" s="10"/>
      <c r="I5" s="10"/>
      <c r="J5" s="404"/>
      <c r="K5" s="405"/>
      <c r="L5" s="405"/>
      <c r="M5" s="405"/>
      <c r="N5" s="405"/>
      <c r="O5" s="405"/>
      <c r="P5" s="405"/>
      <c r="Q5" s="406"/>
      <c r="R5" s="3" t="s">
        <v>23</v>
      </c>
      <c r="S5" s="5">
        <f>INDEX(E26:P26,Actual_month)</f>
        <v>8</v>
      </c>
    </row>
    <row r="6" spans="1:19" x14ac:dyDescent="0.35">
      <c r="J6" s="404"/>
      <c r="K6" s="405"/>
      <c r="L6" s="405"/>
      <c r="M6" s="405"/>
      <c r="N6" s="405"/>
      <c r="O6" s="405"/>
      <c r="P6" s="405"/>
      <c r="Q6" s="406"/>
      <c r="R6" s="6">
        <v>0.9</v>
      </c>
      <c r="S6" s="5">
        <f>+S5*R6</f>
        <v>7.2</v>
      </c>
    </row>
    <row r="7" spans="1:19" x14ac:dyDescent="0.35">
      <c r="J7" s="404"/>
      <c r="K7" s="405"/>
      <c r="L7" s="405"/>
      <c r="M7" s="405"/>
      <c r="N7" s="405"/>
      <c r="O7" s="405"/>
      <c r="P7" s="405"/>
      <c r="Q7" s="406"/>
    </row>
    <row r="8" spans="1:19" ht="15" thickBot="1" x14ac:dyDescent="0.4">
      <c r="J8" s="407"/>
      <c r="K8" s="408"/>
      <c r="L8" s="408"/>
      <c r="M8" s="408"/>
      <c r="N8" s="408"/>
      <c r="O8" s="408"/>
      <c r="P8" s="408"/>
      <c r="Q8" s="409"/>
    </row>
    <row r="9" spans="1:19" ht="15" thickBot="1" x14ac:dyDescent="0.4">
      <c r="J9" s="3" t="s">
        <v>12</v>
      </c>
    </row>
    <row r="10" spans="1:19" x14ac:dyDescent="0.35">
      <c r="J10" s="401"/>
      <c r="K10" s="402"/>
      <c r="L10" s="402"/>
      <c r="M10" s="402"/>
      <c r="N10" s="402"/>
      <c r="O10" s="402"/>
      <c r="P10" s="402"/>
      <c r="Q10" s="403"/>
    </row>
    <row r="11" spans="1:19" x14ac:dyDescent="0.35">
      <c r="J11" s="404"/>
      <c r="K11" s="405"/>
      <c r="L11" s="405"/>
      <c r="M11" s="405"/>
      <c r="N11" s="405"/>
      <c r="O11" s="405"/>
      <c r="P11" s="405"/>
      <c r="Q11" s="406"/>
    </row>
    <row r="12" spans="1:19" x14ac:dyDescent="0.35">
      <c r="J12" s="404"/>
      <c r="K12" s="405"/>
      <c r="L12" s="405"/>
      <c r="M12" s="405"/>
      <c r="N12" s="405"/>
      <c r="O12" s="405"/>
      <c r="P12" s="405"/>
      <c r="Q12" s="406"/>
    </row>
    <row r="13" spans="1:19" x14ac:dyDescent="0.35">
      <c r="J13" s="404"/>
      <c r="K13" s="405"/>
      <c r="L13" s="405"/>
      <c r="M13" s="405"/>
      <c r="N13" s="405"/>
      <c r="O13" s="405"/>
      <c r="P13" s="405"/>
      <c r="Q13" s="406"/>
    </row>
    <row r="14" spans="1:19" x14ac:dyDescent="0.35">
      <c r="J14" s="404"/>
      <c r="K14" s="405"/>
      <c r="L14" s="405"/>
      <c r="M14" s="405"/>
      <c r="N14" s="405"/>
      <c r="O14" s="405"/>
      <c r="P14" s="405"/>
      <c r="Q14" s="406"/>
    </row>
    <row r="15" spans="1:19" ht="15" thickBot="1" x14ac:dyDescent="0.4">
      <c r="J15" s="407"/>
      <c r="K15" s="408"/>
      <c r="L15" s="408"/>
      <c r="M15" s="408"/>
      <c r="N15" s="408"/>
      <c r="O15" s="408"/>
      <c r="P15" s="408"/>
      <c r="Q15" s="409"/>
    </row>
    <row r="18" spans="3:17" x14ac:dyDescent="0.35">
      <c r="C18" s="7" t="s">
        <v>8</v>
      </c>
      <c r="E18" s="11">
        <f>'KPI 1'!E18</f>
        <v>45839</v>
      </c>
      <c r="F18" s="11">
        <f>'KPI 1'!F18</f>
        <v>45870</v>
      </c>
      <c r="G18" s="11">
        <f>'KPI 1'!G18</f>
        <v>45901</v>
      </c>
      <c r="H18" s="11">
        <f>'KPI 1'!H18</f>
        <v>45931</v>
      </c>
      <c r="I18" s="11">
        <f>'KPI 1'!I18</f>
        <v>45962</v>
      </c>
      <c r="J18" s="11">
        <f>'KPI 1'!J18</f>
        <v>45992</v>
      </c>
      <c r="K18" s="11">
        <f>'KPI 1'!K18</f>
        <v>46023</v>
      </c>
      <c r="L18" s="11">
        <f>'KPI 1'!L18</f>
        <v>46054</v>
      </c>
      <c r="M18" s="11">
        <f>'KPI 1'!M18</f>
        <v>46082</v>
      </c>
      <c r="N18" s="11">
        <f>'KPI 1'!N18</f>
        <v>46113</v>
      </c>
      <c r="O18" s="11">
        <f>'KPI 1'!O18</f>
        <v>46143</v>
      </c>
      <c r="P18" s="11">
        <f>'KPI 1'!P18</f>
        <v>46174</v>
      </c>
      <c r="Q18" s="8" t="s">
        <v>0</v>
      </c>
    </row>
    <row r="19" spans="3:17" x14ac:dyDescent="0.35">
      <c r="D19" s="3" t="str">
        <f>'KPI 1'!D19</f>
        <v>Budget 2025-26</v>
      </c>
      <c r="E19" s="5">
        <f>'budget 2025-26'!D10</f>
        <v>1</v>
      </c>
      <c r="F19" s="5">
        <f>'budget 2025-26'!E10</f>
        <v>1</v>
      </c>
      <c r="G19" s="5">
        <f>'budget 2025-26'!F10</f>
        <v>1</v>
      </c>
      <c r="H19" s="5">
        <f>'budget 2025-26'!G10</f>
        <v>1</v>
      </c>
      <c r="I19" s="5">
        <f>'budget 2025-26'!H10</f>
        <v>1</v>
      </c>
      <c r="J19" s="5">
        <f>'budget 2025-26'!I10</f>
        <v>1</v>
      </c>
      <c r="K19" s="5">
        <f>'budget 2025-26'!J10</f>
        <v>1</v>
      </c>
      <c r="L19" s="5">
        <f>'budget 2025-26'!K10</f>
        <v>1</v>
      </c>
      <c r="M19" s="5">
        <f>'budget 2025-26'!L10</f>
        <v>1</v>
      </c>
      <c r="N19" s="5">
        <f>'budget 2025-26'!M10</f>
        <v>1</v>
      </c>
      <c r="O19" s="5">
        <f>'budget 2025-26'!N10</f>
        <v>1</v>
      </c>
      <c r="P19" s="5">
        <f>'budget 2025-26'!O10</f>
        <v>1</v>
      </c>
      <c r="Q19" s="5">
        <f>SUM(E19:P19)</f>
        <v>12</v>
      </c>
    </row>
    <row r="20" spans="3:17" x14ac:dyDescent="0.35">
      <c r="D20" s="3" t="str">
        <f>'KPI 1'!D20</f>
        <v>Actual 2025-26</v>
      </c>
      <c r="E20" s="5">
        <f>'Input Actual2025-26'!E10</f>
        <v>2</v>
      </c>
      <c r="F20" s="5">
        <f>'Input Actual2025-26'!F10</f>
        <v>0</v>
      </c>
      <c r="G20" s="5">
        <f>'Input Actual2025-26'!G10</f>
        <v>0</v>
      </c>
      <c r="H20" s="5">
        <f>'Input Actual2025-26'!H10</f>
        <v>0</v>
      </c>
      <c r="I20" s="5">
        <f>'Input Actual2025-26'!I10</f>
        <v>0</v>
      </c>
      <c r="J20" s="5">
        <f>'Input Actual2025-26'!J10</f>
        <v>0</v>
      </c>
      <c r="K20" s="5">
        <f>'Input Actual2025-26'!K10</f>
        <v>0</v>
      </c>
      <c r="L20" s="5">
        <f>'Input Actual2025-26'!L10</f>
        <v>1</v>
      </c>
      <c r="M20" s="5">
        <f>'Input Actual2025-26'!M10</f>
        <v>0</v>
      </c>
      <c r="N20" s="5">
        <f>'Input Actual2025-26'!N10</f>
        <v>0</v>
      </c>
      <c r="O20" s="5">
        <f>'Input Actual2025-26'!O10</f>
        <v>0</v>
      </c>
      <c r="P20" s="5">
        <f>'Input Actual2025-26'!P10</f>
        <v>0</v>
      </c>
      <c r="Q20" s="5">
        <f t="shared" ref="Q20:Q22" si="0">SUM(E20:P20)</f>
        <v>3</v>
      </c>
    </row>
    <row r="21" spans="3:17" x14ac:dyDescent="0.35">
      <c r="D21" s="3" t="s">
        <v>424</v>
      </c>
      <c r="E21" s="5">
        <f>'Input Actual2024-25'!E10</f>
        <v>0</v>
      </c>
      <c r="F21" s="5">
        <f>'Input Actual2024-25'!F10</f>
        <v>0</v>
      </c>
      <c r="G21" s="5">
        <f>'Input Actual2024-25'!G10</f>
        <v>0</v>
      </c>
      <c r="H21" s="5">
        <f>'Input Actual2024-25'!H10</f>
        <v>0</v>
      </c>
      <c r="I21" s="5">
        <f>'Input Actual2024-25'!I10</f>
        <v>0</v>
      </c>
      <c r="J21" s="5">
        <f>'Input Actual2024-25'!J10</f>
        <v>0</v>
      </c>
      <c r="K21" s="5">
        <f>'Input Actual2024-25'!K10</f>
        <v>1</v>
      </c>
      <c r="L21" s="5">
        <f>'Input Actual2024-25'!L10</f>
        <v>0</v>
      </c>
      <c r="M21" s="5">
        <f>'Input Actual2024-25'!M10</f>
        <v>0</v>
      </c>
      <c r="N21" s="5">
        <f>'Input Actual2024-25'!N10</f>
        <v>0</v>
      </c>
      <c r="O21" s="5">
        <f>'Input Actual2024-25'!O10</f>
        <v>0</v>
      </c>
      <c r="P21" s="5">
        <f>'Input Actual2024-25'!P10</f>
        <v>1</v>
      </c>
      <c r="Q21" s="5">
        <f t="shared" si="0"/>
        <v>2</v>
      </c>
    </row>
    <row r="22" spans="3:17" x14ac:dyDescent="0.35">
      <c r="D22" s="3" t="s">
        <v>7</v>
      </c>
      <c r="E22" s="5">
        <f t="shared" ref="E22:P22" si="1">IF(E20=0,0,E20-E19)</f>
        <v>1</v>
      </c>
      <c r="F22" s="5">
        <f t="shared" si="1"/>
        <v>0</v>
      </c>
      <c r="G22" s="5">
        <f t="shared" si="1"/>
        <v>0</v>
      </c>
      <c r="H22" s="5">
        <f t="shared" si="1"/>
        <v>0</v>
      </c>
      <c r="I22" s="5">
        <f t="shared" si="1"/>
        <v>0</v>
      </c>
      <c r="J22" s="5">
        <f t="shared" si="1"/>
        <v>0</v>
      </c>
      <c r="K22" s="5">
        <f t="shared" si="1"/>
        <v>0</v>
      </c>
      <c r="L22" s="5">
        <f t="shared" si="1"/>
        <v>0</v>
      </c>
      <c r="M22" s="5">
        <f t="shared" si="1"/>
        <v>0</v>
      </c>
      <c r="N22" s="5">
        <f t="shared" si="1"/>
        <v>0</v>
      </c>
      <c r="O22" s="5">
        <f t="shared" si="1"/>
        <v>0</v>
      </c>
      <c r="P22" s="5">
        <f t="shared" si="1"/>
        <v>0</v>
      </c>
      <c r="Q22" s="5">
        <f t="shared" si="0"/>
        <v>1</v>
      </c>
    </row>
    <row r="23" spans="3:17" x14ac:dyDescent="0.35">
      <c r="D23" s="3" t="s">
        <v>43</v>
      </c>
      <c r="E23" s="9">
        <f>E21/E19</f>
        <v>0</v>
      </c>
      <c r="F23" s="9">
        <f t="shared" ref="F23:P23" si="2">F20/F19</f>
        <v>0</v>
      </c>
      <c r="G23" s="9">
        <f t="shared" si="2"/>
        <v>0</v>
      </c>
      <c r="H23" s="9">
        <f t="shared" si="2"/>
        <v>0</v>
      </c>
      <c r="I23" s="9">
        <f t="shared" si="2"/>
        <v>0</v>
      </c>
      <c r="J23" s="9">
        <f t="shared" si="2"/>
        <v>0</v>
      </c>
      <c r="K23" s="9">
        <f t="shared" si="2"/>
        <v>0</v>
      </c>
      <c r="L23" s="9">
        <f t="shared" si="2"/>
        <v>1</v>
      </c>
      <c r="M23" s="9">
        <f t="shared" si="2"/>
        <v>0</v>
      </c>
      <c r="N23" s="9">
        <f t="shared" si="2"/>
        <v>0</v>
      </c>
      <c r="O23" s="9">
        <f t="shared" si="2"/>
        <v>0</v>
      </c>
      <c r="P23" s="9">
        <f t="shared" si="2"/>
        <v>0</v>
      </c>
    </row>
    <row r="25" spans="3:17" x14ac:dyDescent="0.35">
      <c r="C25" s="7" t="s">
        <v>3</v>
      </c>
      <c r="E25" s="11">
        <f>E18</f>
        <v>45839</v>
      </c>
      <c r="F25" s="11">
        <f t="shared" ref="F25:P25" si="3">F18</f>
        <v>45870</v>
      </c>
      <c r="G25" s="11">
        <f t="shared" si="3"/>
        <v>45901</v>
      </c>
      <c r="H25" s="11">
        <f t="shared" si="3"/>
        <v>45931</v>
      </c>
      <c r="I25" s="11">
        <f t="shared" si="3"/>
        <v>45962</v>
      </c>
      <c r="J25" s="11">
        <f t="shared" si="3"/>
        <v>45992</v>
      </c>
      <c r="K25" s="11">
        <f t="shared" si="3"/>
        <v>46023</v>
      </c>
      <c r="L25" s="11">
        <f t="shared" si="3"/>
        <v>46054</v>
      </c>
      <c r="M25" s="11">
        <f t="shared" si="3"/>
        <v>46082</v>
      </c>
      <c r="N25" s="11">
        <f t="shared" si="3"/>
        <v>46113</v>
      </c>
      <c r="O25" s="11">
        <f t="shared" si="3"/>
        <v>46143</v>
      </c>
      <c r="P25" s="11">
        <f t="shared" si="3"/>
        <v>46174</v>
      </c>
    </row>
    <row r="26" spans="3:17" x14ac:dyDescent="0.35">
      <c r="D26" s="3" t="str">
        <f>D19</f>
        <v>Budget 2025-26</v>
      </c>
      <c r="E26" s="5">
        <f>SUM($E19:E19)</f>
        <v>1</v>
      </c>
      <c r="F26" s="5">
        <f>SUM($E19:F19)</f>
        <v>2</v>
      </c>
      <c r="G26" s="5">
        <f>SUM($E19:G19)</f>
        <v>3</v>
      </c>
      <c r="H26" s="5">
        <f>SUM($E19:H19)</f>
        <v>4</v>
      </c>
      <c r="I26" s="5">
        <f>SUM($E19:I19)</f>
        <v>5</v>
      </c>
      <c r="J26" s="5">
        <f>SUM($E19:J19)</f>
        <v>6</v>
      </c>
      <c r="K26" s="5">
        <f>SUM($E19:K19)</f>
        <v>7</v>
      </c>
      <c r="L26" s="5">
        <f>SUM($E19:L19)</f>
        <v>8</v>
      </c>
      <c r="M26" s="5">
        <f>SUM($E19:M19)</f>
        <v>9</v>
      </c>
      <c r="N26" s="5">
        <f>SUM($E19:N19)</f>
        <v>10</v>
      </c>
      <c r="O26" s="5">
        <f>SUM($E19:O19)</f>
        <v>11</v>
      </c>
      <c r="P26" s="5">
        <f>SUM($E19:P19)</f>
        <v>12</v>
      </c>
    </row>
    <row r="27" spans="3:17" x14ac:dyDescent="0.35">
      <c r="D27" s="3" t="str">
        <f t="shared" ref="D27:D30" si="4">D20</f>
        <v>Actual 2025-26</v>
      </c>
      <c r="E27" s="5">
        <f>SUM($E20:E20)</f>
        <v>2</v>
      </c>
      <c r="F27" s="5">
        <f>SUM($E20:F20)</f>
        <v>2</v>
      </c>
      <c r="G27" s="5">
        <f>SUM($E20:G20)</f>
        <v>2</v>
      </c>
      <c r="H27" s="5">
        <f>SUM($E20:H20)</f>
        <v>2</v>
      </c>
      <c r="I27" s="5">
        <f>SUM($E20:I20)</f>
        <v>2</v>
      </c>
      <c r="J27" s="5">
        <f>SUM($E20:J20)</f>
        <v>2</v>
      </c>
      <c r="K27" s="5">
        <f>SUM($E20:K20)</f>
        <v>2</v>
      </c>
      <c r="L27" s="5">
        <f>SUM($E20:L20)</f>
        <v>3</v>
      </c>
      <c r="M27" s="5">
        <f>SUM($E20:M20)</f>
        <v>3</v>
      </c>
      <c r="N27" s="5">
        <f>SUM($E20:N20)</f>
        <v>3</v>
      </c>
      <c r="O27" s="5">
        <f>SUM($E20:O20)</f>
        <v>3</v>
      </c>
      <c r="P27" s="5">
        <f>SUM($E20:P20)</f>
        <v>3</v>
      </c>
    </row>
    <row r="28" spans="3:17" x14ac:dyDescent="0.35">
      <c r="D28" s="3" t="str">
        <f t="shared" si="4"/>
        <v>Actual 2024-25</v>
      </c>
      <c r="E28" s="5">
        <f>SUM($E21:E21)</f>
        <v>0</v>
      </c>
      <c r="F28" s="5">
        <f>SUM($E21:F21)</f>
        <v>0</v>
      </c>
      <c r="G28" s="5">
        <f>SUM($E21:G21)</f>
        <v>0</v>
      </c>
      <c r="H28" s="5">
        <f>SUM($E21:H21)</f>
        <v>0</v>
      </c>
      <c r="I28" s="5">
        <f>SUM($E21:I21)</f>
        <v>0</v>
      </c>
      <c r="J28" s="5">
        <f>SUM($E21:J21)</f>
        <v>0</v>
      </c>
      <c r="K28" s="5">
        <f>SUM($E21:K21)</f>
        <v>1</v>
      </c>
      <c r="L28" s="5">
        <f>SUM($E21:L21)</f>
        <v>1</v>
      </c>
      <c r="M28" s="5">
        <f>SUM($E21:M21)</f>
        <v>1</v>
      </c>
      <c r="N28" s="5">
        <f>SUM($E21:N21)</f>
        <v>1</v>
      </c>
      <c r="O28" s="5">
        <f>SUM($E21:O21)</f>
        <v>1</v>
      </c>
      <c r="P28" s="5">
        <f>SUM($E21:P21)</f>
        <v>2</v>
      </c>
    </row>
    <row r="29" spans="3:17" x14ac:dyDescent="0.35">
      <c r="D29" s="3" t="str">
        <f t="shared" si="4"/>
        <v>Difference</v>
      </c>
      <c r="E29" s="5">
        <f>SUM($E22:E22)</f>
        <v>1</v>
      </c>
      <c r="F29" s="5">
        <f>SUM($E22:F22)</f>
        <v>1</v>
      </c>
      <c r="G29" s="5">
        <f>SUM($E22:G22)</f>
        <v>1</v>
      </c>
      <c r="H29" s="5">
        <f>SUM($E22:H22)</f>
        <v>1</v>
      </c>
      <c r="I29" s="5">
        <f>SUM($E22:I22)</f>
        <v>1</v>
      </c>
      <c r="J29" s="5">
        <f>SUM($E22:J22)</f>
        <v>1</v>
      </c>
      <c r="K29" s="5">
        <f>SUM($E22:K22)</f>
        <v>1</v>
      </c>
      <c r="L29" s="5">
        <f>SUM($E22:L22)</f>
        <v>1</v>
      </c>
      <c r="M29" s="5">
        <f>SUM($E22:M22)</f>
        <v>1</v>
      </c>
      <c r="N29" s="5">
        <f>SUM($E22:N22)</f>
        <v>1</v>
      </c>
      <c r="O29" s="5">
        <f>SUM($E22:O22)</f>
        <v>1</v>
      </c>
      <c r="P29" s="5">
        <f>SUM($E22:P22)</f>
        <v>1</v>
      </c>
    </row>
    <row r="30" spans="3:17" x14ac:dyDescent="0.35">
      <c r="D30" s="3" t="str">
        <f t="shared" si="4"/>
        <v>Realisation</v>
      </c>
      <c r="E30" s="9">
        <f>E28/E26</f>
        <v>0</v>
      </c>
      <c r="F30" s="9">
        <f t="shared" ref="F30:P30" si="5">F27/F26</f>
        <v>1</v>
      </c>
      <c r="G30" s="9">
        <f t="shared" si="5"/>
        <v>0.66666666666666663</v>
      </c>
      <c r="H30" s="9">
        <f t="shared" si="5"/>
        <v>0.5</v>
      </c>
      <c r="I30" s="9">
        <f t="shared" si="5"/>
        <v>0.4</v>
      </c>
      <c r="J30" s="9">
        <f t="shared" si="5"/>
        <v>0.33333333333333331</v>
      </c>
      <c r="K30" s="9">
        <f t="shared" si="5"/>
        <v>0.2857142857142857</v>
      </c>
      <c r="L30" s="9">
        <f t="shared" si="5"/>
        <v>0.375</v>
      </c>
      <c r="M30" s="9">
        <f t="shared" si="5"/>
        <v>0.33333333333333331</v>
      </c>
      <c r="N30" s="9">
        <f t="shared" si="5"/>
        <v>0.3</v>
      </c>
      <c r="O30" s="9">
        <f t="shared" si="5"/>
        <v>0.27272727272727271</v>
      </c>
      <c r="P30" s="9">
        <f t="shared" si="5"/>
        <v>0.25</v>
      </c>
    </row>
  </sheetData>
  <mergeCells count="2">
    <mergeCell ref="J4:Q8"/>
    <mergeCell ref="J10:Q15"/>
  </mergeCells>
  <conditionalFormatting sqref="C3">
    <cfRule type="expression" dxfId="551" priority="2">
      <formula>S4&lt;S6</formula>
    </cfRule>
  </conditionalFormatting>
  <conditionalFormatting sqref="C5">
    <cfRule type="expression" dxfId="550" priority="3">
      <formula>S4&gt;=S5</formula>
    </cfRule>
  </conditionalFormatting>
  <conditionalFormatting sqref="C4">
    <cfRule type="expression" dxfId="549" priority="1">
      <formula>AND(S4&gt;=S6,S4&lt;S5)</formula>
    </cfRule>
  </conditionalFormatting>
  <hyperlinks>
    <hyperlink ref="L1" location="Dashboard!A1" display="Dashboard"/>
  </hyperlinks>
  <pageMargins left="0.7" right="0.7" top="0.75" bottom="0.75" header="0.3" footer="0.3"/>
  <pageSetup orientation="portrait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940033" r:id="rId4" name="Spinner 1">
              <controlPr defaultSize="0" autoPict="0">
                <anchor moveWithCells="1" sizeWithCells="1">
                  <from>
                    <xdr:col>9</xdr:col>
                    <xdr:colOff>19050</xdr:colOff>
                    <xdr:row>0</xdr:row>
                    <xdr:rowOff>38100</xdr:rowOff>
                  </from>
                  <to>
                    <xdr:col>9</xdr:col>
                    <xdr:colOff>400050</xdr:colOff>
                    <xdr:row>1</xdr:row>
                    <xdr:rowOff>152400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10">
    <tabColor rgb="FFFFC000"/>
  </sheetPr>
  <dimension ref="A1:S30"/>
  <sheetViews>
    <sheetView zoomScale="90" zoomScaleNormal="90" workbookViewId="0">
      <selection activeCell="L1" sqref="L1"/>
    </sheetView>
  </sheetViews>
  <sheetFormatPr defaultColWidth="9.1796875" defaultRowHeight="14.5" x14ac:dyDescent="0.35"/>
  <cols>
    <col min="1" max="1" width="9.1796875" style="3"/>
    <col min="2" max="2" width="5.1796875" style="3" customWidth="1"/>
    <col min="3" max="3" width="6.26953125" style="3" customWidth="1"/>
    <col min="4" max="4" width="21.26953125" style="3" bestFit="1" customWidth="1"/>
    <col min="5" max="16" width="11.1796875" style="3" customWidth="1"/>
    <col min="17" max="17" width="12" style="3" bestFit="1" customWidth="1"/>
    <col min="18" max="18" width="9.1796875" style="3" customWidth="1"/>
    <col min="19" max="16384" width="9.1796875" style="3"/>
  </cols>
  <sheetData>
    <row r="1" spans="1:19" ht="21" x14ac:dyDescent="0.5">
      <c r="A1" s="4" t="s">
        <v>4</v>
      </c>
      <c r="B1" s="4">
        <f>Dashboard!A13</f>
        <v>0</v>
      </c>
      <c r="C1" s="4" t="str">
        <f>Dashboard!B13</f>
        <v>TOTAL NEW WATER CONNECTIONS CENTRAL REGION</v>
      </c>
      <c r="G1" s="3" t="s">
        <v>9</v>
      </c>
      <c r="I1" s="12">
        <f>INDEX($E$18:$P$18,Actual_month)</f>
        <v>46054</v>
      </c>
      <c r="L1" s="16" t="s">
        <v>19</v>
      </c>
      <c r="R1" s="5"/>
    </row>
    <row r="2" spans="1:19" x14ac:dyDescent="0.35">
      <c r="A2" s="3" t="s">
        <v>13</v>
      </c>
      <c r="C2" s="3" t="s">
        <v>27</v>
      </c>
      <c r="R2" s="6"/>
    </row>
    <row r="3" spans="1:19" ht="25.5" customHeight="1" thickBot="1" x14ac:dyDescent="0.4">
      <c r="C3" s="1" t="s">
        <v>5</v>
      </c>
      <c r="E3" s="10"/>
      <c r="F3" s="10"/>
      <c r="G3" s="10"/>
      <c r="H3" s="10"/>
      <c r="I3" s="10"/>
      <c r="J3" s="3" t="s">
        <v>6</v>
      </c>
      <c r="K3" s="10"/>
      <c r="M3" s="10"/>
      <c r="N3" s="10"/>
      <c r="O3" s="10"/>
      <c r="P3" s="10"/>
    </row>
    <row r="4" spans="1:19" ht="25.5" customHeight="1" x14ac:dyDescent="0.35">
      <c r="C4" s="1" t="s">
        <v>5</v>
      </c>
      <c r="E4" s="10"/>
      <c r="F4" s="10"/>
      <c r="G4" s="10"/>
      <c r="H4" s="10"/>
      <c r="I4" s="10"/>
      <c r="J4" s="401"/>
      <c r="K4" s="402"/>
      <c r="L4" s="402"/>
      <c r="M4" s="402"/>
      <c r="N4" s="402"/>
      <c r="O4" s="402"/>
      <c r="P4" s="402"/>
      <c r="Q4" s="403"/>
      <c r="R4" s="3" t="s">
        <v>22</v>
      </c>
      <c r="S4" s="5">
        <f>INDEX(E27:P27,Actual_month)</f>
        <v>109</v>
      </c>
    </row>
    <row r="5" spans="1:19" ht="25.5" customHeight="1" x14ac:dyDescent="0.35">
      <c r="C5" s="1" t="s">
        <v>5</v>
      </c>
      <c r="E5" s="10"/>
      <c r="F5" s="10"/>
      <c r="G5" s="10"/>
      <c r="H5" s="10"/>
      <c r="I5" s="10"/>
      <c r="J5" s="404"/>
      <c r="K5" s="405"/>
      <c r="L5" s="405"/>
      <c r="M5" s="405"/>
      <c r="N5" s="405"/>
      <c r="O5" s="405"/>
      <c r="P5" s="405"/>
      <c r="Q5" s="406"/>
      <c r="R5" s="3" t="s">
        <v>23</v>
      </c>
      <c r="S5" s="5">
        <f>INDEX(E26:P26,Actual_month)</f>
        <v>167</v>
      </c>
    </row>
    <row r="6" spans="1:19" x14ac:dyDescent="0.35">
      <c r="J6" s="404"/>
      <c r="K6" s="405"/>
      <c r="L6" s="405"/>
      <c r="M6" s="405"/>
      <c r="N6" s="405"/>
      <c r="O6" s="405"/>
      <c r="P6" s="405"/>
      <c r="Q6" s="406"/>
      <c r="R6" s="6">
        <v>0.9</v>
      </c>
      <c r="S6" s="5">
        <f>+S5*R6</f>
        <v>150.30000000000001</v>
      </c>
    </row>
    <row r="7" spans="1:19" x14ac:dyDescent="0.35">
      <c r="J7" s="404"/>
      <c r="K7" s="405"/>
      <c r="L7" s="405"/>
      <c r="M7" s="405"/>
      <c r="N7" s="405"/>
      <c r="O7" s="405"/>
      <c r="P7" s="405"/>
      <c r="Q7" s="406"/>
    </row>
    <row r="8" spans="1:19" ht="15" thickBot="1" x14ac:dyDescent="0.4">
      <c r="J8" s="407"/>
      <c r="K8" s="408"/>
      <c r="L8" s="408"/>
      <c r="M8" s="408"/>
      <c r="N8" s="408"/>
      <c r="O8" s="408"/>
      <c r="P8" s="408"/>
      <c r="Q8" s="409"/>
    </row>
    <row r="9" spans="1:19" ht="15" thickBot="1" x14ac:dyDescent="0.4">
      <c r="J9" s="3" t="s">
        <v>12</v>
      </c>
    </row>
    <row r="10" spans="1:19" x14ac:dyDescent="0.35">
      <c r="J10" s="401"/>
      <c r="K10" s="402"/>
      <c r="L10" s="402"/>
      <c r="M10" s="402"/>
      <c r="N10" s="402"/>
      <c r="O10" s="402"/>
      <c r="P10" s="402"/>
      <c r="Q10" s="403"/>
    </row>
    <row r="11" spans="1:19" x14ac:dyDescent="0.35">
      <c r="J11" s="404"/>
      <c r="K11" s="405"/>
      <c r="L11" s="405"/>
      <c r="M11" s="405"/>
      <c r="N11" s="405"/>
      <c r="O11" s="405"/>
      <c r="P11" s="405"/>
      <c r="Q11" s="406"/>
    </row>
    <row r="12" spans="1:19" x14ac:dyDescent="0.35">
      <c r="J12" s="404"/>
      <c r="K12" s="405"/>
      <c r="L12" s="405"/>
      <c r="M12" s="405"/>
      <c r="N12" s="405"/>
      <c r="O12" s="405"/>
      <c r="P12" s="405"/>
      <c r="Q12" s="406"/>
    </row>
    <row r="13" spans="1:19" x14ac:dyDescent="0.35">
      <c r="J13" s="404"/>
      <c r="K13" s="405"/>
      <c r="L13" s="405"/>
      <c r="M13" s="405"/>
      <c r="N13" s="405"/>
      <c r="O13" s="405"/>
      <c r="P13" s="405"/>
      <c r="Q13" s="406"/>
    </row>
    <row r="14" spans="1:19" x14ac:dyDescent="0.35">
      <c r="J14" s="404"/>
      <c r="K14" s="405"/>
      <c r="L14" s="405"/>
      <c r="M14" s="405"/>
      <c r="N14" s="405"/>
      <c r="O14" s="405"/>
      <c r="P14" s="405"/>
      <c r="Q14" s="406"/>
    </row>
    <row r="15" spans="1:19" ht="15" thickBot="1" x14ac:dyDescent="0.4">
      <c r="J15" s="407"/>
      <c r="K15" s="408"/>
      <c r="L15" s="408"/>
      <c r="M15" s="408"/>
      <c r="N15" s="408"/>
      <c r="O15" s="408"/>
      <c r="P15" s="408"/>
      <c r="Q15" s="409"/>
    </row>
    <row r="18" spans="3:17" x14ac:dyDescent="0.35">
      <c r="C18" s="7" t="s">
        <v>8</v>
      </c>
      <c r="E18" s="11">
        <f>'KPI 1'!E18</f>
        <v>45839</v>
      </c>
      <c r="F18" s="11">
        <f>'KPI 1'!F18</f>
        <v>45870</v>
      </c>
      <c r="G18" s="11">
        <f>'KPI 1'!G18</f>
        <v>45901</v>
      </c>
      <c r="H18" s="11">
        <f>'KPI 1'!H18</f>
        <v>45931</v>
      </c>
      <c r="I18" s="11">
        <f>'KPI 1'!I18</f>
        <v>45962</v>
      </c>
      <c r="J18" s="11">
        <f>'KPI 1'!J18</f>
        <v>45992</v>
      </c>
      <c r="K18" s="11">
        <f>'KPI 1'!K18</f>
        <v>46023</v>
      </c>
      <c r="L18" s="11">
        <f>'KPI 1'!L18</f>
        <v>46054</v>
      </c>
      <c r="M18" s="11">
        <f>'KPI 1'!M18</f>
        <v>46082</v>
      </c>
      <c r="N18" s="11">
        <f>'KPI 1'!N18</f>
        <v>46113</v>
      </c>
      <c r="O18" s="11">
        <f>'KPI 1'!O18</f>
        <v>46143</v>
      </c>
      <c r="P18" s="11">
        <f>'KPI 1'!P18</f>
        <v>46174</v>
      </c>
      <c r="Q18" s="8" t="s">
        <v>0</v>
      </c>
    </row>
    <row r="19" spans="3:17" x14ac:dyDescent="0.35">
      <c r="D19" s="3" t="str">
        <f>'KPI 1'!D19</f>
        <v>Budget 2025-26</v>
      </c>
      <c r="E19" s="5">
        <f>'budget 2025-26'!D13</f>
        <v>20</v>
      </c>
      <c r="F19" s="5">
        <f>'budget 2025-26'!E13</f>
        <v>21</v>
      </c>
      <c r="G19" s="5">
        <f>'budget 2025-26'!F13</f>
        <v>21</v>
      </c>
      <c r="H19" s="5">
        <f>'budget 2025-26'!G13</f>
        <v>21</v>
      </c>
      <c r="I19" s="5">
        <f>'budget 2025-26'!H13</f>
        <v>21</v>
      </c>
      <c r="J19" s="5">
        <f>'budget 2025-26'!I13</f>
        <v>21</v>
      </c>
      <c r="K19" s="5">
        <f>'budget 2025-26'!J13</f>
        <v>21</v>
      </c>
      <c r="L19" s="5">
        <f>'budget 2025-26'!K13</f>
        <v>21</v>
      </c>
      <c r="M19" s="5">
        <f>'budget 2025-26'!L13</f>
        <v>21</v>
      </c>
      <c r="N19" s="5">
        <f>'budget 2025-26'!M13</f>
        <v>21</v>
      </c>
      <c r="O19" s="5">
        <f>'budget 2025-26'!N13</f>
        <v>21</v>
      </c>
      <c r="P19" s="5">
        <f>'budget 2025-26'!O13</f>
        <v>21</v>
      </c>
      <c r="Q19" s="5">
        <f>SUM(E19:P19)</f>
        <v>251</v>
      </c>
    </row>
    <row r="20" spans="3:17" x14ac:dyDescent="0.35">
      <c r="D20" s="3" t="str">
        <f>'KPI 1'!D20</f>
        <v>Actual 2025-26</v>
      </c>
      <c r="E20" s="5">
        <f>'Input Actual2025-26'!E13</f>
        <v>5</v>
      </c>
      <c r="F20" s="5">
        <f>'Input Actual2025-26'!F13</f>
        <v>13</v>
      </c>
      <c r="G20" s="5">
        <f>'Input Actual2025-26'!G13</f>
        <v>7</v>
      </c>
      <c r="H20" s="5">
        <f>'Input Actual2025-26'!H13</f>
        <v>23</v>
      </c>
      <c r="I20" s="5">
        <f>'Input Actual2025-26'!I13</f>
        <v>6</v>
      </c>
      <c r="J20" s="5">
        <f>'Input Actual2025-26'!J13</f>
        <v>14</v>
      </c>
      <c r="K20" s="5">
        <f>'Input Actual2025-26'!K13</f>
        <v>34</v>
      </c>
      <c r="L20" s="5">
        <f>'Input Actual2025-26'!L13</f>
        <v>7</v>
      </c>
      <c r="M20" s="5">
        <f>'Input Actual2025-26'!M13</f>
        <v>0</v>
      </c>
      <c r="N20" s="5">
        <f>'Input Actual2025-26'!N13</f>
        <v>0</v>
      </c>
      <c r="O20" s="5">
        <f>'Input Actual2025-26'!O13</f>
        <v>0</v>
      </c>
      <c r="P20" s="5">
        <f>'Input Actual2025-26'!P13</f>
        <v>0</v>
      </c>
      <c r="Q20" s="5">
        <f t="shared" ref="Q20:Q22" si="0">SUM(E20:P20)</f>
        <v>109</v>
      </c>
    </row>
    <row r="21" spans="3:17" x14ac:dyDescent="0.35">
      <c r="D21" s="3" t="s">
        <v>424</v>
      </c>
      <c r="E21" s="5">
        <f>'Input Actual2024-25'!E13</f>
        <v>16</v>
      </c>
      <c r="F21" s="5">
        <f>'Input Actual2024-25'!F13</f>
        <v>11</v>
      </c>
      <c r="G21" s="5">
        <f>'Input Actual2024-25'!G13</f>
        <v>10</v>
      </c>
      <c r="H21" s="5">
        <f>'Input Actual2024-25'!H13</f>
        <v>2</v>
      </c>
      <c r="I21" s="5">
        <f>'Input Actual2024-25'!I13</f>
        <v>3</v>
      </c>
      <c r="J21" s="5">
        <f>'Input Actual2024-25'!J13</f>
        <v>0</v>
      </c>
      <c r="K21" s="5">
        <f>'Input Actual2024-25'!K13</f>
        <v>16</v>
      </c>
      <c r="L21" s="5">
        <f>'Input Actual2024-25'!L13</f>
        <v>10</v>
      </c>
      <c r="M21" s="5">
        <f>'Input Actual2024-25'!M13</f>
        <v>5</v>
      </c>
      <c r="N21" s="5">
        <f>'Input Actual2024-25'!N13</f>
        <v>7</v>
      </c>
      <c r="O21" s="5">
        <f>'Input Actual2024-25'!O13</f>
        <v>9</v>
      </c>
      <c r="P21" s="5">
        <f>'Input Actual2024-25'!P13</f>
        <v>12</v>
      </c>
      <c r="Q21" s="5">
        <f t="shared" si="0"/>
        <v>101</v>
      </c>
    </row>
    <row r="22" spans="3:17" x14ac:dyDescent="0.35">
      <c r="D22" s="3" t="s">
        <v>7</v>
      </c>
      <c r="E22" s="5">
        <f t="shared" ref="E22:P22" si="1">IF(E20=0,0,E20-E19)</f>
        <v>-15</v>
      </c>
      <c r="F22" s="5">
        <f t="shared" si="1"/>
        <v>-8</v>
      </c>
      <c r="G22" s="5">
        <f t="shared" si="1"/>
        <v>-14</v>
      </c>
      <c r="H22" s="5">
        <f t="shared" si="1"/>
        <v>2</v>
      </c>
      <c r="I22" s="5">
        <f t="shared" si="1"/>
        <v>-15</v>
      </c>
      <c r="J22" s="5">
        <f t="shared" si="1"/>
        <v>-7</v>
      </c>
      <c r="K22" s="5">
        <f t="shared" si="1"/>
        <v>13</v>
      </c>
      <c r="L22" s="5">
        <f t="shared" si="1"/>
        <v>-14</v>
      </c>
      <c r="M22" s="5">
        <f t="shared" si="1"/>
        <v>0</v>
      </c>
      <c r="N22" s="5">
        <f t="shared" si="1"/>
        <v>0</v>
      </c>
      <c r="O22" s="5">
        <f t="shared" si="1"/>
        <v>0</v>
      </c>
      <c r="P22" s="5">
        <f t="shared" si="1"/>
        <v>0</v>
      </c>
      <c r="Q22" s="5">
        <f t="shared" si="0"/>
        <v>-58</v>
      </c>
    </row>
    <row r="23" spans="3:17" x14ac:dyDescent="0.35">
      <c r="D23" s="3" t="s">
        <v>43</v>
      </c>
      <c r="E23" s="9">
        <f>E21/E19</f>
        <v>0.8</v>
      </c>
      <c r="F23" s="9">
        <f t="shared" ref="F23:P23" si="2">F20/F19</f>
        <v>0.61904761904761907</v>
      </c>
      <c r="G23" s="9">
        <f t="shared" si="2"/>
        <v>0.33333333333333331</v>
      </c>
      <c r="H23" s="9">
        <f t="shared" si="2"/>
        <v>1.0952380952380953</v>
      </c>
      <c r="I23" s="9">
        <f t="shared" si="2"/>
        <v>0.2857142857142857</v>
      </c>
      <c r="J23" s="9">
        <f t="shared" si="2"/>
        <v>0.66666666666666663</v>
      </c>
      <c r="K23" s="9">
        <f t="shared" si="2"/>
        <v>1.6190476190476191</v>
      </c>
      <c r="L23" s="9">
        <f t="shared" si="2"/>
        <v>0.33333333333333331</v>
      </c>
      <c r="M23" s="9">
        <f t="shared" si="2"/>
        <v>0</v>
      </c>
      <c r="N23" s="9">
        <f t="shared" si="2"/>
        <v>0</v>
      </c>
      <c r="O23" s="9">
        <f t="shared" si="2"/>
        <v>0</v>
      </c>
      <c r="P23" s="9">
        <f t="shared" si="2"/>
        <v>0</v>
      </c>
    </row>
    <row r="25" spans="3:17" x14ac:dyDescent="0.35">
      <c r="C25" s="7" t="s">
        <v>3</v>
      </c>
      <c r="E25" s="11">
        <f>E18</f>
        <v>45839</v>
      </c>
      <c r="F25" s="11">
        <f t="shared" ref="F25:P25" si="3">F18</f>
        <v>45870</v>
      </c>
      <c r="G25" s="11">
        <f t="shared" si="3"/>
        <v>45901</v>
      </c>
      <c r="H25" s="11">
        <f t="shared" si="3"/>
        <v>45931</v>
      </c>
      <c r="I25" s="11">
        <f t="shared" si="3"/>
        <v>45962</v>
      </c>
      <c r="J25" s="11">
        <f t="shared" si="3"/>
        <v>45992</v>
      </c>
      <c r="K25" s="11">
        <f t="shared" si="3"/>
        <v>46023</v>
      </c>
      <c r="L25" s="11">
        <f t="shared" si="3"/>
        <v>46054</v>
      </c>
      <c r="M25" s="11">
        <f t="shared" si="3"/>
        <v>46082</v>
      </c>
      <c r="N25" s="11">
        <f t="shared" si="3"/>
        <v>46113</v>
      </c>
      <c r="O25" s="11">
        <f t="shared" si="3"/>
        <v>46143</v>
      </c>
      <c r="P25" s="11">
        <f t="shared" si="3"/>
        <v>46174</v>
      </c>
    </row>
    <row r="26" spans="3:17" x14ac:dyDescent="0.35">
      <c r="D26" s="3" t="str">
        <f>D19</f>
        <v>Budget 2025-26</v>
      </c>
      <c r="E26" s="5">
        <f>SUM($E19:E19)</f>
        <v>20</v>
      </c>
      <c r="F26" s="5">
        <f>SUM($E19:F19)</f>
        <v>41</v>
      </c>
      <c r="G26" s="5">
        <f>SUM($E19:G19)</f>
        <v>62</v>
      </c>
      <c r="H26" s="5">
        <f>SUM($E19:H19)</f>
        <v>83</v>
      </c>
      <c r="I26" s="5">
        <f>SUM($E19:I19)</f>
        <v>104</v>
      </c>
      <c r="J26" s="5">
        <f>SUM($E19:J19)</f>
        <v>125</v>
      </c>
      <c r="K26" s="5">
        <f>SUM($E19:K19)</f>
        <v>146</v>
      </c>
      <c r="L26" s="5">
        <f>SUM($E19:L19)</f>
        <v>167</v>
      </c>
      <c r="M26" s="5">
        <f>SUM($E19:M19)</f>
        <v>188</v>
      </c>
      <c r="N26" s="5">
        <f>SUM($E19:N19)</f>
        <v>209</v>
      </c>
      <c r="O26" s="5">
        <f>SUM($E19:O19)</f>
        <v>230</v>
      </c>
      <c r="P26" s="5">
        <f>SUM($E19:P19)</f>
        <v>251</v>
      </c>
    </row>
    <row r="27" spans="3:17" x14ac:dyDescent="0.35">
      <c r="D27" s="3" t="str">
        <f t="shared" ref="D27:D30" si="4">D20</f>
        <v>Actual 2025-26</v>
      </c>
      <c r="E27" s="5">
        <f>SUM($E20:E20)</f>
        <v>5</v>
      </c>
      <c r="F27" s="5">
        <f>SUM($E20:F20)</f>
        <v>18</v>
      </c>
      <c r="G27" s="5">
        <f>SUM($E20:G20)</f>
        <v>25</v>
      </c>
      <c r="H27" s="5">
        <f>SUM($E20:H20)</f>
        <v>48</v>
      </c>
      <c r="I27" s="5">
        <f>SUM($E20:I20)</f>
        <v>54</v>
      </c>
      <c r="J27" s="5">
        <f>SUM($E20:J20)</f>
        <v>68</v>
      </c>
      <c r="K27" s="5">
        <f>SUM($E20:K20)</f>
        <v>102</v>
      </c>
      <c r="L27" s="5">
        <f>SUM($E20:L20)</f>
        <v>109</v>
      </c>
      <c r="M27" s="5">
        <f>SUM($E20:M20)</f>
        <v>109</v>
      </c>
      <c r="N27" s="5">
        <f>SUM($E20:N20)</f>
        <v>109</v>
      </c>
      <c r="O27" s="5">
        <f>SUM($E20:O20)</f>
        <v>109</v>
      </c>
      <c r="P27" s="5">
        <f>SUM($E20:P20)</f>
        <v>109</v>
      </c>
    </row>
    <row r="28" spans="3:17" x14ac:dyDescent="0.35">
      <c r="D28" s="3" t="str">
        <f t="shared" si="4"/>
        <v>Actual 2024-25</v>
      </c>
      <c r="E28" s="5">
        <f>SUM($E21:E21)</f>
        <v>16</v>
      </c>
      <c r="F28" s="5">
        <f>SUM($E21:F21)</f>
        <v>27</v>
      </c>
      <c r="G28" s="5">
        <f>SUM($E21:G21)</f>
        <v>37</v>
      </c>
      <c r="H28" s="5">
        <f>SUM($E21:H21)</f>
        <v>39</v>
      </c>
      <c r="I28" s="5">
        <f>SUM($E21:I21)</f>
        <v>42</v>
      </c>
      <c r="J28" s="5">
        <f>SUM($E21:J21)</f>
        <v>42</v>
      </c>
      <c r="K28" s="5">
        <f>SUM($E21:K21)</f>
        <v>58</v>
      </c>
      <c r="L28" s="5">
        <f>SUM($E21:L21)</f>
        <v>68</v>
      </c>
      <c r="M28" s="5">
        <f>SUM($E21:M21)</f>
        <v>73</v>
      </c>
      <c r="N28" s="5">
        <f>SUM($E21:N21)</f>
        <v>80</v>
      </c>
      <c r="O28" s="5">
        <f>SUM($E21:O21)</f>
        <v>89</v>
      </c>
      <c r="P28" s="5">
        <f>SUM($E21:P21)</f>
        <v>101</v>
      </c>
    </row>
    <row r="29" spans="3:17" x14ac:dyDescent="0.35">
      <c r="D29" s="3" t="str">
        <f t="shared" si="4"/>
        <v>Difference</v>
      </c>
      <c r="E29" s="5">
        <f>SUM($E22:E22)</f>
        <v>-15</v>
      </c>
      <c r="F29" s="5">
        <f>SUM($E22:F22)</f>
        <v>-23</v>
      </c>
      <c r="G29" s="5">
        <f>SUM($E22:G22)</f>
        <v>-37</v>
      </c>
      <c r="H29" s="5">
        <f>SUM($E22:H22)</f>
        <v>-35</v>
      </c>
      <c r="I29" s="5">
        <f>SUM($E22:I22)</f>
        <v>-50</v>
      </c>
      <c r="J29" s="5">
        <f>SUM($E22:J22)</f>
        <v>-57</v>
      </c>
      <c r="K29" s="5">
        <f>SUM($E22:K22)</f>
        <v>-44</v>
      </c>
      <c r="L29" s="5">
        <f>SUM($E22:L22)</f>
        <v>-58</v>
      </c>
      <c r="M29" s="5">
        <f>SUM($E22:M22)</f>
        <v>-58</v>
      </c>
      <c r="N29" s="5">
        <f>SUM($E22:N22)</f>
        <v>-58</v>
      </c>
      <c r="O29" s="5">
        <f>SUM($E22:O22)</f>
        <v>-58</v>
      </c>
      <c r="P29" s="5">
        <f>SUM($E22:P22)</f>
        <v>-58</v>
      </c>
    </row>
    <row r="30" spans="3:17" x14ac:dyDescent="0.35">
      <c r="D30" s="3" t="str">
        <f t="shared" si="4"/>
        <v>Realisation</v>
      </c>
      <c r="E30" s="9">
        <f>E28/E26</f>
        <v>0.8</v>
      </c>
      <c r="F30" s="9">
        <f t="shared" ref="F30:P30" si="5">F27/F26</f>
        <v>0.43902439024390244</v>
      </c>
      <c r="G30" s="9">
        <f t="shared" si="5"/>
        <v>0.40322580645161288</v>
      </c>
      <c r="H30" s="9">
        <f t="shared" si="5"/>
        <v>0.57831325301204817</v>
      </c>
      <c r="I30" s="9">
        <f t="shared" si="5"/>
        <v>0.51923076923076927</v>
      </c>
      <c r="J30" s="9">
        <f t="shared" si="5"/>
        <v>0.54400000000000004</v>
      </c>
      <c r="K30" s="9">
        <f t="shared" si="5"/>
        <v>0.69863013698630139</v>
      </c>
      <c r="L30" s="9">
        <f t="shared" si="5"/>
        <v>0.65269461077844315</v>
      </c>
      <c r="M30" s="9">
        <f t="shared" si="5"/>
        <v>0.57978723404255317</v>
      </c>
      <c r="N30" s="9">
        <f t="shared" si="5"/>
        <v>0.52153110047846885</v>
      </c>
      <c r="O30" s="9">
        <f t="shared" si="5"/>
        <v>0.47391304347826085</v>
      </c>
      <c r="P30" s="9">
        <f t="shared" si="5"/>
        <v>0.43426294820717132</v>
      </c>
    </row>
  </sheetData>
  <mergeCells count="2">
    <mergeCell ref="J4:Q8"/>
    <mergeCell ref="J10:Q15"/>
  </mergeCells>
  <conditionalFormatting sqref="C3">
    <cfRule type="expression" dxfId="548" priority="2">
      <formula>S4&lt;S6</formula>
    </cfRule>
  </conditionalFormatting>
  <conditionalFormatting sqref="C5">
    <cfRule type="expression" dxfId="547" priority="3">
      <formula>S4&gt;=S5</formula>
    </cfRule>
  </conditionalFormatting>
  <conditionalFormatting sqref="C4">
    <cfRule type="expression" dxfId="546" priority="1">
      <formula>AND(S4&gt;=S6,S4&lt;S5)</formula>
    </cfRule>
  </conditionalFormatting>
  <hyperlinks>
    <hyperlink ref="L1" location="Dashboard!A1" display="Dashboard"/>
  </hyperlinks>
  <pageMargins left="0.7" right="0.7" top="0.75" bottom="0.75" header="0.3" footer="0.3"/>
  <pageSetup orientation="portrait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941057" r:id="rId4" name="Spinner 1">
              <controlPr defaultSize="0" autoPict="0">
                <anchor moveWithCells="1" sizeWithCells="1">
                  <from>
                    <xdr:col>9</xdr:col>
                    <xdr:colOff>19050</xdr:colOff>
                    <xdr:row>0</xdr:row>
                    <xdr:rowOff>38100</xdr:rowOff>
                  </from>
                  <to>
                    <xdr:col>9</xdr:col>
                    <xdr:colOff>400050</xdr:colOff>
                    <xdr:row>1</xdr:row>
                    <xdr:rowOff>152400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11">
    <tabColor rgb="FFFFC000"/>
  </sheetPr>
  <dimension ref="A1:S30"/>
  <sheetViews>
    <sheetView zoomScale="90" zoomScaleNormal="90" workbookViewId="0">
      <selection activeCell="L1" sqref="L1"/>
    </sheetView>
  </sheetViews>
  <sheetFormatPr defaultColWidth="9.1796875" defaultRowHeight="14.5" x14ac:dyDescent="0.35"/>
  <cols>
    <col min="1" max="1" width="9.1796875" style="3"/>
    <col min="2" max="2" width="5.1796875" style="3" customWidth="1"/>
    <col min="3" max="3" width="6.26953125" style="3" customWidth="1"/>
    <col min="4" max="4" width="21.26953125" style="3" bestFit="1" customWidth="1"/>
    <col min="5" max="16" width="11.1796875" style="3" customWidth="1"/>
    <col min="17" max="17" width="12" style="3" bestFit="1" customWidth="1"/>
    <col min="18" max="18" width="9.1796875" style="3" customWidth="1"/>
    <col min="19" max="16384" width="9.1796875" style="3"/>
  </cols>
  <sheetData>
    <row r="1" spans="1:19" ht="21" x14ac:dyDescent="0.5">
      <c r="A1" s="4" t="s">
        <v>4</v>
      </c>
      <c r="B1" s="4">
        <f>Dashboard!A14</f>
        <v>1</v>
      </c>
      <c r="C1" s="4" t="str">
        <f>Dashboard!B14</f>
        <v>HELLSGATE- NEW WATER</v>
      </c>
      <c r="G1" s="3" t="s">
        <v>9</v>
      </c>
      <c r="I1" s="12">
        <f>INDEX($E$18:$P$18,Actual_month)</f>
        <v>46054</v>
      </c>
      <c r="L1" s="16" t="s">
        <v>19</v>
      </c>
      <c r="R1" s="5"/>
    </row>
    <row r="2" spans="1:19" x14ac:dyDescent="0.35">
      <c r="A2" s="3" t="s">
        <v>13</v>
      </c>
      <c r="C2" s="3" t="s">
        <v>27</v>
      </c>
      <c r="R2" s="6"/>
    </row>
    <row r="3" spans="1:19" ht="25.5" customHeight="1" thickBot="1" x14ac:dyDescent="0.4">
      <c r="C3" s="1" t="s">
        <v>5</v>
      </c>
      <c r="E3" s="10"/>
      <c r="F3" s="10"/>
      <c r="G3" s="10"/>
      <c r="H3" s="10"/>
      <c r="I3" s="10"/>
      <c r="J3" s="3" t="s">
        <v>6</v>
      </c>
      <c r="K3" s="10"/>
      <c r="M3" s="10"/>
      <c r="N3" s="10"/>
      <c r="O3" s="10"/>
      <c r="P3" s="10"/>
    </row>
    <row r="4" spans="1:19" ht="25.5" customHeight="1" x14ac:dyDescent="0.35">
      <c r="C4" s="1" t="s">
        <v>5</v>
      </c>
      <c r="E4" s="10"/>
      <c r="F4" s="10"/>
      <c r="G4" s="10"/>
      <c r="H4" s="10"/>
      <c r="I4" s="10"/>
      <c r="J4" s="401"/>
      <c r="K4" s="402"/>
      <c r="L4" s="402"/>
      <c r="M4" s="402"/>
      <c r="N4" s="402"/>
      <c r="O4" s="402"/>
      <c r="P4" s="402"/>
      <c r="Q4" s="403"/>
      <c r="R4" s="3" t="s">
        <v>22</v>
      </c>
      <c r="S4" s="5">
        <f>INDEX(E27:P27,Actual_month)</f>
        <v>147</v>
      </c>
    </row>
    <row r="5" spans="1:19" ht="25.5" customHeight="1" x14ac:dyDescent="0.35">
      <c r="C5" s="1" t="s">
        <v>5</v>
      </c>
      <c r="E5" s="10"/>
      <c r="F5" s="10"/>
      <c r="G5" s="10"/>
      <c r="H5" s="10"/>
      <c r="I5" s="10"/>
      <c r="J5" s="404"/>
      <c r="K5" s="405"/>
      <c r="L5" s="405"/>
      <c r="M5" s="405"/>
      <c r="N5" s="405"/>
      <c r="O5" s="405"/>
      <c r="P5" s="405"/>
      <c r="Q5" s="406"/>
      <c r="R5" s="3" t="s">
        <v>23</v>
      </c>
      <c r="S5" s="5">
        <f>INDEX(E26:P26,Actual_month)</f>
        <v>276</v>
      </c>
    </row>
    <row r="6" spans="1:19" x14ac:dyDescent="0.35">
      <c r="J6" s="404"/>
      <c r="K6" s="405"/>
      <c r="L6" s="405"/>
      <c r="M6" s="405"/>
      <c r="N6" s="405"/>
      <c r="O6" s="405"/>
      <c r="P6" s="405"/>
      <c r="Q6" s="406"/>
      <c r="R6" s="6">
        <v>0.9</v>
      </c>
      <c r="S6" s="5">
        <f>+S5*R6</f>
        <v>248.4</v>
      </c>
    </row>
    <row r="7" spans="1:19" x14ac:dyDescent="0.35">
      <c r="J7" s="404"/>
      <c r="K7" s="405"/>
      <c r="L7" s="405"/>
      <c r="M7" s="405"/>
      <c r="N7" s="405"/>
      <c r="O7" s="405"/>
      <c r="P7" s="405"/>
      <c r="Q7" s="406"/>
    </row>
    <row r="8" spans="1:19" ht="15" thickBot="1" x14ac:dyDescent="0.4">
      <c r="J8" s="407"/>
      <c r="K8" s="408"/>
      <c r="L8" s="408"/>
      <c r="M8" s="408"/>
      <c r="N8" s="408"/>
      <c r="O8" s="408"/>
      <c r="P8" s="408"/>
      <c r="Q8" s="409"/>
    </row>
    <row r="9" spans="1:19" ht="15" thickBot="1" x14ac:dyDescent="0.4">
      <c r="J9" s="3" t="s">
        <v>12</v>
      </c>
    </row>
    <row r="10" spans="1:19" x14ac:dyDescent="0.35">
      <c r="J10" s="401"/>
      <c r="K10" s="402"/>
      <c r="L10" s="402"/>
      <c r="M10" s="402"/>
      <c r="N10" s="402"/>
      <c r="O10" s="402"/>
      <c r="P10" s="402"/>
      <c r="Q10" s="403"/>
    </row>
    <row r="11" spans="1:19" x14ac:dyDescent="0.35">
      <c r="J11" s="404"/>
      <c r="K11" s="405"/>
      <c r="L11" s="405"/>
      <c r="M11" s="405"/>
      <c r="N11" s="405"/>
      <c r="O11" s="405"/>
      <c r="P11" s="405"/>
      <c r="Q11" s="406"/>
    </row>
    <row r="12" spans="1:19" x14ac:dyDescent="0.35">
      <c r="J12" s="404"/>
      <c r="K12" s="405"/>
      <c r="L12" s="405"/>
      <c r="M12" s="405"/>
      <c r="N12" s="405"/>
      <c r="O12" s="405"/>
      <c r="P12" s="405"/>
      <c r="Q12" s="406"/>
    </row>
    <row r="13" spans="1:19" x14ac:dyDescent="0.35">
      <c r="J13" s="404"/>
      <c r="K13" s="405"/>
      <c r="L13" s="405"/>
      <c r="M13" s="405"/>
      <c r="N13" s="405"/>
      <c r="O13" s="405"/>
      <c r="P13" s="405"/>
      <c r="Q13" s="406"/>
    </row>
    <row r="14" spans="1:19" x14ac:dyDescent="0.35">
      <c r="J14" s="404"/>
      <c r="K14" s="405"/>
      <c r="L14" s="405"/>
      <c r="M14" s="405"/>
      <c r="N14" s="405"/>
      <c r="O14" s="405"/>
      <c r="P14" s="405"/>
      <c r="Q14" s="406"/>
    </row>
    <row r="15" spans="1:19" ht="15" thickBot="1" x14ac:dyDescent="0.4">
      <c r="J15" s="407"/>
      <c r="K15" s="408"/>
      <c r="L15" s="408"/>
      <c r="M15" s="408"/>
      <c r="N15" s="408"/>
      <c r="O15" s="408"/>
      <c r="P15" s="408"/>
      <c r="Q15" s="409"/>
    </row>
    <row r="18" spans="3:17" x14ac:dyDescent="0.35">
      <c r="C18" s="7" t="s">
        <v>8</v>
      </c>
      <c r="E18" s="11">
        <f>'KPI 1'!E18</f>
        <v>45839</v>
      </c>
      <c r="F18" s="11">
        <f>'KPI 1'!F18</f>
        <v>45870</v>
      </c>
      <c r="G18" s="11">
        <f>'KPI 1'!G18</f>
        <v>45901</v>
      </c>
      <c r="H18" s="11">
        <f>'KPI 1'!H18</f>
        <v>45931</v>
      </c>
      <c r="I18" s="11">
        <f>'KPI 1'!I18</f>
        <v>45962</v>
      </c>
      <c r="J18" s="11">
        <f>'KPI 1'!J18</f>
        <v>45992</v>
      </c>
      <c r="K18" s="11">
        <f>'KPI 1'!K18</f>
        <v>46023</v>
      </c>
      <c r="L18" s="11">
        <f>'KPI 1'!L18</f>
        <v>46054</v>
      </c>
      <c r="M18" s="11">
        <f>'KPI 1'!M18</f>
        <v>46082</v>
      </c>
      <c r="N18" s="11">
        <f>'KPI 1'!N18</f>
        <v>46113</v>
      </c>
      <c r="O18" s="11">
        <f>'KPI 1'!O18</f>
        <v>46143</v>
      </c>
      <c r="P18" s="11">
        <f>'KPI 1'!P18</f>
        <v>46174</v>
      </c>
      <c r="Q18" s="8" t="s">
        <v>0</v>
      </c>
    </row>
    <row r="19" spans="3:17" x14ac:dyDescent="0.35">
      <c r="D19" s="3" t="str">
        <f>'KPI 1'!D19</f>
        <v>Budget 2025-26</v>
      </c>
      <c r="E19" s="5">
        <f>'budget 2025-26'!D14</f>
        <v>8</v>
      </c>
      <c r="F19" s="5">
        <f>'budget 2025-26'!E14</f>
        <v>8</v>
      </c>
      <c r="G19" s="5">
        <f>'budget 2025-26'!F14</f>
        <v>20</v>
      </c>
      <c r="H19" s="5">
        <f>'budget 2025-26'!G14</f>
        <v>50</v>
      </c>
      <c r="I19" s="5">
        <f>'budget 2025-26'!H14</f>
        <v>50</v>
      </c>
      <c r="J19" s="5">
        <f>'budget 2025-26'!I14</f>
        <v>50</v>
      </c>
      <c r="K19" s="5">
        <f>'budget 2025-26'!J14</f>
        <v>45</v>
      </c>
      <c r="L19" s="5">
        <f>'budget 2025-26'!K14</f>
        <v>45</v>
      </c>
      <c r="M19" s="5">
        <f>'budget 2025-26'!L14</f>
        <v>35</v>
      </c>
      <c r="N19" s="5">
        <f>'budget 2025-26'!M14</f>
        <v>30</v>
      </c>
      <c r="O19" s="5">
        <f>'budget 2025-26'!N14</f>
        <v>30</v>
      </c>
      <c r="P19" s="5">
        <f>'budget 2025-26'!O14</f>
        <v>28</v>
      </c>
      <c r="Q19" s="5">
        <f>SUM(E19:P19)</f>
        <v>399</v>
      </c>
    </row>
    <row r="20" spans="3:17" x14ac:dyDescent="0.35">
      <c r="D20" s="3" t="str">
        <f>'KPI 1'!D20</f>
        <v>Actual 2025-26</v>
      </c>
      <c r="E20" s="5">
        <f>'Input Actual2025-26'!E14</f>
        <v>37</v>
      </c>
      <c r="F20" s="5">
        <f>'Input Actual2025-26'!F14</f>
        <v>18</v>
      </c>
      <c r="G20" s="5">
        <f>'Input Actual2025-26'!G14</f>
        <v>13</v>
      </c>
      <c r="H20" s="5">
        <f>'Input Actual2025-26'!H14</f>
        <v>11</v>
      </c>
      <c r="I20" s="5">
        <f>'Input Actual2025-26'!I14</f>
        <v>10</v>
      </c>
      <c r="J20" s="5">
        <f>'Input Actual2025-26'!J14</f>
        <v>10</v>
      </c>
      <c r="K20" s="5">
        <f>'Input Actual2025-26'!K14</f>
        <v>34</v>
      </c>
      <c r="L20" s="5">
        <f>'Input Actual2025-26'!L14</f>
        <v>14</v>
      </c>
      <c r="M20" s="5">
        <f>'Input Actual2025-26'!M14</f>
        <v>0</v>
      </c>
      <c r="N20" s="5">
        <f>'Input Actual2025-26'!N14</f>
        <v>0</v>
      </c>
      <c r="O20" s="5">
        <f>'Input Actual2025-26'!O14</f>
        <v>0</v>
      </c>
      <c r="P20" s="5">
        <f>'Input Actual2025-26'!P14</f>
        <v>0</v>
      </c>
      <c r="Q20" s="5">
        <f t="shared" ref="Q20:Q22" si="0">SUM(E20:P20)</f>
        <v>147</v>
      </c>
    </row>
    <row r="21" spans="3:17" x14ac:dyDescent="0.35">
      <c r="D21" s="3" t="s">
        <v>424</v>
      </c>
      <c r="E21" s="5">
        <f>'Input Actual2024-25'!E13</f>
        <v>16</v>
      </c>
      <c r="F21" s="5">
        <f>'Input Actual2024-25'!F13</f>
        <v>11</v>
      </c>
      <c r="G21" s="5">
        <f>'Input Actual2024-25'!G13</f>
        <v>10</v>
      </c>
      <c r="H21" s="5">
        <f>'Input Actual2024-25'!H13</f>
        <v>2</v>
      </c>
      <c r="I21" s="5">
        <f>'Input Actual2024-25'!I13</f>
        <v>3</v>
      </c>
      <c r="J21" s="5">
        <f>'Input Actual2024-25'!J13</f>
        <v>0</v>
      </c>
      <c r="K21" s="5">
        <f>'Input Actual2024-25'!K13</f>
        <v>16</v>
      </c>
      <c r="L21" s="5">
        <f>'Input Actual2024-25'!L13</f>
        <v>10</v>
      </c>
      <c r="M21" s="5">
        <f>'Input Actual2024-25'!M13</f>
        <v>5</v>
      </c>
      <c r="N21" s="5">
        <f>'Input Actual2024-25'!N13</f>
        <v>7</v>
      </c>
      <c r="O21" s="5">
        <f>'Input Actual2024-25'!O13</f>
        <v>9</v>
      </c>
      <c r="P21" s="5">
        <f>'Input Actual2024-25'!P13</f>
        <v>12</v>
      </c>
      <c r="Q21" s="5">
        <f t="shared" si="0"/>
        <v>101</v>
      </c>
    </row>
    <row r="22" spans="3:17" x14ac:dyDescent="0.35">
      <c r="D22" s="3" t="s">
        <v>7</v>
      </c>
      <c r="E22" s="5">
        <f t="shared" ref="E22:P22" si="1">IF(E20=0,0,E20-E19)</f>
        <v>29</v>
      </c>
      <c r="F22" s="5">
        <f t="shared" si="1"/>
        <v>10</v>
      </c>
      <c r="G22" s="5">
        <f t="shared" si="1"/>
        <v>-7</v>
      </c>
      <c r="H22" s="5">
        <f t="shared" si="1"/>
        <v>-39</v>
      </c>
      <c r="I22" s="5">
        <f t="shared" si="1"/>
        <v>-40</v>
      </c>
      <c r="J22" s="5">
        <f t="shared" si="1"/>
        <v>-40</v>
      </c>
      <c r="K22" s="5">
        <f t="shared" si="1"/>
        <v>-11</v>
      </c>
      <c r="L22" s="5">
        <f t="shared" si="1"/>
        <v>-31</v>
      </c>
      <c r="M22" s="5">
        <f t="shared" si="1"/>
        <v>0</v>
      </c>
      <c r="N22" s="5">
        <f t="shared" si="1"/>
        <v>0</v>
      </c>
      <c r="O22" s="5">
        <f t="shared" si="1"/>
        <v>0</v>
      </c>
      <c r="P22" s="5">
        <f t="shared" si="1"/>
        <v>0</v>
      </c>
      <c r="Q22" s="5">
        <f t="shared" si="0"/>
        <v>-129</v>
      </c>
    </row>
    <row r="23" spans="3:17" x14ac:dyDescent="0.35">
      <c r="D23" s="3" t="s">
        <v>43</v>
      </c>
      <c r="E23" s="9">
        <f>E21/E19</f>
        <v>2</v>
      </c>
      <c r="F23" s="9">
        <f t="shared" ref="F23:P23" si="2">F20/F19</f>
        <v>2.25</v>
      </c>
      <c r="G23" s="9">
        <f t="shared" si="2"/>
        <v>0.65</v>
      </c>
      <c r="H23" s="9">
        <f t="shared" si="2"/>
        <v>0.22</v>
      </c>
      <c r="I23" s="9">
        <f t="shared" si="2"/>
        <v>0.2</v>
      </c>
      <c r="J23" s="9">
        <f t="shared" si="2"/>
        <v>0.2</v>
      </c>
      <c r="K23" s="9">
        <f t="shared" si="2"/>
        <v>0.75555555555555554</v>
      </c>
      <c r="L23" s="9">
        <f t="shared" si="2"/>
        <v>0.31111111111111112</v>
      </c>
      <c r="M23" s="9">
        <f t="shared" si="2"/>
        <v>0</v>
      </c>
      <c r="N23" s="9">
        <f t="shared" si="2"/>
        <v>0</v>
      </c>
      <c r="O23" s="9">
        <f t="shared" si="2"/>
        <v>0</v>
      </c>
      <c r="P23" s="9">
        <f t="shared" si="2"/>
        <v>0</v>
      </c>
    </row>
    <row r="25" spans="3:17" x14ac:dyDescent="0.35">
      <c r="C25" s="7" t="s">
        <v>3</v>
      </c>
      <c r="E25" s="11">
        <f>E18</f>
        <v>45839</v>
      </c>
      <c r="F25" s="11">
        <f t="shared" ref="F25:P25" si="3">F18</f>
        <v>45870</v>
      </c>
      <c r="G25" s="11">
        <f t="shared" si="3"/>
        <v>45901</v>
      </c>
      <c r="H25" s="11">
        <f t="shared" si="3"/>
        <v>45931</v>
      </c>
      <c r="I25" s="11">
        <f t="shared" si="3"/>
        <v>45962</v>
      </c>
      <c r="J25" s="11">
        <f t="shared" si="3"/>
        <v>45992</v>
      </c>
      <c r="K25" s="11">
        <f t="shared" si="3"/>
        <v>46023</v>
      </c>
      <c r="L25" s="11">
        <f t="shared" si="3"/>
        <v>46054</v>
      </c>
      <c r="M25" s="11">
        <f t="shared" si="3"/>
        <v>46082</v>
      </c>
      <c r="N25" s="11">
        <f t="shared" si="3"/>
        <v>46113</v>
      </c>
      <c r="O25" s="11">
        <f t="shared" si="3"/>
        <v>46143</v>
      </c>
      <c r="P25" s="11">
        <f t="shared" si="3"/>
        <v>46174</v>
      </c>
    </row>
    <row r="26" spans="3:17" x14ac:dyDescent="0.35">
      <c r="D26" s="3" t="str">
        <f>D19</f>
        <v>Budget 2025-26</v>
      </c>
      <c r="E26" s="5">
        <f>SUM($E19:E19)</f>
        <v>8</v>
      </c>
      <c r="F26" s="5">
        <f>SUM($E19:F19)</f>
        <v>16</v>
      </c>
      <c r="G26" s="5">
        <f>SUM($E19:G19)</f>
        <v>36</v>
      </c>
      <c r="H26" s="5">
        <f>SUM($E19:H19)</f>
        <v>86</v>
      </c>
      <c r="I26" s="5">
        <f>SUM($E19:I19)</f>
        <v>136</v>
      </c>
      <c r="J26" s="5">
        <f>SUM($E19:J19)</f>
        <v>186</v>
      </c>
      <c r="K26" s="5">
        <f>SUM($E19:K19)</f>
        <v>231</v>
      </c>
      <c r="L26" s="5">
        <f>SUM($E19:L19)</f>
        <v>276</v>
      </c>
      <c r="M26" s="5">
        <f>SUM($E19:M19)</f>
        <v>311</v>
      </c>
      <c r="N26" s="5">
        <f>SUM($E19:N19)</f>
        <v>341</v>
      </c>
      <c r="O26" s="5">
        <f>SUM($E19:O19)</f>
        <v>371</v>
      </c>
      <c r="P26" s="5">
        <f>SUM($E19:P19)</f>
        <v>399</v>
      </c>
    </row>
    <row r="27" spans="3:17" x14ac:dyDescent="0.35">
      <c r="D27" s="3" t="str">
        <f t="shared" ref="D27:D30" si="4">D20</f>
        <v>Actual 2025-26</v>
      </c>
      <c r="E27" s="5">
        <f>SUM($E20:E20)</f>
        <v>37</v>
      </c>
      <c r="F27" s="5">
        <f>SUM($E20:F20)</f>
        <v>55</v>
      </c>
      <c r="G27" s="5">
        <f>SUM($E20:G20)</f>
        <v>68</v>
      </c>
      <c r="H27" s="5">
        <f>SUM($E20:H20)</f>
        <v>79</v>
      </c>
      <c r="I27" s="5">
        <f>SUM($E20:I20)</f>
        <v>89</v>
      </c>
      <c r="J27" s="5">
        <f>SUM($E20:J20)</f>
        <v>99</v>
      </c>
      <c r="K27" s="5">
        <f>SUM($E20:K20)</f>
        <v>133</v>
      </c>
      <c r="L27" s="5">
        <f>SUM($E20:L20)</f>
        <v>147</v>
      </c>
      <c r="M27" s="5">
        <f>SUM($E20:M20)</f>
        <v>147</v>
      </c>
      <c r="N27" s="5">
        <f>SUM($E20:N20)</f>
        <v>147</v>
      </c>
      <c r="O27" s="5">
        <f>SUM($E20:O20)</f>
        <v>147</v>
      </c>
      <c r="P27" s="5">
        <f>SUM($E20:P20)</f>
        <v>147</v>
      </c>
    </row>
    <row r="28" spans="3:17" x14ac:dyDescent="0.35">
      <c r="D28" s="3" t="str">
        <f t="shared" si="4"/>
        <v>Actual 2024-25</v>
      </c>
      <c r="E28" s="5">
        <f>SUM($E21:E21)</f>
        <v>16</v>
      </c>
      <c r="F28" s="5">
        <f>SUM($E21:F21)</f>
        <v>27</v>
      </c>
      <c r="G28" s="5">
        <f>SUM($E21:G21)</f>
        <v>37</v>
      </c>
      <c r="H28" s="5">
        <f>SUM($E21:H21)</f>
        <v>39</v>
      </c>
      <c r="I28" s="5">
        <f>SUM($E21:I21)</f>
        <v>42</v>
      </c>
      <c r="J28" s="5">
        <f>SUM($E21:J21)</f>
        <v>42</v>
      </c>
      <c r="K28" s="5">
        <f>SUM($E21:K21)</f>
        <v>58</v>
      </c>
      <c r="L28" s="5">
        <f>SUM($E21:L21)</f>
        <v>68</v>
      </c>
      <c r="M28" s="5">
        <f>SUM($E21:M21)</f>
        <v>73</v>
      </c>
      <c r="N28" s="5">
        <f>SUM($E21:N21)</f>
        <v>80</v>
      </c>
      <c r="O28" s="5">
        <f>SUM($E21:O21)</f>
        <v>89</v>
      </c>
      <c r="P28" s="5">
        <f>SUM($E21:P21)</f>
        <v>101</v>
      </c>
    </row>
    <row r="29" spans="3:17" x14ac:dyDescent="0.35">
      <c r="D29" s="3" t="str">
        <f t="shared" si="4"/>
        <v>Difference</v>
      </c>
      <c r="E29" s="5">
        <f>SUM($E22:E22)</f>
        <v>29</v>
      </c>
      <c r="F29" s="5">
        <f>SUM($E22:F22)</f>
        <v>39</v>
      </c>
      <c r="G29" s="5">
        <f>SUM($E22:G22)</f>
        <v>32</v>
      </c>
      <c r="H29" s="5">
        <f>SUM($E22:H22)</f>
        <v>-7</v>
      </c>
      <c r="I29" s="5">
        <f>SUM($E22:I22)</f>
        <v>-47</v>
      </c>
      <c r="J29" s="5">
        <f>SUM($E22:J22)</f>
        <v>-87</v>
      </c>
      <c r="K29" s="5">
        <f>SUM($E22:K22)</f>
        <v>-98</v>
      </c>
      <c r="L29" s="5">
        <f>SUM($E22:L22)</f>
        <v>-129</v>
      </c>
      <c r="M29" s="5">
        <f>SUM($E22:M22)</f>
        <v>-129</v>
      </c>
      <c r="N29" s="5">
        <f>SUM($E22:N22)</f>
        <v>-129</v>
      </c>
      <c r="O29" s="5">
        <f>SUM($E22:O22)</f>
        <v>-129</v>
      </c>
      <c r="P29" s="5">
        <f>SUM($E22:P22)</f>
        <v>-129</v>
      </c>
    </row>
    <row r="30" spans="3:17" x14ac:dyDescent="0.35">
      <c r="D30" s="3" t="str">
        <f t="shared" si="4"/>
        <v>Realisation</v>
      </c>
      <c r="E30" s="9">
        <f>E28/E26</f>
        <v>2</v>
      </c>
      <c r="F30" s="9">
        <f t="shared" ref="F30:P30" si="5">F27/F26</f>
        <v>3.4375</v>
      </c>
      <c r="G30" s="9">
        <f t="shared" si="5"/>
        <v>1.8888888888888888</v>
      </c>
      <c r="H30" s="9">
        <f t="shared" si="5"/>
        <v>0.91860465116279066</v>
      </c>
      <c r="I30" s="9">
        <f t="shared" si="5"/>
        <v>0.65441176470588236</v>
      </c>
      <c r="J30" s="9">
        <f t="shared" si="5"/>
        <v>0.532258064516129</v>
      </c>
      <c r="K30" s="9">
        <f t="shared" si="5"/>
        <v>0.5757575757575758</v>
      </c>
      <c r="L30" s="9">
        <f t="shared" si="5"/>
        <v>0.53260869565217395</v>
      </c>
      <c r="M30" s="9">
        <f t="shared" si="5"/>
        <v>0.47266881028938906</v>
      </c>
      <c r="N30" s="9">
        <f t="shared" si="5"/>
        <v>0.4310850439882698</v>
      </c>
      <c r="O30" s="9">
        <f t="shared" si="5"/>
        <v>0.39622641509433965</v>
      </c>
      <c r="P30" s="9">
        <f t="shared" si="5"/>
        <v>0.36842105263157893</v>
      </c>
    </row>
  </sheetData>
  <mergeCells count="2">
    <mergeCell ref="J4:Q8"/>
    <mergeCell ref="J10:Q15"/>
  </mergeCells>
  <conditionalFormatting sqref="C3">
    <cfRule type="expression" dxfId="545" priority="2">
      <formula>S4&lt;S6</formula>
    </cfRule>
  </conditionalFormatting>
  <conditionalFormatting sqref="C5">
    <cfRule type="expression" dxfId="544" priority="3">
      <formula>S4&gt;=S5</formula>
    </cfRule>
  </conditionalFormatting>
  <conditionalFormatting sqref="C4">
    <cfRule type="expression" dxfId="543" priority="1">
      <formula>AND(S4&gt;=S6,S4&lt;S5)</formula>
    </cfRule>
  </conditionalFormatting>
  <hyperlinks>
    <hyperlink ref="L1" location="Dashboard!A1" display="Dashboard"/>
  </hyperlinks>
  <pageMargins left="0.7" right="0.7" top="0.75" bottom="0.75" header="0.3" footer="0.3"/>
  <pageSetup orientation="portrait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942081" r:id="rId4" name="Spinner 1">
              <controlPr defaultSize="0" autoPict="0">
                <anchor moveWithCells="1" sizeWithCells="1">
                  <from>
                    <xdr:col>9</xdr:col>
                    <xdr:colOff>19050</xdr:colOff>
                    <xdr:row>0</xdr:row>
                    <xdr:rowOff>38100</xdr:rowOff>
                  </from>
                  <to>
                    <xdr:col>9</xdr:col>
                    <xdr:colOff>400050</xdr:colOff>
                    <xdr:row>1</xdr:row>
                    <xdr:rowOff>152400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12">
    <tabColor rgb="FFFFC000"/>
  </sheetPr>
  <dimension ref="A1:S30"/>
  <sheetViews>
    <sheetView zoomScale="90" zoomScaleNormal="90" workbookViewId="0">
      <selection activeCell="L1" sqref="L1"/>
    </sheetView>
  </sheetViews>
  <sheetFormatPr defaultColWidth="9.1796875" defaultRowHeight="14.5" x14ac:dyDescent="0.35"/>
  <cols>
    <col min="1" max="1" width="9.1796875" style="3"/>
    <col min="2" max="2" width="5.1796875" style="3" customWidth="1"/>
    <col min="3" max="3" width="6.26953125" style="3" customWidth="1"/>
    <col min="4" max="4" width="21.26953125" style="3" bestFit="1" customWidth="1"/>
    <col min="5" max="16" width="11.1796875" style="3" customWidth="1"/>
    <col min="17" max="17" width="12" style="3" bestFit="1" customWidth="1"/>
    <col min="18" max="18" width="9.1796875" style="3" customWidth="1"/>
    <col min="19" max="16384" width="9.1796875" style="3"/>
  </cols>
  <sheetData>
    <row r="1" spans="1:19" ht="21" x14ac:dyDescent="0.5">
      <c r="A1" s="4" t="s">
        <v>4</v>
      </c>
      <c r="B1" s="4">
        <f>Dashboard!A15</f>
        <v>2</v>
      </c>
      <c r="C1" s="4" t="str">
        <f>Dashboard!B15</f>
        <v>KAMERE- NEW WATER</v>
      </c>
      <c r="G1" s="3" t="s">
        <v>9</v>
      </c>
      <c r="I1" s="12">
        <f>INDEX($E$18:$P$18,Actual_month)</f>
        <v>46054</v>
      </c>
      <c r="L1" s="16" t="s">
        <v>19</v>
      </c>
      <c r="R1" s="5"/>
    </row>
    <row r="2" spans="1:19" x14ac:dyDescent="0.35">
      <c r="A2" s="3" t="s">
        <v>13</v>
      </c>
      <c r="C2" s="3" t="s">
        <v>27</v>
      </c>
      <c r="R2" s="6"/>
    </row>
    <row r="3" spans="1:19" ht="25.5" customHeight="1" thickBot="1" x14ac:dyDescent="0.4">
      <c r="C3" s="1" t="s">
        <v>5</v>
      </c>
      <c r="E3" s="10"/>
      <c r="F3" s="10"/>
      <c r="G3" s="10"/>
      <c r="H3" s="10"/>
      <c r="I3" s="10"/>
      <c r="J3" s="3" t="s">
        <v>6</v>
      </c>
      <c r="K3" s="10"/>
      <c r="M3" s="10"/>
      <c r="N3" s="10"/>
      <c r="O3" s="10"/>
      <c r="P3" s="10"/>
    </row>
    <row r="4" spans="1:19" ht="25.5" customHeight="1" x14ac:dyDescent="0.35">
      <c r="C4" s="1" t="s">
        <v>5</v>
      </c>
      <c r="E4" s="10"/>
      <c r="F4" s="10"/>
      <c r="G4" s="10"/>
      <c r="H4" s="10"/>
      <c r="I4" s="10"/>
      <c r="J4" s="401"/>
      <c r="K4" s="402"/>
      <c r="L4" s="402"/>
      <c r="M4" s="402"/>
      <c r="N4" s="402"/>
      <c r="O4" s="402"/>
      <c r="P4" s="402"/>
      <c r="Q4" s="403"/>
      <c r="R4" s="3" t="s">
        <v>22</v>
      </c>
      <c r="S4" s="5">
        <f>INDEX(E27:P27,Actual_month)</f>
        <v>147</v>
      </c>
    </row>
    <row r="5" spans="1:19" ht="25.5" customHeight="1" x14ac:dyDescent="0.35">
      <c r="C5" s="1" t="s">
        <v>5</v>
      </c>
      <c r="E5" s="10"/>
      <c r="F5" s="10"/>
      <c r="G5" s="10"/>
      <c r="H5" s="10"/>
      <c r="I5" s="10"/>
      <c r="J5" s="404"/>
      <c r="K5" s="405"/>
      <c r="L5" s="405"/>
      <c r="M5" s="405"/>
      <c r="N5" s="405"/>
      <c r="O5" s="405"/>
      <c r="P5" s="405"/>
      <c r="Q5" s="406"/>
      <c r="R5" s="3" t="s">
        <v>23</v>
      </c>
      <c r="S5" s="5">
        <f>INDEX(E26:P26,Actual_month)</f>
        <v>68</v>
      </c>
    </row>
    <row r="6" spans="1:19" x14ac:dyDescent="0.35">
      <c r="J6" s="404"/>
      <c r="K6" s="405"/>
      <c r="L6" s="405"/>
      <c r="M6" s="405"/>
      <c r="N6" s="405"/>
      <c r="O6" s="405"/>
      <c r="P6" s="405"/>
      <c r="Q6" s="406"/>
      <c r="R6" s="6">
        <v>0.9</v>
      </c>
      <c r="S6" s="5">
        <f>+S5*R6</f>
        <v>61.2</v>
      </c>
    </row>
    <row r="7" spans="1:19" x14ac:dyDescent="0.35">
      <c r="J7" s="404"/>
      <c r="K7" s="405"/>
      <c r="L7" s="405"/>
      <c r="M7" s="405"/>
      <c r="N7" s="405"/>
      <c r="O7" s="405"/>
      <c r="P7" s="405"/>
      <c r="Q7" s="406"/>
    </row>
    <row r="8" spans="1:19" ht="15" thickBot="1" x14ac:dyDescent="0.4">
      <c r="J8" s="407"/>
      <c r="K8" s="408"/>
      <c r="L8" s="408"/>
      <c r="M8" s="408"/>
      <c r="N8" s="408"/>
      <c r="O8" s="408"/>
      <c r="P8" s="408"/>
      <c r="Q8" s="409"/>
    </row>
    <row r="9" spans="1:19" ht="15" thickBot="1" x14ac:dyDescent="0.4">
      <c r="J9" s="3" t="s">
        <v>12</v>
      </c>
    </row>
    <row r="10" spans="1:19" x14ac:dyDescent="0.35">
      <c r="J10" s="401"/>
      <c r="K10" s="402"/>
      <c r="L10" s="402"/>
      <c r="M10" s="402"/>
      <c r="N10" s="402"/>
      <c r="O10" s="402"/>
      <c r="P10" s="402"/>
      <c r="Q10" s="403"/>
    </row>
    <row r="11" spans="1:19" x14ac:dyDescent="0.35">
      <c r="J11" s="404"/>
      <c r="K11" s="405"/>
      <c r="L11" s="405"/>
      <c r="M11" s="405"/>
      <c r="N11" s="405"/>
      <c r="O11" s="405"/>
      <c r="P11" s="405"/>
      <c r="Q11" s="406"/>
    </row>
    <row r="12" spans="1:19" x14ac:dyDescent="0.35">
      <c r="J12" s="404"/>
      <c r="K12" s="405"/>
      <c r="L12" s="405"/>
      <c r="M12" s="405"/>
      <c r="N12" s="405"/>
      <c r="O12" s="405"/>
      <c r="P12" s="405"/>
      <c r="Q12" s="406"/>
    </row>
    <row r="13" spans="1:19" x14ac:dyDescent="0.35">
      <c r="J13" s="404"/>
      <c r="K13" s="405"/>
      <c r="L13" s="405"/>
      <c r="M13" s="405"/>
      <c r="N13" s="405"/>
      <c r="O13" s="405"/>
      <c r="P13" s="405"/>
      <c r="Q13" s="406"/>
    </row>
    <row r="14" spans="1:19" x14ac:dyDescent="0.35">
      <c r="J14" s="404"/>
      <c r="K14" s="405"/>
      <c r="L14" s="405"/>
      <c r="M14" s="405"/>
      <c r="N14" s="405"/>
      <c r="O14" s="405"/>
      <c r="P14" s="405"/>
      <c r="Q14" s="406"/>
    </row>
    <row r="15" spans="1:19" ht="15" thickBot="1" x14ac:dyDescent="0.4">
      <c r="J15" s="407"/>
      <c r="K15" s="408"/>
      <c r="L15" s="408"/>
      <c r="M15" s="408"/>
      <c r="N15" s="408"/>
      <c r="O15" s="408"/>
      <c r="P15" s="408"/>
      <c r="Q15" s="409"/>
    </row>
    <row r="18" spans="3:17" x14ac:dyDescent="0.35">
      <c r="C18" s="7" t="s">
        <v>8</v>
      </c>
      <c r="E18" s="11">
        <f>'KPI 1'!E18</f>
        <v>45839</v>
      </c>
      <c r="F18" s="11">
        <f>'KPI 1'!F18</f>
        <v>45870</v>
      </c>
      <c r="G18" s="11">
        <f>'KPI 1'!G18</f>
        <v>45901</v>
      </c>
      <c r="H18" s="11">
        <f>'KPI 1'!H18</f>
        <v>45931</v>
      </c>
      <c r="I18" s="11">
        <f>'KPI 1'!I18</f>
        <v>45962</v>
      </c>
      <c r="J18" s="11">
        <f>'KPI 1'!J18</f>
        <v>45992</v>
      </c>
      <c r="K18" s="11">
        <f>'KPI 1'!K18</f>
        <v>46023</v>
      </c>
      <c r="L18" s="11">
        <f>'KPI 1'!L18</f>
        <v>46054</v>
      </c>
      <c r="M18" s="11">
        <f>'KPI 1'!M18</f>
        <v>46082</v>
      </c>
      <c r="N18" s="11">
        <f>'KPI 1'!N18</f>
        <v>46113</v>
      </c>
      <c r="O18" s="11">
        <f>'KPI 1'!O18</f>
        <v>46143</v>
      </c>
      <c r="P18" s="11">
        <f>'KPI 1'!P18</f>
        <v>46174</v>
      </c>
      <c r="Q18" s="8" t="s">
        <v>0</v>
      </c>
    </row>
    <row r="19" spans="3:17" x14ac:dyDescent="0.35">
      <c r="D19" s="3" t="str">
        <f>'KPI 1'!D19</f>
        <v>Budget 2025-26</v>
      </c>
      <c r="E19" s="5">
        <f>'budget 2025-26'!D15</f>
        <v>1</v>
      </c>
      <c r="F19" s="5">
        <f>'budget 2025-26'!E15</f>
        <v>1</v>
      </c>
      <c r="G19" s="5">
        <f>'budget 2025-26'!F15</f>
        <v>1</v>
      </c>
      <c r="H19" s="5">
        <f>'budget 2025-26'!G15</f>
        <v>21</v>
      </c>
      <c r="I19" s="5">
        <f>'budget 2025-26'!H15</f>
        <v>11</v>
      </c>
      <c r="J19" s="5">
        <f>'budget 2025-26'!I15</f>
        <v>11</v>
      </c>
      <c r="K19" s="5">
        <f>'budget 2025-26'!J15</f>
        <v>11</v>
      </c>
      <c r="L19" s="5">
        <f>'budget 2025-26'!K15</f>
        <v>11</v>
      </c>
      <c r="M19" s="5">
        <f>'budget 2025-26'!L15</f>
        <v>11</v>
      </c>
      <c r="N19" s="5">
        <f>'budget 2025-26'!M15</f>
        <v>11</v>
      </c>
      <c r="O19" s="5">
        <f>'budget 2025-26'!N15</f>
        <v>11</v>
      </c>
      <c r="P19" s="5">
        <f>'budget 2025-26'!O15</f>
        <v>11</v>
      </c>
      <c r="Q19" s="5">
        <f>SUM(E19:P19)</f>
        <v>112</v>
      </c>
    </row>
    <row r="20" spans="3:17" x14ac:dyDescent="0.35">
      <c r="D20" s="3" t="str">
        <f>'KPI 1'!D20</f>
        <v>Actual 2025-26</v>
      </c>
      <c r="E20" s="5">
        <f>'Input Actual2025-26'!E14</f>
        <v>37</v>
      </c>
      <c r="F20" s="5">
        <f>'Input Actual2025-26'!F14</f>
        <v>18</v>
      </c>
      <c r="G20" s="5">
        <f>'Input Actual2025-26'!G14</f>
        <v>13</v>
      </c>
      <c r="H20" s="5">
        <f>'Input Actual2025-26'!H14</f>
        <v>11</v>
      </c>
      <c r="I20" s="5">
        <f>'Input Actual2025-26'!I14</f>
        <v>10</v>
      </c>
      <c r="J20" s="5">
        <f>'Input Actual2025-26'!J14</f>
        <v>10</v>
      </c>
      <c r="K20" s="5">
        <f>'Input Actual2025-26'!K14</f>
        <v>34</v>
      </c>
      <c r="L20" s="5">
        <f>'Input Actual2025-26'!L14</f>
        <v>14</v>
      </c>
      <c r="M20" s="5">
        <f>'Input Actual2025-26'!M14</f>
        <v>0</v>
      </c>
      <c r="N20" s="5">
        <f>'Input Actual2025-26'!N14</f>
        <v>0</v>
      </c>
      <c r="O20" s="5">
        <f>'Input Actual2025-26'!O14</f>
        <v>0</v>
      </c>
      <c r="P20" s="5">
        <f>'Input Actual2025-26'!P14</f>
        <v>0</v>
      </c>
      <c r="Q20" s="5">
        <f t="shared" ref="Q20:Q22" si="0">SUM(E20:P20)</f>
        <v>147</v>
      </c>
    </row>
    <row r="21" spans="3:17" x14ac:dyDescent="0.35">
      <c r="D21" s="3" t="s">
        <v>424</v>
      </c>
      <c r="E21" s="5">
        <f>'Input Actual2024-25'!E14</f>
        <v>13</v>
      </c>
      <c r="F21" s="5">
        <f>'Input Actual2024-25'!F14</f>
        <v>8</v>
      </c>
      <c r="G21" s="5">
        <f>'Input Actual2024-25'!G14</f>
        <v>-1</v>
      </c>
      <c r="H21" s="5">
        <f>'Input Actual2024-25'!H14</f>
        <v>0</v>
      </c>
      <c r="I21" s="5">
        <f>'Input Actual2024-25'!I14</f>
        <v>1</v>
      </c>
      <c r="J21" s="5">
        <f>'Input Actual2024-25'!J14</f>
        <v>1</v>
      </c>
      <c r="K21" s="5">
        <f>'Input Actual2024-25'!K14</f>
        <v>13</v>
      </c>
      <c r="L21" s="5">
        <f>'Input Actual2024-25'!L14</f>
        <v>12</v>
      </c>
      <c r="M21" s="5">
        <f>'Input Actual2024-25'!M14</f>
        <v>16</v>
      </c>
      <c r="N21" s="5">
        <f>'Input Actual2024-25'!N14</f>
        <v>16</v>
      </c>
      <c r="O21" s="5">
        <f>'Input Actual2024-25'!O14</f>
        <v>17</v>
      </c>
      <c r="P21" s="5">
        <f>'Input Actual2024-25'!P14</f>
        <v>16</v>
      </c>
      <c r="Q21" s="5">
        <f t="shared" si="0"/>
        <v>112</v>
      </c>
    </row>
    <row r="22" spans="3:17" x14ac:dyDescent="0.35">
      <c r="D22" s="3" t="s">
        <v>7</v>
      </c>
      <c r="E22" s="5">
        <f t="shared" ref="E22:P22" si="1">IF(E20=0,0,E20-E19)</f>
        <v>36</v>
      </c>
      <c r="F22" s="5">
        <f t="shared" si="1"/>
        <v>17</v>
      </c>
      <c r="G22" s="5">
        <f t="shared" si="1"/>
        <v>12</v>
      </c>
      <c r="H22" s="5">
        <f t="shared" si="1"/>
        <v>-10</v>
      </c>
      <c r="I22" s="5">
        <f t="shared" si="1"/>
        <v>-1</v>
      </c>
      <c r="J22" s="5">
        <f t="shared" si="1"/>
        <v>-1</v>
      </c>
      <c r="K22" s="5">
        <f t="shared" si="1"/>
        <v>23</v>
      </c>
      <c r="L22" s="5">
        <f t="shared" si="1"/>
        <v>3</v>
      </c>
      <c r="M22" s="5">
        <f t="shared" si="1"/>
        <v>0</v>
      </c>
      <c r="N22" s="5">
        <f t="shared" si="1"/>
        <v>0</v>
      </c>
      <c r="O22" s="5">
        <f t="shared" si="1"/>
        <v>0</v>
      </c>
      <c r="P22" s="5">
        <f t="shared" si="1"/>
        <v>0</v>
      </c>
      <c r="Q22" s="5">
        <f t="shared" si="0"/>
        <v>79</v>
      </c>
    </row>
    <row r="23" spans="3:17" x14ac:dyDescent="0.35">
      <c r="D23" s="3" t="s">
        <v>43</v>
      </c>
      <c r="E23" s="9">
        <f>E21/E19</f>
        <v>13</v>
      </c>
      <c r="F23" s="9">
        <f t="shared" ref="F23:P23" si="2">F20/F19</f>
        <v>18</v>
      </c>
      <c r="G23" s="9">
        <f t="shared" si="2"/>
        <v>13</v>
      </c>
      <c r="H23" s="9">
        <f t="shared" si="2"/>
        <v>0.52380952380952384</v>
      </c>
      <c r="I23" s="9">
        <f t="shared" si="2"/>
        <v>0.90909090909090906</v>
      </c>
      <c r="J23" s="9">
        <f t="shared" si="2"/>
        <v>0.90909090909090906</v>
      </c>
      <c r="K23" s="9">
        <f t="shared" si="2"/>
        <v>3.0909090909090908</v>
      </c>
      <c r="L23" s="9">
        <f t="shared" si="2"/>
        <v>1.2727272727272727</v>
      </c>
      <c r="M23" s="9">
        <f t="shared" si="2"/>
        <v>0</v>
      </c>
      <c r="N23" s="9">
        <f t="shared" si="2"/>
        <v>0</v>
      </c>
      <c r="O23" s="9">
        <f t="shared" si="2"/>
        <v>0</v>
      </c>
      <c r="P23" s="9">
        <f t="shared" si="2"/>
        <v>0</v>
      </c>
    </row>
    <row r="25" spans="3:17" x14ac:dyDescent="0.35">
      <c r="C25" s="7" t="s">
        <v>3</v>
      </c>
      <c r="E25" s="11">
        <f>E18</f>
        <v>45839</v>
      </c>
      <c r="F25" s="11">
        <f t="shared" ref="F25:P25" si="3">F18</f>
        <v>45870</v>
      </c>
      <c r="G25" s="11">
        <f t="shared" si="3"/>
        <v>45901</v>
      </c>
      <c r="H25" s="11">
        <f t="shared" si="3"/>
        <v>45931</v>
      </c>
      <c r="I25" s="11">
        <f t="shared" si="3"/>
        <v>45962</v>
      </c>
      <c r="J25" s="11">
        <f t="shared" si="3"/>
        <v>45992</v>
      </c>
      <c r="K25" s="11">
        <f t="shared" si="3"/>
        <v>46023</v>
      </c>
      <c r="L25" s="11">
        <f t="shared" si="3"/>
        <v>46054</v>
      </c>
      <c r="M25" s="11">
        <f t="shared" si="3"/>
        <v>46082</v>
      </c>
      <c r="N25" s="11">
        <f t="shared" si="3"/>
        <v>46113</v>
      </c>
      <c r="O25" s="11">
        <f t="shared" si="3"/>
        <v>46143</v>
      </c>
      <c r="P25" s="11">
        <f t="shared" si="3"/>
        <v>46174</v>
      </c>
    </row>
    <row r="26" spans="3:17" x14ac:dyDescent="0.35">
      <c r="D26" s="3" t="str">
        <f>D19</f>
        <v>Budget 2025-26</v>
      </c>
      <c r="E26" s="5">
        <f>SUM($E19:E19)</f>
        <v>1</v>
      </c>
      <c r="F26" s="5">
        <f>SUM($E19:F19)</f>
        <v>2</v>
      </c>
      <c r="G26" s="5">
        <f>SUM($E19:G19)</f>
        <v>3</v>
      </c>
      <c r="H26" s="5">
        <f>SUM($E19:H19)</f>
        <v>24</v>
      </c>
      <c r="I26" s="5">
        <f>SUM($E19:I19)</f>
        <v>35</v>
      </c>
      <c r="J26" s="5">
        <f>SUM($E19:J19)</f>
        <v>46</v>
      </c>
      <c r="K26" s="5">
        <f>SUM($E19:K19)</f>
        <v>57</v>
      </c>
      <c r="L26" s="5">
        <f>SUM($E19:L19)</f>
        <v>68</v>
      </c>
      <c r="M26" s="5">
        <f>SUM($E19:M19)</f>
        <v>79</v>
      </c>
      <c r="N26" s="5">
        <f>SUM($E19:N19)</f>
        <v>90</v>
      </c>
      <c r="O26" s="5">
        <f>SUM($E19:O19)</f>
        <v>101</v>
      </c>
      <c r="P26" s="5">
        <f>SUM($E19:P19)</f>
        <v>112</v>
      </c>
    </row>
    <row r="27" spans="3:17" x14ac:dyDescent="0.35">
      <c r="D27" s="3" t="str">
        <f t="shared" ref="D27:D30" si="4">D20</f>
        <v>Actual 2025-26</v>
      </c>
      <c r="E27" s="5">
        <f>SUM($E20:E20)</f>
        <v>37</v>
      </c>
      <c r="F27" s="5">
        <f>SUM($E20:F20)</f>
        <v>55</v>
      </c>
      <c r="G27" s="5">
        <f>SUM($E20:G20)</f>
        <v>68</v>
      </c>
      <c r="H27" s="5">
        <f>SUM($E20:H20)</f>
        <v>79</v>
      </c>
      <c r="I27" s="5">
        <f>SUM($E20:I20)</f>
        <v>89</v>
      </c>
      <c r="J27" s="5">
        <f>SUM($E20:J20)</f>
        <v>99</v>
      </c>
      <c r="K27" s="5">
        <f>SUM($E20:K20)</f>
        <v>133</v>
      </c>
      <c r="L27" s="5">
        <f>SUM($E20:L20)</f>
        <v>147</v>
      </c>
      <c r="M27" s="5">
        <f>SUM($E20:M20)</f>
        <v>147</v>
      </c>
      <c r="N27" s="5">
        <f>SUM($E20:N20)</f>
        <v>147</v>
      </c>
      <c r="O27" s="5">
        <f>SUM($E20:O20)</f>
        <v>147</v>
      </c>
      <c r="P27" s="5">
        <f>SUM($E20:P20)</f>
        <v>147</v>
      </c>
    </row>
    <row r="28" spans="3:17" x14ac:dyDescent="0.35">
      <c r="D28" s="3" t="str">
        <f t="shared" si="4"/>
        <v>Actual 2024-25</v>
      </c>
      <c r="E28" s="5">
        <f>SUM($E21:E21)</f>
        <v>13</v>
      </c>
      <c r="F28" s="5">
        <f>SUM($E21:F21)</f>
        <v>21</v>
      </c>
      <c r="G28" s="5">
        <f>SUM($E21:G21)</f>
        <v>20</v>
      </c>
      <c r="H28" s="5">
        <f>SUM($E21:H21)</f>
        <v>20</v>
      </c>
      <c r="I28" s="5">
        <f>SUM($E21:I21)</f>
        <v>21</v>
      </c>
      <c r="J28" s="5">
        <f>SUM($E21:J21)</f>
        <v>22</v>
      </c>
      <c r="K28" s="5">
        <f>SUM($E21:K21)</f>
        <v>35</v>
      </c>
      <c r="L28" s="5">
        <f>SUM($E21:L21)</f>
        <v>47</v>
      </c>
      <c r="M28" s="5">
        <f>SUM($E21:M21)</f>
        <v>63</v>
      </c>
      <c r="N28" s="5">
        <f>SUM($E21:N21)</f>
        <v>79</v>
      </c>
      <c r="O28" s="5">
        <f>SUM($E21:O21)</f>
        <v>96</v>
      </c>
      <c r="P28" s="5">
        <f>SUM($E21:P21)</f>
        <v>112</v>
      </c>
    </row>
    <row r="29" spans="3:17" x14ac:dyDescent="0.35">
      <c r="D29" s="3" t="str">
        <f t="shared" si="4"/>
        <v>Difference</v>
      </c>
      <c r="E29" s="5">
        <f>SUM($E22:E22)</f>
        <v>36</v>
      </c>
      <c r="F29" s="5">
        <f>SUM($E22:F22)</f>
        <v>53</v>
      </c>
      <c r="G29" s="5">
        <f>SUM($E22:G22)</f>
        <v>65</v>
      </c>
      <c r="H29" s="5">
        <f>SUM($E22:H22)</f>
        <v>55</v>
      </c>
      <c r="I29" s="5">
        <f>SUM($E22:I22)</f>
        <v>54</v>
      </c>
      <c r="J29" s="5">
        <f>SUM($E22:J22)</f>
        <v>53</v>
      </c>
      <c r="K29" s="5">
        <f>SUM($E22:K22)</f>
        <v>76</v>
      </c>
      <c r="L29" s="5">
        <f>SUM($E22:L22)</f>
        <v>79</v>
      </c>
      <c r="M29" s="5">
        <f>SUM($E22:M22)</f>
        <v>79</v>
      </c>
      <c r="N29" s="5">
        <f>SUM($E22:N22)</f>
        <v>79</v>
      </c>
      <c r="O29" s="5">
        <f>SUM($E22:O22)</f>
        <v>79</v>
      </c>
      <c r="P29" s="5">
        <f>SUM($E22:P22)</f>
        <v>79</v>
      </c>
    </row>
    <row r="30" spans="3:17" x14ac:dyDescent="0.35">
      <c r="D30" s="3" t="str">
        <f t="shared" si="4"/>
        <v>Realisation</v>
      </c>
      <c r="E30" s="9">
        <f>E28/E26</f>
        <v>13</v>
      </c>
      <c r="F30" s="9">
        <f t="shared" ref="F30:P30" si="5">F27/F26</f>
        <v>27.5</v>
      </c>
      <c r="G30" s="9">
        <f t="shared" si="5"/>
        <v>22.666666666666668</v>
      </c>
      <c r="H30" s="9">
        <f t="shared" si="5"/>
        <v>3.2916666666666665</v>
      </c>
      <c r="I30" s="9">
        <f t="shared" si="5"/>
        <v>2.5428571428571427</v>
      </c>
      <c r="J30" s="9">
        <f t="shared" si="5"/>
        <v>2.152173913043478</v>
      </c>
      <c r="K30" s="9">
        <f t="shared" si="5"/>
        <v>2.3333333333333335</v>
      </c>
      <c r="L30" s="9">
        <f t="shared" si="5"/>
        <v>2.1617647058823528</v>
      </c>
      <c r="M30" s="9">
        <f t="shared" si="5"/>
        <v>1.860759493670886</v>
      </c>
      <c r="N30" s="9">
        <f t="shared" si="5"/>
        <v>1.6333333333333333</v>
      </c>
      <c r="O30" s="9">
        <f t="shared" si="5"/>
        <v>1.4554455445544554</v>
      </c>
      <c r="P30" s="9">
        <f t="shared" si="5"/>
        <v>1.3125</v>
      </c>
    </row>
  </sheetData>
  <mergeCells count="2">
    <mergeCell ref="J4:Q8"/>
    <mergeCell ref="J10:Q15"/>
  </mergeCells>
  <conditionalFormatting sqref="C3">
    <cfRule type="expression" dxfId="542" priority="2">
      <formula>S4&lt;S6</formula>
    </cfRule>
  </conditionalFormatting>
  <conditionalFormatting sqref="C5">
    <cfRule type="expression" dxfId="541" priority="3">
      <formula>S4&gt;=S5</formula>
    </cfRule>
  </conditionalFormatting>
  <conditionalFormatting sqref="C4">
    <cfRule type="expression" dxfId="540" priority="1">
      <formula>AND(S4&gt;=S6,S4&lt;S5)</formula>
    </cfRule>
  </conditionalFormatting>
  <hyperlinks>
    <hyperlink ref="L1" location="Dashboard!A1" display="Dashboard"/>
  </hyperlinks>
  <pageMargins left="0.7" right="0.7" top="0.75" bottom="0.75" header="0.3" footer="0.3"/>
  <pageSetup orientation="portrait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943105" r:id="rId4" name="Spinner 1">
              <controlPr defaultSize="0" autoPict="0">
                <anchor moveWithCells="1" sizeWithCells="1">
                  <from>
                    <xdr:col>9</xdr:col>
                    <xdr:colOff>19050</xdr:colOff>
                    <xdr:row>0</xdr:row>
                    <xdr:rowOff>38100</xdr:rowOff>
                  </from>
                  <to>
                    <xdr:col>9</xdr:col>
                    <xdr:colOff>400050</xdr:colOff>
                    <xdr:row>1</xdr:row>
                    <xdr:rowOff>152400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FFC000"/>
  </sheetPr>
  <dimension ref="A1:S30"/>
  <sheetViews>
    <sheetView topLeftCell="D1" workbookViewId="0">
      <selection activeCell="L1" sqref="L1"/>
    </sheetView>
  </sheetViews>
  <sheetFormatPr defaultColWidth="9.1796875" defaultRowHeight="14.5" x14ac:dyDescent="0.35"/>
  <cols>
    <col min="1" max="1" width="9.1796875" style="3"/>
    <col min="2" max="2" width="5.1796875" style="3" customWidth="1"/>
    <col min="3" max="3" width="15.26953125" style="3" customWidth="1"/>
    <col min="4" max="4" width="21.26953125" style="3" bestFit="1" customWidth="1"/>
    <col min="5" max="16" width="11.1796875" style="3" customWidth="1"/>
    <col min="17" max="17" width="12" style="3" bestFit="1" customWidth="1"/>
    <col min="18" max="18" width="9.1796875" style="3" customWidth="1"/>
    <col min="19" max="16384" width="9.1796875" style="3"/>
  </cols>
  <sheetData>
    <row r="1" spans="1:19" ht="21" x14ac:dyDescent="0.5">
      <c r="A1" s="4" t="s">
        <v>4</v>
      </c>
      <c r="B1" s="4">
        <f>Dashboard!A17</f>
        <v>4</v>
      </c>
      <c r="C1" s="4" t="str">
        <f>Dashboard!B17</f>
        <v>LONGONOT- NEW WATER</v>
      </c>
      <c r="D1" s="4" t="str">
        <f>Dashboard!C17</f>
        <v>No.</v>
      </c>
      <c r="G1" s="3" t="s">
        <v>9</v>
      </c>
      <c r="I1" s="12">
        <f>INDEX($E$18:$P$18,Actual_month)</f>
        <v>46054</v>
      </c>
      <c r="L1" s="16" t="s">
        <v>19</v>
      </c>
      <c r="R1" s="5"/>
    </row>
    <row r="2" spans="1:19" x14ac:dyDescent="0.35">
      <c r="A2" s="3" t="s">
        <v>13</v>
      </c>
      <c r="C2" s="3" t="s">
        <v>27</v>
      </c>
      <c r="R2" s="6"/>
    </row>
    <row r="3" spans="1:19" ht="25.5" customHeight="1" thickBot="1" x14ac:dyDescent="0.4">
      <c r="C3" s="1" t="s">
        <v>5</v>
      </c>
      <c r="E3" s="10"/>
      <c r="F3" s="10"/>
      <c r="G3" s="10"/>
      <c r="H3" s="10"/>
      <c r="I3" s="10"/>
      <c r="J3" s="3" t="s">
        <v>6</v>
      </c>
      <c r="K3" s="10"/>
      <c r="M3" s="10"/>
      <c r="N3" s="10"/>
      <c r="O3" s="10"/>
      <c r="P3" s="10"/>
    </row>
    <row r="4" spans="1:19" ht="25.5" customHeight="1" x14ac:dyDescent="0.35">
      <c r="C4" s="1" t="s">
        <v>5</v>
      </c>
      <c r="E4" s="10"/>
      <c r="F4" s="10"/>
      <c r="G4" s="10"/>
      <c r="H4" s="10"/>
      <c r="I4" s="10"/>
      <c r="J4" s="401"/>
      <c r="K4" s="402"/>
      <c r="L4" s="402"/>
      <c r="M4" s="402"/>
      <c r="N4" s="402"/>
      <c r="O4" s="402"/>
      <c r="P4" s="402"/>
      <c r="Q4" s="403"/>
      <c r="R4" s="3" t="s">
        <v>22</v>
      </c>
      <c r="S4" s="5">
        <f>INDEX(E27:P27,Actual_month)</f>
        <v>71</v>
      </c>
    </row>
    <row r="5" spans="1:19" ht="25.5" customHeight="1" x14ac:dyDescent="0.35">
      <c r="C5" s="1" t="s">
        <v>5</v>
      </c>
      <c r="E5" s="10"/>
      <c r="F5" s="10"/>
      <c r="G5" s="10"/>
      <c r="H5" s="10"/>
      <c r="I5" s="10"/>
      <c r="J5" s="404"/>
      <c r="K5" s="405"/>
      <c r="L5" s="405"/>
      <c r="M5" s="405"/>
      <c r="N5" s="405"/>
      <c r="O5" s="405"/>
      <c r="P5" s="405"/>
      <c r="Q5" s="406"/>
      <c r="R5" s="3" t="s">
        <v>23</v>
      </c>
      <c r="S5" s="5">
        <f>INDEX(E26:P26,Actual_month)</f>
        <v>80</v>
      </c>
    </row>
    <row r="6" spans="1:19" x14ac:dyDescent="0.35">
      <c r="J6" s="404"/>
      <c r="K6" s="405"/>
      <c r="L6" s="405"/>
      <c r="M6" s="405"/>
      <c r="N6" s="405"/>
      <c r="O6" s="405"/>
      <c r="P6" s="405"/>
      <c r="Q6" s="406"/>
      <c r="R6" s="6">
        <v>0.9</v>
      </c>
      <c r="S6" s="5">
        <f>+S5*R6</f>
        <v>72</v>
      </c>
    </row>
    <row r="7" spans="1:19" x14ac:dyDescent="0.35">
      <c r="J7" s="404"/>
      <c r="K7" s="405"/>
      <c r="L7" s="405"/>
      <c r="M7" s="405"/>
      <c r="N7" s="405"/>
      <c r="O7" s="405"/>
      <c r="P7" s="405"/>
      <c r="Q7" s="406"/>
    </row>
    <row r="8" spans="1:19" ht="15" thickBot="1" x14ac:dyDescent="0.4">
      <c r="J8" s="407"/>
      <c r="K8" s="408"/>
      <c r="L8" s="408"/>
      <c r="M8" s="408"/>
      <c r="N8" s="408"/>
      <c r="O8" s="408"/>
      <c r="P8" s="408"/>
      <c r="Q8" s="409"/>
    </row>
    <row r="9" spans="1:19" ht="15" thickBot="1" x14ac:dyDescent="0.4">
      <c r="J9" s="3" t="s">
        <v>12</v>
      </c>
    </row>
    <row r="10" spans="1:19" x14ac:dyDescent="0.35">
      <c r="J10" s="401"/>
      <c r="K10" s="402"/>
      <c r="L10" s="402"/>
      <c r="M10" s="402"/>
      <c r="N10" s="402"/>
      <c r="O10" s="402"/>
      <c r="P10" s="402"/>
      <c r="Q10" s="403"/>
    </row>
    <row r="11" spans="1:19" x14ac:dyDescent="0.35">
      <c r="J11" s="404"/>
      <c r="K11" s="405"/>
      <c r="L11" s="405"/>
      <c r="M11" s="405"/>
      <c r="N11" s="405"/>
      <c r="O11" s="405"/>
      <c r="P11" s="405"/>
      <c r="Q11" s="406"/>
    </row>
    <row r="12" spans="1:19" x14ac:dyDescent="0.35">
      <c r="J12" s="404"/>
      <c r="K12" s="405"/>
      <c r="L12" s="405"/>
      <c r="M12" s="405"/>
      <c r="N12" s="405"/>
      <c r="O12" s="405"/>
      <c r="P12" s="405"/>
      <c r="Q12" s="406"/>
    </row>
    <row r="13" spans="1:19" x14ac:dyDescent="0.35">
      <c r="J13" s="404"/>
      <c r="K13" s="405"/>
      <c r="L13" s="405"/>
      <c r="M13" s="405"/>
      <c r="N13" s="405"/>
      <c r="O13" s="405"/>
      <c r="P13" s="405"/>
      <c r="Q13" s="406"/>
    </row>
    <row r="14" spans="1:19" x14ac:dyDescent="0.35">
      <c r="J14" s="404"/>
      <c r="K14" s="405"/>
      <c r="L14" s="405"/>
      <c r="M14" s="405"/>
      <c r="N14" s="405"/>
      <c r="O14" s="405"/>
      <c r="P14" s="405"/>
      <c r="Q14" s="406"/>
    </row>
    <row r="15" spans="1:19" ht="15" thickBot="1" x14ac:dyDescent="0.4">
      <c r="J15" s="407"/>
      <c r="K15" s="408"/>
      <c r="L15" s="408"/>
      <c r="M15" s="408"/>
      <c r="N15" s="408"/>
      <c r="O15" s="408"/>
      <c r="P15" s="408"/>
      <c r="Q15" s="409"/>
    </row>
    <row r="18" spans="3:17" x14ac:dyDescent="0.35">
      <c r="C18" s="7" t="s">
        <v>8</v>
      </c>
      <c r="E18" s="11">
        <f>'KPI 1'!E18</f>
        <v>45839</v>
      </c>
      <c r="F18" s="11">
        <f>'KPI 1'!F18</f>
        <v>45870</v>
      </c>
      <c r="G18" s="11">
        <f>'KPI 1'!G18</f>
        <v>45901</v>
      </c>
      <c r="H18" s="11">
        <f>'KPI 1'!H18</f>
        <v>45931</v>
      </c>
      <c r="I18" s="11">
        <f>'KPI 1'!I18</f>
        <v>45962</v>
      </c>
      <c r="J18" s="11">
        <f>'KPI 1'!J18</f>
        <v>45992</v>
      </c>
      <c r="K18" s="11">
        <f>'KPI 1'!K18</f>
        <v>46023</v>
      </c>
      <c r="L18" s="11">
        <f>'KPI 1'!L18</f>
        <v>46054</v>
      </c>
      <c r="M18" s="11">
        <f>'KPI 1'!M18</f>
        <v>46082</v>
      </c>
      <c r="N18" s="11">
        <f>'KPI 1'!N18</f>
        <v>46113</v>
      </c>
      <c r="O18" s="11">
        <f>'KPI 1'!O18</f>
        <v>46143</v>
      </c>
      <c r="P18" s="11">
        <f>'KPI 1'!P18</f>
        <v>46174</v>
      </c>
      <c r="Q18" s="8" t="s">
        <v>0</v>
      </c>
    </row>
    <row r="19" spans="3:17" x14ac:dyDescent="0.35">
      <c r="D19" s="3" t="str">
        <f>'KPI 1'!D19</f>
        <v>Budget 2025-26</v>
      </c>
      <c r="E19" s="5">
        <f>'budget 2025-26'!D17</f>
        <v>10</v>
      </c>
      <c r="F19" s="5">
        <f>'budget 2025-26'!E17</f>
        <v>10</v>
      </c>
      <c r="G19" s="5">
        <f>'budget 2025-26'!F17</f>
        <v>10</v>
      </c>
      <c r="H19" s="5">
        <f>'budget 2025-26'!G17</f>
        <v>10</v>
      </c>
      <c r="I19" s="5">
        <f>'budget 2025-26'!H17</f>
        <v>10</v>
      </c>
      <c r="J19" s="5">
        <f>'budget 2025-26'!I17</f>
        <v>10</v>
      </c>
      <c r="K19" s="5">
        <f>'budget 2025-26'!J17</f>
        <v>10</v>
      </c>
      <c r="L19" s="5">
        <f>'budget 2025-26'!K17</f>
        <v>10</v>
      </c>
      <c r="M19" s="5">
        <f>'budget 2025-26'!L17</f>
        <v>10</v>
      </c>
      <c r="N19" s="5">
        <f>'budget 2025-26'!M17</f>
        <v>10</v>
      </c>
      <c r="O19" s="5">
        <f>'budget 2025-26'!N17</f>
        <v>10</v>
      </c>
      <c r="P19" s="5">
        <f>'budget 2025-26'!O17</f>
        <v>10</v>
      </c>
      <c r="Q19" s="5">
        <f>SUM(E19:P19)</f>
        <v>120</v>
      </c>
    </row>
    <row r="20" spans="3:17" x14ac:dyDescent="0.35">
      <c r="D20" s="3" t="str">
        <f>'KPI 1'!D20</f>
        <v>Actual 2025-26</v>
      </c>
      <c r="E20" s="5">
        <f>'Input Actual2025-26'!E17</f>
        <v>11</v>
      </c>
      <c r="F20" s="5">
        <f>'Input Actual2025-26'!F17</f>
        <v>20</v>
      </c>
      <c r="G20" s="5">
        <f>'Input Actual2025-26'!G17</f>
        <v>11</v>
      </c>
      <c r="H20" s="5">
        <f>'Input Actual2025-26'!H17</f>
        <v>11</v>
      </c>
      <c r="I20" s="5">
        <f>'Input Actual2025-26'!I17</f>
        <v>8</v>
      </c>
      <c r="J20" s="5">
        <f>'Input Actual2025-26'!J17</f>
        <v>2</v>
      </c>
      <c r="K20" s="5">
        <f>'Input Actual2025-26'!K17</f>
        <v>6</v>
      </c>
      <c r="L20" s="5">
        <f>'Input Actual2025-26'!L17</f>
        <v>2</v>
      </c>
      <c r="M20" s="5">
        <f>'Input Actual2025-26'!M17</f>
        <v>0</v>
      </c>
      <c r="N20" s="5">
        <f>'Input Actual2025-26'!N17</f>
        <v>0</v>
      </c>
      <c r="O20" s="5">
        <f>'Input Actual2025-26'!O17</f>
        <v>0</v>
      </c>
      <c r="P20" s="5">
        <f>'Input Actual2025-26'!P17</f>
        <v>0</v>
      </c>
      <c r="Q20" s="5">
        <f t="shared" ref="Q20:Q22" si="0">SUM(E20:P20)</f>
        <v>71</v>
      </c>
    </row>
    <row r="21" spans="3:17" x14ac:dyDescent="0.35">
      <c r="D21" s="3" t="s">
        <v>424</v>
      </c>
      <c r="E21" s="5">
        <f>'Input Actual2024-25'!E17</f>
        <v>0</v>
      </c>
      <c r="F21" s="5">
        <f>'Input Actual2024-25'!F17</f>
        <v>0</v>
      </c>
      <c r="G21" s="5">
        <f>'Input Actual2024-25'!G17</f>
        <v>3</v>
      </c>
      <c r="H21" s="5">
        <f>'Input Actual2024-25'!H17</f>
        <v>0</v>
      </c>
      <c r="I21" s="5">
        <f>'Input Actual2024-25'!I17</f>
        <v>0</v>
      </c>
      <c r="J21" s="5">
        <f>'Input Actual2024-25'!J17</f>
        <v>1</v>
      </c>
      <c r="K21" s="5">
        <f>'Input Actual2024-25'!K17</f>
        <v>5</v>
      </c>
      <c r="L21" s="5">
        <f>'Input Actual2024-25'!L17</f>
        <v>6</v>
      </c>
      <c r="M21" s="5">
        <f>'Input Actual2024-25'!M17</f>
        <v>6</v>
      </c>
      <c r="N21" s="5">
        <f>'Input Actual2024-25'!N17</f>
        <v>5</v>
      </c>
      <c r="O21" s="5">
        <f>'Input Actual2024-25'!O17</f>
        <v>9</v>
      </c>
      <c r="P21" s="5">
        <f>'Input Actual2024-25'!P17</f>
        <v>10</v>
      </c>
      <c r="Q21" s="5">
        <f t="shared" si="0"/>
        <v>45</v>
      </c>
    </row>
    <row r="22" spans="3:17" x14ac:dyDescent="0.35">
      <c r="D22" s="3" t="s">
        <v>7</v>
      </c>
      <c r="E22" s="5">
        <f t="shared" ref="E22:P22" si="1">IF(E20=0,0,E20-E19)</f>
        <v>1</v>
      </c>
      <c r="F22" s="5">
        <f t="shared" si="1"/>
        <v>10</v>
      </c>
      <c r="G22" s="5">
        <f t="shared" si="1"/>
        <v>1</v>
      </c>
      <c r="H22" s="5">
        <f t="shared" si="1"/>
        <v>1</v>
      </c>
      <c r="I22" s="5">
        <f t="shared" si="1"/>
        <v>-2</v>
      </c>
      <c r="J22" s="5">
        <f t="shared" si="1"/>
        <v>-8</v>
      </c>
      <c r="K22" s="5">
        <f t="shared" si="1"/>
        <v>-4</v>
      </c>
      <c r="L22" s="5">
        <f t="shared" si="1"/>
        <v>-8</v>
      </c>
      <c r="M22" s="5">
        <f t="shared" si="1"/>
        <v>0</v>
      </c>
      <c r="N22" s="5">
        <f t="shared" si="1"/>
        <v>0</v>
      </c>
      <c r="O22" s="5">
        <f t="shared" si="1"/>
        <v>0</v>
      </c>
      <c r="P22" s="5">
        <f t="shared" si="1"/>
        <v>0</v>
      </c>
      <c r="Q22" s="5">
        <f t="shared" si="0"/>
        <v>-9</v>
      </c>
    </row>
    <row r="23" spans="3:17" x14ac:dyDescent="0.35">
      <c r="D23" s="3" t="s">
        <v>43</v>
      </c>
      <c r="E23" s="9">
        <f>E21/E19</f>
        <v>0</v>
      </c>
      <c r="F23" s="9">
        <f t="shared" ref="F23:P23" si="2">F20/F19</f>
        <v>2</v>
      </c>
      <c r="G23" s="9">
        <f t="shared" si="2"/>
        <v>1.1000000000000001</v>
      </c>
      <c r="H23" s="9">
        <f t="shared" si="2"/>
        <v>1.1000000000000001</v>
      </c>
      <c r="I23" s="9">
        <f t="shared" si="2"/>
        <v>0.8</v>
      </c>
      <c r="J23" s="9">
        <f t="shared" si="2"/>
        <v>0.2</v>
      </c>
      <c r="K23" s="9">
        <f t="shared" si="2"/>
        <v>0.6</v>
      </c>
      <c r="L23" s="9">
        <f t="shared" si="2"/>
        <v>0.2</v>
      </c>
      <c r="M23" s="9">
        <f t="shared" si="2"/>
        <v>0</v>
      </c>
      <c r="N23" s="9">
        <f t="shared" si="2"/>
        <v>0</v>
      </c>
      <c r="O23" s="9">
        <f t="shared" si="2"/>
        <v>0</v>
      </c>
      <c r="P23" s="9">
        <f t="shared" si="2"/>
        <v>0</v>
      </c>
    </row>
    <row r="25" spans="3:17" x14ac:dyDescent="0.35">
      <c r="C25" s="7" t="s">
        <v>3</v>
      </c>
      <c r="E25" s="11">
        <f>E18</f>
        <v>45839</v>
      </c>
      <c r="F25" s="11">
        <f t="shared" ref="F25:P25" si="3">F18</f>
        <v>45870</v>
      </c>
      <c r="G25" s="11">
        <f t="shared" si="3"/>
        <v>45901</v>
      </c>
      <c r="H25" s="11">
        <f t="shared" si="3"/>
        <v>45931</v>
      </c>
      <c r="I25" s="11">
        <f t="shared" si="3"/>
        <v>45962</v>
      </c>
      <c r="J25" s="11">
        <f t="shared" si="3"/>
        <v>45992</v>
      </c>
      <c r="K25" s="11">
        <f t="shared" si="3"/>
        <v>46023</v>
      </c>
      <c r="L25" s="11">
        <f t="shared" si="3"/>
        <v>46054</v>
      </c>
      <c r="M25" s="11">
        <f t="shared" si="3"/>
        <v>46082</v>
      </c>
      <c r="N25" s="11">
        <f t="shared" si="3"/>
        <v>46113</v>
      </c>
      <c r="O25" s="11">
        <f t="shared" si="3"/>
        <v>46143</v>
      </c>
      <c r="P25" s="11">
        <f t="shared" si="3"/>
        <v>46174</v>
      </c>
    </row>
    <row r="26" spans="3:17" x14ac:dyDescent="0.35">
      <c r="D26" s="3" t="str">
        <f>D19</f>
        <v>Budget 2025-26</v>
      </c>
      <c r="E26" s="5">
        <f>SUM($E19:E19)</f>
        <v>10</v>
      </c>
      <c r="F26" s="5">
        <f>SUM($E19:F19)</f>
        <v>20</v>
      </c>
      <c r="G26" s="5">
        <f>SUM($E19:G19)</f>
        <v>30</v>
      </c>
      <c r="H26" s="5">
        <f>SUM($E19:H19)</f>
        <v>40</v>
      </c>
      <c r="I26" s="5">
        <f>SUM($E19:I19)</f>
        <v>50</v>
      </c>
      <c r="J26" s="5">
        <f>SUM($E19:J19)</f>
        <v>60</v>
      </c>
      <c r="K26" s="5">
        <f>SUM($E19:K19)</f>
        <v>70</v>
      </c>
      <c r="L26" s="5">
        <f>SUM($E19:L19)</f>
        <v>80</v>
      </c>
      <c r="M26" s="5">
        <f>SUM($E19:M19)</f>
        <v>90</v>
      </c>
      <c r="N26" s="5">
        <f>SUM($E19:N19)</f>
        <v>100</v>
      </c>
      <c r="O26" s="5">
        <f>SUM($E19:O19)</f>
        <v>110</v>
      </c>
      <c r="P26" s="5">
        <f>SUM($E19:P19)</f>
        <v>120</v>
      </c>
    </row>
    <row r="27" spans="3:17" x14ac:dyDescent="0.35">
      <c r="D27" s="3" t="str">
        <f t="shared" ref="D27:D30" si="4">D20</f>
        <v>Actual 2025-26</v>
      </c>
      <c r="E27" s="5">
        <f>SUM($E20:E20)</f>
        <v>11</v>
      </c>
      <c r="F27" s="5">
        <f>SUM($E20:F20)</f>
        <v>31</v>
      </c>
      <c r="G27" s="5">
        <f>SUM($E20:G20)</f>
        <v>42</v>
      </c>
      <c r="H27" s="5">
        <f>SUM($E20:H20)</f>
        <v>53</v>
      </c>
      <c r="I27" s="5">
        <f>SUM($E20:I20)</f>
        <v>61</v>
      </c>
      <c r="J27" s="5">
        <f>SUM($E20:J20)</f>
        <v>63</v>
      </c>
      <c r="K27" s="5">
        <f>SUM($E20:K20)</f>
        <v>69</v>
      </c>
      <c r="L27" s="5">
        <f>SUM($E20:L20)</f>
        <v>71</v>
      </c>
      <c r="M27" s="5">
        <f>SUM($E20:M20)</f>
        <v>71</v>
      </c>
      <c r="N27" s="5">
        <f>SUM($E20:N20)</f>
        <v>71</v>
      </c>
      <c r="O27" s="5">
        <f>SUM($E20:O20)</f>
        <v>71</v>
      </c>
      <c r="P27" s="5">
        <f>SUM($E20:P20)</f>
        <v>71</v>
      </c>
    </row>
    <row r="28" spans="3:17" x14ac:dyDescent="0.35">
      <c r="D28" s="3" t="str">
        <f t="shared" si="4"/>
        <v>Actual 2024-25</v>
      </c>
      <c r="E28" s="5">
        <f>SUM($E21:E21)</f>
        <v>0</v>
      </c>
      <c r="F28" s="5">
        <f>SUM($E21:F21)</f>
        <v>0</v>
      </c>
      <c r="G28" s="5">
        <f>SUM($E21:G21)</f>
        <v>3</v>
      </c>
      <c r="H28" s="5">
        <f>SUM($E21:H21)</f>
        <v>3</v>
      </c>
      <c r="I28" s="5">
        <f>SUM($E21:I21)</f>
        <v>3</v>
      </c>
      <c r="J28" s="5">
        <f>SUM($E21:J21)</f>
        <v>4</v>
      </c>
      <c r="K28" s="5">
        <f>SUM($E21:K21)</f>
        <v>9</v>
      </c>
      <c r="L28" s="5">
        <f>SUM($E21:L21)</f>
        <v>15</v>
      </c>
      <c r="M28" s="5">
        <f>SUM($E21:M21)</f>
        <v>21</v>
      </c>
      <c r="N28" s="5">
        <f>SUM($E21:N21)</f>
        <v>26</v>
      </c>
      <c r="O28" s="5">
        <f>SUM($E21:O21)</f>
        <v>35</v>
      </c>
      <c r="P28" s="5">
        <f>SUM($E21:P21)</f>
        <v>45</v>
      </c>
    </row>
    <row r="29" spans="3:17" x14ac:dyDescent="0.35">
      <c r="D29" s="3" t="str">
        <f t="shared" si="4"/>
        <v>Difference</v>
      </c>
      <c r="E29" s="5">
        <f>SUM($E22:E22)</f>
        <v>1</v>
      </c>
      <c r="F29" s="5">
        <f>SUM($E22:F22)</f>
        <v>11</v>
      </c>
      <c r="G29" s="5">
        <f>SUM($E22:G22)</f>
        <v>12</v>
      </c>
      <c r="H29" s="5">
        <f>SUM($E22:H22)</f>
        <v>13</v>
      </c>
      <c r="I29" s="5">
        <f>SUM($E22:I22)</f>
        <v>11</v>
      </c>
      <c r="J29" s="5">
        <f>SUM($E22:J22)</f>
        <v>3</v>
      </c>
      <c r="K29" s="5">
        <f>SUM($E22:K22)</f>
        <v>-1</v>
      </c>
      <c r="L29" s="5">
        <f>SUM($E22:L22)</f>
        <v>-9</v>
      </c>
      <c r="M29" s="5">
        <f>SUM($E22:M22)</f>
        <v>-9</v>
      </c>
      <c r="N29" s="5">
        <f>SUM($E22:N22)</f>
        <v>-9</v>
      </c>
      <c r="O29" s="5">
        <f>SUM($E22:O22)</f>
        <v>-9</v>
      </c>
      <c r="P29" s="5">
        <f>SUM($E22:P22)</f>
        <v>-9</v>
      </c>
    </row>
    <row r="30" spans="3:17" x14ac:dyDescent="0.35">
      <c r="D30" s="3" t="str">
        <f t="shared" si="4"/>
        <v>Realisation</v>
      </c>
      <c r="E30" s="9">
        <f>E28/E26</f>
        <v>0</v>
      </c>
      <c r="F30" s="9">
        <f t="shared" ref="F30:P30" si="5">F27/F26</f>
        <v>1.55</v>
      </c>
      <c r="G30" s="9">
        <f t="shared" si="5"/>
        <v>1.4</v>
      </c>
      <c r="H30" s="9">
        <f t="shared" si="5"/>
        <v>1.325</v>
      </c>
      <c r="I30" s="9">
        <f t="shared" si="5"/>
        <v>1.22</v>
      </c>
      <c r="J30" s="9">
        <f t="shared" si="5"/>
        <v>1.05</v>
      </c>
      <c r="K30" s="9">
        <f t="shared" si="5"/>
        <v>0.98571428571428577</v>
      </c>
      <c r="L30" s="9">
        <f t="shared" si="5"/>
        <v>0.88749999999999996</v>
      </c>
      <c r="M30" s="9">
        <f t="shared" si="5"/>
        <v>0.78888888888888886</v>
      </c>
      <c r="N30" s="9">
        <f t="shared" si="5"/>
        <v>0.71</v>
      </c>
      <c r="O30" s="9">
        <f t="shared" si="5"/>
        <v>0.6454545454545455</v>
      </c>
      <c r="P30" s="9">
        <f t="shared" si="5"/>
        <v>0.59166666666666667</v>
      </c>
    </row>
  </sheetData>
  <mergeCells count="2">
    <mergeCell ref="J4:Q8"/>
    <mergeCell ref="J10:Q15"/>
  </mergeCells>
  <conditionalFormatting sqref="C3">
    <cfRule type="expression" dxfId="539" priority="2">
      <formula>S4&lt;S6</formula>
    </cfRule>
  </conditionalFormatting>
  <conditionalFormatting sqref="C5">
    <cfRule type="expression" dxfId="538" priority="3">
      <formula>S4&gt;=S5</formula>
    </cfRule>
  </conditionalFormatting>
  <conditionalFormatting sqref="C4">
    <cfRule type="expression" dxfId="537" priority="1">
      <formula>AND(S4&gt;=S6,S4&lt;S5)</formula>
    </cfRule>
  </conditionalFormatting>
  <hyperlinks>
    <hyperlink ref="L1" location="Dashboard!A1" display="Dashboard"/>
  </hyperlinks>
  <pageMargins left="0.7" right="0.7" top="0.75" bottom="0.75" header="0.3" footer="0.3"/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758209" r:id="rId3" name="Spinner 1">
              <controlPr defaultSize="0" autoPict="0">
                <anchor moveWithCells="1" sizeWithCells="1">
                  <from>
                    <xdr:col>9</xdr:col>
                    <xdr:colOff>19050</xdr:colOff>
                    <xdr:row>0</xdr:row>
                    <xdr:rowOff>38100</xdr:rowOff>
                  </from>
                  <to>
                    <xdr:col>9</xdr:col>
                    <xdr:colOff>400050</xdr:colOff>
                    <xdr:row>1</xdr:row>
                    <xdr:rowOff>152400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15">
    <tabColor rgb="FFFFC000"/>
  </sheetPr>
  <dimension ref="A1:S30"/>
  <sheetViews>
    <sheetView zoomScale="90" zoomScaleNormal="90" workbookViewId="0">
      <selection activeCell="L1" sqref="L1"/>
    </sheetView>
  </sheetViews>
  <sheetFormatPr defaultColWidth="9.1796875" defaultRowHeight="14.5" x14ac:dyDescent="0.35"/>
  <cols>
    <col min="1" max="1" width="9.1796875" style="3"/>
    <col min="2" max="2" width="5.1796875" style="3" customWidth="1"/>
    <col min="3" max="3" width="6.26953125" style="3" customWidth="1"/>
    <col min="4" max="4" width="21.26953125" style="3" bestFit="1" customWidth="1"/>
    <col min="5" max="16" width="11.1796875" style="3" customWidth="1"/>
    <col min="17" max="17" width="12" style="3" bestFit="1" customWidth="1"/>
    <col min="18" max="18" width="9.1796875" style="3" customWidth="1"/>
    <col min="19" max="16384" width="9.1796875" style="3"/>
  </cols>
  <sheetData>
    <row r="1" spans="1:19" ht="21" x14ac:dyDescent="0.5">
      <c r="A1" s="4" t="s">
        <v>4</v>
      </c>
      <c r="B1" s="4">
        <f>Dashboard!A16</f>
        <v>3</v>
      </c>
      <c r="C1" s="4" t="str">
        <f>Dashboard!B16</f>
        <v>MAI-MAHIU- NEW WATER</v>
      </c>
      <c r="G1" s="3" t="s">
        <v>9</v>
      </c>
      <c r="I1" s="12">
        <f>INDEX($E$18:$P$18,Actual_month)</f>
        <v>46054</v>
      </c>
      <c r="L1" s="16" t="s">
        <v>19</v>
      </c>
      <c r="R1" s="5"/>
    </row>
    <row r="2" spans="1:19" x14ac:dyDescent="0.35">
      <c r="A2" s="3" t="s">
        <v>13</v>
      </c>
      <c r="C2" s="3" t="s">
        <v>27</v>
      </c>
      <c r="R2" s="6"/>
    </row>
    <row r="3" spans="1:19" ht="25.5" customHeight="1" thickBot="1" x14ac:dyDescent="0.4">
      <c r="C3" s="1" t="s">
        <v>5</v>
      </c>
      <c r="E3" s="10"/>
      <c r="F3" s="10"/>
      <c r="G3" s="10"/>
      <c r="H3" s="10"/>
      <c r="I3" s="10"/>
      <c r="J3" s="3" t="s">
        <v>6</v>
      </c>
      <c r="K3" s="10"/>
      <c r="M3" s="10"/>
      <c r="N3" s="10"/>
      <c r="O3" s="10"/>
      <c r="P3" s="10"/>
    </row>
    <row r="4" spans="1:19" ht="25.5" customHeight="1" x14ac:dyDescent="0.35">
      <c r="C4" s="1" t="s">
        <v>5</v>
      </c>
      <c r="E4" s="10"/>
      <c r="F4" s="10"/>
      <c r="G4" s="10"/>
      <c r="H4" s="10"/>
      <c r="I4" s="10"/>
      <c r="J4" s="401"/>
      <c r="K4" s="402"/>
      <c r="L4" s="402"/>
      <c r="M4" s="402"/>
      <c r="N4" s="402"/>
      <c r="O4" s="402"/>
      <c r="P4" s="402"/>
      <c r="Q4" s="403"/>
      <c r="R4" s="3" t="s">
        <v>22</v>
      </c>
      <c r="S4" s="5">
        <f>INDEX(E27:P27,Actual_month)</f>
        <v>384</v>
      </c>
    </row>
    <row r="5" spans="1:19" ht="25.5" customHeight="1" x14ac:dyDescent="0.35">
      <c r="C5" s="1" t="s">
        <v>5</v>
      </c>
      <c r="E5" s="10"/>
      <c r="F5" s="10"/>
      <c r="G5" s="10"/>
      <c r="H5" s="10"/>
      <c r="I5" s="10"/>
      <c r="J5" s="404"/>
      <c r="K5" s="405"/>
      <c r="L5" s="405"/>
      <c r="M5" s="405"/>
      <c r="N5" s="405"/>
      <c r="O5" s="405"/>
      <c r="P5" s="405"/>
      <c r="Q5" s="406"/>
      <c r="R5" s="3" t="s">
        <v>23</v>
      </c>
      <c r="S5" s="5">
        <f>INDEX(E26:P26,Actual_month)</f>
        <v>478</v>
      </c>
    </row>
    <row r="6" spans="1:19" x14ac:dyDescent="0.35">
      <c r="J6" s="404"/>
      <c r="K6" s="405"/>
      <c r="L6" s="405"/>
      <c r="M6" s="405"/>
      <c r="N6" s="405"/>
      <c r="O6" s="405"/>
      <c r="P6" s="405"/>
      <c r="Q6" s="406"/>
      <c r="R6" s="6">
        <v>0.9</v>
      </c>
      <c r="S6" s="5">
        <f>+S5*R6</f>
        <v>430.2</v>
      </c>
    </row>
    <row r="7" spans="1:19" x14ac:dyDescent="0.35">
      <c r="J7" s="404"/>
      <c r="K7" s="405"/>
      <c r="L7" s="405"/>
      <c r="M7" s="405"/>
      <c r="N7" s="405"/>
      <c r="O7" s="405"/>
      <c r="P7" s="405"/>
      <c r="Q7" s="406"/>
    </row>
    <row r="8" spans="1:19" ht="15" thickBot="1" x14ac:dyDescent="0.4">
      <c r="J8" s="407"/>
      <c r="K8" s="408"/>
      <c r="L8" s="408"/>
      <c r="M8" s="408"/>
      <c r="N8" s="408"/>
      <c r="O8" s="408"/>
      <c r="P8" s="408"/>
      <c r="Q8" s="409"/>
    </row>
    <row r="9" spans="1:19" ht="15" thickBot="1" x14ac:dyDescent="0.4">
      <c r="J9" s="3" t="s">
        <v>12</v>
      </c>
    </row>
    <row r="10" spans="1:19" x14ac:dyDescent="0.35">
      <c r="J10" s="401"/>
      <c r="K10" s="402"/>
      <c r="L10" s="402"/>
      <c r="M10" s="402"/>
      <c r="N10" s="402"/>
      <c r="O10" s="402"/>
      <c r="P10" s="402"/>
      <c r="Q10" s="403"/>
    </row>
    <row r="11" spans="1:19" x14ac:dyDescent="0.35">
      <c r="J11" s="404"/>
      <c r="K11" s="405"/>
      <c r="L11" s="405"/>
      <c r="M11" s="405"/>
      <c r="N11" s="405"/>
      <c r="O11" s="405"/>
      <c r="P11" s="405"/>
      <c r="Q11" s="406"/>
    </row>
    <row r="12" spans="1:19" x14ac:dyDescent="0.35">
      <c r="J12" s="404"/>
      <c r="K12" s="405"/>
      <c r="L12" s="405"/>
      <c r="M12" s="405"/>
      <c r="N12" s="405"/>
      <c r="O12" s="405"/>
      <c r="P12" s="405"/>
      <c r="Q12" s="406"/>
    </row>
    <row r="13" spans="1:19" x14ac:dyDescent="0.35">
      <c r="J13" s="404"/>
      <c r="K13" s="405"/>
      <c r="L13" s="405"/>
      <c r="M13" s="405"/>
      <c r="N13" s="405"/>
      <c r="O13" s="405"/>
      <c r="P13" s="405"/>
      <c r="Q13" s="406"/>
    </row>
    <row r="14" spans="1:19" x14ac:dyDescent="0.35">
      <c r="J14" s="404"/>
      <c r="K14" s="405"/>
      <c r="L14" s="405"/>
      <c r="M14" s="405"/>
      <c r="N14" s="405"/>
      <c r="O14" s="405"/>
      <c r="P14" s="405"/>
      <c r="Q14" s="406"/>
    </row>
    <row r="15" spans="1:19" ht="15" thickBot="1" x14ac:dyDescent="0.4">
      <c r="J15" s="407"/>
      <c r="K15" s="408"/>
      <c r="L15" s="408"/>
      <c r="M15" s="408"/>
      <c r="N15" s="408"/>
      <c r="O15" s="408"/>
      <c r="P15" s="408"/>
      <c r="Q15" s="409"/>
    </row>
    <row r="18" spans="3:17" x14ac:dyDescent="0.35">
      <c r="C18" s="7" t="s">
        <v>8</v>
      </c>
      <c r="E18" s="11">
        <f>'KPI 1'!E18</f>
        <v>45839</v>
      </c>
      <c r="F18" s="11">
        <f>'KPI 1'!F18</f>
        <v>45870</v>
      </c>
      <c r="G18" s="11">
        <f>'KPI 1'!G18</f>
        <v>45901</v>
      </c>
      <c r="H18" s="11">
        <f>'KPI 1'!H18</f>
        <v>45931</v>
      </c>
      <c r="I18" s="11">
        <f>'KPI 1'!I18</f>
        <v>45962</v>
      </c>
      <c r="J18" s="11">
        <f>'KPI 1'!J18</f>
        <v>45992</v>
      </c>
      <c r="K18" s="11">
        <f>'KPI 1'!K18</f>
        <v>46023</v>
      </c>
      <c r="L18" s="11">
        <f>'KPI 1'!L18</f>
        <v>46054</v>
      </c>
      <c r="M18" s="11">
        <f>'KPI 1'!M18</f>
        <v>46082</v>
      </c>
      <c r="N18" s="11">
        <f>'KPI 1'!N18</f>
        <v>46113</v>
      </c>
      <c r="O18" s="11">
        <f>'KPI 1'!O18</f>
        <v>46143</v>
      </c>
      <c r="P18" s="11">
        <f>'KPI 1'!P18</f>
        <v>46174</v>
      </c>
      <c r="Q18" s="8" t="s">
        <v>0</v>
      </c>
    </row>
    <row r="19" spans="3:17" x14ac:dyDescent="0.35">
      <c r="D19" s="3" t="str">
        <f>'KPI 1'!D19</f>
        <v>Budget 2025-26</v>
      </c>
      <c r="E19" s="5">
        <f>'budget 2025-26'!D16</f>
        <v>51</v>
      </c>
      <c r="F19" s="5">
        <f>'budget 2025-26'!E16</f>
        <v>51</v>
      </c>
      <c r="G19" s="5">
        <f>'budget 2025-26'!F16</f>
        <v>46</v>
      </c>
      <c r="H19" s="5">
        <f>'budget 2025-26'!G16</f>
        <v>71</v>
      </c>
      <c r="I19" s="5">
        <f>'budget 2025-26'!H16</f>
        <v>71</v>
      </c>
      <c r="J19" s="5">
        <f>'budget 2025-26'!I16</f>
        <v>66</v>
      </c>
      <c r="K19" s="5">
        <f>'budget 2025-26'!J16</f>
        <v>61</v>
      </c>
      <c r="L19" s="5">
        <f>'budget 2025-26'!K16</f>
        <v>61</v>
      </c>
      <c r="M19" s="5">
        <f>'budget 2025-26'!L16</f>
        <v>56</v>
      </c>
      <c r="N19" s="5">
        <f>'budget 2025-26'!M16</f>
        <v>46</v>
      </c>
      <c r="O19" s="5">
        <f>'budget 2025-26'!N16</f>
        <v>46</v>
      </c>
      <c r="P19" s="5">
        <f>'budget 2025-26'!O16</f>
        <v>46</v>
      </c>
      <c r="Q19" s="5">
        <f>SUM(E19:P19)</f>
        <v>672</v>
      </c>
    </row>
    <row r="20" spans="3:17" x14ac:dyDescent="0.35">
      <c r="D20" s="3" t="str">
        <f>'KPI 1'!D20</f>
        <v>Actual 2025-26</v>
      </c>
      <c r="E20" s="5">
        <f>'Input Actual2025-26'!E16</f>
        <v>66</v>
      </c>
      <c r="F20" s="5">
        <f>'Input Actual2025-26'!F16</f>
        <v>59</v>
      </c>
      <c r="G20" s="5">
        <f>'Input Actual2025-26'!G16</f>
        <v>29</v>
      </c>
      <c r="H20" s="5">
        <f>'Input Actual2025-26'!H16</f>
        <v>73</v>
      </c>
      <c r="I20" s="5">
        <f>'Input Actual2025-26'!I16</f>
        <v>27</v>
      </c>
      <c r="J20" s="5">
        <f>'Input Actual2025-26'!J16</f>
        <v>66</v>
      </c>
      <c r="K20" s="5">
        <f>'Input Actual2025-26'!K16</f>
        <v>31</v>
      </c>
      <c r="L20" s="5">
        <f>'Input Actual2025-26'!L16</f>
        <v>33</v>
      </c>
      <c r="M20" s="5">
        <f>'Input Actual2025-26'!M16</f>
        <v>0</v>
      </c>
      <c r="N20" s="5">
        <f>'Input Actual2025-26'!N16</f>
        <v>0</v>
      </c>
      <c r="O20" s="5">
        <f>'Input Actual2025-26'!O16</f>
        <v>0</v>
      </c>
      <c r="P20" s="5">
        <f>'Input Actual2025-26'!P16</f>
        <v>0</v>
      </c>
      <c r="Q20" s="5">
        <f t="shared" ref="Q20:Q22" si="0">SUM(E20:P20)</f>
        <v>384</v>
      </c>
    </row>
    <row r="21" spans="3:17" x14ac:dyDescent="0.35">
      <c r="D21" s="3" t="s">
        <v>424</v>
      </c>
      <c r="E21" s="5">
        <f>'Input Actual2024-25'!E16</f>
        <v>14</v>
      </c>
      <c r="F21" s="5">
        <f>'Input Actual2024-25'!F16</f>
        <v>22</v>
      </c>
      <c r="G21" s="5">
        <f>'Input Actual2024-25'!G16</f>
        <v>12</v>
      </c>
      <c r="H21" s="5">
        <f>'Input Actual2024-25'!H16</f>
        <v>2</v>
      </c>
      <c r="I21" s="5">
        <f>'Input Actual2024-25'!I16</f>
        <v>13</v>
      </c>
      <c r="J21" s="5">
        <f>'Input Actual2024-25'!J16</f>
        <v>53</v>
      </c>
      <c r="K21" s="5">
        <f>'Input Actual2024-25'!K16</f>
        <v>87</v>
      </c>
      <c r="L21" s="5">
        <f>'Input Actual2024-25'!L16</f>
        <v>17</v>
      </c>
      <c r="M21" s="5">
        <f>'Input Actual2024-25'!M16</f>
        <v>16</v>
      </c>
      <c r="N21" s="5">
        <f>'Input Actual2024-25'!N16</f>
        <v>75</v>
      </c>
      <c r="O21" s="5">
        <f>'Input Actual2024-25'!O16</f>
        <v>11</v>
      </c>
      <c r="P21" s="5">
        <f>'Input Actual2024-25'!P16</f>
        <v>24</v>
      </c>
      <c r="Q21" s="5">
        <f t="shared" si="0"/>
        <v>346</v>
      </c>
    </row>
    <row r="22" spans="3:17" x14ac:dyDescent="0.35">
      <c r="D22" s="3" t="s">
        <v>7</v>
      </c>
      <c r="E22" s="5">
        <f t="shared" ref="E22:P22" si="1">IF(E20=0,0,E20-E19)</f>
        <v>15</v>
      </c>
      <c r="F22" s="5">
        <f t="shared" si="1"/>
        <v>8</v>
      </c>
      <c r="G22" s="5">
        <f t="shared" si="1"/>
        <v>-17</v>
      </c>
      <c r="H22" s="5">
        <f t="shared" si="1"/>
        <v>2</v>
      </c>
      <c r="I22" s="5">
        <f t="shared" si="1"/>
        <v>-44</v>
      </c>
      <c r="J22" s="5">
        <f t="shared" si="1"/>
        <v>0</v>
      </c>
      <c r="K22" s="5">
        <f t="shared" si="1"/>
        <v>-30</v>
      </c>
      <c r="L22" s="5">
        <f t="shared" si="1"/>
        <v>-28</v>
      </c>
      <c r="M22" s="5">
        <f t="shared" si="1"/>
        <v>0</v>
      </c>
      <c r="N22" s="5">
        <f t="shared" si="1"/>
        <v>0</v>
      </c>
      <c r="O22" s="5">
        <f t="shared" si="1"/>
        <v>0</v>
      </c>
      <c r="P22" s="5">
        <f t="shared" si="1"/>
        <v>0</v>
      </c>
      <c r="Q22" s="5">
        <f t="shared" si="0"/>
        <v>-94</v>
      </c>
    </row>
    <row r="23" spans="3:17" x14ac:dyDescent="0.35">
      <c r="D23" s="3" t="s">
        <v>43</v>
      </c>
      <c r="E23" s="9">
        <f>E21/E19</f>
        <v>0.27450980392156865</v>
      </c>
      <c r="F23" s="9">
        <f t="shared" ref="F23:P23" si="2">F20/F19</f>
        <v>1.1568627450980393</v>
      </c>
      <c r="G23" s="9">
        <f t="shared" si="2"/>
        <v>0.63043478260869568</v>
      </c>
      <c r="H23" s="9">
        <f t="shared" si="2"/>
        <v>1.028169014084507</v>
      </c>
      <c r="I23" s="9">
        <f t="shared" si="2"/>
        <v>0.38028169014084506</v>
      </c>
      <c r="J23" s="9">
        <f t="shared" si="2"/>
        <v>1</v>
      </c>
      <c r="K23" s="9">
        <f t="shared" si="2"/>
        <v>0.50819672131147542</v>
      </c>
      <c r="L23" s="9">
        <f t="shared" si="2"/>
        <v>0.54098360655737709</v>
      </c>
      <c r="M23" s="9">
        <f t="shared" si="2"/>
        <v>0</v>
      </c>
      <c r="N23" s="9">
        <f t="shared" si="2"/>
        <v>0</v>
      </c>
      <c r="O23" s="9">
        <f t="shared" si="2"/>
        <v>0</v>
      </c>
      <c r="P23" s="9">
        <f t="shared" si="2"/>
        <v>0</v>
      </c>
    </row>
    <row r="25" spans="3:17" x14ac:dyDescent="0.35">
      <c r="C25" s="7" t="s">
        <v>3</v>
      </c>
      <c r="E25" s="11">
        <f>E18</f>
        <v>45839</v>
      </c>
      <c r="F25" s="11">
        <f t="shared" ref="F25:P25" si="3">F18</f>
        <v>45870</v>
      </c>
      <c r="G25" s="11">
        <f t="shared" si="3"/>
        <v>45901</v>
      </c>
      <c r="H25" s="11">
        <f t="shared" si="3"/>
        <v>45931</v>
      </c>
      <c r="I25" s="11">
        <f t="shared" si="3"/>
        <v>45962</v>
      </c>
      <c r="J25" s="11">
        <f t="shared" si="3"/>
        <v>45992</v>
      </c>
      <c r="K25" s="11">
        <f t="shared" si="3"/>
        <v>46023</v>
      </c>
      <c r="L25" s="11">
        <f t="shared" si="3"/>
        <v>46054</v>
      </c>
      <c r="M25" s="11">
        <f t="shared" si="3"/>
        <v>46082</v>
      </c>
      <c r="N25" s="11">
        <f t="shared" si="3"/>
        <v>46113</v>
      </c>
      <c r="O25" s="11">
        <f t="shared" si="3"/>
        <v>46143</v>
      </c>
      <c r="P25" s="11">
        <f t="shared" si="3"/>
        <v>46174</v>
      </c>
    </row>
    <row r="26" spans="3:17" x14ac:dyDescent="0.35">
      <c r="D26" s="3" t="str">
        <f>D19</f>
        <v>Budget 2025-26</v>
      </c>
      <c r="E26" s="5">
        <f>SUM($E19:E19)</f>
        <v>51</v>
      </c>
      <c r="F26" s="5">
        <f>SUM($E19:F19)</f>
        <v>102</v>
      </c>
      <c r="G26" s="5">
        <f>SUM($E19:G19)</f>
        <v>148</v>
      </c>
      <c r="H26" s="5">
        <f>SUM($E19:H19)</f>
        <v>219</v>
      </c>
      <c r="I26" s="5">
        <f>SUM($E19:I19)</f>
        <v>290</v>
      </c>
      <c r="J26" s="5">
        <f>SUM($E19:J19)</f>
        <v>356</v>
      </c>
      <c r="K26" s="5">
        <f>SUM($E19:K19)</f>
        <v>417</v>
      </c>
      <c r="L26" s="5">
        <f>SUM($E19:L19)</f>
        <v>478</v>
      </c>
      <c r="M26" s="5">
        <f>SUM($E19:M19)</f>
        <v>534</v>
      </c>
      <c r="N26" s="5">
        <f>SUM($E19:N19)</f>
        <v>580</v>
      </c>
      <c r="O26" s="5">
        <f>SUM($E19:O19)</f>
        <v>626</v>
      </c>
      <c r="P26" s="5">
        <f>SUM($E19:P19)</f>
        <v>672</v>
      </c>
    </row>
    <row r="27" spans="3:17" x14ac:dyDescent="0.35">
      <c r="D27" s="3" t="str">
        <f t="shared" ref="D27:D30" si="4">D20</f>
        <v>Actual 2025-26</v>
      </c>
      <c r="E27" s="5">
        <f>SUM($E20:E20)</f>
        <v>66</v>
      </c>
      <c r="F27" s="5">
        <f>SUM($E20:F20)</f>
        <v>125</v>
      </c>
      <c r="G27" s="5">
        <f>SUM($E20:G20)</f>
        <v>154</v>
      </c>
      <c r="H27" s="5">
        <f>SUM($E20:H20)</f>
        <v>227</v>
      </c>
      <c r="I27" s="5">
        <f>SUM($E20:I20)</f>
        <v>254</v>
      </c>
      <c r="J27" s="5">
        <f>SUM($E20:J20)</f>
        <v>320</v>
      </c>
      <c r="K27" s="5">
        <f>SUM($E20:K20)</f>
        <v>351</v>
      </c>
      <c r="L27" s="5">
        <f>SUM($E20:L20)</f>
        <v>384</v>
      </c>
      <c r="M27" s="5">
        <f>SUM($E20:M20)</f>
        <v>384</v>
      </c>
      <c r="N27" s="5">
        <f>SUM($E20:N20)</f>
        <v>384</v>
      </c>
      <c r="O27" s="5">
        <f>SUM($E20:O20)</f>
        <v>384</v>
      </c>
      <c r="P27" s="5">
        <f>SUM($E20:P20)</f>
        <v>384</v>
      </c>
    </row>
    <row r="28" spans="3:17" x14ac:dyDescent="0.35">
      <c r="D28" s="3" t="str">
        <f t="shared" si="4"/>
        <v>Actual 2024-25</v>
      </c>
      <c r="E28" s="5">
        <f>SUM($E21:E21)</f>
        <v>14</v>
      </c>
      <c r="F28" s="5">
        <f>SUM($E21:F21)</f>
        <v>36</v>
      </c>
      <c r="G28" s="5">
        <f>SUM($E21:G21)</f>
        <v>48</v>
      </c>
      <c r="H28" s="5">
        <f>SUM($E21:H21)</f>
        <v>50</v>
      </c>
      <c r="I28" s="5">
        <f>SUM($E21:I21)</f>
        <v>63</v>
      </c>
      <c r="J28" s="5">
        <f>SUM($E21:J21)</f>
        <v>116</v>
      </c>
      <c r="K28" s="5">
        <f>SUM($E21:K21)</f>
        <v>203</v>
      </c>
      <c r="L28" s="5">
        <f>SUM($E21:L21)</f>
        <v>220</v>
      </c>
      <c r="M28" s="5">
        <f>SUM($E21:M21)</f>
        <v>236</v>
      </c>
      <c r="N28" s="5">
        <f>SUM($E21:N21)</f>
        <v>311</v>
      </c>
      <c r="O28" s="5">
        <f>SUM($E21:O21)</f>
        <v>322</v>
      </c>
      <c r="P28" s="5">
        <f>SUM($E21:P21)</f>
        <v>346</v>
      </c>
    </row>
    <row r="29" spans="3:17" x14ac:dyDescent="0.35">
      <c r="D29" s="3" t="str">
        <f t="shared" si="4"/>
        <v>Difference</v>
      </c>
      <c r="E29" s="5">
        <f>SUM($E22:E22)</f>
        <v>15</v>
      </c>
      <c r="F29" s="5">
        <f>SUM($E22:F22)</f>
        <v>23</v>
      </c>
      <c r="G29" s="5">
        <f>SUM($E22:G22)</f>
        <v>6</v>
      </c>
      <c r="H29" s="5">
        <f>SUM($E22:H22)</f>
        <v>8</v>
      </c>
      <c r="I29" s="5">
        <f>SUM($E22:I22)</f>
        <v>-36</v>
      </c>
      <c r="J29" s="5">
        <f>SUM($E22:J22)</f>
        <v>-36</v>
      </c>
      <c r="K29" s="5">
        <f>SUM($E22:K22)</f>
        <v>-66</v>
      </c>
      <c r="L29" s="5">
        <f>SUM($E22:L22)</f>
        <v>-94</v>
      </c>
      <c r="M29" s="5">
        <f>SUM($E22:M22)</f>
        <v>-94</v>
      </c>
      <c r="N29" s="5">
        <f>SUM($E22:N22)</f>
        <v>-94</v>
      </c>
      <c r="O29" s="5">
        <f>SUM($E22:O22)</f>
        <v>-94</v>
      </c>
      <c r="P29" s="5">
        <f>SUM($E22:P22)</f>
        <v>-94</v>
      </c>
    </row>
    <row r="30" spans="3:17" x14ac:dyDescent="0.35">
      <c r="D30" s="3" t="str">
        <f t="shared" si="4"/>
        <v>Realisation</v>
      </c>
      <c r="E30" s="9">
        <f>E28/E26</f>
        <v>0.27450980392156865</v>
      </c>
      <c r="F30" s="9">
        <f t="shared" ref="F30:P30" si="5">F27/F26</f>
        <v>1.2254901960784315</v>
      </c>
      <c r="G30" s="9">
        <f t="shared" si="5"/>
        <v>1.0405405405405406</v>
      </c>
      <c r="H30" s="9">
        <f t="shared" si="5"/>
        <v>1.0365296803652968</v>
      </c>
      <c r="I30" s="9">
        <f t="shared" si="5"/>
        <v>0.87586206896551722</v>
      </c>
      <c r="J30" s="9">
        <f t="shared" si="5"/>
        <v>0.898876404494382</v>
      </c>
      <c r="K30" s="9">
        <f t="shared" si="5"/>
        <v>0.84172661870503596</v>
      </c>
      <c r="L30" s="9">
        <f t="shared" si="5"/>
        <v>0.80334728033472802</v>
      </c>
      <c r="M30" s="9">
        <f t="shared" si="5"/>
        <v>0.7191011235955056</v>
      </c>
      <c r="N30" s="9">
        <f t="shared" si="5"/>
        <v>0.66206896551724137</v>
      </c>
      <c r="O30" s="9">
        <f t="shared" si="5"/>
        <v>0.61341853035143767</v>
      </c>
      <c r="P30" s="9">
        <f t="shared" si="5"/>
        <v>0.5714285714285714</v>
      </c>
    </row>
  </sheetData>
  <mergeCells count="2">
    <mergeCell ref="J4:Q8"/>
    <mergeCell ref="J10:Q15"/>
  </mergeCells>
  <conditionalFormatting sqref="C3">
    <cfRule type="expression" dxfId="536" priority="2">
      <formula>S4&lt;S6</formula>
    </cfRule>
  </conditionalFormatting>
  <conditionalFormatting sqref="C5">
    <cfRule type="expression" dxfId="535" priority="3">
      <formula>S4&gt;=S5</formula>
    </cfRule>
  </conditionalFormatting>
  <conditionalFormatting sqref="C4">
    <cfRule type="expression" dxfId="534" priority="1">
      <formula>AND(S4&gt;=S6,S4&lt;S5)</formula>
    </cfRule>
  </conditionalFormatting>
  <hyperlinks>
    <hyperlink ref="L1" location="Dashboard!A1" display="Dashboard"/>
  </hyperlinks>
  <pageMargins left="0.7" right="0.7" top="0.75" bottom="0.75" header="0.3" footer="0.3"/>
  <pageSetup orientation="portrait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946177" r:id="rId4" name="Spinner 1">
              <controlPr defaultSize="0" autoPict="0">
                <anchor moveWithCells="1" sizeWithCells="1">
                  <from>
                    <xdr:col>9</xdr:col>
                    <xdr:colOff>19050</xdr:colOff>
                    <xdr:row>0</xdr:row>
                    <xdr:rowOff>38100</xdr:rowOff>
                  </from>
                  <to>
                    <xdr:col>9</xdr:col>
                    <xdr:colOff>400050</xdr:colOff>
                    <xdr:row>1</xdr:row>
                    <xdr:rowOff>152400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FFC000"/>
  </sheetPr>
  <dimension ref="A1:S30"/>
  <sheetViews>
    <sheetView topLeftCell="E1" workbookViewId="0">
      <selection activeCell="L1" sqref="L1"/>
    </sheetView>
  </sheetViews>
  <sheetFormatPr defaultColWidth="9.1796875" defaultRowHeight="14.5" x14ac:dyDescent="0.35"/>
  <cols>
    <col min="1" max="1" width="9.1796875" style="3"/>
    <col min="2" max="2" width="5.1796875" style="3" customWidth="1"/>
    <col min="3" max="3" width="6.26953125" style="3" customWidth="1"/>
    <col min="4" max="4" width="21.26953125" style="3" bestFit="1" customWidth="1"/>
    <col min="5" max="16" width="11.1796875" style="3" customWidth="1"/>
    <col min="17" max="17" width="12" style="3" bestFit="1" customWidth="1"/>
    <col min="18" max="18" width="9.1796875" style="3" customWidth="1"/>
    <col min="19" max="16384" width="9.1796875" style="3"/>
  </cols>
  <sheetData>
    <row r="1" spans="1:19" ht="21" x14ac:dyDescent="0.5">
      <c r="A1" s="4" t="s">
        <v>4</v>
      </c>
      <c r="B1" s="4">
        <f>Dashboard!A18</f>
        <v>0</v>
      </c>
      <c r="C1" s="4" t="str">
        <f>Dashboard!B22</f>
        <v>TOTAL NEW W CONNECTION EASTERN REGION</v>
      </c>
      <c r="G1" s="3" t="s">
        <v>9</v>
      </c>
      <c r="I1" s="12">
        <f>INDEX($E$18:$P$18,Actual_month)</f>
        <v>46054</v>
      </c>
      <c r="L1" s="16" t="s">
        <v>19</v>
      </c>
      <c r="R1" s="5"/>
    </row>
    <row r="2" spans="1:19" x14ac:dyDescent="0.35">
      <c r="A2" s="3" t="s">
        <v>13</v>
      </c>
      <c r="C2" s="3" t="s">
        <v>27</v>
      </c>
      <c r="R2" s="6"/>
    </row>
    <row r="3" spans="1:19" ht="25.5" customHeight="1" thickBot="1" x14ac:dyDescent="0.4">
      <c r="C3" s="1" t="s">
        <v>5</v>
      </c>
      <c r="E3" s="10"/>
      <c r="F3" s="10"/>
      <c r="G3" s="10"/>
      <c r="H3" s="10"/>
      <c r="I3" s="10"/>
      <c r="J3" s="3" t="s">
        <v>6</v>
      </c>
      <c r="K3" s="10"/>
      <c r="M3" s="10"/>
      <c r="N3" s="10"/>
      <c r="O3" s="10"/>
      <c r="P3" s="10"/>
    </row>
    <row r="4" spans="1:19" ht="25.5" customHeight="1" x14ac:dyDescent="0.35">
      <c r="C4" s="1" t="s">
        <v>5</v>
      </c>
      <c r="E4" s="10"/>
      <c r="F4" s="10"/>
      <c r="G4" s="10"/>
      <c r="H4" s="10"/>
      <c r="I4" s="10"/>
      <c r="J4" s="401"/>
      <c r="K4" s="402"/>
      <c r="L4" s="402"/>
      <c r="M4" s="402"/>
      <c r="N4" s="402"/>
      <c r="O4" s="402"/>
      <c r="P4" s="402"/>
      <c r="Q4" s="403"/>
      <c r="R4" s="3" t="s">
        <v>22</v>
      </c>
      <c r="S4" s="5">
        <f>INDEX(E27:P27,Actual_month)</f>
        <v>274</v>
      </c>
    </row>
    <row r="5" spans="1:19" ht="25.5" customHeight="1" x14ac:dyDescent="0.35">
      <c r="C5" s="1" t="s">
        <v>5</v>
      </c>
      <c r="E5" s="10"/>
      <c r="F5" s="10"/>
      <c r="G5" s="10"/>
      <c r="H5" s="10"/>
      <c r="I5" s="10"/>
      <c r="J5" s="404"/>
      <c r="K5" s="405"/>
      <c r="L5" s="405"/>
      <c r="M5" s="405"/>
      <c r="N5" s="405"/>
      <c r="O5" s="405"/>
      <c r="P5" s="405"/>
      <c r="Q5" s="406"/>
      <c r="R5" s="3" t="s">
        <v>23</v>
      </c>
      <c r="S5" s="5">
        <f>INDEX(E26:P26,Actual_month)</f>
        <v>413</v>
      </c>
    </row>
    <row r="6" spans="1:19" x14ac:dyDescent="0.35">
      <c r="J6" s="404"/>
      <c r="K6" s="405"/>
      <c r="L6" s="405"/>
      <c r="M6" s="405"/>
      <c r="N6" s="405"/>
      <c r="O6" s="405"/>
      <c r="P6" s="405"/>
      <c r="Q6" s="406"/>
      <c r="R6" s="6">
        <v>0.9</v>
      </c>
      <c r="S6" s="5">
        <f>+S5*R6</f>
        <v>371.7</v>
      </c>
    </row>
    <row r="7" spans="1:19" x14ac:dyDescent="0.35">
      <c r="J7" s="404"/>
      <c r="K7" s="405"/>
      <c r="L7" s="405"/>
      <c r="M7" s="405"/>
      <c r="N7" s="405"/>
      <c r="O7" s="405"/>
      <c r="P7" s="405"/>
      <c r="Q7" s="406"/>
    </row>
    <row r="8" spans="1:19" ht="15" thickBot="1" x14ac:dyDescent="0.4">
      <c r="J8" s="407"/>
      <c r="K8" s="408"/>
      <c r="L8" s="408"/>
      <c r="M8" s="408"/>
      <c r="N8" s="408"/>
      <c r="O8" s="408"/>
      <c r="P8" s="408"/>
      <c r="Q8" s="409"/>
    </row>
    <row r="9" spans="1:19" ht="15" thickBot="1" x14ac:dyDescent="0.4">
      <c r="J9" s="3" t="s">
        <v>12</v>
      </c>
    </row>
    <row r="10" spans="1:19" x14ac:dyDescent="0.35">
      <c r="J10" s="401"/>
      <c r="K10" s="402"/>
      <c r="L10" s="402"/>
      <c r="M10" s="402"/>
      <c r="N10" s="402"/>
      <c r="O10" s="402"/>
      <c r="P10" s="402"/>
      <c r="Q10" s="403"/>
    </row>
    <row r="11" spans="1:19" x14ac:dyDescent="0.35">
      <c r="J11" s="404"/>
      <c r="K11" s="405"/>
      <c r="L11" s="405"/>
      <c r="M11" s="405"/>
      <c r="N11" s="405"/>
      <c r="O11" s="405"/>
      <c r="P11" s="405"/>
      <c r="Q11" s="406"/>
    </row>
    <row r="12" spans="1:19" x14ac:dyDescent="0.35">
      <c r="J12" s="404"/>
      <c r="K12" s="405"/>
      <c r="L12" s="405"/>
      <c r="M12" s="405"/>
      <c r="N12" s="405"/>
      <c r="O12" s="405"/>
      <c r="P12" s="405"/>
      <c r="Q12" s="406"/>
    </row>
    <row r="13" spans="1:19" x14ac:dyDescent="0.35">
      <c r="J13" s="404"/>
      <c r="K13" s="405"/>
      <c r="L13" s="405"/>
      <c r="M13" s="405"/>
      <c r="N13" s="405"/>
      <c r="O13" s="405"/>
      <c r="P13" s="405"/>
      <c r="Q13" s="406"/>
    </row>
    <row r="14" spans="1:19" x14ac:dyDescent="0.35">
      <c r="J14" s="404"/>
      <c r="K14" s="405"/>
      <c r="L14" s="405"/>
      <c r="M14" s="405"/>
      <c r="N14" s="405"/>
      <c r="O14" s="405"/>
      <c r="P14" s="405"/>
      <c r="Q14" s="406"/>
    </row>
    <row r="15" spans="1:19" ht="15" thickBot="1" x14ac:dyDescent="0.4">
      <c r="J15" s="407"/>
      <c r="K15" s="408"/>
      <c r="L15" s="408"/>
      <c r="M15" s="408"/>
      <c r="N15" s="408"/>
      <c r="O15" s="408"/>
      <c r="P15" s="408"/>
      <c r="Q15" s="409"/>
    </row>
    <row r="18" spans="3:17" x14ac:dyDescent="0.35">
      <c r="C18" s="7" t="s">
        <v>8</v>
      </c>
      <c r="E18" s="11">
        <f>'KPI 1'!E18</f>
        <v>45839</v>
      </c>
      <c r="F18" s="11">
        <f>'KPI 1'!F18</f>
        <v>45870</v>
      </c>
      <c r="G18" s="11">
        <f>'KPI 1'!G18</f>
        <v>45901</v>
      </c>
      <c r="H18" s="11">
        <f>'KPI 1'!H18</f>
        <v>45931</v>
      </c>
      <c r="I18" s="11">
        <f>'KPI 1'!I18</f>
        <v>45962</v>
      </c>
      <c r="J18" s="11">
        <f>'KPI 1'!J18</f>
        <v>45992</v>
      </c>
      <c r="K18" s="11">
        <f>'KPI 1'!K18</f>
        <v>46023</v>
      </c>
      <c r="L18" s="11">
        <f>'KPI 1'!L18</f>
        <v>46054</v>
      </c>
      <c r="M18" s="11">
        <f>'KPI 1'!M18</f>
        <v>46082</v>
      </c>
      <c r="N18" s="11">
        <f>'KPI 1'!N18</f>
        <v>46113</v>
      </c>
      <c r="O18" s="11">
        <f>'KPI 1'!O18</f>
        <v>46143</v>
      </c>
      <c r="P18" s="11">
        <f>'KPI 1'!P18</f>
        <v>46174</v>
      </c>
      <c r="Q18" s="8" t="s">
        <v>0</v>
      </c>
    </row>
    <row r="19" spans="3:17" x14ac:dyDescent="0.35">
      <c r="D19" s="3" t="str">
        <f>'KPI 1'!D19</f>
        <v>Budget 2025-26</v>
      </c>
      <c r="E19" s="5">
        <f>'budget 2025-26'!D21</f>
        <v>76</v>
      </c>
      <c r="F19" s="5">
        <f>'budget 2025-26'!E21</f>
        <v>56</v>
      </c>
      <c r="G19" s="5">
        <f>'budget 2025-26'!F21</f>
        <v>51</v>
      </c>
      <c r="H19" s="5">
        <f>'budget 2025-26'!G21</f>
        <v>46</v>
      </c>
      <c r="I19" s="5">
        <f>'budget 2025-26'!H21</f>
        <v>46</v>
      </c>
      <c r="J19" s="5">
        <f>'budget 2025-26'!I21</f>
        <v>41</v>
      </c>
      <c r="K19" s="5">
        <f>'budget 2025-26'!J21</f>
        <v>56</v>
      </c>
      <c r="L19" s="5">
        <f>'budget 2025-26'!K21</f>
        <v>41</v>
      </c>
      <c r="M19" s="5">
        <f>'budget 2025-26'!L21</f>
        <v>41</v>
      </c>
      <c r="N19" s="5">
        <f>'budget 2025-26'!M21</f>
        <v>36</v>
      </c>
      <c r="O19" s="5">
        <f>'budget 2025-26'!N21</f>
        <v>36</v>
      </c>
      <c r="P19" s="5">
        <f>'budget 2025-26'!O21</f>
        <v>36</v>
      </c>
      <c r="Q19" s="5">
        <f>SUM(E19:P19)</f>
        <v>562</v>
      </c>
    </row>
    <row r="20" spans="3:17" x14ac:dyDescent="0.35">
      <c r="D20" s="3" t="str">
        <f>'KPI 1'!D20</f>
        <v>Actual 2025-26</v>
      </c>
      <c r="E20" s="5">
        <f>'Input Actual2025-26'!E21</f>
        <v>18</v>
      </c>
      <c r="F20" s="5">
        <f>'Input Actual2025-26'!F21</f>
        <v>40</v>
      </c>
      <c r="G20" s="5">
        <f>'Input Actual2025-26'!G21</f>
        <v>56</v>
      </c>
      <c r="H20" s="5">
        <f>'Input Actual2025-26'!H21</f>
        <v>30</v>
      </c>
      <c r="I20" s="5">
        <f>'Input Actual2025-26'!I21</f>
        <v>30</v>
      </c>
      <c r="J20" s="5">
        <f>'Input Actual2025-26'!J21</f>
        <v>38</v>
      </c>
      <c r="K20" s="5">
        <f>'Input Actual2025-26'!K21</f>
        <v>45</v>
      </c>
      <c r="L20" s="5">
        <f>'Input Actual2025-26'!L21</f>
        <v>17</v>
      </c>
      <c r="M20" s="5">
        <f>'Input Actual2025-26'!M21</f>
        <v>0</v>
      </c>
      <c r="N20" s="5">
        <f>'Input Actual2025-26'!N21</f>
        <v>0</v>
      </c>
      <c r="O20" s="5">
        <f>'Input Actual2025-26'!O21</f>
        <v>0</v>
      </c>
      <c r="P20" s="5">
        <f>'Input Actual2025-26'!P21</f>
        <v>0</v>
      </c>
      <c r="Q20" s="5">
        <f t="shared" ref="Q20:Q22" si="0">SUM(E20:P20)</f>
        <v>274</v>
      </c>
    </row>
    <row r="21" spans="3:17" x14ac:dyDescent="0.35">
      <c r="D21" s="3" t="s">
        <v>424</v>
      </c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>
        <f t="shared" si="0"/>
        <v>0</v>
      </c>
    </row>
    <row r="22" spans="3:17" x14ac:dyDescent="0.35">
      <c r="D22" s="3" t="s">
        <v>7</v>
      </c>
      <c r="E22" s="5">
        <f t="shared" ref="E22:P22" si="1">IF(E20=0,0,E20-E19)</f>
        <v>-58</v>
      </c>
      <c r="F22" s="5">
        <f t="shared" si="1"/>
        <v>-16</v>
      </c>
      <c r="G22" s="5">
        <f t="shared" si="1"/>
        <v>5</v>
      </c>
      <c r="H22" s="5">
        <f t="shared" si="1"/>
        <v>-16</v>
      </c>
      <c r="I22" s="5">
        <f t="shared" si="1"/>
        <v>-16</v>
      </c>
      <c r="J22" s="5">
        <f t="shared" si="1"/>
        <v>-3</v>
      </c>
      <c r="K22" s="5">
        <f t="shared" si="1"/>
        <v>-11</v>
      </c>
      <c r="L22" s="5">
        <f t="shared" si="1"/>
        <v>-24</v>
      </c>
      <c r="M22" s="5">
        <f t="shared" si="1"/>
        <v>0</v>
      </c>
      <c r="N22" s="5">
        <f t="shared" si="1"/>
        <v>0</v>
      </c>
      <c r="O22" s="5">
        <f t="shared" si="1"/>
        <v>0</v>
      </c>
      <c r="P22" s="5">
        <f t="shared" si="1"/>
        <v>0</v>
      </c>
      <c r="Q22" s="5">
        <f t="shared" si="0"/>
        <v>-139</v>
      </c>
    </row>
    <row r="23" spans="3:17" x14ac:dyDescent="0.35">
      <c r="D23" s="3" t="s">
        <v>43</v>
      </c>
      <c r="E23" s="9">
        <f>E21/E19</f>
        <v>0</v>
      </c>
      <c r="F23" s="9">
        <f t="shared" ref="F23:P23" si="2">F20/F19</f>
        <v>0.7142857142857143</v>
      </c>
      <c r="G23" s="9">
        <f t="shared" si="2"/>
        <v>1.0980392156862746</v>
      </c>
      <c r="H23" s="9">
        <f t="shared" si="2"/>
        <v>0.65217391304347827</v>
      </c>
      <c r="I23" s="9">
        <f t="shared" si="2"/>
        <v>0.65217391304347827</v>
      </c>
      <c r="J23" s="9">
        <f t="shared" si="2"/>
        <v>0.92682926829268297</v>
      </c>
      <c r="K23" s="9">
        <f t="shared" si="2"/>
        <v>0.8035714285714286</v>
      </c>
      <c r="L23" s="9">
        <f t="shared" si="2"/>
        <v>0.41463414634146339</v>
      </c>
      <c r="M23" s="9">
        <f t="shared" si="2"/>
        <v>0</v>
      </c>
      <c r="N23" s="9">
        <f t="shared" si="2"/>
        <v>0</v>
      </c>
      <c r="O23" s="9">
        <f t="shared" si="2"/>
        <v>0</v>
      </c>
      <c r="P23" s="9">
        <f t="shared" si="2"/>
        <v>0</v>
      </c>
    </row>
    <row r="25" spans="3:17" x14ac:dyDescent="0.35">
      <c r="C25" s="7" t="s">
        <v>3</v>
      </c>
      <c r="E25" s="11">
        <f>E18</f>
        <v>45839</v>
      </c>
      <c r="F25" s="11">
        <f t="shared" ref="F25:P25" si="3">F18</f>
        <v>45870</v>
      </c>
      <c r="G25" s="11">
        <f t="shared" si="3"/>
        <v>45901</v>
      </c>
      <c r="H25" s="11">
        <f t="shared" si="3"/>
        <v>45931</v>
      </c>
      <c r="I25" s="11">
        <f t="shared" si="3"/>
        <v>45962</v>
      </c>
      <c r="J25" s="11">
        <f t="shared" si="3"/>
        <v>45992</v>
      </c>
      <c r="K25" s="11">
        <f t="shared" si="3"/>
        <v>46023</v>
      </c>
      <c r="L25" s="11">
        <f t="shared" si="3"/>
        <v>46054</v>
      </c>
      <c r="M25" s="11">
        <f t="shared" si="3"/>
        <v>46082</v>
      </c>
      <c r="N25" s="11">
        <f t="shared" si="3"/>
        <v>46113</v>
      </c>
      <c r="O25" s="11">
        <f t="shared" si="3"/>
        <v>46143</v>
      </c>
      <c r="P25" s="11">
        <f t="shared" si="3"/>
        <v>46174</v>
      </c>
    </row>
    <row r="26" spans="3:17" x14ac:dyDescent="0.35">
      <c r="D26" s="3" t="str">
        <f>D19</f>
        <v>Budget 2025-26</v>
      </c>
      <c r="E26" s="5">
        <f>SUM($E19:E19)</f>
        <v>76</v>
      </c>
      <c r="F26" s="5">
        <f>SUM($E19:F19)</f>
        <v>132</v>
      </c>
      <c r="G26" s="5">
        <f>SUM($E19:G19)</f>
        <v>183</v>
      </c>
      <c r="H26" s="5">
        <f>SUM($E19:H19)</f>
        <v>229</v>
      </c>
      <c r="I26" s="5">
        <f>SUM($E19:I19)</f>
        <v>275</v>
      </c>
      <c r="J26" s="5">
        <f>SUM($E19:J19)</f>
        <v>316</v>
      </c>
      <c r="K26" s="5">
        <f>SUM($E19:K19)</f>
        <v>372</v>
      </c>
      <c r="L26" s="5">
        <f>SUM($E19:L19)</f>
        <v>413</v>
      </c>
      <c r="M26" s="5">
        <f>SUM($E19:M19)</f>
        <v>454</v>
      </c>
      <c r="N26" s="5">
        <f>SUM($E19:N19)</f>
        <v>490</v>
      </c>
      <c r="O26" s="5">
        <f>SUM($E19:O19)</f>
        <v>526</v>
      </c>
      <c r="P26" s="5">
        <f>SUM($E19:P19)</f>
        <v>562</v>
      </c>
    </row>
    <row r="27" spans="3:17" x14ac:dyDescent="0.35">
      <c r="D27" s="3" t="str">
        <f t="shared" ref="D27:D30" si="4">D20</f>
        <v>Actual 2025-26</v>
      </c>
      <c r="E27" s="5">
        <f>SUM($E20:E20)</f>
        <v>18</v>
      </c>
      <c r="F27" s="5">
        <f>SUM($E20:F20)</f>
        <v>58</v>
      </c>
      <c r="G27" s="5">
        <f>SUM($E20:G20)</f>
        <v>114</v>
      </c>
      <c r="H27" s="5">
        <f>SUM($E20:H20)</f>
        <v>144</v>
      </c>
      <c r="I27" s="5">
        <f>SUM($E20:I20)</f>
        <v>174</v>
      </c>
      <c r="J27" s="5">
        <f>SUM($E20:J20)</f>
        <v>212</v>
      </c>
      <c r="K27" s="5">
        <f>SUM($E20:K20)</f>
        <v>257</v>
      </c>
      <c r="L27" s="5">
        <f>SUM($E20:L20)</f>
        <v>274</v>
      </c>
      <c r="M27" s="5">
        <f>SUM($E20:M20)</f>
        <v>274</v>
      </c>
      <c r="N27" s="5">
        <f>SUM($E20:N20)</f>
        <v>274</v>
      </c>
      <c r="O27" s="5">
        <f>SUM($E20:O20)</f>
        <v>274</v>
      </c>
      <c r="P27" s="5">
        <f>SUM($E20:P20)</f>
        <v>274</v>
      </c>
    </row>
    <row r="28" spans="3:17" x14ac:dyDescent="0.35">
      <c r="D28" s="3" t="str">
        <f t="shared" si="4"/>
        <v>Actual 2024-25</v>
      </c>
      <c r="E28" s="5">
        <f>SUM($E21:E21)</f>
        <v>0</v>
      </c>
      <c r="F28" s="5">
        <f>SUM($E21:F21)</f>
        <v>0</v>
      </c>
      <c r="G28" s="5">
        <f>SUM($E21:G21)</f>
        <v>0</v>
      </c>
      <c r="H28" s="5">
        <f>SUM($E21:H21)</f>
        <v>0</v>
      </c>
      <c r="I28" s="5">
        <f>SUM($E21:I21)</f>
        <v>0</v>
      </c>
      <c r="J28" s="5">
        <f>SUM($E21:J21)</f>
        <v>0</v>
      </c>
      <c r="K28" s="5">
        <f>SUM($E21:K21)</f>
        <v>0</v>
      </c>
      <c r="L28" s="5">
        <f>SUM($E21:L21)</f>
        <v>0</v>
      </c>
      <c r="M28" s="5">
        <f>SUM($E21:M21)</f>
        <v>0</v>
      </c>
      <c r="N28" s="5">
        <f>SUM($E21:N21)</f>
        <v>0</v>
      </c>
      <c r="O28" s="5">
        <f>SUM($E21:O21)</f>
        <v>0</v>
      </c>
      <c r="P28" s="5">
        <f>SUM($E21:P21)</f>
        <v>0</v>
      </c>
    </row>
    <row r="29" spans="3:17" x14ac:dyDescent="0.35">
      <c r="D29" s="3" t="str">
        <f t="shared" si="4"/>
        <v>Difference</v>
      </c>
      <c r="E29" s="5">
        <f>SUM($E22:E22)</f>
        <v>-58</v>
      </c>
      <c r="F29" s="5">
        <f>SUM($E22:F22)</f>
        <v>-74</v>
      </c>
      <c r="G29" s="5">
        <f>SUM($E22:G22)</f>
        <v>-69</v>
      </c>
      <c r="H29" s="5">
        <f>SUM($E22:H22)</f>
        <v>-85</v>
      </c>
      <c r="I29" s="5">
        <f>SUM($E22:I22)</f>
        <v>-101</v>
      </c>
      <c r="J29" s="5">
        <f>SUM($E22:J22)</f>
        <v>-104</v>
      </c>
      <c r="K29" s="5">
        <f>SUM($E22:K22)</f>
        <v>-115</v>
      </c>
      <c r="L29" s="5">
        <f>SUM($E22:L22)</f>
        <v>-139</v>
      </c>
      <c r="M29" s="5">
        <f>SUM($E22:M22)</f>
        <v>-139</v>
      </c>
      <c r="N29" s="5">
        <f>SUM($E22:N22)</f>
        <v>-139</v>
      </c>
      <c r="O29" s="5">
        <f>SUM($E22:O22)</f>
        <v>-139</v>
      </c>
      <c r="P29" s="5">
        <f>SUM($E22:P22)</f>
        <v>-139</v>
      </c>
    </row>
    <row r="30" spans="3:17" x14ac:dyDescent="0.35">
      <c r="D30" s="3" t="str">
        <f t="shared" si="4"/>
        <v>Realisation</v>
      </c>
      <c r="E30" s="9">
        <f>E28/E26</f>
        <v>0</v>
      </c>
      <c r="F30" s="9">
        <f t="shared" ref="F30:P30" si="5">F27/F26</f>
        <v>0.43939393939393939</v>
      </c>
      <c r="G30" s="9">
        <f t="shared" si="5"/>
        <v>0.62295081967213117</v>
      </c>
      <c r="H30" s="9">
        <f t="shared" si="5"/>
        <v>0.62882096069868998</v>
      </c>
      <c r="I30" s="9">
        <f t="shared" si="5"/>
        <v>0.63272727272727269</v>
      </c>
      <c r="J30" s="9">
        <f t="shared" si="5"/>
        <v>0.67088607594936711</v>
      </c>
      <c r="K30" s="9">
        <f t="shared" si="5"/>
        <v>0.69086021505376349</v>
      </c>
      <c r="L30" s="9">
        <f t="shared" si="5"/>
        <v>0.66343825665859568</v>
      </c>
      <c r="M30" s="9">
        <f t="shared" si="5"/>
        <v>0.6035242290748899</v>
      </c>
      <c r="N30" s="9">
        <f t="shared" si="5"/>
        <v>0.5591836734693878</v>
      </c>
      <c r="O30" s="9">
        <f t="shared" si="5"/>
        <v>0.52091254752851712</v>
      </c>
      <c r="P30" s="9">
        <f t="shared" si="5"/>
        <v>0.48754448398576511</v>
      </c>
    </row>
  </sheetData>
  <mergeCells count="2">
    <mergeCell ref="J4:Q8"/>
    <mergeCell ref="J10:Q15"/>
  </mergeCells>
  <conditionalFormatting sqref="C3">
    <cfRule type="expression" dxfId="533" priority="2">
      <formula>S4&lt;S6</formula>
    </cfRule>
  </conditionalFormatting>
  <conditionalFormatting sqref="C5">
    <cfRule type="expression" dxfId="532" priority="3">
      <formula>S4&gt;=S5</formula>
    </cfRule>
  </conditionalFormatting>
  <conditionalFormatting sqref="C4">
    <cfRule type="expression" dxfId="531" priority="1">
      <formula>AND(S4&gt;=S6,S4&lt;S5)</formula>
    </cfRule>
  </conditionalFormatting>
  <hyperlinks>
    <hyperlink ref="L1" location="Dashboard!A1" display="Dashboard"/>
  </hyperlinks>
  <pageMargins left="0.7" right="0.7" top="0.75" bottom="0.75" header="0.3" footer="0.3"/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939457" r:id="rId3" name="Spinner 1">
              <controlPr defaultSize="0" autoPict="0">
                <anchor moveWithCells="1" sizeWithCells="1">
                  <from>
                    <xdr:col>9</xdr:col>
                    <xdr:colOff>19050</xdr:colOff>
                    <xdr:row>0</xdr:row>
                    <xdr:rowOff>38100</xdr:rowOff>
                  </from>
                  <to>
                    <xdr:col>9</xdr:col>
                    <xdr:colOff>400050</xdr:colOff>
                    <xdr:row>1</xdr:row>
                    <xdr:rowOff>152400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16">
    <tabColor rgb="FFFFC000"/>
  </sheetPr>
  <dimension ref="A1:S30"/>
  <sheetViews>
    <sheetView zoomScale="90" zoomScaleNormal="90" workbookViewId="0">
      <selection activeCell="L1" sqref="L1"/>
    </sheetView>
  </sheetViews>
  <sheetFormatPr defaultColWidth="9.1796875" defaultRowHeight="14.5" x14ac:dyDescent="0.35"/>
  <cols>
    <col min="1" max="1" width="9.1796875" style="3"/>
    <col min="2" max="2" width="5.1796875" style="3" customWidth="1"/>
    <col min="3" max="3" width="6.26953125" style="3" customWidth="1"/>
    <col min="4" max="4" width="21.26953125" style="3" bestFit="1" customWidth="1"/>
    <col min="5" max="16" width="11.1796875" style="3" customWidth="1"/>
    <col min="17" max="17" width="12" style="3" bestFit="1" customWidth="1"/>
    <col min="18" max="18" width="9.1796875" style="3" customWidth="1"/>
    <col min="19" max="16384" width="9.1796875" style="3"/>
  </cols>
  <sheetData>
    <row r="1" spans="1:19" ht="21" x14ac:dyDescent="0.5">
      <c r="A1" s="4" t="s">
        <v>4</v>
      </c>
      <c r="B1" s="4">
        <f>Dashboard!A18</f>
        <v>0</v>
      </c>
      <c r="C1" s="4" t="str">
        <f>Dashboard!B18</f>
        <v>TOTAL NEW WATER CONNECTION SOUTHERN REGION</v>
      </c>
      <c r="G1" s="3" t="s">
        <v>9</v>
      </c>
      <c r="I1" s="12">
        <f>INDEX($E$18:$P$18,Actual_month)</f>
        <v>46054</v>
      </c>
      <c r="L1" s="16" t="s">
        <v>19</v>
      </c>
      <c r="R1" s="5"/>
    </row>
    <row r="2" spans="1:19" x14ac:dyDescent="0.35">
      <c r="A2" s="3" t="s">
        <v>13</v>
      </c>
      <c r="C2" s="3" t="s">
        <v>27</v>
      </c>
      <c r="R2" s="6"/>
    </row>
    <row r="3" spans="1:19" ht="25.5" customHeight="1" thickBot="1" x14ac:dyDescent="0.4">
      <c r="C3" s="1" t="s">
        <v>5</v>
      </c>
      <c r="E3" s="10"/>
      <c r="F3" s="10"/>
      <c r="G3" s="10"/>
      <c r="H3" s="10"/>
      <c r="I3" s="10"/>
      <c r="J3" s="3" t="s">
        <v>6</v>
      </c>
      <c r="K3" s="10"/>
      <c r="M3" s="10"/>
      <c r="N3" s="10"/>
      <c r="O3" s="10"/>
      <c r="P3" s="10"/>
    </row>
    <row r="4" spans="1:19" ht="25.5" customHeight="1" x14ac:dyDescent="0.35">
      <c r="C4" s="1" t="s">
        <v>5</v>
      </c>
      <c r="E4" s="10"/>
      <c r="F4" s="10"/>
      <c r="G4" s="10"/>
      <c r="H4" s="10"/>
      <c r="I4" s="10"/>
      <c r="J4" s="401"/>
      <c r="K4" s="402"/>
      <c r="L4" s="402"/>
      <c r="M4" s="402"/>
      <c r="N4" s="402"/>
      <c r="O4" s="402"/>
      <c r="P4" s="402"/>
      <c r="Q4" s="403"/>
      <c r="R4" s="3" t="s">
        <v>22</v>
      </c>
      <c r="S4" s="5">
        <f>INDEX(E27:P27,Actual_month)</f>
        <v>646</v>
      </c>
    </row>
    <row r="5" spans="1:19" ht="25.5" customHeight="1" x14ac:dyDescent="0.35">
      <c r="C5" s="1" t="s">
        <v>5</v>
      </c>
      <c r="E5" s="10"/>
      <c r="F5" s="10"/>
      <c r="G5" s="10"/>
      <c r="H5" s="10"/>
      <c r="I5" s="10"/>
      <c r="J5" s="404"/>
      <c r="K5" s="405"/>
      <c r="L5" s="405"/>
      <c r="M5" s="405"/>
      <c r="N5" s="405"/>
      <c r="O5" s="405"/>
      <c r="P5" s="405"/>
      <c r="Q5" s="406"/>
      <c r="R5" s="3" t="s">
        <v>23</v>
      </c>
      <c r="S5" s="5">
        <f>INDEX(E26:P26,Actual_month)</f>
        <v>902</v>
      </c>
    </row>
    <row r="6" spans="1:19" x14ac:dyDescent="0.35">
      <c r="J6" s="404"/>
      <c r="K6" s="405"/>
      <c r="L6" s="405"/>
      <c r="M6" s="405"/>
      <c r="N6" s="405"/>
      <c r="O6" s="405"/>
      <c r="P6" s="405"/>
      <c r="Q6" s="406"/>
      <c r="R6" s="6">
        <v>0.9</v>
      </c>
      <c r="S6" s="5">
        <f>+S5*R6</f>
        <v>811.80000000000007</v>
      </c>
    </row>
    <row r="7" spans="1:19" x14ac:dyDescent="0.35">
      <c r="J7" s="404"/>
      <c r="K7" s="405"/>
      <c r="L7" s="405"/>
      <c r="M7" s="405"/>
      <c r="N7" s="405"/>
      <c r="O7" s="405"/>
      <c r="P7" s="405"/>
      <c r="Q7" s="406"/>
    </row>
    <row r="8" spans="1:19" ht="15" thickBot="1" x14ac:dyDescent="0.4">
      <c r="J8" s="407"/>
      <c r="K8" s="408"/>
      <c r="L8" s="408"/>
      <c r="M8" s="408"/>
      <c r="N8" s="408"/>
      <c r="O8" s="408"/>
      <c r="P8" s="408"/>
      <c r="Q8" s="409"/>
    </row>
    <row r="9" spans="1:19" ht="15" thickBot="1" x14ac:dyDescent="0.4">
      <c r="J9" s="3" t="s">
        <v>12</v>
      </c>
    </row>
    <row r="10" spans="1:19" x14ac:dyDescent="0.35">
      <c r="J10" s="401"/>
      <c r="K10" s="402"/>
      <c r="L10" s="402"/>
      <c r="M10" s="402"/>
      <c r="N10" s="402"/>
      <c r="O10" s="402"/>
      <c r="P10" s="402"/>
      <c r="Q10" s="403"/>
    </row>
    <row r="11" spans="1:19" x14ac:dyDescent="0.35">
      <c r="J11" s="404"/>
      <c r="K11" s="405"/>
      <c r="L11" s="405"/>
      <c r="M11" s="405"/>
      <c r="N11" s="405"/>
      <c r="O11" s="405"/>
      <c r="P11" s="405"/>
      <c r="Q11" s="406"/>
    </row>
    <row r="12" spans="1:19" x14ac:dyDescent="0.35">
      <c r="J12" s="404"/>
      <c r="K12" s="405"/>
      <c r="L12" s="405"/>
      <c r="M12" s="405"/>
      <c r="N12" s="405"/>
      <c r="O12" s="405"/>
      <c r="P12" s="405"/>
      <c r="Q12" s="406"/>
    </row>
    <row r="13" spans="1:19" x14ac:dyDescent="0.35">
      <c r="J13" s="404"/>
      <c r="K13" s="405"/>
      <c r="L13" s="405"/>
      <c r="M13" s="405"/>
      <c r="N13" s="405"/>
      <c r="O13" s="405"/>
      <c r="P13" s="405"/>
      <c r="Q13" s="406"/>
    </row>
    <row r="14" spans="1:19" x14ac:dyDescent="0.35">
      <c r="J14" s="404"/>
      <c r="K14" s="405"/>
      <c r="L14" s="405"/>
      <c r="M14" s="405"/>
      <c r="N14" s="405"/>
      <c r="O14" s="405"/>
      <c r="P14" s="405"/>
      <c r="Q14" s="406"/>
    </row>
    <row r="15" spans="1:19" ht="15" thickBot="1" x14ac:dyDescent="0.4">
      <c r="J15" s="407"/>
      <c r="K15" s="408"/>
      <c r="L15" s="408"/>
      <c r="M15" s="408"/>
      <c r="N15" s="408"/>
      <c r="O15" s="408"/>
      <c r="P15" s="408"/>
      <c r="Q15" s="409"/>
    </row>
    <row r="18" spans="3:17" x14ac:dyDescent="0.35">
      <c r="C18" s="7" t="s">
        <v>8</v>
      </c>
      <c r="E18" s="11">
        <f>'KPI 1'!E18</f>
        <v>45839</v>
      </c>
      <c r="F18" s="11">
        <f>'KPI 1'!F18</f>
        <v>45870</v>
      </c>
      <c r="G18" s="11">
        <f>'KPI 1'!G18</f>
        <v>45901</v>
      </c>
      <c r="H18" s="11">
        <f>'KPI 1'!H18</f>
        <v>45931</v>
      </c>
      <c r="I18" s="11">
        <f>'KPI 1'!I18</f>
        <v>45962</v>
      </c>
      <c r="J18" s="11">
        <f>'KPI 1'!J18</f>
        <v>45992</v>
      </c>
      <c r="K18" s="11">
        <f>'KPI 1'!K18</f>
        <v>46023</v>
      </c>
      <c r="L18" s="11">
        <f>'KPI 1'!L18</f>
        <v>46054</v>
      </c>
      <c r="M18" s="11">
        <f>'KPI 1'!M18</f>
        <v>46082</v>
      </c>
      <c r="N18" s="11">
        <f>'KPI 1'!N18</f>
        <v>46113</v>
      </c>
      <c r="O18" s="11">
        <f>'KPI 1'!O18</f>
        <v>46143</v>
      </c>
      <c r="P18" s="11">
        <f>'KPI 1'!P18</f>
        <v>46174</v>
      </c>
      <c r="Q18" s="8" t="s">
        <v>0</v>
      </c>
    </row>
    <row r="19" spans="3:17" x14ac:dyDescent="0.35">
      <c r="D19" s="3" t="str">
        <f>'KPI 1'!D19</f>
        <v>Budget 2025-26</v>
      </c>
      <c r="E19" s="5">
        <f>'budget 2025-26'!D18</f>
        <v>70</v>
      </c>
      <c r="F19" s="5">
        <f>'budget 2025-26'!E18</f>
        <v>70</v>
      </c>
      <c r="G19" s="5">
        <f>'budget 2025-26'!F18</f>
        <v>77</v>
      </c>
      <c r="H19" s="5">
        <f>'budget 2025-26'!G18</f>
        <v>152</v>
      </c>
      <c r="I19" s="5">
        <f>'budget 2025-26'!H18</f>
        <v>142</v>
      </c>
      <c r="J19" s="5">
        <f>'budget 2025-26'!I18</f>
        <v>137</v>
      </c>
      <c r="K19" s="5">
        <f>'budget 2025-26'!J18</f>
        <v>127</v>
      </c>
      <c r="L19" s="5">
        <f>'budget 2025-26'!K18</f>
        <v>127</v>
      </c>
      <c r="M19" s="5">
        <f>'budget 2025-26'!L18</f>
        <v>112</v>
      </c>
      <c r="N19" s="5">
        <f>'budget 2025-26'!M18</f>
        <v>97</v>
      </c>
      <c r="O19" s="5">
        <f>'budget 2025-26'!N18</f>
        <v>97</v>
      </c>
      <c r="P19" s="5">
        <f>'budget 2025-26'!O18</f>
        <v>95</v>
      </c>
      <c r="Q19" s="5">
        <f>SUM(E19:P19)</f>
        <v>1303</v>
      </c>
    </row>
    <row r="20" spans="3:17" x14ac:dyDescent="0.35">
      <c r="D20" s="3" t="str">
        <f>'KPI 1'!D20</f>
        <v>Actual 2025-26</v>
      </c>
      <c r="E20" s="5">
        <f>'Input Actual2025-26'!E18</f>
        <v>114</v>
      </c>
      <c r="F20" s="5">
        <f>'Input Actual2025-26'!F18</f>
        <v>101</v>
      </c>
      <c r="G20" s="5">
        <f>'Input Actual2025-26'!G18</f>
        <v>67</v>
      </c>
      <c r="H20" s="5">
        <f>'Input Actual2025-26'!H18</f>
        <v>96</v>
      </c>
      <c r="I20" s="5">
        <f>'Input Actual2025-26'!I18</f>
        <v>60</v>
      </c>
      <c r="J20" s="5">
        <f>'Input Actual2025-26'!J18</f>
        <v>82</v>
      </c>
      <c r="K20" s="5">
        <f>'Input Actual2025-26'!K18</f>
        <v>75</v>
      </c>
      <c r="L20" s="5">
        <f>'Input Actual2025-26'!L18</f>
        <v>51</v>
      </c>
      <c r="M20" s="5">
        <f>'Input Actual2025-26'!M18</f>
        <v>0</v>
      </c>
      <c r="N20" s="5">
        <f>'Input Actual2025-26'!N18</f>
        <v>0</v>
      </c>
      <c r="O20" s="5">
        <f>'Input Actual2025-26'!O18</f>
        <v>0</v>
      </c>
      <c r="P20" s="5">
        <f>'Input Actual2025-26'!P18</f>
        <v>0</v>
      </c>
      <c r="Q20" s="5">
        <f t="shared" ref="Q20:Q22" si="0">SUM(E20:P20)</f>
        <v>646</v>
      </c>
    </row>
    <row r="21" spans="3:17" x14ac:dyDescent="0.35">
      <c r="D21" s="3" t="s">
        <v>424</v>
      </c>
      <c r="E21" s="5">
        <f>'Input Actual2024-25'!E18</f>
        <v>31</v>
      </c>
      <c r="F21" s="5">
        <f>'Input Actual2024-25'!F18</f>
        <v>31</v>
      </c>
      <c r="G21" s="5">
        <f>'Input Actual2024-25'!G18</f>
        <v>14</v>
      </c>
      <c r="H21" s="5">
        <f>'Input Actual2024-25'!H18</f>
        <v>2</v>
      </c>
      <c r="I21" s="5">
        <f>'Input Actual2024-25'!I18</f>
        <v>14</v>
      </c>
      <c r="J21" s="5">
        <f>'Input Actual2024-25'!J18</f>
        <v>56</v>
      </c>
      <c r="K21" s="5">
        <f>'Input Actual2024-25'!K18</f>
        <v>106</v>
      </c>
      <c r="L21" s="5">
        <f>'Input Actual2024-25'!L18</f>
        <v>39</v>
      </c>
      <c r="M21" s="5">
        <f>'Input Actual2024-25'!M18</f>
        <v>38</v>
      </c>
      <c r="N21" s="5">
        <f>'Input Actual2024-25'!N18</f>
        <v>97</v>
      </c>
      <c r="O21" s="5">
        <f>'Input Actual2024-25'!O18</f>
        <v>38</v>
      </c>
      <c r="P21" s="5">
        <f>'Input Actual2024-25'!P18</f>
        <v>50</v>
      </c>
      <c r="Q21" s="5">
        <f t="shared" si="0"/>
        <v>516</v>
      </c>
    </row>
    <row r="22" spans="3:17" x14ac:dyDescent="0.35">
      <c r="D22" s="3" t="s">
        <v>7</v>
      </c>
      <c r="E22" s="5">
        <f t="shared" ref="E22:P22" si="1">IF(E20=0,0,E20-E19)</f>
        <v>44</v>
      </c>
      <c r="F22" s="5">
        <f t="shared" si="1"/>
        <v>31</v>
      </c>
      <c r="G22" s="5">
        <f t="shared" si="1"/>
        <v>-10</v>
      </c>
      <c r="H22" s="5">
        <f t="shared" si="1"/>
        <v>-56</v>
      </c>
      <c r="I22" s="5">
        <f t="shared" si="1"/>
        <v>-82</v>
      </c>
      <c r="J22" s="5">
        <f t="shared" si="1"/>
        <v>-55</v>
      </c>
      <c r="K22" s="5">
        <f t="shared" si="1"/>
        <v>-52</v>
      </c>
      <c r="L22" s="5">
        <f t="shared" si="1"/>
        <v>-76</v>
      </c>
      <c r="M22" s="5">
        <f t="shared" si="1"/>
        <v>0</v>
      </c>
      <c r="N22" s="5">
        <f t="shared" si="1"/>
        <v>0</v>
      </c>
      <c r="O22" s="5">
        <f t="shared" si="1"/>
        <v>0</v>
      </c>
      <c r="P22" s="5">
        <f t="shared" si="1"/>
        <v>0</v>
      </c>
      <c r="Q22" s="5">
        <f t="shared" si="0"/>
        <v>-256</v>
      </c>
    </row>
    <row r="23" spans="3:17" x14ac:dyDescent="0.35">
      <c r="D23" s="3" t="s">
        <v>43</v>
      </c>
      <c r="E23" s="9">
        <f>E21/E19</f>
        <v>0.44285714285714284</v>
      </c>
      <c r="F23" s="9">
        <f t="shared" ref="F23:P23" si="2">F20/F19</f>
        <v>1.4428571428571428</v>
      </c>
      <c r="G23" s="9">
        <f t="shared" si="2"/>
        <v>0.87012987012987009</v>
      </c>
      <c r="H23" s="9">
        <f t="shared" si="2"/>
        <v>0.63157894736842102</v>
      </c>
      <c r="I23" s="9">
        <f t="shared" si="2"/>
        <v>0.42253521126760563</v>
      </c>
      <c r="J23" s="9">
        <f t="shared" si="2"/>
        <v>0.59854014598540151</v>
      </c>
      <c r="K23" s="9">
        <f t="shared" si="2"/>
        <v>0.59055118110236215</v>
      </c>
      <c r="L23" s="9">
        <f t="shared" si="2"/>
        <v>0.40157480314960631</v>
      </c>
      <c r="M23" s="9">
        <f t="shared" si="2"/>
        <v>0</v>
      </c>
      <c r="N23" s="9">
        <f t="shared" si="2"/>
        <v>0</v>
      </c>
      <c r="O23" s="9">
        <f t="shared" si="2"/>
        <v>0</v>
      </c>
      <c r="P23" s="9">
        <f t="shared" si="2"/>
        <v>0</v>
      </c>
    </row>
    <row r="25" spans="3:17" x14ac:dyDescent="0.35">
      <c r="C25" s="7" t="s">
        <v>3</v>
      </c>
      <c r="E25" s="11">
        <f>E18</f>
        <v>45839</v>
      </c>
      <c r="F25" s="11">
        <f t="shared" ref="F25:P25" si="3">F18</f>
        <v>45870</v>
      </c>
      <c r="G25" s="11">
        <f t="shared" si="3"/>
        <v>45901</v>
      </c>
      <c r="H25" s="11">
        <f t="shared" si="3"/>
        <v>45931</v>
      </c>
      <c r="I25" s="11">
        <f t="shared" si="3"/>
        <v>45962</v>
      </c>
      <c r="J25" s="11">
        <f t="shared" si="3"/>
        <v>45992</v>
      </c>
      <c r="K25" s="11">
        <f t="shared" si="3"/>
        <v>46023</v>
      </c>
      <c r="L25" s="11">
        <f t="shared" si="3"/>
        <v>46054</v>
      </c>
      <c r="M25" s="11">
        <f t="shared" si="3"/>
        <v>46082</v>
      </c>
      <c r="N25" s="11">
        <f t="shared" si="3"/>
        <v>46113</v>
      </c>
      <c r="O25" s="11">
        <f t="shared" si="3"/>
        <v>46143</v>
      </c>
      <c r="P25" s="11">
        <f t="shared" si="3"/>
        <v>46174</v>
      </c>
    </row>
    <row r="26" spans="3:17" x14ac:dyDescent="0.35">
      <c r="D26" s="3" t="str">
        <f>D19</f>
        <v>Budget 2025-26</v>
      </c>
      <c r="E26" s="5">
        <f>SUM($E19:E19)</f>
        <v>70</v>
      </c>
      <c r="F26" s="5">
        <f>SUM($E19:F19)</f>
        <v>140</v>
      </c>
      <c r="G26" s="5">
        <f>SUM($E19:G19)</f>
        <v>217</v>
      </c>
      <c r="H26" s="5">
        <f>SUM($E19:H19)</f>
        <v>369</v>
      </c>
      <c r="I26" s="5">
        <f>SUM($E19:I19)</f>
        <v>511</v>
      </c>
      <c r="J26" s="5">
        <f>SUM($E19:J19)</f>
        <v>648</v>
      </c>
      <c r="K26" s="5">
        <f>SUM($E19:K19)</f>
        <v>775</v>
      </c>
      <c r="L26" s="5">
        <f>SUM($E19:L19)</f>
        <v>902</v>
      </c>
      <c r="M26" s="5">
        <f>SUM($E19:M19)</f>
        <v>1014</v>
      </c>
      <c r="N26" s="5">
        <f>SUM($E19:N19)</f>
        <v>1111</v>
      </c>
      <c r="O26" s="5">
        <f>SUM($E19:O19)</f>
        <v>1208</v>
      </c>
      <c r="P26" s="5">
        <f>SUM($E19:P19)</f>
        <v>1303</v>
      </c>
    </row>
    <row r="27" spans="3:17" x14ac:dyDescent="0.35">
      <c r="D27" s="3" t="str">
        <f t="shared" ref="D27:D30" si="4">D20</f>
        <v>Actual 2025-26</v>
      </c>
      <c r="E27" s="5">
        <f>SUM($E20:E20)</f>
        <v>114</v>
      </c>
      <c r="F27" s="5">
        <f>SUM($E20:F20)</f>
        <v>215</v>
      </c>
      <c r="G27" s="5">
        <f>SUM($E20:G20)</f>
        <v>282</v>
      </c>
      <c r="H27" s="5">
        <f>SUM($E20:H20)</f>
        <v>378</v>
      </c>
      <c r="I27" s="5">
        <f>SUM($E20:I20)</f>
        <v>438</v>
      </c>
      <c r="J27" s="5">
        <f>SUM($E20:J20)</f>
        <v>520</v>
      </c>
      <c r="K27" s="5">
        <f>SUM($E20:K20)</f>
        <v>595</v>
      </c>
      <c r="L27" s="5">
        <f>SUM($E20:L20)</f>
        <v>646</v>
      </c>
      <c r="M27" s="5">
        <f>SUM($E20:M20)</f>
        <v>646</v>
      </c>
      <c r="N27" s="5">
        <f>SUM($E20:N20)</f>
        <v>646</v>
      </c>
      <c r="O27" s="5">
        <f>SUM($E20:O20)</f>
        <v>646</v>
      </c>
      <c r="P27" s="5">
        <f>SUM($E20:P20)</f>
        <v>646</v>
      </c>
    </row>
    <row r="28" spans="3:17" x14ac:dyDescent="0.35">
      <c r="D28" s="3" t="str">
        <f t="shared" si="4"/>
        <v>Actual 2024-25</v>
      </c>
      <c r="E28" s="5">
        <f>SUM($E21:E21)</f>
        <v>31</v>
      </c>
      <c r="F28" s="5">
        <f>SUM($E21:F21)</f>
        <v>62</v>
      </c>
      <c r="G28" s="5">
        <f>SUM($E21:G21)</f>
        <v>76</v>
      </c>
      <c r="H28" s="5">
        <f>SUM($E21:H21)</f>
        <v>78</v>
      </c>
      <c r="I28" s="5">
        <f>SUM($E21:I21)</f>
        <v>92</v>
      </c>
      <c r="J28" s="5">
        <f>SUM($E21:J21)</f>
        <v>148</v>
      </c>
      <c r="K28" s="5">
        <f>SUM($E21:K21)</f>
        <v>254</v>
      </c>
      <c r="L28" s="5">
        <f>SUM($E21:L21)</f>
        <v>293</v>
      </c>
      <c r="M28" s="5">
        <f>SUM($E21:M21)</f>
        <v>331</v>
      </c>
      <c r="N28" s="5">
        <f>SUM($E21:N21)</f>
        <v>428</v>
      </c>
      <c r="O28" s="5">
        <f>SUM($E21:O21)</f>
        <v>466</v>
      </c>
      <c r="P28" s="5">
        <f>SUM($E21:P21)</f>
        <v>516</v>
      </c>
    </row>
    <row r="29" spans="3:17" x14ac:dyDescent="0.35">
      <c r="D29" s="3" t="str">
        <f t="shared" si="4"/>
        <v>Difference</v>
      </c>
      <c r="E29" s="5">
        <f>SUM($E22:E22)</f>
        <v>44</v>
      </c>
      <c r="F29" s="5">
        <f>SUM($E22:F22)</f>
        <v>75</v>
      </c>
      <c r="G29" s="5">
        <f>SUM($E22:G22)</f>
        <v>65</v>
      </c>
      <c r="H29" s="5">
        <f>SUM($E22:H22)</f>
        <v>9</v>
      </c>
      <c r="I29" s="5">
        <f>SUM($E22:I22)</f>
        <v>-73</v>
      </c>
      <c r="J29" s="5">
        <f>SUM($E22:J22)</f>
        <v>-128</v>
      </c>
      <c r="K29" s="5">
        <f>SUM($E22:K22)</f>
        <v>-180</v>
      </c>
      <c r="L29" s="5">
        <f>SUM($E22:L22)</f>
        <v>-256</v>
      </c>
      <c r="M29" s="5">
        <f>SUM($E22:M22)</f>
        <v>-256</v>
      </c>
      <c r="N29" s="5">
        <f>SUM($E22:N22)</f>
        <v>-256</v>
      </c>
      <c r="O29" s="5">
        <f>SUM($E22:O22)</f>
        <v>-256</v>
      </c>
      <c r="P29" s="5">
        <f>SUM($E22:P22)</f>
        <v>-256</v>
      </c>
    </row>
    <row r="30" spans="3:17" x14ac:dyDescent="0.35">
      <c r="D30" s="3" t="str">
        <f t="shared" si="4"/>
        <v>Realisation</v>
      </c>
      <c r="E30" s="9">
        <f>E28/E26</f>
        <v>0.44285714285714284</v>
      </c>
      <c r="F30" s="9">
        <f t="shared" ref="F30:P30" si="5">F27/F26</f>
        <v>1.5357142857142858</v>
      </c>
      <c r="G30" s="9">
        <f t="shared" si="5"/>
        <v>1.2995391705069124</v>
      </c>
      <c r="H30" s="9">
        <f t="shared" si="5"/>
        <v>1.024390243902439</v>
      </c>
      <c r="I30" s="9">
        <f t="shared" si="5"/>
        <v>0.8571428571428571</v>
      </c>
      <c r="J30" s="9">
        <f t="shared" si="5"/>
        <v>0.80246913580246915</v>
      </c>
      <c r="K30" s="9">
        <f t="shared" si="5"/>
        <v>0.76774193548387093</v>
      </c>
      <c r="L30" s="9">
        <f t="shared" si="5"/>
        <v>0.71618625277161863</v>
      </c>
      <c r="M30" s="9">
        <f t="shared" si="5"/>
        <v>0.63708086785009865</v>
      </c>
      <c r="N30" s="9">
        <f t="shared" si="5"/>
        <v>0.58145814581458144</v>
      </c>
      <c r="O30" s="9">
        <f t="shared" si="5"/>
        <v>0.53476821192052981</v>
      </c>
      <c r="P30" s="9">
        <f t="shared" si="5"/>
        <v>0.49577897160399081</v>
      </c>
    </row>
  </sheetData>
  <mergeCells count="2">
    <mergeCell ref="J4:Q8"/>
    <mergeCell ref="J10:Q15"/>
  </mergeCells>
  <conditionalFormatting sqref="C3">
    <cfRule type="expression" dxfId="530" priority="2">
      <formula>S4&lt;S6</formula>
    </cfRule>
  </conditionalFormatting>
  <conditionalFormatting sqref="C5">
    <cfRule type="expression" dxfId="529" priority="3">
      <formula>S4&gt;=S5</formula>
    </cfRule>
  </conditionalFormatting>
  <conditionalFormatting sqref="C4">
    <cfRule type="expression" dxfId="528" priority="1">
      <formula>AND(S4&gt;=S6,S4&lt;S5)</formula>
    </cfRule>
  </conditionalFormatting>
  <hyperlinks>
    <hyperlink ref="L1" location="Dashboard!A1" display="Dashboard"/>
  </hyperlinks>
  <pageMargins left="0.7" right="0.7" top="0.75" bottom="0.75" header="0.3" footer="0.3"/>
  <pageSetup orientation="portrait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947201" r:id="rId4" name="Spinner 1">
              <controlPr defaultSize="0" autoPict="0">
                <anchor moveWithCells="1" sizeWithCells="1">
                  <from>
                    <xdr:col>9</xdr:col>
                    <xdr:colOff>19050</xdr:colOff>
                    <xdr:row>0</xdr:row>
                    <xdr:rowOff>38100</xdr:rowOff>
                  </from>
                  <to>
                    <xdr:col>9</xdr:col>
                    <xdr:colOff>400050</xdr:colOff>
                    <xdr:row>1</xdr:row>
                    <xdr:rowOff>152400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FFC000"/>
  </sheetPr>
  <dimension ref="A1:S30"/>
  <sheetViews>
    <sheetView topLeftCell="D1" workbookViewId="0">
      <selection activeCell="L1" sqref="L1"/>
    </sheetView>
  </sheetViews>
  <sheetFormatPr defaultColWidth="9.1796875" defaultRowHeight="14.5" x14ac:dyDescent="0.35"/>
  <cols>
    <col min="1" max="1" width="9.1796875" style="3"/>
    <col min="2" max="2" width="5.1796875" style="3" customWidth="1"/>
    <col min="3" max="3" width="6.26953125" style="3" customWidth="1"/>
    <col min="4" max="4" width="21.26953125" style="3" bestFit="1" customWidth="1"/>
    <col min="5" max="16" width="11.1796875" style="3" customWidth="1"/>
    <col min="17" max="17" width="12" style="3" bestFit="1" customWidth="1"/>
    <col min="18" max="18" width="9.1796875" style="3" customWidth="1"/>
    <col min="19" max="16384" width="9.1796875" style="3"/>
  </cols>
  <sheetData>
    <row r="1" spans="1:19" ht="21" x14ac:dyDescent="0.5">
      <c r="A1" s="4" t="s">
        <v>4</v>
      </c>
      <c r="B1" s="4">
        <f>Dashboard!A21</f>
        <v>2</v>
      </c>
      <c r="C1" s="4" t="str">
        <f>Dashboard!B21</f>
        <v>IHINDU- NEW WATER</v>
      </c>
      <c r="G1" s="3" t="s">
        <v>9</v>
      </c>
      <c r="I1" s="12">
        <f>INDEX($E$18:$P$18,Actual_month)</f>
        <v>46054</v>
      </c>
      <c r="L1" s="16" t="s">
        <v>19</v>
      </c>
      <c r="R1" s="5"/>
    </row>
    <row r="2" spans="1:19" x14ac:dyDescent="0.35">
      <c r="A2" s="3" t="s">
        <v>13</v>
      </c>
      <c r="C2" s="3" t="s">
        <v>27</v>
      </c>
      <c r="R2" s="6"/>
    </row>
    <row r="3" spans="1:19" ht="25.5" customHeight="1" thickBot="1" x14ac:dyDescent="0.4">
      <c r="C3" s="1" t="s">
        <v>5</v>
      </c>
      <c r="E3" s="10"/>
      <c r="F3" s="10"/>
      <c r="G3" s="10"/>
      <c r="H3" s="10"/>
      <c r="I3" s="10"/>
      <c r="J3" s="3" t="s">
        <v>6</v>
      </c>
      <c r="K3" s="10"/>
      <c r="M3" s="10"/>
      <c r="N3" s="10"/>
      <c r="O3" s="10"/>
      <c r="P3" s="10"/>
    </row>
    <row r="4" spans="1:19" ht="25.5" customHeight="1" x14ac:dyDescent="0.35">
      <c r="C4" s="1" t="s">
        <v>5</v>
      </c>
      <c r="E4" s="10"/>
      <c r="F4" s="10"/>
      <c r="G4" s="10"/>
      <c r="H4" s="10"/>
      <c r="I4" s="10"/>
      <c r="J4" s="401"/>
      <c r="K4" s="402"/>
      <c r="L4" s="402"/>
      <c r="M4" s="402"/>
      <c r="N4" s="402"/>
      <c r="O4" s="402"/>
      <c r="P4" s="402"/>
      <c r="Q4" s="403"/>
      <c r="R4" s="3" t="s">
        <v>22</v>
      </c>
      <c r="S4" s="5">
        <f>INDEX(E27:P27,Actual_month)</f>
        <v>4</v>
      </c>
    </row>
    <row r="5" spans="1:19" ht="25.5" customHeight="1" x14ac:dyDescent="0.35">
      <c r="C5" s="1" t="s">
        <v>5</v>
      </c>
      <c r="E5" s="10"/>
      <c r="F5" s="10"/>
      <c r="G5" s="10"/>
      <c r="H5" s="10"/>
      <c r="I5" s="10"/>
      <c r="J5" s="404"/>
      <c r="K5" s="405"/>
      <c r="L5" s="405"/>
      <c r="M5" s="405"/>
      <c r="N5" s="405"/>
      <c r="O5" s="405"/>
      <c r="P5" s="405"/>
      <c r="Q5" s="406"/>
      <c r="R5" s="3" t="s">
        <v>23</v>
      </c>
      <c r="S5" s="5">
        <f>INDEX(E26:P26,Actual_month)</f>
        <v>229</v>
      </c>
    </row>
    <row r="6" spans="1:19" x14ac:dyDescent="0.35">
      <c r="J6" s="404"/>
      <c r="K6" s="405"/>
      <c r="L6" s="405"/>
      <c r="M6" s="405"/>
      <c r="N6" s="405"/>
      <c r="O6" s="405"/>
      <c r="P6" s="405"/>
      <c r="Q6" s="406"/>
      <c r="R6" s="6">
        <v>0.9</v>
      </c>
      <c r="S6" s="5">
        <f>+S5*R6</f>
        <v>206.1</v>
      </c>
    </row>
    <row r="7" spans="1:19" x14ac:dyDescent="0.35">
      <c r="J7" s="404"/>
      <c r="K7" s="405"/>
      <c r="L7" s="405"/>
      <c r="M7" s="405"/>
      <c r="N7" s="405"/>
      <c r="O7" s="405"/>
      <c r="P7" s="405"/>
      <c r="Q7" s="406"/>
    </row>
    <row r="8" spans="1:19" ht="15" thickBot="1" x14ac:dyDescent="0.4">
      <c r="J8" s="407"/>
      <c r="K8" s="408"/>
      <c r="L8" s="408"/>
      <c r="M8" s="408"/>
      <c r="N8" s="408"/>
      <c r="O8" s="408"/>
      <c r="P8" s="408"/>
      <c r="Q8" s="409"/>
    </row>
    <row r="9" spans="1:19" ht="15" thickBot="1" x14ac:dyDescent="0.4">
      <c r="J9" s="3" t="s">
        <v>12</v>
      </c>
    </row>
    <row r="10" spans="1:19" x14ac:dyDescent="0.35">
      <c r="J10" s="401"/>
      <c r="K10" s="402"/>
      <c r="L10" s="402"/>
      <c r="M10" s="402"/>
      <c r="N10" s="402"/>
      <c r="O10" s="402"/>
      <c r="P10" s="402"/>
      <c r="Q10" s="403"/>
    </row>
    <row r="11" spans="1:19" x14ac:dyDescent="0.35">
      <c r="J11" s="404"/>
      <c r="K11" s="405"/>
      <c r="L11" s="405"/>
      <c r="M11" s="405"/>
      <c r="N11" s="405"/>
      <c r="O11" s="405"/>
      <c r="P11" s="405"/>
      <c r="Q11" s="406"/>
    </row>
    <row r="12" spans="1:19" x14ac:dyDescent="0.35">
      <c r="J12" s="404"/>
      <c r="K12" s="405"/>
      <c r="L12" s="405"/>
      <c r="M12" s="405"/>
      <c r="N12" s="405"/>
      <c r="O12" s="405"/>
      <c r="P12" s="405"/>
      <c r="Q12" s="406"/>
    </row>
    <row r="13" spans="1:19" x14ac:dyDescent="0.35">
      <c r="J13" s="404"/>
      <c r="K13" s="405"/>
      <c r="L13" s="405"/>
      <c r="M13" s="405"/>
      <c r="N13" s="405"/>
      <c r="O13" s="405"/>
      <c r="P13" s="405"/>
      <c r="Q13" s="406"/>
    </row>
    <row r="14" spans="1:19" x14ac:dyDescent="0.35">
      <c r="J14" s="404"/>
      <c r="K14" s="405"/>
      <c r="L14" s="405"/>
      <c r="M14" s="405"/>
      <c r="N14" s="405"/>
      <c r="O14" s="405"/>
      <c r="P14" s="405"/>
      <c r="Q14" s="406"/>
    </row>
    <row r="15" spans="1:19" ht="15" thickBot="1" x14ac:dyDescent="0.4">
      <c r="J15" s="407"/>
      <c r="K15" s="408"/>
      <c r="L15" s="408"/>
      <c r="M15" s="408"/>
      <c r="N15" s="408"/>
      <c r="O15" s="408"/>
      <c r="P15" s="408"/>
      <c r="Q15" s="409"/>
    </row>
    <row r="18" spans="3:17" x14ac:dyDescent="0.35">
      <c r="C18" s="7" t="s">
        <v>8</v>
      </c>
      <c r="E18" s="11">
        <f>'KPI 1'!E18</f>
        <v>45839</v>
      </c>
      <c r="F18" s="11">
        <f>'KPI 1'!F18</f>
        <v>45870</v>
      </c>
      <c r="G18" s="11">
        <f>'KPI 1'!G18</f>
        <v>45901</v>
      </c>
      <c r="H18" s="11">
        <f>'KPI 1'!H18</f>
        <v>45931</v>
      </c>
      <c r="I18" s="11">
        <f>'KPI 1'!I18</f>
        <v>45962</v>
      </c>
      <c r="J18" s="11">
        <f>'KPI 1'!J18</f>
        <v>45992</v>
      </c>
      <c r="K18" s="11">
        <f>'KPI 1'!K18</f>
        <v>46023</v>
      </c>
      <c r="L18" s="11">
        <f>'KPI 1'!L18</f>
        <v>46054</v>
      </c>
      <c r="M18" s="11">
        <f>'KPI 1'!M18</f>
        <v>46082</v>
      </c>
      <c r="N18" s="11">
        <f>'KPI 1'!N18</f>
        <v>46113</v>
      </c>
      <c r="O18" s="11">
        <f>'KPI 1'!O18</f>
        <v>46143</v>
      </c>
      <c r="P18" s="11">
        <f>'KPI 1'!P18</f>
        <v>46174</v>
      </c>
      <c r="Q18" s="8" t="s">
        <v>0</v>
      </c>
    </row>
    <row r="19" spans="3:17" x14ac:dyDescent="0.35">
      <c r="D19" s="3" t="str">
        <f>'KPI 1'!D19</f>
        <v>Budget 2025-26</v>
      </c>
      <c r="E19" s="5">
        <f>'budget 2025-26'!D20</f>
        <v>38</v>
      </c>
      <c r="F19" s="5">
        <f>'budget 2025-26'!E20</f>
        <v>38</v>
      </c>
      <c r="G19" s="5">
        <f>'budget 2025-26'!F20</f>
        <v>33</v>
      </c>
      <c r="H19" s="5">
        <f>'budget 2025-26'!G20</f>
        <v>28</v>
      </c>
      <c r="I19" s="5">
        <f>'budget 2025-26'!H20</f>
        <v>28</v>
      </c>
      <c r="J19" s="5">
        <f>'budget 2025-26'!I20</f>
        <v>23</v>
      </c>
      <c r="K19" s="5">
        <f>'budget 2025-26'!J20</f>
        <v>23</v>
      </c>
      <c r="L19" s="5">
        <f>'budget 2025-26'!K20</f>
        <v>18</v>
      </c>
      <c r="M19" s="5">
        <f>'budget 2025-26'!L20</f>
        <v>18</v>
      </c>
      <c r="N19" s="5">
        <f>'budget 2025-26'!M20</f>
        <v>18</v>
      </c>
      <c r="O19" s="5">
        <f>'budget 2025-26'!N20</f>
        <v>18</v>
      </c>
      <c r="P19" s="5">
        <f>'budget 2025-26'!O20</f>
        <v>18</v>
      </c>
      <c r="Q19" s="5">
        <f>SUM(E19:P19)</f>
        <v>301</v>
      </c>
    </row>
    <row r="20" spans="3:17" x14ac:dyDescent="0.35">
      <c r="D20" s="3" t="str">
        <f>'KPI 1'!D20</f>
        <v>Actual 2025-26</v>
      </c>
      <c r="E20" s="5">
        <f>'Input Actual2025-26'!E20</f>
        <v>1</v>
      </c>
      <c r="F20" s="5">
        <f>'Input Actual2025-26'!F20</f>
        <v>0</v>
      </c>
      <c r="G20" s="5">
        <f>'Input Actual2025-26'!G20</f>
        <v>1</v>
      </c>
      <c r="H20" s="5">
        <f>'Input Actual2025-26'!H20</f>
        <v>0</v>
      </c>
      <c r="I20" s="5">
        <f>'Input Actual2025-26'!I20</f>
        <v>0</v>
      </c>
      <c r="J20" s="5">
        <f>'Input Actual2025-26'!J20</f>
        <v>0</v>
      </c>
      <c r="K20" s="5">
        <f>'Input Actual2025-26'!K20</f>
        <v>2</v>
      </c>
      <c r="L20" s="5">
        <f>'Input Actual2025-26'!L20</f>
        <v>0</v>
      </c>
      <c r="M20" s="5">
        <f>'Input Actual2025-26'!M20</f>
        <v>0</v>
      </c>
      <c r="N20" s="5">
        <f>'Input Actual2025-26'!N20</f>
        <v>0</v>
      </c>
      <c r="O20" s="5">
        <f>'Input Actual2025-26'!O20</f>
        <v>0</v>
      </c>
      <c r="P20" s="5">
        <f>'Input Actual2025-26'!P20</f>
        <v>0</v>
      </c>
      <c r="Q20" s="5">
        <f t="shared" ref="Q20:Q22" si="0">SUM(E20:P20)</f>
        <v>4</v>
      </c>
    </row>
    <row r="21" spans="3:17" x14ac:dyDescent="0.35">
      <c r="D21" s="3" t="s">
        <v>424</v>
      </c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>
        <f t="shared" si="0"/>
        <v>0</v>
      </c>
    </row>
    <row r="22" spans="3:17" x14ac:dyDescent="0.35">
      <c r="D22" s="3" t="s">
        <v>7</v>
      </c>
      <c r="E22" s="5">
        <f t="shared" ref="E22:P22" si="1">IF(E20=0,0,E20-E19)</f>
        <v>-37</v>
      </c>
      <c r="F22" s="5">
        <f t="shared" si="1"/>
        <v>0</v>
      </c>
      <c r="G22" s="5">
        <f t="shared" si="1"/>
        <v>-32</v>
      </c>
      <c r="H22" s="5">
        <f t="shared" si="1"/>
        <v>0</v>
      </c>
      <c r="I22" s="5">
        <f t="shared" si="1"/>
        <v>0</v>
      </c>
      <c r="J22" s="5">
        <f t="shared" si="1"/>
        <v>0</v>
      </c>
      <c r="K22" s="5">
        <f t="shared" si="1"/>
        <v>-21</v>
      </c>
      <c r="L22" s="5">
        <f t="shared" si="1"/>
        <v>0</v>
      </c>
      <c r="M22" s="5">
        <f t="shared" si="1"/>
        <v>0</v>
      </c>
      <c r="N22" s="5">
        <f t="shared" si="1"/>
        <v>0</v>
      </c>
      <c r="O22" s="5">
        <f t="shared" si="1"/>
        <v>0</v>
      </c>
      <c r="P22" s="5">
        <f t="shared" si="1"/>
        <v>0</v>
      </c>
      <c r="Q22" s="5">
        <f t="shared" si="0"/>
        <v>-90</v>
      </c>
    </row>
    <row r="23" spans="3:17" x14ac:dyDescent="0.35">
      <c r="D23" s="3" t="s">
        <v>43</v>
      </c>
      <c r="E23" s="9">
        <f>E21/E19</f>
        <v>0</v>
      </c>
      <c r="F23" s="9">
        <f t="shared" ref="F23:P23" si="2">F20/F19</f>
        <v>0</v>
      </c>
      <c r="G23" s="9">
        <f t="shared" si="2"/>
        <v>3.0303030303030304E-2</v>
      </c>
      <c r="H23" s="9">
        <f t="shared" si="2"/>
        <v>0</v>
      </c>
      <c r="I23" s="9">
        <f t="shared" si="2"/>
        <v>0</v>
      </c>
      <c r="J23" s="9">
        <f t="shared" si="2"/>
        <v>0</v>
      </c>
      <c r="K23" s="9">
        <f t="shared" si="2"/>
        <v>8.6956521739130432E-2</v>
      </c>
      <c r="L23" s="9">
        <f t="shared" si="2"/>
        <v>0</v>
      </c>
      <c r="M23" s="9">
        <f t="shared" si="2"/>
        <v>0</v>
      </c>
      <c r="N23" s="9">
        <f t="shared" si="2"/>
        <v>0</v>
      </c>
      <c r="O23" s="9">
        <f t="shared" si="2"/>
        <v>0</v>
      </c>
      <c r="P23" s="9">
        <f t="shared" si="2"/>
        <v>0</v>
      </c>
    </row>
    <row r="25" spans="3:17" x14ac:dyDescent="0.35">
      <c r="C25" s="7" t="s">
        <v>3</v>
      </c>
      <c r="E25" s="11">
        <f>E18</f>
        <v>45839</v>
      </c>
      <c r="F25" s="11">
        <f t="shared" ref="F25:P25" si="3">F18</f>
        <v>45870</v>
      </c>
      <c r="G25" s="11">
        <f t="shared" si="3"/>
        <v>45901</v>
      </c>
      <c r="H25" s="11">
        <f t="shared" si="3"/>
        <v>45931</v>
      </c>
      <c r="I25" s="11">
        <f t="shared" si="3"/>
        <v>45962</v>
      </c>
      <c r="J25" s="11">
        <f t="shared" si="3"/>
        <v>45992</v>
      </c>
      <c r="K25" s="11">
        <f t="shared" si="3"/>
        <v>46023</v>
      </c>
      <c r="L25" s="11">
        <f t="shared" si="3"/>
        <v>46054</v>
      </c>
      <c r="M25" s="11">
        <f t="shared" si="3"/>
        <v>46082</v>
      </c>
      <c r="N25" s="11">
        <f t="shared" si="3"/>
        <v>46113</v>
      </c>
      <c r="O25" s="11">
        <f t="shared" si="3"/>
        <v>46143</v>
      </c>
      <c r="P25" s="11">
        <f t="shared" si="3"/>
        <v>46174</v>
      </c>
    </row>
    <row r="26" spans="3:17" x14ac:dyDescent="0.35">
      <c r="D26" s="3" t="str">
        <f>D19</f>
        <v>Budget 2025-26</v>
      </c>
      <c r="E26" s="5">
        <f>SUM($E19:E19)</f>
        <v>38</v>
      </c>
      <c r="F26" s="5">
        <f>SUM($E19:F19)</f>
        <v>76</v>
      </c>
      <c r="G26" s="5">
        <f>SUM($E19:G19)</f>
        <v>109</v>
      </c>
      <c r="H26" s="5">
        <f>SUM($E19:H19)</f>
        <v>137</v>
      </c>
      <c r="I26" s="5">
        <f>SUM($E19:I19)</f>
        <v>165</v>
      </c>
      <c r="J26" s="5">
        <f>SUM($E19:J19)</f>
        <v>188</v>
      </c>
      <c r="K26" s="5">
        <f>SUM($E19:K19)</f>
        <v>211</v>
      </c>
      <c r="L26" s="5">
        <f>SUM($E19:L19)</f>
        <v>229</v>
      </c>
      <c r="M26" s="5">
        <f>SUM($E19:M19)</f>
        <v>247</v>
      </c>
      <c r="N26" s="5">
        <f>SUM($E19:N19)</f>
        <v>265</v>
      </c>
      <c r="O26" s="5">
        <f>SUM($E19:O19)</f>
        <v>283</v>
      </c>
      <c r="P26" s="5">
        <f>SUM($E19:P19)</f>
        <v>301</v>
      </c>
    </row>
    <row r="27" spans="3:17" x14ac:dyDescent="0.35">
      <c r="D27" s="3" t="str">
        <f t="shared" ref="D27:D30" si="4">D20</f>
        <v>Actual 2025-26</v>
      </c>
      <c r="E27" s="5">
        <f>SUM($E20:E20)</f>
        <v>1</v>
      </c>
      <c r="F27" s="5">
        <f>SUM($E20:F20)</f>
        <v>1</v>
      </c>
      <c r="G27" s="5">
        <f>SUM($E20:G20)</f>
        <v>2</v>
      </c>
      <c r="H27" s="5">
        <f>SUM($E20:H20)</f>
        <v>2</v>
      </c>
      <c r="I27" s="5">
        <f>SUM($E20:I20)</f>
        <v>2</v>
      </c>
      <c r="J27" s="5">
        <f>SUM($E20:J20)</f>
        <v>2</v>
      </c>
      <c r="K27" s="5">
        <f>SUM($E20:K20)</f>
        <v>4</v>
      </c>
      <c r="L27" s="5">
        <f>SUM($E20:L20)</f>
        <v>4</v>
      </c>
      <c r="M27" s="5">
        <f>SUM($E20:M20)</f>
        <v>4</v>
      </c>
      <c r="N27" s="5">
        <f>SUM($E20:N20)</f>
        <v>4</v>
      </c>
      <c r="O27" s="5">
        <f>SUM($E20:O20)</f>
        <v>4</v>
      </c>
      <c r="P27" s="5">
        <f>SUM($E20:P20)</f>
        <v>4</v>
      </c>
    </row>
    <row r="28" spans="3:17" x14ac:dyDescent="0.35">
      <c r="D28" s="3" t="str">
        <f t="shared" si="4"/>
        <v>Actual 2024-25</v>
      </c>
      <c r="E28" s="5">
        <f>SUM($E21:E21)</f>
        <v>0</v>
      </c>
      <c r="F28" s="5">
        <f>SUM($E21:F21)</f>
        <v>0</v>
      </c>
      <c r="G28" s="5">
        <f>SUM($E21:G21)</f>
        <v>0</v>
      </c>
      <c r="H28" s="5">
        <f>SUM($E21:H21)</f>
        <v>0</v>
      </c>
      <c r="I28" s="5">
        <f>SUM($E21:I21)</f>
        <v>0</v>
      </c>
      <c r="J28" s="5">
        <f>SUM($E21:J21)</f>
        <v>0</v>
      </c>
      <c r="K28" s="5">
        <f>SUM($E21:K21)</f>
        <v>0</v>
      </c>
      <c r="L28" s="5">
        <f>SUM($E21:L21)</f>
        <v>0</v>
      </c>
      <c r="M28" s="5">
        <f>SUM($E21:M21)</f>
        <v>0</v>
      </c>
      <c r="N28" s="5">
        <f>SUM($E21:N21)</f>
        <v>0</v>
      </c>
      <c r="O28" s="5">
        <f>SUM($E21:O21)</f>
        <v>0</v>
      </c>
      <c r="P28" s="5">
        <f>SUM($E21:P21)</f>
        <v>0</v>
      </c>
    </row>
    <row r="29" spans="3:17" x14ac:dyDescent="0.35">
      <c r="D29" s="3" t="str">
        <f t="shared" si="4"/>
        <v>Difference</v>
      </c>
      <c r="E29" s="5">
        <f>SUM($E22:E22)</f>
        <v>-37</v>
      </c>
      <c r="F29" s="5">
        <f>SUM($E22:F22)</f>
        <v>-37</v>
      </c>
      <c r="G29" s="5">
        <f>SUM($E22:G22)</f>
        <v>-69</v>
      </c>
      <c r="H29" s="5">
        <f>SUM($E22:H22)</f>
        <v>-69</v>
      </c>
      <c r="I29" s="5">
        <f>SUM($E22:I22)</f>
        <v>-69</v>
      </c>
      <c r="J29" s="5">
        <f>SUM($E22:J22)</f>
        <v>-69</v>
      </c>
      <c r="K29" s="5">
        <f>SUM($E22:K22)</f>
        <v>-90</v>
      </c>
      <c r="L29" s="5">
        <f>SUM($E22:L22)</f>
        <v>-90</v>
      </c>
      <c r="M29" s="5">
        <f>SUM($E22:M22)</f>
        <v>-90</v>
      </c>
      <c r="N29" s="5">
        <f>SUM($E22:N22)</f>
        <v>-90</v>
      </c>
      <c r="O29" s="5">
        <f>SUM($E22:O22)</f>
        <v>-90</v>
      </c>
      <c r="P29" s="5">
        <f>SUM($E22:P22)</f>
        <v>-90</v>
      </c>
    </row>
    <row r="30" spans="3:17" x14ac:dyDescent="0.35">
      <c r="D30" s="3" t="str">
        <f t="shared" si="4"/>
        <v>Realisation</v>
      </c>
      <c r="E30" s="9">
        <f>E28/E26</f>
        <v>0</v>
      </c>
      <c r="F30" s="9">
        <f t="shared" ref="F30:P30" si="5">F27/F26</f>
        <v>1.3157894736842105E-2</v>
      </c>
      <c r="G30" s="9">
        <f t="shared" si="5"/>
        <v>1.834862385321101E-2</v>
      </c>
      <c r="H30" s="9">
        <f t="shared" si="5"/>
        <v>1.4598540145985401E-2</v>
      </c>
      <c r="I30" s="9">
        <f t="shared" si="5"/>
        <v>1.2121212121212121E-2</v>
      </c>
      <c r="J30" s="9">
        <f t="shared" si="5"/>
        <v>1.0638297872340425E-2</v>
      </c>
      <c r="K30" s="9">
        <f t="shared" si="5"/>
        <v>1.8957345971563982E-2</v>
      </c>
      <c r="L30" s="9">
        <f t="shared" si="5"/>
        <v>1.7467248908296942E-2</v>
      </c>
      <c r="M30" s="9">
        <f t="shared" si="5"/>
        <v>1.6194331983805668E-2</v>
      </c>
      <c r="N30" s="9">
        <f t="shared" si="5"/>
        <v>1.509433962264151E-2</v>
      </c>
      <c r="O30" s="9">
        <f t="shared" si="5"/>
        <v>1.4134275618374558E-2</v>
      </c>
      <c r="P30" s="9">
        <f t="shared" si="5"/>
        <v>1.3289036544850499E-2</v>
      </c>
    </row>
  </sheetData>
  <mergeCells count="2">
    <mergeCell ref="J4:Q8"/>
    <mergeCell ref="J10:Q15"/>
  </mergeCells>
  <conditionalFormatting sqref="C3">
    <cfRule type="expression" dxfId="527" priority="2">
      <formula>S4&lt;S6</formula>
    </cfRule>
  </conditionalFormatting>
  <conditionalFormatting sqref="C5">
    <cfRule type="expression" dxfId="526" priority="3">
      <formula>S4&gt;=S5</formula>
    </cfRule>
  </conditionalFormatting>
  <conditionalFormatting sqref="C4">
    <cfRule type="expression" dxfId="525" priority="1">
      <formula>AND(S4&gt;=S6,S4&lt;S5)</formula>
    </cfRule>
  </conditionalFormatting>
  <hyperlinks>
    <hyperlink ref="L1" location="Dashboard!A1" display="Dashboard"/>
  </hyperlinks>
  <pageMargins left="0.7" right="0.7" top="0.75" bottom="0.75" header="0.3" footer="0.3"/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931265" r:id="rId3" name="Spinner 1">
              <controlPr defaultSize="0" autoPict="0">
                <anchor moveWithCells="1" sizeWithCells="1">
                  <from>
                    <xdr:col>9</xdr:col>
                    <xdr:colOff>19050</xdr:colOff>
                    <xdr:row>0</xdr:row>
                    <xdr:rowOff>38100</xdr:rowOff>
                  </from>
                  <to>
                    <xdr:col>9</xdr:col>
                    <xdr:colOff>400050</xdr:colOff>
                    <xdr:row>1</xdr:row>
                    <xdr:rowOff>152400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13">
    <tabColor rgb="FFFFC000"/>
  </sheetPr>
  <dimension ref="A1:S30"/>
  <sheetViews>
    <sheetView zoomScale="90" zoomScaleNormal="90" workbookViewId="0">
      <selection activeCell="L1" sqref="L1"/>
    </sheetView>
  </sheetViews>
  <sheetFormatPr defaultColWidth="9.1796875" defaultRowHeight="14.5" x14ac:dyDescent="0.35"/>
  <cols>
    <col min="1" max="1" width="9.1796875" style="3"/>
    <col min="2" max="2" width="5.1796875" style="3" customWidth="1"/>
    <col min="3" max="3" width="6.26953125" style="3" customWidth="1"/>
    <col min="4" max="4" width="21.26953125" style="3" bestFit="1" customWidth="1"/>
    <col min="5" max="16" width="11.1796875" style="3" customWidth="1"/>
    <col min="17" max="17" width="12" style="3" bestFit="1" customWidth="1"/>
    <col min="18" max="18" width="9.1796875" style="3" customWidth="1"/>
    <col min="19" max="16384" width="9.1796875" style="3"/>
  </cols>
  <sheetData>
    <row r="1" spans="1:19" ht="21" x14ac:dyDescent="0.5">
      <c r="A1" s="4" t="s">
        <v>4</v>
      </c>
      <c r="B1" s="4">
        <f>Dashboard!A20</f>
        <v>1</v>
      </c>
      <c r="C1" s="4" t="str">
        <f>Dashboard!B20</f>
        <v>KAYOLE- NEW WATER</v>
      </c>
      <c r="G1" s="3" t="s">
        <v>9</v>
      </c>
      <c r="I1" s="12">
        <f>INDEX($E$18:$P$18,Actual_month)</f>
        <v>46054</v>
      </c>
      <c r="L1" s="16" t="s">
        <v>19</v>
      </c>
      <c r="R1" s="5"/>
    </row>
    <row r="2" spans="1:19" x14ac:dyDescent="0.35">
      <c r="A2" s="3" t="s">
        <v>13</v>
      </c>
      <c r="C2" s="3" t="s">
        <v>27</v>
      </c>
      <c r="R2" s="6"/>
    </row>
    <row r="3" spans="1:19" ht="25.5" customHeight="1" thickBot="1" x14ac:dyDescent="0.4">
      <c r="C3" s="1" t="s">
        <v>5</v>
      </c>
      <c r="E3" s="10"/>
      <c r="F3" s="10"/>
      <c r="G3" s="10"/>
      <c r="H3" s="10"/>
      <c r="I3" s="10"/>
      <c r="J3" s="3" t="s">
        <v>6</v>
      </c>
      <c r="K3" s="10"/>
      <c r="M3" s="10"/>
      <c r="N3" s="10"/>
      <c r="O3" s="10"/>
      <c r="P3" s="10"/>
    </row>
    <row r="4" spans="1:19" ht="25.5" customHeight="1" x14ac:dyDescent="0.35">
      <c r="C4" s="1" t="s">
        <v>5</v>
      </c>
      <c r="E4" s="10"/>
      <c r="F4" s="10"/>
      <c r="G4" s="10"/>
      <c r="H4" s="10"/>
      <c r="I4" s="10"/>
      <c r="J4" s="401"/>
      <c r="K4" s="402"/>
      <c r="L4" s="402"/>
      <c r="M4" s="402"/>
      <c r="N4" s="402"/>
      <c r="O4" s="402"/>
      <c r="P4" s="402"/>
      <c r="Q4" s="403"/>
      <c r="R4" s="3" t="s">
        <v>22</v>
      </c>
      <c r="S4" s="5">
        <f>INDEX(E27:P27,Actual_month)</f>
        <v>270</v>
      </c>
    </row>
    <row r="5" spans="1:19" ht="25.5" customHeight="1" x14ac:dyDescent="0.35">
      <c r="C5" s="1" t="s">
        <v>5</v>
      </c>
      <c r="E5" s="10"/>
      <c r="F5" s="10"/>
      <c r="G5" s="10"/>
      <c r="H5" s="10"/>
      <c r="I5" s="10"/>
      <c r="J5" s="404"/>
      <c r="K5" s="405"/>
      <c r="L5" s="405"/>
      <c r="M5" s="405"/>
      <c r="N5" s="405"/>
      <c r="O5" s="405"/>
      <c r="P5" s="405"/>
      <c r="Q5" s="406"/>
      <c r="R5" s="3" t="s">
        <v>23</v>
      </c>
      <c r="S5" s="5">
        <f>INDEX(E26:P26,Actual_month)</f>
        <v>184</v>
      </c>
    </row>
    <row r="6" spans="1:19" x14ac:dyDescent="0.35">
      <c r="J6" s="404"/>
      <c r="K6" s="405"/>
      <c r="L6" s="405"/>
      <c r="M6" s="405"/>
      <c r="N6" s="405"/>
      <c r="O6" s="405"/>
      <c r="P6" s="405"/>
      <c r="Q6" s="406"/>
      <c r="R6" s="6">
        <v>0.9</v>
      </c>
      <c r="S6" s="5">
        <f>+S5*R6</f>
        <v>165.6</v>
      </c>
    </row>
    <row r="7" spans="1:19" x14ac:dyDescent="0.35">
      <c r="J7" s="404"/>
      <c r="K7" s="405"/>
      <c r="L7" s="405"/>
      <c r="M7" s="405"/>
      <c r="N7" s="405"/>
      <c r="O7" s="405"/>
      <c r="P7" s="405"/>
      <c r="Q7" s="406"/>
    </row>
    <row r="8" spans="1:19" ht="15" thickBot="1" x14ac:dyDescent="0.4">
      <c r="J8" s="407"/>
      <c r="K8" s="408"/>
      <c r="L8" s="408"/>
      <c r="M8" s="408"/>
      <c r="N8" s="408"/>
      <c r="O8" s="408"/>
      <c r="P8" s="408"/>
      <c r="Q8" s="409"/>
    </row>
    <row r="9" spans="1:19" ht="15" thickBot="1" x14ac:dyDescent="0.4">
      <c r="J9" s="3" t="s">
        <v>12</v>
      </c>
    </row>
    <row r="10" spans="1:19" x14ac:dyDescent="0.35">
      <c r="J10" s="401"/>
      <c r="K10" s="402"/>
      <c r="L10" s="402"/>
      <c r="M10" s="402"/>
      <c r="N10" s="402"/>
      <c r="O10" s="402"/>
      <c r="P10" s="402"/>
      <c r="Q10" s="403"/>
    </row>
    <row r="11" spans="1:19" x14ac:dyDescent="0.35">
      <c r="J11" s="404"/>
      <c r="K11" s="405"/>
      <c r="L11" s="405"/>
      <c r="M11" s="405"/>
      <c r="N11" s="405"/>
      <c r="O11" s="405"/>
      <c r="P11" s="405"/>
      <c r="Q11" s="406"/>
    </row>
    <row r="12" spans="1:19" x14ac:dyDescent="0.35">
      <c r="J12" s="404"/>
      <c r="K12" s="405"/>
      <c r="L12" s="405"/>
      <c r="M12" s="405"/>
      <c r="N12" s="405"/>
      <c r="O12" s="405"/>
      <c r="P12" s="405"/>
      <c r="Q12" s="406"/>
    </row>
    <row r="13" spans="1:19" x14ac:dyDescent="0.35">
      <c r="J13" s="404"/>
      <c r="K13" s="405"/>
      <c r="L13" s="405"/>
      <c r="M13" s="405"/>
      <c r="N13" s="405"/>
      <c r="O13" s="405"/>
      <c r="P13" s="405"/>
      <c r="Q13" s="406"/>
    </row>
    <row r="14" spans="1:19" x14ac:dyDescent="0.35">
      <c r="J14" s="404"/>
      <c r="K14" s="405"/>
      <c r="L14" s="405"/>
      <c r="M14" s="405"/>
      <c r="N14" s="405"/>
      <c r="O14" s="405"/>
      <c r="P14" s="405"/>
      <c r="Q14" s="406"/>
    </row>
    <row r="15" spans="1:19" ht="15" thickBot="1" x14ac:dyDescent="0.4">
      <c r="J15" s="407"/>
      <c r="K15" s="408"/>
      <c r="L15" s="408"/>
      <c r="M15" s="408"/>
      <c r="N15" s="408"/>
      <c r="O15" s="408"/>
      <c r="P15" s="408"/>
      <c r="Q15" s="409"/>
    </row>
    <row r="18" spans="3:17" x14ac:dyDescent="0.35">
      <c r="C18" s="7" t="s">
        <v>8</v>
      </c>
      <c r="E18" s="11">
        <f>'KPI 1'!E18</f>
        <v>45839</v>
      </c>
      <c r="F18" s="11">
        <f>'KPI 1'!F18</f>
        <v>45870</v>
      </c>
      <c r="G18" s="11">
        <f>'KPI 1'!G18</f>
        <v>45901</v>
      </c>
      <c r="H18" s="11">
        <f>'KPI 1'!H18</f>
        <v>45931</v>
      </c>
      <c r="I18" s="11">
        <f>'KPI 1'!I18</f>
        <v>45962</v>
      </c>
      <c r="J18" s="11">
        <f>'KPI 1'!J18</f>
        <v>45992</v>
      </c>
      <c r="K18" s="11">
        <f>'KPI 1'!K18</f>
        <v>46023</v>
      </c>
      <c r="L18" s="11">
        <f>'KPI 1'!L18</f>
        <v>46054</v>
      </c>
      <c r="M18" s="11">
        <f>'KPI 1'!M18</f>
        <v>46082</v>
      </c>
      <c r="N18" s="11">
        <f>'KPI 1'!N18</f>
        <v>46113</v>
      </c>
      <c r="O18" s="11">
        <f>'KPI 1'!O18</f>
        <v>46143</v>
      </c>
      <c r="P18" s="11">
        <f>'KPI 1'!P18</f>
        <v>46174</v>
      </c>
      <c r="Q18" s="8" t="s">
        <v>0</v>
      </c>
    </row>
    <row r="19" spans="3:17" x14ac:dyDescent="0.35">
      <c r="D19" s="3" t="str">
        <f>'KPI 1'!D19</f>
        <v>Budget 2025-26</v>
      </c>
      <c r="E19" s="5">
        <f>'budget 2025-26'!D19</f>
        <v>38</v>
      </c>
      <c r="F19" s="5">
        <f>'budget 2025-26'!E19</f>
        <v>18</v>
      </c>
      <c r="G19" s="5">
        <f>'budget 2025-26'!F19</f>
        <v>18</v>
      </c>
      <c r="H19" s="5">
        <f>'budget 2025-26'!G19</f>
        <v>18</v>
      </c>
      <c r="I19" s="5">
        <f>'budget 2025-26'!H19</f>
        <v>18</v>
      </c>
      <c r="J19" s="5">
        <f>'budget 2025-26'!I19</f>
        <v>18</v>
      </c>
      <c r="K19" s="5">
        <f>'budget 2025-26'!J19</f>
        <v>33</v>
      </c>
      <c r="L19" s="5">
        <f>'budget 2025-26'!K19</f>
        <v>23</v>
      </c>
      <c r="M19" s="5">
        <f>'budget 2025-26'!L19</f>
        <v>23</v>
      </c>
      <c r="N19" s="5">
        <f>'budget 2025-26'!M19</f>
        <v>18</v>
      </c>
      <c r="O19" s="5">
        <f>'budget 2025-26'!N19</f>
        <v>18</v>
      </c>
      <c r="P19" s="5">
        <f>'budget 2025-26'!O19</f>
        <v>18</v>
      </c>
      <c r="Q19" s="5">
        <f>SUM(E19:P19)</f>
        <v>261</v>
      </c>
    </row>
    <row r="20" spans="3:17" x14ac:dyDescent="0.35">
      <c r="D20" s="3" t="str">
        <f>'KPI 1'!D20</f>
        <v>Actual 2025-26</v>
      </c>
      <c r="E20" s="5">
        <f>'Input Actual2025-26'!E19</f>
        <v>17</v>
      </c>
      <c r="F20" s="5">
        <f>'Input Actual2025-26'!F19</f>
        <v>40</v>
      </c>
      <c r="G20" s="5">
        <f>'Input Actual2025-26'!G19</f>
        <v>55</v>
      </c>
      <c r="H20" s="5">
        <f>'Input Actual2025-26'!H19</f>
        <v>30</v>
      </c>
      <c r="I20" s="5">
        <f>'Input Actual2025-26'!I19</f>
        <v>30</v>
      </c>
      <c r="J20" s="5">
        <f>'Input Actual2025-26'!J19</f>
        <v>38</v>
      </c>
      <c r="K20" s="5">
        <f>'Input Actual2025-26'!K19</f>
        <v>43</v>
      </c>
      <c r="L20" s="5">
        <f>'Input Actual2025-26'!L19</f>
        <v>17</v>
      </c>
      <c r="M20" s="5">
        <f>'Input Actual2025-26'!M19</f>
        <v>0</v>
      </c>
      <c r="N20" s="5">
        <f>'Input Actual2025-26'!N19</f>
        <v>0</v>
      </c>
      <c r="O20" s="5">
        <f>'Input Actual2025-26'!O19</f>
        <v>0</v>
      </c>
      <c r="P20" s="5">
        <f>'Input Actual2025-26'!P19</f>
        <v>0</v>
      </c>
      <c r="Q20" s="5">
        <f t="shared" ref="Q20:Q22" si="0">SUM(E20:P20)</f>
        <v>270</v>
      </c>
    </row>
    <row r="21" spans="3:17" x14ac:dyDescent="0.35">
      <c r="D21" s="3" t="s">
        <v>424</v>
      </c>
      <c r="E21" s="5">
        <f>'Input Actual2024-25'!E19</f>
        <v>31</v>
      </c>
      <c r="F21" s="5">
        <f>'Input Actual2024-25'!F19</f>
        <v>9</v>
      </c>
      <c r="G21" s="5">
        <f>'Input Actual2024-25'!G19</f>
        <v>2</v>
      </c>
      <c r="H21" s="5">
        <f>'Input Actual2024-25'!H19</f>
        <v>6</v>
      </c>
      <c r="I21" s="5">
        <f>'Input Actual2024-25'!I19</f>
        <v>22</v>
      </c>
      <c r="J21" s="5">
        <f>'Input Actual2024-25'!J19</f>
        <v>0</v>
      </c>
      <c r="K21" s="5">
        <f>'Input Actual2024-25'!K19</f>
        <v>7</v>
      </c>
      <c r="L21" s="5">
        <f>'Input Actual2024-25'!L19</f>
        <v>37</v>
      </c>
      <c r="M21" s="5">
        <f>'Input Actual2024-25'!M19</f>
        <v>47</v>
      </c>
      <c r="N21" s="5">
        <f>'Input Actual2024-25'!N19</f>
        <v>55</v>
      </c>
      <c r="O21" s="5">
        <f>'Input Actual2024-25'!O19</f>
        <v>12</v>
      </c>
      <c r="P21" s="5">
        <f>'Input Actual2024-25'!P19</f>
        <v>25</v>
      </c>
      <c r="Q21" s="5">
        <f t="shared" si="0"/>
        <v>253</v>
      </c>
    </row>
    <row r="22" spans="3:17" x14ac:dyDescent="0.35">
      <c r="D22" s="3" t="s">
        <v>7</v>
      </c>
      <c r="E22" s="5">
        <f t="shared" ref="E22:P22" si="1">IF(E20=0,0,E20-E19)</f>
        <v>-21</v>
      </c>
      <c r="F22" s="5">
        <f t="shared" si="1"/>
        <v>22</v>
      </c>
      <c r="G22" s="5">
        <f t="shared" si="1"/>
        <v>37</v>
      </c>
      <c r="H22" s="5">
        <f t="shared" si="1"/>
        <v>12</v>
      </c>
      <c r="I22" s="5">
        <f t="shared" si="1"/>
        <v>12</v>
      </c>
      <c r="J22" s="5">
        <f t="shared" si="1"/>
        <v>20</v>
      </c>
      <c r="K22" s="5">
        <f t="shared" si="1"/>
        <v>10</v>
      </c>
      <c r="L22" s="5">
        <f t="shared" si="1"/>
        <v>-6</v>
      </c>
      <c r="M22" s="5">
        <f t="shared" si="1"/>
        <v>0</v>
      </c>
      <c r="N22" s="5">
        <f t="shared" si="1"/>
        <v>0</v>
      </c>
      <c r="O22" s="5">
        <f t="shared" si="1"/>
        <v>0</v>
      </c>
      <c r="P22" s="5">
        <f t="shared" si="1"/>
        <v>0</v>
      </c>
      <c r="Q22" s="5">
        <f t="shared" si="0"/>
        <v>86</v>
      </c>
    </row>
    <row r="23" spans="3:17" x14ac:dyDescent="0.35">
      <c r="D23" s="3" t="s">
        <v>43</v>
      </c>
      <c r="E23" s="9">
        <f>E21/E19</f>
        <v>0.81578947368421051</v>
      </c>
      <c r="F23" s="9">
        <f t="shared" ref="F23:P23" si="2">F20/F19</f>
        <v>2.2222222222222223</v>
      </c>
      <c r="G23" s="9">
        <f t="shared" si="2"/>
        <v>3.0555555555555554</v>
      </c>
      <c r="H23" s="9">
        <f t="shared" si="2"/>
        <v>1.6666666666666667</v>
      </c>
      <c r="I23" s="9">
        <f t="shared" si="2"/>
        <v>1.6666666666666667</v>
      </c>
      <c r="J23" s="9">
        <f t="shared" si="2"/>
        <v>2.1111111111111112</v>
      </c>
      <c r="K23" s="9">
        <f t="shared" si="2"/>
        <v>1.303030303030303</v>
      </c>
      <c r="L23" s="9">
        <f t="shared" si="2"/>
        <v>0.73913043478260865</v>
      </c>
      <c r="M23" s="9">
        <f t="shared" si="2"/>
        <v>0</v>
      </c>
      <c r="N23" s="9">
        <f t="shared" si="2"/>
        <v>0</v>
      </c>
      <c r="O23" s="9">
        <f t="shared" si="2"/>
        <v>0</v>
      </c>
      <c r="P23" s="9">
        <f t="shared" si="2"/>
        <v>0</v>
      </c>
    </row>
    <row r="25" spans="3:17" x14ac:dyDescent="0.35">
      <c r="C25" s="7" t="s">
        <v>3</v>
      </c>
      <c r="E25" s="11">
        <f>E18</f>
        <v>45839</v>
      </c>
      <c r="F25" s="11">
        <f t="shared" ref="F25:P25" si="3">F18</f>
        <v>45870</v>
      </c>
      <c r="G25" s="11">
        <f t="shared" si="3"/>
        <v>45901</v>
      </c>
      <c r="H25" s="11">
        <f t="shared" si="3"/>
        <v>45931</v>
      </c>
      <c r="I25" s="11">
        <f t="shared" si="3"/>
        <v>45962</v>
      </c>
      <c r="J25" s="11">
        <f t="shared" si="3"/>
        <v>45992</v>
      </c>
      <c r="K25" s="11">
        <f t="shared" si="3"/>
        <v>46023</v>
      </c>
      <c r="L25" s="11">
        <f t="shared" si="3"/>
        <v>46054</v>
      </c>
      <c r="M25" s="11">
        <f t="shared" si="3"/>
        <v>46082</v>
      </c>
      <c r="N25" s="11">
        <f t="shared" si="3"/>
        <v>46113</v>
      </c>
      <c r="O25" s="11">
        <f t="shared" si="3"/>
        <v>46143</v>
      </c>
      <c r="P25" s="11">
        <f t="shared" si="3"/>
        <v>46174</v>
      </c>
    </row>
    <row r="26" spans="3:17" x14ac:dyDescent="0.35">
      <c r="D26" s="3" t="str">
        <f>D19</f>
        <v>Budget 2025-26</v>
      </c>
      <c r="E26" s="5">
        <f>SUM($E19:E19)</f>
        <v>38</v>
      </c>
      <c r="F26" s="5">
        <f>SUM($E19:F19)</f>
        <v>56</v>
      </c>
      <c r="G26" s="5">
        <f>SUM($E19:G19)</f>
        <v>74</v>
      </c>
      <c r="H26" s="5">
        <f>SUM($E19:H19)</f>
        <v>92</v>
      </c>
      <c r="I26" s="5">
        <f>SUM($E19:I19)</f>
        <v>110</v>
      </c>
      <c r="J26" s="5">
        <f>SUM($E19:J19)</f>
        <v>128</v>
      </c>
      <c r="K26" s="5">
        <f>SUM($E19:K19)</f>
        <v>161</v>
      </c>
      <c r="L26" s="5">
        <f>SUM($E19:L19)</f>
        <v>184</v>
      </c>
      <c r="M26" s="5">
        <f>SUM($E19:M19)</f>
        <v>207</v>
      </c>
      <c r="N26" s="5">
        <f>SUM($E19:N19)</f>
        <v>225</v>
      </c>
      <c r="O26" s="5">
        <f>SUM($E19:O19)</f>
        <v>243</v>
      </c>
      <c r="P26" s="5">
        <f>SUM($E19:P19)</f>
        <v>261</v>
      </c>
    </row>
    <row r="27" spans="3:17" x14ac:dyDescent="0.35">
      <c r="D27" s="3" t="str">
        <f t="shared" ref="D27:D30" si="4">D20</f>
        <v>Actual 2025-26</v>
      </c>
      <c r="E27" s="5">
        <f>SUM($E20:E20)</f>
        <v>17</v>
      </c>
      <c r="F27" s="5">
        <f>SUM($E20:F20)</f>
        <v>57</v>
      </c>
      <c r="G27" s="5">
        <f>SUM($E20:G20)</f>
        <v>112</v>
      </c>
      <c r="H27" s="5">
        <f>SUM($E20:H20)</f>
        <v>142</v>
      </c>
      <c r="I27" s="5">
        <f>SUM($E20:I20)</f>
        <v>172</v>
      </c>
      <c r="J27" s="5">
        <f>SUM($E20:J20)</f>
        <v>210</v>
      </c>
      <c r="K27" s="5">
        <f>SUM($E20:K20)</f>
        <v>253</v>
      </c>
      <c r="L27" s="5">
        <f>SUM($E20:L20)</f>
        <v>270</v>
      </c>
      <c r="M27" s="5">
        <f>SUM($E20:M20)</f>
        <v>270</v>
      </c>
      <c r="N27" s="5">
        <f>SUM($E20:N20)</f>
        <v>270</v>
      </c>
      <c r="O27" s="5">
        <f>SUM($E20:O20)</f>
        <v>270</v>
      </c>
      <c r="P27" s="5">
        <f>SUM($E20:P20)</f>
        <v>270</v>
      </c>
    </row>
    <row r="28" spans="3:17" x14ac:dyDescent="0.35">
      <c r="D28" s="3" t="str">
        <f t="shared" si="4"/>
        <v>Actual 2024-25</v>
      </c>
      <c r="E28" s="5">
        <f>SUM($E21:E21)</f>
        <v>31</v>
      </c>
      <c r="F28" s="5">
        <f>SUM($E21:F21)</f>
        <v>40</v>
      </c>
      <c r="G28" s="5">
        <f>SUM($E21:G21)</f>
        <v>42</v>
      </c>
      <c r="H28" s="5">
        <f>SUM($E21:H21)</f>
        <v>48</v>
      </c>
      <c r="I28" s="5">
        <f>SUM($E21:I21)</f>
        <v>70</v>
      </c>
      <c r="J28" s="5">
        <f>SUM($E21:J21)</f>
        <v>70</v>
      </c>
      <c r="K28" s="5">
        <f>SUM($E21:K21)</f>
        <v>77</v>
      </c>
      <c r="L28" s="5">
        <f>SUM($E21:L21)</f>
        <v>114</v>
      </c>
      <c r="M28" s="5">
        <f>SUM($E21:M21)</f>
        <v>161</v>
      </c>
      <c r="N28" s="5">
        <f>SUM($E21:N21)</f>
        <v>216</v>
      </c>
      <c r="O28" s="5">
        <f>SUM($E21:O21)</f>
        <v>228</v>
      </c>
      <c r="P28" s="5">
        <f>SUM($E21:P21)</f>
        <v>253</v>
      </c>
    </row>
    <row r="29" spans="3:17" x14ac:dyDescent="0.35">
      <c r="D29" s="3" t="str">
        <f t="shared" si="4"/>
        <v>Difference</v>
      </c>
      <c r="E29" s="5">
        <f>SUM($E22:E22)</f>
        <v>-21</v>
      </c>
      <c r="F29" s="5">
        <f>SUM($E22:F22)</f>
        <v>1</v>
      </c>
      <c r="G29" s="5">
        <f>SUM($E22:G22)</f>
        <v>38</v>
      </c>
      <c r="H29" s="5">
        <f>SUM($E22:H22)</f>
        <v>50</v>
      </c>
      <c r="I29" s="5">
        <f>SUM($E22:I22)</f>
        <v>62</v>
      </c>
      <c r="J29" s="5">
        <f>SUM($E22:J22)</f>
        <v>82</v>
      </c>
      <c r="K29" s="5">
        <f>SUM($E22:K22)</f>
        <v>92</v>
      </c>
      <c r="L29" s="5">
        <f>SUM($E22:L22)</f>
        <v>86</v>
      </c>
      <c r="M29" s="5">
        <f>SUM($E22:M22)</f>
        <v>86</v>
      </c>
      <c r="N29" s="5">
        <f>SUM($E22:N22)</f>
        <v>86</v>
      </c>
      <c r="O29" s="5">
        <f>SUM($E22:O22)</f>
        <v>86</v>
      </c>
      <c r="P29" s="5">
        <f>SUM($E22:P22)</f>
        <v>86</v>
      </c>
    </row>
    <row r="30" spans="3:17" x14ac:dyDescent="0.35">
      <c r="D30" s="3" t="str">
        <f t="shared" si="4"/>
        <v>Realisation</v>
      </c>
      <c r="E30" s="9">
        <f>E28/E26</f>
        <v>0.81578947368421051</v>
      </c>
      <c r="F30" s="9">
        <f t="shared" ref="F30:P30" si="5">F27/F26</f>
        <v>1.0178571428571428</v>
      </c>
      <c r="G30" s="9">
        <f t="shared" si="5"/>
        <v>1.5135135135135136</v>
      </c>
      <c r="H30" s="9">
        <f t="shared" si="5"/>
        <v>1.5434782608695652</v>
      </c>
      <c r="I30" s="9">
        <f t="shared" si="5"/>
        <v>1.5636363636363637</v>
      </c>
      <c r="J30" s="9">
        <f t="shared" si="5"/>
        <v>1.640625</v>
      </c>
      <c r="K30" s="9">
        <f t="shared" si="5"/>
        <v>1.5714285714285714</v>
      </c>
      <c r="L30" s="9">
        <f t="shared" si="5"/>
        <v>1.4673913043478262</v>
      </c>
      <c r="M30" s="9">
        <f t="shared" si="5"/>
        <v>1.3043478260869565</v>
      </c>
      <c r="N30" s="9">
        <f t="shared" si="5"/>
        <v>1.2</v>
      </c>
      <c r="O30" s="9">
        <f t="shared" si="5"/>
        <v>1.1111111111111112</v>
      </c>
      <c r="P30" s="9">
        <f t="shared" si="5"/>
        <v>1.0344827586206897</v>
      </c>
    </row>
  </sheetData>
  <mergeCells count="2">
    <mergeCell ref="J4:Q8"/>
    <mergeCell ref="J10:Q15"/>
  </mergeCells>
  <conditionalFormatting sqref="C3">
    <cfRule type="expression" dxfId="524" priority="2">
      <formula>S4&lt;S6</formula>
    </cfRule>
  </conditionalFormatting>
  <conditionalFormatting sqref="C5">
    <cfRule type="expression" dxfId="523" priority="3">
      <formula>S4&gt;=S5</formula>
    </cfRule>
  </conditionalFormatting>
  <conditionalFormatting sqref="C4">
    <cfRule type="expression" dxfId="522" priority="1">
      <formula>AND(S4&gt;=S6,S4&lt;S5)</formula>
    </cfRule>
  </conditionalFormatting>
  <hyperlinks>
    <hyperlink ref="L1" location="Dashboard!A1" display="Dashboard"/>
  </hyperlinks>
  <pageMargins left="0.7" right="0.7" top="0.75" bottom="0.75" header="0.3" footer="0.3"/>
  <pageSetup orientation="portrait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944129" r:id="rId4" name="Spinner 1">
              <controlPr defaultSize="0" autoPict="0">
                <anchor moveWithCells="1" sizeWithCells="1">
                  <from>
                    <xdr:col>9</xdr:col>
                    <xdr:colOff>19050</xdr:colOff>
                    <xdr:row>0</xdr:row>
                    <xdr:rowOff>38100</xdr:rowOff>
                  </from>
                  <to>
                    <xdr:col>9</xdr:col>
                    <xdr:colOff>400050</xdr:colOff>
                    <xdr:row>1</xdr:row>
                    <xdr:rowOff>152400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S30"/>
  <sheetViews>
    <sheetView topLeftCell="D1" workbookViewId="0">
      <selection activeCell="L1" sqref="L1"/>
    </sheetView>
  </sheetViews>
  <sheetFormatPr defaultColWidth="9.1796875" defaultRowHeight="14.5" x14ac:dyDescent="0.35"/>
  <cols>
    <col min="1" max="1" width="9.1796875" style="3"/>
    <col min="2" max="2" width="5.1796875" style="3" customWidth="1"/>
    <col min="3" max="3" width="28" style="3" customWidth="1"/>
    <col min="4" max="4" width="21.26953125" style="3" bestFit="1" customWidth="1"/>
    <col min="5" max="16" width="11.1796875" style="3" customWidth="1"/>
    <col min="17" max="17" width="12" style="3" bestFit="1" customWidth="1"/>
    <col min="18" max="18" width="9.1796875" style="3" customWidth="1"/>
    <col min="19" max="16384" width="9.1796875" style="3"/>
  </cols>
  <sheetData>
    <row r="1" spans="1:19" ht="21" x14ac:dyDescent="0.5">
      <c r="A1" s="4" t="s">
        <v>4</v>
      </c>
      <c r="B1" s="4">
        <f>Dashboard!A12</f>
        <v>7</v>
      </c>
      <c r="C1" s="4" t="str">
        <f>Dashboard!B12</f>
        <v>HOPEWELL- NEW WATER</v>
      </c>
      <c r="D1" s="4" t="str">
        <f>Dashboard!C12</f>
        <v>No.</v>
      </c>
      <c r="G1" s="3" t="s">
        <v>9</v>
      </c>
      <c r="I1" s="12">
        <f>INDEX($E$18:$P$18,Actual_month)</f>
        <v>46054</v>
      </c>
      <c r="L1" s="16" t="s">
        <v>19</v>
      </c>
      <c r="R1" s="5"/>
    </row>
    <row r="2" spans="1:19" x14ac:dyDescent="0.35">
      <c r="A2" s="3" t="s">
        <v>13</v>
      </c>
      <c r="C2" s="3" t="s">
        <v>27</v>
      </c>
      <c r="R2" s="6"/>
    </row>
    <row r="3" spans="1:19" ht="25.5" customHeight="1" thickBot="1" x14ac:dyDescent="0.4">
      <c r="C3" s="1" t="s">
        <v>5</v>
      </c>
      <c r="E3" s="10"/>
      <c r="F3" s="10"/>
      <c r="G3" s="10"/>
      <c r="H3" s="10"/>
      <c r="I3" s="10"/>
      <c r="J3" s="3" t="s">
        <v>6</v>
      </c>
      <c r="K3" s="10"/>
      <c r="M3" s="10"/>
      <c r="N3" s="10"/>
      <c r="O3" s="10"/>
      <c r="P3" s="10"/>
    </row>
    <row r="4" spans="1:19" ht="25.5" customHeight="1" x14ac:dyDescent="0.35">
      <c r="C4" s="1" t="s">
        <v>5</v>
      </c>
      <c r="E4" s="10"/>
      <c r="F4" s="10"/>
      <c r="G4" s="10"/>
      <c r="H4" s="10"/>
      <c r="I4" s="10"/>
      <c r="J4" s="401"/>
      <c r="K4" s="402"/>
      <c r="L4" s="402"/>
      <c r="M4" s="402"/>
      <c r="N4" s="402"/>
      <c r="O4" s="402"/>
      <c r="P4" s="402"/>
      <c r="Q4" s="403"/>
      <c r="R4" s="3" t="s">
        <v>22</v>
      </c>
      <c r="S4" s="5">
        <f>INDEX(E27:P27,Actual_month)</f>
        <v>53</v>
      </c>
    </row>
    <row r="5" spans="1:19" ht="25.5" customHeight="1" x14ac:dyDescent="0.35">
      <c r="C5" s="1" t="s">
        <v>5</v>
      </c>
      <c r="E5" s="10"/>
      <c r="F5" s="10"/>
      <c r="G5" s="10"/>
      <c r="H5" s="10"/>
      <c r="I5" s="10"/>
      <c r="J5" s="404"/>
      <c r="K5" s="405"/>
      <c r="L5" s="405"/>
      <c r="M5" s="405"/>
      <c r="N5" s="405"/>
      <c r="O5" s="405"/>
      <c r="P5" s="405"/>
      <c r="Q5" s="406"/>
      <c r="R5" s="3" t="s">
        <v>23</v>
      </c>
      <c r="S5" s="5">
        <f>INDEX(E26:P26,Actual_month)</f>
        <v>16</v>
      </c>
    </row>
    <row r="6" spans="1:19" x14ac:dyDescent="0.35">
      <c r="J6" s="404"/>
      <c r="K6" s="405"/>
      <c r="L6" s="405"/>
      <c r="M6" s="405"/>
      <c r="N6" s="405"/>
      <c r="O6" s="405"/>
      <c r="P6" s="405"/>
      <c r="Q6" s="406"/>
      <c r="R6" s="6">
        <v>0.9</v>
      </c>
      <c r="S6" s="5">
        <f>+S5*R6</f>
        <v>14.4</v>
      </c>
    </row>
    <row r="7" spans="1:19" x14ac:dyDescent="0.35">
      <c r="J7" s="404"/>
      <c r="K7" s="405"/>
      <c r="L7" s="405"/>
      <c r="M7" s="405"/>
      <c r="N7" s="405"/>
      <c r="O7" s="405"/>
      <c r="P7" s="405"/>
      <c r="Q7" s="406"/>
    </row>
    <row r="8" spans="1:19" ht="15" thickBot="1" x14ac:dyDescent="0.4">
      <c r="J8" s="407"/>
      <c r="K8" s="408"/>
      <c r="L8" s="408"/>
      <c r="M8" s="408"/>
      <c r="N8" s="408"/>
      <c r="O8" s="408"/>
      <c r="P8" s="408"/>
      <c r="Q8" s="409"/>
    </row>
    <row r="9" spans="1:19" ht="15" thickBot="1" x14ac:dyDescent="0.4">
      <c r="J9" s="3" t="s">
        <v>12</v>
      </c>
    </row>
    <row r="10" spans="1:19" x14ac:dyDescent="0.35">
      <c r="J10" s="401"/>
      <c r="K10" s="402"/>
      <c r="L10" s="402"/>
      <c r="M10" s="402"/>
      <c r="N10" s="402"/>
      <c r="O10" s="402"/>
      <c r="P10" s="402"/>
      <c r="Q10" s="403"/>
    </row>
    <row r="11" spans="1:19" x14ac:dyDescent="0.35">
      <c r="J11" s="404"/>
      <c r="K11" s="405"/>
      <c r="L11" s="405"/>
      <c r="M11" s="405"/>
      <c r="N11" s="405"/>
      <c r="O11" s="405"/>
      <c r="P11" s="405"/>
      <c r="Q11" s="406"/>
    </row>
    <row r="12" spans="1:19" x14ac:dyDescent="0.35">
      <c r="J12" s="404"/>
      <c r="K12" s="405"/>
      <c r="L12" s="405"/>
      <c r="M12" s="405"/>
      <c r="N12" s="405"/>
      <c r="O12" s="405"/>
      <c r="P12" s="405"/>
      <c r="Q12" s="406"/>
    </row>
    <row r="13" spans="1:19" x14ac:dyDescent="0.35">
      <c r="J13" s="404"/>
      <c r="K13" s="405"/>
      <c r="L13" s="405"/>
      <c r="M13" s="405"/>
      <c r="N13" s="405"/>
      <c r="O13" s="405"/>
      <c r="P13" s="405"/>
      <c r="Q13" s="406"/>
    </row>
    <row r="14" spans="1:19" x14ac:dyDescent="0.35">
      <c r="J14" s="404"/>
      <c r="K14" s="405"/>
      <c r="L14" s="405"/>
      <c r="M14" s="405"/>
      <c r="N14" s="405"/>
      <c r="O14" s="405"/>
      <c r="P14" s="405"/>
      <c r="Q14" s="406"/>
    </row>
    <row r="15" spans="1:19" ht="15" thickBot="1" x14ac:dyDescent="0.4">
      <c r="J15" s="407"/>
      <c r="K15" s="408"/>
      <c r="L15" s="408"/>
      <c r="M15" s="408"/>
      <c r="N15" s="408"/>
      <c r="O15" s="408"/>
      <c r="P15" s="408"/>
      <c r="Q15" s="409"/>
    </row>
    <row r="18" spans="3:17" x14ac:dyDescent="0.35">
      <c r="C18" s="7" t="s">
        <v>8</v>
      </c>
      <c r="E18" s="11">
        <f>'KPI 1'!E18</f>
        <v>45839</v>
      </c>
      <c r="F18" s="11">
        <f>'KPI 1'!F18</f>
        <v>45870</v>
      </c>
      <c r="G18" s="11">
        <f>'KPI 1'!G18</f>
        <v>45901</v>
      </c>
      <c r="H18" s="11">
        <f>'KPI 1'!H18</f>
        <v>45931</v>
      </c>
      <c r="I18" s="11">
        <f>'KPI 1'!I18</f>
        <v>45962</v>
      </c>
      <c r="J18" s="11">
        <f>'KPI 1'!J18</f>
        <v>45992</v>
      </c>
      <c r="K18" s="11">
        <f>'KPI 1'!K18</f>
        <v>46023</v>
      </c>
      <c r="L18" s="11">
        <f>'KPI 1'!L18</f>
        <v>46054</v>
      </c>
      <c r="M18" s="11">
        <f>'KPI 1'!M18</f>
        <v>46082</v>
      </c>
      <c r="N18" s="11">
        <f>'KPI 1'!N18</f>
        <v>46113</v>
      </c>
      <c r="O18" s="11">
        <f>'KPI 1'!O18</f>
        <v>46143</v>
      </c>
      <c r="P18" s="11">
        <f>'KPI 1'!P18</f>
        <v>46174</v>
      </c>
      <c r="Q18" s="8" t="s">
        <v>0</v>
      </c>
    </row>
    <row r="19" spans="3:17" x14ac:dyDescent="0.35">
      <c r="D19" s="3" t="str">
        <f>'KPI 1'!D19</f>
        <v>Budget 2025-26</v>
      </c>
      <c r="E19" s="5">
        <f>'budget 2025-26'!D12</f>
        <v>2</v>
      </c>
      <c r="F19" s="5">
        <f>'budget 2025-26'!E12</f>
        <v>2</v>
      </c>
      <c r="G19" s="5">
        <f>'budget 2025-26'!F12</f>
        <v>2</v>
      </c>
      <c r="H19" s="5">
        <f>'budget 2025-26'!G12</f>
        <v>2</v>
      </c>
      <c r="I19" s="5">
        <f>'budget 2025-26'!H12</f>
        <v>2</v>
      </c>
      <c r="J19" s="5">
        <f>'budget 2025-26'!I12</f>
        <v>2</v>
      </c>
      <c r="K19" s="5">
        <f>'budget 2025-26'!J12</f>
        <v>2</v>
      </c>
      <c r="L19" s="5">
        <f>'budget 2025-26'!K12</f>
        <v>2</v>
      </c>
      <c r="M19" s="5">
        <f>'budget 2025-26'!L12</f>
        <v>2</v>
      </c>
      <c r="N19" s="5">
        <f>'budget 2025-26'!M12</f>
        <v>2</v>
      </c>
      <c r="O19" s="5">
        <f>'budget 2025-26'!N12</f>
        <v>2</v>
      </c>
      <c r="P19" s="5">
        <f>'budget 2025-26'!O12</f>
        <v>2</v>
      </c>
      <c r="Q19" s="5">
        <f>SUM(E19:P19)</f>
        <v>24</v>
      </c>
    </row>
    <row r="20" spans="3:17" x14ac:dyDescent="0.35">
      <c r="D20" s="3" t="str">
        <f>'KPI 1'!D20</f>
        <v>Actual 2025-26</v>
      </c>
      <c r="E20" s="5">
        <f>'Input Actual2025-26'!E12</f>
        <v>1</v>
      </c>
      <c r="F20" s="5">
        <f>'Input Actual2025-26'!F12</f>
        <v>0</v>
      </c>
      <c r="G20" s="5">
        <f>'Input Actual2025-26'!G12</f>
        <v>0</v>
      </c>
      <c r="H20" s="5">
        <f>'Input Actual2025-26'!H12</f>
        <v>14</v>
      </c>
      <c r="I20" s="5">
        <f>'Input Actual2025-26'!I12</f>
        <v>1</v>
      </c>
      <c r="J20" s="5">
        <f>'Input Actual2025-26'!J12</f>
        <v>12</v>
      </c>
      <c r="K20" s="5">
        <f>'Input Actual2025-26'!K12</f>
        <v>22</v>
      </c>
      <c r="L20" s="5">
        <f>'Input Actual2025-26'!L12</f>
        <v>3</v>
      </c>
      <c r="M20" s="5">
        <f>'Input Actual2025-26'!M12</f>
        <v>0</v>
      </c>
      <c r="N20" s="5">
        <f>'Input Actual2025-26'!N12</f>
        <v>0</v>
      </c>
      <c r="O20" s="5">
        <f>'Input Actual2025-26'!O12</f>
        <v>0</v>
      </c>
      <c r="P20" s="5">
        <f>'Input Actual2025-26'!P12</f>
        <v>0</v>
      </c>
      <c r="Q20" s="5">
        <f t="shared" ref="Q20:Q22" si="0">SUM(E20:P20)</f>
        <v>53</v>
      </c>
    </row>
    <row r="21" spans="3:17" x14ac:dyDescent="0.35">
      <c r="D21" s="3" t="s">
        <v>424</v>
      </c>
      <c r="E21" s="5">
        <f>'Input Actual2024-25'!E12</f>
        <v>0</v>
      </c>
      <c r="F21" s="5">
        <f>'Input Actual2024-25'!F12</f>
        <v>0</v>
      </c>
      <c r="G21" s="5">
        <f>'Input Actual2024-25'!G12</f>
        <v>0</v>
      </c>
      <c r="H21" s="5">
        <f>'Input Actual2024-25'!H12</f>
        <v>0</v>
      </c>
      <c r="I21" s="5">
        <f>'Input Actual2024-25'!I12</f>
        <v>0</v>
      </c>
      <c r="J21" s="5">
        <f>'Input Actual2024-25'!J12</f>
        <v>0</v>
      </c>
      <c r="K21" s="5">
        <f>'Input Actual2024-25'!K12</f>
        <v>4</v>
      </c>
      <c r="L21" s="5">
        <f>'Input Actual2024-25'!L12</f>
        <v>0</v>
      </c>
      <c r="M21" s="5">
        <f>'Input Actual2024-25'!M12</f>
        <v>2</v>
      </c>
      <c r="N21" s="5">
        <f>'Input Actual2024-25'!N12</f>
        <v>0</v>
      </c>
      <c r="O21" s="5">
        <f>'Input Actual2024-25'!O12</f>
        <v>1</v>
      </c>
      <c r="P21" s="5">
        <f>'Input Actual2024-25'!P12</f>
        <v>2</v>
      </c>
      <c r="Q21" s="5">
        <f t="shared" si="0"/>
        <v>9</v>
      </c>
    </row>
    <row r="22" spans="3:17" x14ac:dyDescent="0.35">
      <c r="D22" s="3" t="s">
        <v>7</v>
      </c>
      <c r="E22" s="5">
        <f t="shared" ref="E22:P22" si="1">IF(E20=0,0,E20-E19)</f>
        <v>-1</v>
      </c>
      <c r="F22" s="5">
        <f t="shared" si="1"/>
        <v>0</v>
      </c>
      <c r="G22" s="5">
        <f t="shared" si="1"/>
        <v>0</v>
      </c>
      <c r="H22" s="5">
        <f t="shared" si="1"/>
        <v>12</v>
      </c>
      <c r="I22" s="5">
        <f t="shared" si="1"/>
        <v>-1</v>
      </c>
      <c r="J22" s="5">
        <f t="shared" si="1"/>
        <v>10</v>
      </c>
      <c r="K22" s="5">
        <f t="shared" si="1"/>
        <v>20</v>
      </c>
      <c r="L22" s="5">
        <f t="shared" si="1"/>
        <v>1</v>
      </c>
      <c r="M22" s="5">
        <f t="shared" si="1"/>
        <v>0</v>
      </c>
      <c r="N22" s="5">
        <f t="shared" si="1"/>
        <v>0</v>
      </c>
      <c r="O22" s="5">
        <f t="shared" si="1"/>
        <v>0</v>
      </c>
      <c r="P22" s="5">
        <f t="shared" si="1"/>
        <v>0</v>
      </c>
      <c r="Q22" s="5">
        <f t="shared" si="0"/>
        <v>41</v>
      </c>
    </row>
    <row r="23" spans="3:17" x14ac:dyDescent="0.35">
      <c r="D23" s="3" t="s">
        <v>43</v>
      </c>
      <c r="E23" s="9">
        <f>E21/E19</f>
        <v>0</v>
      </c>
      <c r="F23" s="9">
        <f t="shared" ref="F23:P23" si="2">F20/F19</f>
        <v>0</v>
      </c>
      <c r="G23" s="9">
        <f t="shared" si="2"/>
        <v>0</v>
      </c>
      <c r="H23" s="9">
        <f t="shared" si="2"/>
        <v>7</v>
      </c>
      <c r="I23" s="9">
        <f t="shared" si="2"/>
        <v>0.5</v>
      </c>
      <c r="J23" s="9">
        <f t="shared" si="2"/>
        <v>6</v>
      </c>
      <c r="K23" s="9">
        <f t="shared" si="2"/>
        <v>11</v>
      </c>
      <c r="L23" s="9">
        <f t="shared" si="2"/>
        <v>1.5</v>
      </c>
      <c r="M23" s="9">
        <f t="shared" si="2"/>
        <v>0</v>
      </c>
      <c r="N23" s="9">
        <f t="shared" si="2"/>
        <v>0</v>
      </c>
      <c r="O23" s="9">
        <f t="shared" si="2"/>
        <v>0</v>
      </c>
      <c r="P23" s="9">
        <f t="shared" si="2"/>
        <v>0</v>
      </c>
    </row>
    <row r="25" spans="3:17" x14ac:dyDescent="0.35">
      <c r="C25" s="7" t="s">
        <v>3</v>
      </c>
      <c r="E25" s="11">
        <f>E18</f>
        <v>45839</v>
      </c>
      <c r="F25" s="11">
        <f t="shared" ref="F25:P25" si="3">F18</f>
        <v>45870</v>
      </c>
      <c r="G25" s="11">
        <f t="shared" si="3"/>
        <v>45901</v>
      </c>
      <c r="H25" s="11">
        <f t="shared" si="3"/>
        <v>45931</v>
      </c>
      <c r="I25" s="11">
        <f t="shared" si="3"/>
        <v>45962</v>
      </c>
      <c r="J25" s="11">
        <f t="shared" si="3"/>
        <v>45992</v>
      </c>
      <c r="K25" s="11">
        <f t="shared" si="3"/>
        <v>46023</v>
      </c>
      <c r="L25" s="11">
        <f t="shared" si="3"/>
        <v>46054</v>
      </c>
      <c r="M25" s="11">
        <f t="shared" si="3"/>
        <v>46082</v>
      </c>
      <c r="N25" s="11">
        <f t="shared" si="3"/>
        <v>46113</v>
      </c>
      <c r="O25" s="11">
        <f t="shared" si="3"/>
        <v>46143</v>
      </c>
      <c r="P25" s="11">
        <f t="shared" si="3"/>
        <v>46174</v>
      </c>
    </row>
    <row r="26" spans="3:17" x14ac:dyDescent="0.35">
      <c r="D26" s="3" t="str">
        <f>D19</f>
        <v>Budget 2025-26</v>
      </c>
      <c r="E26" s="5">
        <f>SUM($E19:E19)</f>
        <v>2</v>
      </c>
      <c r="F26" s="5">
        <f>SUM($E19:F19)</f>
        <v>4</v>
      </c>
      <c r="G26" s="5">
        <f>SUM($E19:G19)</f>
        <v>6</v>
      </c>
      <c r="H26" s="5">
        <f>SUM($E19:H19)</f>
        <v>8</v>
      </c>
      <c r="I26" s="5">
        <f>SUM($E19:I19)</f>
        <v>10</v>
      </c>
      <c r="J26" s="5">
        <f>SUM($E19:J19)</f>
        <v>12</v>
      </c>
      <c r="K26" s="5">
        <f>SUM($E19:K19)</f>
        <v>14</v>
      </c>
      <c r="L26" s="5">
        <f>SUM($E19:L19)</f>
        <v>16</v>
      </c>
      <c r="M26" s="5">
        <f>SUM($E19:M19)</f>
        <v>18</v>
      </c>
      <c r="N26" s="5">
        <f>SUM($E19:N19)</f>
        <v>20</v>
      </c>
      <c r="O26" s="5">
        <f>SUM($E19:O19)</f>
        <v>22</v>
      </c>
      <c r="P26" s="5">
        <f>SUM($E19:P19)</f>
        <v>24</v>
      </c>
    </row>
    <row r="27" spans="3:17" x14ac:dyDescent="0.35">
      <c r="D27" s="3" t="str">
        <f t="shared" ref="D27:D30" si="4">D20</f>
        <v>Actual 2025-26</v>
      </c>
      <c r="E27" s="5">
        <f>SUM($E20:E20)</f>
        <v>1</v>
      </c>
      <c r="F27" s="5">
        <f>SUM($E20:F20)</f>
        <v>1</v>
      </c>
      <c r="G27" s="5">
        <f>SUM($E20:G20)</f>
        <v>1</v>
      </c>
      <c r="H27" s="5">
        <f>SUM($E20:H20)</f>
        <v>15</v>
      </c>
      <c r="I27" s="5">
        <f>SUM($E20:I20)</f>
        <v>16</v>
      </c>
      <c r="J27" s="5">
        <f>SUM($E20:J20)</f>
        <v>28</v>
      </c>
      <c r="K27" s="5">
        <f>SUM($E20:K20)</f>
        <v>50</v>
      </c>
      <c r="L27" s="5">
        <f>SUM($E20:L20)</f>
        <v>53</v>
      </c>
      <c r="M27" s="5">
        <f>SUM($E20:M20)</f>
        <v>53</v>
      </c>
      <c r="N27" s="5">
        <f>SUM($E20:N20)</f>
        <v>53</v>
      </c>
      <c r="O27" s="5">
        <f>SUM($E20:O20)</f>
        <v>53</v>
      </c>
      <c r="P27" s="5">
        <f>SUM($E20:P20)</f>
        <v>53</v>
      </c>
    </row>
    <row r="28" spans="3:17" x14ac:dyDescent="0.35">
      <c r="D28" s="3" t="str">
        <f t="shared" si="4"/>
        <v>Actual 2024-25</v>
      </c>
      <c r="E28" s="5">
        <f>SUM($E21:E21)</f>
        <v>0</v>
      </c>
      <c r="F28" s="5">
        <f>SUM($E21:F21)</f>
        <v>0</v>
      </c>
      <c r="G28" s="5">
        <f>SUM($E21:G21)</f>
        <v>0</v>
      </c>
      <c r="H28" s="5">
        <f>SUM($E21:H21)</f>
        <v>0</v>
      </c>
      <c r="I28" s="5">
        <f>SUM($E21:I21)</f>
        <v>0</v>
      </c>
      <c r="J28" s="5">
        <f>SUM($E21:J21)</f>
        <v>0</v>
      </c>
      <c r="K28" s="5">
        <f>SUM($E21:K21)</f>
        <v>4</v>
      </c>
      <c r="L28" s="5">
        <f>SUM($E21:L21)</f>
        <v>4</v>
      </c>
      <c r="M28" s="5">
        <f>SUM($E21:M21)</f>
        <v>6</v>
      </c>
      <c r="N28" s="5">
        <f>SUM($E21:N21)</f>
        <v>6</v>
      </c>
      <c r="O28" s="5">
        <f>SUM($E21:O21)</f>
        <v>7</v>
      </c>
      <c r="P28" s="5">
        <f>SUM($E21:P21)</f>
        <v>9</v>
      </c>
    </row>
    <row r="29" spans="3:17" x14ac:dyDescent="0.35">
      <c r="D29" s="3" t="str">
        <f t="shared" si="4"/>
        <v>Difference</v>
      </c>
      <c r="E29" s="5">
        <f>SUM($E22:E22)</f>
        <v>-1</v>
      </c>
      <c r="F29" s="5">
        <f>SUM($E22:F22)</f>
        <v>-1</v>
      </c>
      <c r="G29" s="5">
        <f>SUM($E22:G22)</f>
        <v>-1</v>
      </c>
      <c r="H29" s="5">
        <f>SUM($E22:H22)</f>
        <v>11</v>
      </c>
      <c r="I29" s="5">
        <f>SUM($E22:I22)</f>
        <v>10</v>
      </c>
      <c r="J29" s="5">
        <f>SUM($E22:J22)</f>
        <v>20</v>
      </c>
      <c r="K29" s="5">
        <f>SUM($E22:K22)</f>
        <v>40</v>
      </c>
      <c r="L29" s="5">
        <f>SUM($E22:L22)</f>
        <v>41</v>
      </c>
      <c r="M29" s="5">
        <f>SUM($E22:M22)</f>
        <v>41</v>
      </c>
      <c r="N29" s="5">
        <f>SUM($E22:N22)</f>
        <v>41</v>
      </c>
      <c r="O29" s="5">
        <f>SUM($E22:O22)</f>
        <v>41</v>
      </c>
      <c r="P29" s="5">
        <f>SUM($E22:P22)</f>
        <v>41</v>
      </c>
    </row>
    <row r="30" spans="3:17" x14ac:dyDescent="0.35">
      <c r="D30" s="3" t="str">
        <f t="shared" si="4"/>
        <v>Realisation</v>
      </c>
      <c r="E30" s="9">
        <f>E28/E26</f>
        <v>0</v>
      </c>
      <c r="F30" s="9">
        <f t="shared" ref="F30:P30" si="5">F27/F26</f>
        <v>0.25</v>
      </c>
      <c r="G30" s="9">
        <f t="shared" si="5"/>
        <v>0.16666666666666666</v>
      </c>
      <c r="H30" s="9">
        <f t="shared" si="5"/>
        <v>1.875</v>
      </c>
      <c r="I30" s="9">
        <f t="shared" si="5"/>
        <v>1.6</v>
      </c>
      <c r="J30" s="9">
        <f t="shared" si="5"/>
        <v>2.3333333333333335</v>
      </c>
      <c r="K30" s="9">
        <f t="shared" si="5"/>
        <v>3.5714285714285716</v>
      </c>
      <c r="L30" s="9">
        <f t="shared" si="5"/>
        <v>3.3125</v>
      </c>
      <c r="M30" s="9">
        <f t="shared" si="5"/>
        <v>2.9444444444444446</v>
      </c>
      <c r="N30" s="9">
        <f t="shared" si="5"/>
        <v>2.65</v>
      </c>
      <c r="O30" s="9">
        <f t="shared" si="5"/>
        <v>2.4090909090909092</v>
      </c>
      <c r="P30" s="9">
        <f t="shared" si="5"/>
        <v>2.2083333333333335</v>
      </c>
    </row>
  </sheetData>
  <mergeCells count="2">
    <mergeCell ref="J4:Q8"/>
    <mergeCell ref="J10:Q15"/>
  </mergeCells>
  <conditionalFormatting sqref="C3">
    <cfRule type="expression" dxfId="521" priority="2">
      <formula>S4&lt;S6</formula>
    </cfRule>
  </conditionalFormatting>
  <conditionalFormatting sqref="C5">
    <cfRule type="expression" dxfId="520" priority="3">
      <formula>S4&gt;=S5</formula>
    </cfRule>
  </conditionalFormatting>
  <conditionalFormatting sqref="C4">
    <cfRule type="expression" dxfId="519" priority="1">
      <formula>AND(S4&gt;=S6,S4&lt;S5)</formula>
    </cfRule>
  </conditionalFormatting>
  <hyperlinks>
    <hyperlink ref="L1" location="Dashboard!A1" display="Dashboard"/>
  </hyperlinks>
  <pageMargins left="0.7" right="0.7" top="0.75" bottom="0.75" header="0.3" footer="0.3"/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588226" r:id="rId3" name="Spinner 2">
              <controlPr defaultSize="0" autoPict="0">
                <anchor moveWithCells="1" sizeWithCells="1">
                  <from>
                    <xdr:col>9</xdr:col>
                    <xdr:colOff>19050</xdr:colOff>
                    <xdr:row>0</xdr:row>
                    <xdr:rowOff>38100</xdr:rowOff>
                  </from>
                  <to>
                    <xdr:col>9</xdr:col>
                    <xdr:colOff>400050</xdr:colOff>
                    <xdr:row>1</xdr:row>
                    <xdr:rowOff>152400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14"/>
  <dimension ref="A1:S30"/>
  <sheetViews>
    <sheetView zoomScale="90" zoomScaleNormal="90" workbookViewId="0">
      <selection activeCell="L1" sqref="L1"/>
    </sheetView>
  </sheetViews>
  <sheetFormatPr defaultColWidth="9.1796875" defaultRowHeight="14.5" x14ac:dyDescent="0.35"/>
  <cols>
    <col min="1" max="1" width="9.1796875" style="3"/>
    <col min="2" max="2" width="5.1796875" style="3" customWidth="1"/>
    <col min="3" max="3" width="6.26953125" style="3" customWidth="1"/>
    <col min="4" max="4" width="21.26953125" style="3" bestFit="1" customWidth="1"/>
    <col min="5" max="16" width="11.1796875" style="3" customWidth="1"/>
    <col min="17" max="17" width="12" style="3" bestFit="1" customWidth="1"/>
    <col min="18" max="18" width="9.1796875" style="3" customWidth="1"/>
    <col min="19" max="16384" width="9.1796875" style="3"/>
  </cols>
  <sheetData>
    <row r="1" spans="1:19" ht="21" x14ac:dyDescent="0.5">
      <c r="A1" s="4" t="s">
        <v>4</v>
      </c>
      <c r="B1" s="4">
        <f>Dashboard!A11</f>
        <v>6</v>
      </c>
      <c r="C1" s="4" t="str">
        <f>Dashboard!B11</f>
        <v>LAKEVIEW- NEW WATER</v>
      </c>
      <c r="G1" s="3" t="s">
        <v>9</v>
      </c>
      <c r="I1" s="12">
        <f>INDEX($E$18:$P$18,Actual_month)</f>
        <v>46054</v>
      </c>
      <c r="L1" s="16" t="s">
        <v>19</v>
      </c>
      <c r="R1" s="5"/>
    </row>
    <row r="2" spans="1:19" x14ac:dyDescent="0.35">
      <c r="A2" s="3" t="s">
        <v>13</v>
      </c>
      <c r="C2" s="3" t="s">
        <v>27</v>
      </c>
      <c r="R2" s="6"/>
    </row>
    <row r="3" spans="1:19" ht="25.5" customHeight="1" thickBot="1" x14ac:dyDescent="0.4">
      <c r="C3" s="1" t="s">
        <v>5</v>
      </c>
      <c r="E3" s="10"/>
      <c r="F3" s="10"/>
      <c r="G3" s="10"/>
      <c r="H3" s="10"/>
      <c r="I3" s="10"/>
      <c r="J3" s="3" t="s">
        <v>6</v>
      </c>
      <c r="K3" s="10"/>
      <c r="M3" s="10"/>
      <c r="N3" s="10"/>
      <c r="O3" s="10"/>
      <c r="P3" s="10"/>
    </row>
    <row r="4" spans="1:19" ht="25.5" customHeight="1" x14ac:dyDescent="0.35">
      <c r="C4" s="1" t="s">
        <v>5</v>
      </c>
      <c r="E4" s="10"/>
      <c r="F4" s="10"/>
      <c r="G4" s="10"/>
      <c r="H4" s="10"/>
      <c r="I4" s="10"/>
      <c r="J4" s="401"/>
      <c r="K4" s="402"/>
      <c r="L4" s="402"/>
      <c r="M4" s="402"/>
      <c r="N4" s="402"/>
      <c r="O4" s="402"/>
      <c r="P4" s="402"/>
      <c r="Q4" s="403"/>
      <c r="R4" s="3" t="s">
        <v>22</v>
      </c>
      <c r="S4" s="5">
        <f>INDEX(E27:P27,Actual_month)</f>
        <v>14</v>
      </c>
    </row>
    <row r="5" spans="1:19" ht="25.5" customHeight="1" x14ac:dyDescent="0.35">
      <c r="C5" s="1" t="s">
        <v>5</v>
      </c>
      <c r="E5" s="10"/>
      <c r="F5" s="10"/>
      <c r="G5" s="10"/>
      <c r="H5" s="10"/>
      <c r="I5" s="10"/>
      <c r="J5" s="404"/>
      <c r="K5" s="405"/>
      <c r="L5" s="405"/>
      <c r="M5" s="405"/>
      <c r="N5" s="405"/>
      <c r="O5" s="405"/>
      <c r="P5" s="405"/>
      <c r="Q5" s="406"/>
      <c r="R5" s="3" t="s">
        <v>23</v>
      </c>
      <c r="S5" s="5">
        <f>INDEX(E26:P26,Actual_month)</f>
        <v>16</v>
      </c>
    </row>
    <row r="6" spans="1:19" x14ac:dyDescent="0.35">
      <c r="J6" s="404"/>
      <c r="K6" s="405"/>
      <c r="L6" s="405"/>
      <c r="M6" s="405"/>
      <c r="N6" s="405"/>
      <c r="O6" s="405"/>
      <c r="P6" s="405"/>
      <c r="Q6" s="406"/>
      <c r="R6" s="6">
        <v>0.9</v>
      </c>
      <c r="S6" s="5">
        <f>+S5*R6</f>
        <v>14.4</v>
      </c>
    </row>
    <row r="7" spans="1:19" x14ac:dyDescent="0.35">
      <c r="J7" s="404"/>
      <c r="K7" s="405"/>
      <c r="L7" s="405"/>
      <c r="M7" s="405"/>
      <c r="N7" s="405"/>
      <c r="O7" s="405"/>
      <c r="P7" s="405"/>
      <c r="Q7" s="406"/>
    </row>
    <row r="8" spans="1:19" ht="15" thickBot="1" x14ac:dyDescent="0.4">
      <c r="J8" s="407"/>
      <c r="K8" s="408"/>
      <c r="L8" s="408"/>
      <c r="M8" s="408"/>
      <c r="N8" s="408"/>
      <c r="O8" s="408"/>
      <c r="P8" s="408"/>
      <c r="Q8" s="409"/>
    </row>
    <row r="9" spans="1:19" ht="15" thickBot="1" x14ac:dyDescent="0.4">
      <c r="J9" s="3" t="s">
        <v>12</v>
      </c>
    </row>
    <row r="10" spans="1:19" x14ac:dyDescent="0.35">
      <c r="J10" s="401"/>
      <c r="K10" s="402"/>
      <c r="L10" s="402"/>
      <c r="M10" s="402"/>
      <c r="N10" s="402"/>
      <c r="O10" s="402"/>
      <c r="P10" s="402"/>
      <c r="Q10" s="403"/>
    </row>
    <row r="11" spans="1:19" x14ac:dyDescent="0.35">
      <c r="J11" s="404"/>
      <c r="K11" s="405"/>
      <c r="L11" s="405"/>
      <c r="M11" s="405"/>
      <c r="N11" s="405"/>
      <c r="O11" s="405"/>
      <c r="P11" s="405"/>
      <c r="Q11" s="406"/>
    </row>
    <row r="12" spans="1:19" x14ac:dyDescent="0.35">
      <c r="J12" s="404"/>
      <c r="K12" s="405"/>
      <c r="L12" s="405"/>
      <c r="M12" s="405"/>
      <c r="N12" s="405"/>
      <c r="O12" s="405"/>
      <c r="P12" s="405"/>
      <c r="Q12" s="406"/>
    </row>
    <row r="13" spans="1:19" x14ac:dyDescent="0.35">
      <c r="J13" s="404"/>
      <c r="K13" s="405"/>
      <c r="L13" s="405"/>
      <c r="M13" s="405"/>
      <c r="N13" s="405"/>
      <c r="O13" s="405"/>
      <c r="P13" s="405"/>
      <c r="Q13" s="406"/>
    </row>
    <row r="14" spans="1:19" x14ac:dyDescent="0.35">
      <c r="J14" s="404"/>
      <c r="K14" s="405"/>
      <c r="L14" s="405"/>
      <c r="M14" s="405"/>
      <c r="N14" s="405"/>
      <c r="O14" s="405"/>
      <c r="P14" s="405"/>
      <c r="Q14" s="406"/>
    </row>
    <row r="15" spans="1:19" ht="15" thickBot="1" x14ac:dyDescent="0.4">
      <c r="J15" s="407"/>
      <c r="K15" s="408"/>
      <c r="L15" s="408"/>
      <c r="M15" s="408"/>
      <c r="N15" s="408"/>
      <c r="O15" s="408"/>
      <c r="P15" s="408"/>
      <c r="Q15" s="409"/>
    </row>
    <row r="18" spans="3:17" x14ac:dyDescent="0.35">
      <c r="C18" s="7" t="s">
        <v>8</v>
      </c>
      <c r="E18" s="11">
        <f>'KPI 1'!E18</f>
        <v>45839</v>
      </c>
      <c r="F18" s="11">
        <f>'KPI 1'!F18</f>
        <v>45870</v>
      </c>
      <c r="G18" s="11">
        <f>'KPI 1'!G18</f>
        <v>45901</v>
      </c>
      <c r="H18" s="11">
        <f>'KPI 1'!H18</f>
        <v>45931</v>
      </c>
      <c r="I18" s="11">
        <f>'KPI 1'!I18</f>
        <v>45962</v>
      </c>
      <c r="J18" s="11">
        <f>'KPI 1'!J18</f>
        <v>45992</v>
      </c>
      <c r="K18" s="11">
        <f>'KPI 1'!K18</f>
        <v>46023</v>
      </c>
      <c r="L18" s="11">
        <f>'KPI 1'!L18</f>
        <v>46054</v>
      </c>
      <c r="M18" s="11">
        <f>'KPI 1'!M18</f>
        <v>46082</v>
      </c>
      <c r="N18" s="11">
        <f>'KPI 1'!N18</f>
        <v>46113</v>
      </c>
      <c r="O18" s="11">
        <f>'KPI 1'!O18</f>
        <v>46143</v>
      </c>
      <c r="P18" s="11">
        <f>'KPI 1'!P18</f>
        <v>46174</v>
      </c>
      <c r="Q18" s="8" t="s">
        <v>0</v>
      </c>
    </row>
    <row r="19" spans="3:17" x14ac:dyDescent="0.35">
      <c r="D19" s="3" t="str">
        <f>'KPI 1'!D19</f>
        <v>Budget 2025-26</v>
      </c>
      <c r="E19" s="5">
        <f>'budget 2025-26'!D11</f>
        <v>2</v>
      </c>
      <c r="F19" s="5">
        <f>'budget 2025-26'!E11</f>
        <v>2</v>
      </c>
      <c r="G19" s="5">
        <f>'budget 2025-26'!F11</f>
        <v>2</v>
      </c>
      <c r="H19" s="5">
        <f>'budget 2025-26'!G11</f>
        <v>2</v>
      </c>
      <c r="I19" s="5">
        <f>'budget 2025-26'!H11</f>
        <v>2</v>
      </c>
      <c r="J19" s="5">
        <f>'budget 2025-26'!I11</f>
        <v>2</v>
      </c>
      <c r="K19" s="5">
        <f>'budget 2025-26'!J11</f>
        <v>2</v>
      </c>
      <c r="L19" s="5">
        <f>'budget 2025-26'!K11</f>
        <v>2</v>
      </c>
      <c r="M19" s="5">
        <f>'budget 2025-26'!L11</f>
        <v>2</v>
      </c>
      <c r="N19" s="5">
        <f>'budget 2025-26'!M11</f>
        <v>2</v>
      </c>
      <c r="O19" s="5">
        <f>'budget 2025-26'!N11</f>
        <v>2</v>
      </c>
      <c r="P19" s="5">
        <f>'budget 2025-26'!O11</f>
        <v>2</v>
      </c>
      <c r="Q19" s="5">
        <f>SUM(E19:P19)</f>
        <v>24</v>
      </c>
    </row>
    <row r="20" spans="3:17" x14ac:dyDescent="0.35">
      <c r="D20" s="3" t="str">
        <f>'KPI 1'!D20</f>
        <v>Actual 2025-26</v>
      </c>
      <c r="E20" s="5">
        <f>'Input Actual2025-26'!E11</f>
        <v>2</v>
      </c>
      <c r="F20" s="5">
        <f>'Input Actual2025-26'!F11</f>
        <v>8</v>
      </c>
      <c r="G20" s="5">
        <f>'Input Actual2025-26'!G11</f>
        <v>0</v>
      </c>
      <c r="H20" s="5">
        <f>'Input Actual2025-26'!H11</f>
        <v>2</v>
      </c>
      <c r="I20" s="5">
        <f>'Input Actual2025-26'!I11</f>
        <v>0</v>
      </c>
      <c r="J20" s="5">
        <f>'Input Actual2025-26'!J11</f>
        <v>0</v>
      </c>
      <c r="K20" s="5">
        <f>'Input Actual2025-26'!K11</f>
        <v>2</v>
      </c>
      <c r="L20" s="5">
        <f>'Input Actual2025-26'!L11</f>
        <v>0</v>
      </c>
      <c r="M20" s="5">
        <f>'Input Actual2025-26'!M11</f>
        <v>0</v>
      </c>
      <c r="N20" s="5">
        <f>'Input Actual2025-26'!N11</f>
        <v>0</v>
      </c>
      <c r="O20" s="5">
        <f>'Input Actual2025-26'!O11</f>
        <v>0</v>
      </c>
      <c r="P20" s="5">
        <f>'Input Actual2025-26'!P11</f>
        <v>0</v>
      </c>
      <c r="Q20" s="5">
        <f t="shared" ref="Q20:Q22" si="0">SUM(E20:P20)</f>
        <v>14</v>
      </c>
    </row>
    <row r="21" spans="3:17" x14ac:dyDescent="0.35">
      <c r="D21" s="3" t="s">
        <v>424</v>
      </c>
      <c r="E21" s="5">
        <f>'Input Actual2024-25'!E11</f>
        <v>7</v>
      </c>
      <c r="F21" s="5">
        <f>'Input Actual2024-25'!F11</f>
        <v>5</v>
      </c>
      <c r="G21" s="5">
        <f>'Input Actual2024-25'!G11</f>
        <v>0</v>
      </c>
      <c r="H21" s="5">
        <f>'Input Actual2024-25'!H11</f>
        <v>2</v>
      </c>
      <c r="I21" s="5">
        <f>'Input Actual2024-25'!I11</f>
        <v>0</v>
      </c>
      <c r="J21" s="5">
        <f>'Input Actual2024-25'!J11</f>
        <v>0</v>
      </c>
      <c r="K21" s="5">
        <f>'Input Actual2024-25'!K11</f>
        <v>2</v>
      </c>
      <c r="L21" s="5">
        <f>'Input Actual2024-25'!L11</f>
        <v>4</v>
      </c>
      <c r="M21" s="5">
        <f>'Input Actual2024-25'!M11</f>
        <v>2</v>
      </c>
      <c r="N21" s="5">
        <f>'Input Actual2024-25'!N11</f>
        <v>1</v>
      </c>
      <c r="O21" s="5">
        <f>'Input Actual2024-25'!O11</f>
        <v>2</v>
      </c>
      <c r="P21" s="5">
        <f>'Input Actual2024-25'!P11</f>
        <v>1</v>
      </c>
      <c r="Q21" s="5">
        <f t="shared" si="0"/>
        <v>26</v>
      </c>
    </row>
    <row r="22" spans="3:17" x14ac:dyDescent="0.35">
      <c r="D22" s="3" t="s">
        <v>7</v>
      </c>
      <c r="E22" s="5">
        <f t="shared" ref="E22:P22" si="1">IF(E20=0,0,E20-E19)</f>
        <v>0</v>
      </c>
      <c r="F22" s="5">
        <f t="shared" si="1"/>
        <v>6</v>
      </c>
      <c r="G22" s="5">
        <f t="shared" si="1"/>
        <v>0</v>
      </c>
      <c r="H22" s="5">
        <f t="shared" si="1"/>
        <v>0</v>
      </c>
      <c r="I22" s="5">
        <f t="shared" si="1"/>
        <v>0</v>
      </c>
      <c r="J22" s="5">
        <f t="shared" si="1"/>
        <v>0</v>
      </c>
      <c r="K22" s="5">
        <f t="shared" si="1"/>
        <v>0</v>
      </c>
      <c r="L22" s="5">
        <f t="shared" si="1"/>
        <v>0</v>
      </c>
      <c r="M22" s="5">
        <f t="shared" si="1"/>
        <v>0</v>
      </c>
      <c r="N22" s="5">
        <f t="shared" si="1"/>
        <v>0</v>
      </c>
      <c r="O22" s="5">
        <f t="shared" si="1"/>
        <v>0</v>
      </c>
      <c r="P22" s="5">
        <f t="shared" si="1"/>
        <v>0</v>
      </c>
      <c r="Q22" s="5">
        <f t="shared" si="0"/>
        <v>6</v>
      </c>
    </row>
    <row r="23" spans="3:17" x14ac:dyDescent="0.35">
      <c r="D23" s="3" t="s">
        <v>43</v>
      </c>
      <c r="E23" s="9">
        <f>E21/E19</f>
        <v>3.5</v>
      </c>
      <c r="F23" s="9">
        <f t="shared" ref="F23:P23" si="2">F20/F19</f>
        <v>4</v>
      </c>
      <c r="G23" s="9">
        <f t="shared" si="2"/>
        <v>0</v>
      </c>
      <c r="H23" s="9">
        <f t="shared" si="2"/>
        <v>1</v>
      </c>
      <c r="I23" s="9">
        <f t="shared" si="2"/>
        <v>0</v>
      </c>
      <c r="J23" s="9">
        <f t="shared" si="2"/>
        <v>0</v>
      </c>
      <c r="K23" s="9">
        <f t="shared" si="2"/>
        <v>1</v>
      </c>
      <c r="L23" s="9">
        <f t="shared" si="2"/>
        <v>0</v>
      </c>
      <c r="M23" s="9">
        <f t="shared" si="2"/>
        <v>0</v>
      </c>
      <c r="N23" s="9">
        <f t="shared" si="2"/>
        <v>0</v>
      </c>
      <c r="O23" s="9">
        <f t="shared" si="2"/>
        <v>0</v>
      </c>
      <c r="P23" s="9">
        <f t="shared" si="2"/>
        <v>0</v>
      </c>
    </row>
    <row r="25" spans="3:17" x14ac:dyDescent="0.35">
      <c r="C25" s="7" t="s">
        <v>3</v>
      </c>
      <c r="E25" s="11">
        <f>E18</f>
        <v>45839</v>
      </c>
      <c r="F25" s="11">
        <f t="shared" ref="F25:P25" si="3">F18</f>
        <v>45870</v>
      </c>
      <c r="G25" s="11">
        <f t="shared" si="3"/>
        <v>45901</v>
      </c>
      <c r="H25" s="11">
        <f t="shared" si="3"/>
        <v>45931</v>
      </c>
      <c r="I25" s="11">
        <f t="shared" si="3"/>
        <v>45962</v>
      </c>
      <c r="J25" s="11">
        <f t="shared" si="3"/>
        <v>45992</v>
      </c>
      <c r="K25" s="11">
        <f t="shared" si="3"/>
        <v>46023</v>
      </c>
      <c r="L25" s="11">
        <f t="shared" si="3"/>
        <v>46054</v>
      </c>
      <c r="M25" s="11">
        <f t="shared" si="3"/>
        <v>46082</v>
      </c>
      <c r="N25" s="11">
        <f t="shared" si="3"/>
        <v>46113</v>
      </c>
      <c r="O25" s="11">
        <f t="shared" si="3"/>
        <v>46143</v>
      </c>
      <c r="P25" s="11">
        <f t="shared" si="3"/>
        <v>46174</v>
      </c>
    </row>
    <row r="26" spans="3:17" x14ac:dyDescent="0.35">
      <c r="D26" s="3" t="str">
        <f>D19</f>
        <v>Budget 2025-26</v>
      </c>
      <c r="E26" s="5">
        <f>SUM($E19:E19)</f>
        <v>2</v>
      </c>
      <c r="F26" s="5">
        <f>SUM($E19:F19)</f>
        <v>4</v>
      </c>
      <c r="G26" s="5">
        <f>SUM($E19:G19)</f>
        <v>6</v>
      </c>
      <c r="H26" s="5">
        <f>SUM($E19:H19)</f>
        <v>8</v>
      </c>
      <c r="I26" s="5">
        <f>SUM($E19:I19)</f>
        <v>10</v>
      </c>
      <c r="J26" s="5">
        <f>SUM($E19:J19)</f>
        <v>12</v>
      </c>
      <c r="K26" s="5">
        <f>SUM($E19:K19)</f>
        <v>14</v>
      </c>
      <c r="L26" s="5">
        <f>SUM($E19:L19)</f>
        <v>16</v>
      </c>
      <c r="M26" s="5">
        <f>SUM($E19:M19)</f>
        <v>18</v>
      </c>
      <c r="N26" s="5">
        <f>SUM($E19:N19)</f>
        <v>20</v>
      </c>
      <c r="O26" s="5">
        <f>SUM($E19:O19)</f>
        <v>22</v>
      </c>
      <c r="P26" s="5">
        <f>SUM($E19:P19)</f>
        <v>24</v>
      </c>
    </row>
    <row r="27" spans="3:17" x14ac:dyDescent="0.35">
      <c r="D27" s="3" t="str">
        <f t="shared" ref="D27:D30" si="4">D20</f>
        <v>Actual 2025-26</v>
      </c>
      <c r="E27" s="5">
        <f>SUM($E20:E20)</f>
        <v>2</v>
      </c>
      <c r="F27" s="5">
        <f>SUM($E20:F20)</f>
        <v>10</v>
      </c>
      <c r="G27" s="5">
        <f>SUM($E20:G20)</f>
        <v>10</v>
      </c>
      <c r="H27" s="5">
        <f>SUM($E20:H20)</f>
        <v>12</v>
      </c>
      <c r="I27" s="5">
        <f>SUM($E20:I20)</f>
        <v>12</v>
      </c>
      <c r="J27" s="5">
        <f>SUM($E20:J20)</f>
        <v>12</v>
      </c>
      <c r="K27" s="5">
        <f>SUM($E20:K20)</f>
        <v>14</v>
      </c>
      <c r="L27" s="5">
        <f>SUM($E20:L20)</f>
        <v>14</v>
      </c>
      <c r="M27" s="5">
        <f>SUM($E20:M20)</f>
        <v>14</v>
      </c>
      <c r="N27" s="5">
        <f>SUM($E20:N20)</f>
        <v>14</v>
      </c>
      <c r="O27" s="5">
        <f>SUM($E20:O20)</f>
        <v>14</v>
      </c>
      <c r="P27" s="5">
        <f>SUM($E20:P20)</f>
        <v>14</v>
      </c>
    </row>
    <row r="28" spans="3:17" x14ac:dyDescent="0.35">
      <c r="D28" s="3" t="str">
        <f t="shared" si="4"/>
        <v>Actual 2024-25</v>
      </c>
      <c r="E28" s="5">
        <f>SUM($E21:E21)</f>
        <v>7</v>
      </c>
      <c r="F28" s="5">
        <f>SUM($E21:F21)</f>
        <v>12</v>
      </c>
      <c r="G28" s="5">
        <f>SUM($E21:G21)</f>
        <v>12</v>
      </c>
      <c r="H28" s="5">
        <f>SUM($E21:H21)</f>
        <v>14</v>
      </c>
      <c r="I28" s="5">
        <f>SUM($E21:I21)</f>
        <v>14</v>
      </c>
      <c r="J28" s="5">
        <f>SUM($E21:J21)</f>
        <v>14</v>
      </c>
      <c r="K28" s="5">
        <f>SUM($E21:K21)</f>
        <v>16</v>
      </c>
      <c r="L28" s="5">
        <f>SUM($E21:L21)</f>
        <v>20</v>
      </c>
      <c r="M28" s="5">
        <f>SUM($E21:M21)</f>
        <v>22</v>
      </c>
      <c r="N28" s="5">
        <f>SUM($E21:N21)</f>
        <v>23</v>
      </c>
      <c r="O28" s="5">
        <f>SUM($E21:O21)</f>
        <v>25</v>
      </c>
      <c r="P28" s="5">
        <f>SUM($E21:P21)</f>
        <v>26</v>
      </c>
    </row>
    <row r="29" spans="3:17" x14ac:dyDescent="0.35">
      <c r="D29" s="3" t="str">
        <f t="shared" si="4"/>
        <v>Difference</v>
      </c>
      <c r="E29" s="5">
        <f>SUM($E22:E22)</f>
        <v>0</v>
      </c>
      <c r="F29" s="5">
        <f>SUM($E22:F22)</f>
        <v>6</v>
      </c>
      <c r="G29" s="5">
        <f>SUM($E22:G22)</f>
        <v>6</v>
      </c>
      <c r="H29" s="5">
        <f>SUM($E22:H22)</f>
        <v>6</v>
      </c>
      <c r="I29" s="5">
        <f>SUM($E22:I22)</f>
        <v>6</v>
      </c>
      <c r="J29" s="5">
        <f>SUM($E22:J22)</f>
        <v>6</v>
      </c>
      <c r="K29" s="5">
        <f>SUM($E22:K22)</f>
        <v>6</v>
      </c>
      <c r="L29" s="5">
        <f>SUM($E22:L22)</f>
        <v>6</v>
      </c>
      <c r="M29" s="5">
        <f>SUM($E22:M22)</f>
        <v>6</v>
      </c>
      <c r="N29" s="5">
        <f>SUM($E22:N22)</f>
        <v>6</v>
      </c>
      <c r="O29" s="5">
        <f>SUM($E22:O22)</f>
        <v>6</v>
      </c>
      <c r="P29" s="5">
        <f>SUM($E22:P22)</f>
        <v>6</v>
      </c>
    </row>
    <row r="30" spans="3:17" x14ac:dyDescent="0.35">
      <c r="D30" s="3" t="str">
        <f t="shared" si="4"/>
        <v>Realisation</v>
      </c>
      <c r="E30" s="9">
        <f>E28/E26</f>
        <v>3.5</v>
      </c>
      <c r="F30" s="9">
        <f t="shared" ref="F30:P30" si="5">F27/F26</f>
        <v>2.5</v>
      </c>
      <c r="G30" s="9">
        <f t="shared" si="5"/>
        <v>1.6666666666666667</v>
      </c>
      <c r="H30" s="9">
        <f t="shared" si="5"/>
        <v>1.5</v>
      </c>
      <c r="I30" s="9">
        <f t="shared" si="5"/>
        <v>1.2</v>
      </c>
      <c r="J30" s="9">
        <f t="shared" si="5"/>
        <v>1</v>
      </c>
      <c r="K30" s="9">
        <f t="shared" si="5"/>
        <v>1</v>
      </c>
      <c r="L30" s="9">
        <f t="shared" si="5"/>
        <v>0.875</v>
      </c>
      <c r="M30" s="9">
        <f t="shared" si="5"/>
        <v>0.77777777777777779</v>
      </c>
      <c r="N30" s="9">
        <f t="shared" si="5"/>
        <v>0.7</v>
      </c>
      <c r="O30" s="9">
        <f t="shared" si="5"/>
        <v>0.63636363636363635</v>
      </c>
      <c r="P30" s="9">
        <f t="shared" si="5"/>
        <v>0.58333333333333337</v>
      </c>
    </row>
  </sheetData>
  <mergeCells count="2">
    <mergeCell ref="J4:Q8"/>
    <mergeCell ref="J10:Q15"/>
  </mergeCells>
  <conditionalFormatting sqref="C3">
    <cfRule type="expression" dxfId="518" priority="2">
      <formula>S4&lt;S6</formula>
    </cfRule>
  </conditionalFormatting>
  <conditionalFormatting sqref="C5">
    <cfRule type="expression" dxfId="517" priority="3">
      <formula>S4&gt;=S5</formula>
    </cfRule>
  </conditionalFormatting>
  <conditionalFormatting sqref="C4">
    <cfRule type="expression" dxfId="516" priority="1">
      <formula>AND(S4&gt;=S6,S4&lt;S5)</formula>
    </cfRule>
  </conditionalFormatting>
  <hyperlinks>
    <hyperlink ref="L1" location="Dashboard!A1" display="Dashboard"/>
  </hyperlinks>
  <pageMargins left="0.7" right="0.7" top="0.75" bottom="0.75" header="0.3" footer="0.3"/>
  <pageSetup orientation="portrait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945153" r:id="rId4" name="Spinner 1">
              <controlPr defaultSize="0" autoPict="0">
                <anchor moveWithCells="1" sizeWithCells="1">
                  <from>
                    <xdr:col>9</xdr:col>
                    <xdr:colOff>19050</xdr:colOff>
                    <xdr:row>0</xdr:row>
                    <xdr:rowOff>38100</xdr:rowOff>
                  </from>
                  <to>
                    <xdr:col>9</xdr:col>
                    <xdr:colOff>400050</xdr:colOff>
                    <xdr:row>1</xdr:row>
                    <xdr:rowOff>152400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17">
    <tabColor rgb="FFFFC000"/>
  </sheetPr>
  <dimension ref="A1:S30"/>
  <sheetViews>
    <sheetView zoomScale="90" zoomScaleNormal="90" workbookViewId="0">
      <selection activeCell="L1" sqref="L1"/>
    </sheetView>
  </sheetViews>
  <sheetFormatPr defaultColWidth="9.1796875" defaultRowHeight="14.5" x14ac:dyDescent="0.35"/>
  <cols>
    <col min="1" max="1" width="9.1796875" style="3"/>
    <col min="2" max="2" width="5.1796875" style="3" customWidth="1"/>
    <col min="3" max="3" width="6.26953125" style="3" customWidth="1"/>
    <col min="4" max="4" width="21.26953125" style="3" bestFit="1" customWidth="1"/>
    <col min="5" max="16" width="11.1796875" style="3" customWidth="1"/>
    <col min="17" max="17" width="12" style="3" bestFit="1" customWidth="1"/>
    <col min="18" max="18" width="9.1796875" style="3" customWidth="1"/>
    <col min="19" max="16384" width="9.1796875" style="3"/>
  </cols>
  <sheetData>
    <row r="1" spans="1:19" ht="21" x14ac:dyDescent="0.5">
      <c r="A1" s="4" t="s">
        <v>4</v>
      </c>
      <c r="B1" s="4">
        <f>Dashboard!A24</f>
        <v>1</v>
      </c>
      <c r="C1" s="4" t="str">
        <f>Dashboard!B24</f>
        <v>CBD- NEW SEWER</v>
      </c>
      <c r="G1" s="3" t="s">
        <v>9</v>
      </c>
      <c r="I1" s="12">
        <f>INDEX($E$18:$P$18,Actual_month)</f>
        <v>46054</v>
      </c>
      <c r="L1" s="16" t="s">
        <v>19</v>
      </c>
      <c r="R1" s="5"/>
    </row>
    <row r="2" spans="1:19" x14ac:dyDescent="0.35">
      <c r="A2" s="3" t="s">
        <v>13</v>
      </c>
      <c r="C2" s="3" t="s">
        <v>27</v>
      </c>
      <c r="R2" s="6"/>
    </row>
    <row r="3" spans="1:19" ht="25.5" customHeight="1" thickBot="1" x14ac:dyDescent="0.4">
      <c r="C3" s="1" t="s">
        <v>5</v>
      </c>
      <c r="E3" s="10"/>
      <c r="F3" s="10"/>
      <c r="G3" s="10"/>
      <c r="H3" s="10"/>
      <c r="I3" s="10"/>
      <c r="J3" s="3" t="s">
        <v>6</v>
      </c>
      <c r="K3" s="10"/>
      <c r="M3" s="10"/>
      <c r="N3" s="10"/>
      <c r="O3" s="10"/>
      <c r="P3" s="10"/>
    </row>
    <row r="4" spans="1:19" ht="25.5" customHeight="1" x14ac:dyDescent="0.35">
      <c r="C4" s="1" t="s">
        <v>5</v>
      </c>
      <c r="E4" s="10"/>
      <c r="F4" s="10"/>
      <c r="G4" s="10"/>
      <c r="H4" s="10"/>
      <c r="I4" s="10"/>
      <c r="J4" s="401"/>
      <c r="K4" s="402"/>
      <c r="L4" s="402"/>
      <c r="M4" s="402"/>
      <c r="N4" s="402"/>
      <c r="O4" s="402"/>
      <c r="P4" s="402"/>
      <c r="Q4" s="403"/>
      <c r="R4" s="3" t="s">
        <v>22</v>
      </c>
      <c r="S4" s="5">
        <f>INDEX(E27:P27,Actual_month)</f>
        <v>0</v>
      </c>
    </row>
    <row r="5" spans="1:19" ht="25.5" customHeight="1" x14ac:dyDescent="0.35">
      <c r="C5" s="1" t="s">
        <v>5</v>
      </c>
      <c r="E5" s="10"/>
      <c r="F5" s="10"/>
      <c r="G5" s="10"/>
      <c r="H5" s="10"/>
      <c r="I5" s="10"/>
      <c r="J5" s="404"/>
      <c r="K5" s="405"/>
      <c r="L5" s="405"/>
      <c r="M5" s="405"/>
      <c r="N5" s="405"/>
      <c r="O5" s="405"/>
      <c r="P5" s="405"/>
      <c r="Q5" s="406"/>
      <c r="R5" s="3" t="s">
        <v>23</v>
      </c>
      <c r="S5" s="5">
        <f>INDEX(E26:P26,Actual_month)</f>
        <v>8</v>
      </c>
    </row>
    <row r="6" spans="1:19" x14ac:dyDescent="0.35">
      <c r="J6" s="404"/>
      <c r="K6" s="405"/>
      <c r="L6" s="405"/>
      <c r="M6" s="405"/>
      <c r="N6" s="405"/>
      <c r="O6" s="405"/>
      <c r="P6" s="405"/>
      <c r="Q6" s="406"/>
      <c r="R6" s="6">
        <v>0.9</v>
      </c>
      <c r="S6" s="5">
        <f>+S5*R6</f>
        <v>7.2</v>
      </c>
    </row>
    <row r="7" spans="1:19" x14ac:dyDescent="0.35">
      <c r="J7" s="404"/>
      <c r="K7" s="405"/>
      <c r="L7" s="405"/>
      <c r="M7" s="405"/>
      <c r="N7" s="405"/>
      <c r="O7" s="405"/>
      <c r="P7" s="405"/>
      <c r="Q7" s="406"/>
    </row>
    <row r="8" spans="1:19" ht="15" thickBot="1" x14ac:dyDescent="0.4">
      <c r="J8" s="407"/>
      <c r="K8" s="408"/>
      <c r="L8" s="408"/>
      <c r="M8" s="408"/>
      <c r="N8" s="408"/>
      <c r="O8" s="408"/>
      <c r="P8" s="408"/>
      <c r="Q8" s="409"/>
    </row>
    <row r="9" spans="1:19" ht="15" thickBot="1" x14ac:dyDescent="0.4">
      <c r="J9" s="3" t="s">
        <v>12</v>
      </c>
    </row>
    <row r="10" spans="1:19" x14ac:dyDescent="0.35">
      <c r="J10" s="401"/>
      <c r="K10" s="402"/>
      <c r="L10" s="402"/>
      <c r="M10" s="402"/>
      <c r="N10" s="402"/>
      <c r="O10" s="402"/>
      <c r="P10" s="402"/>
      <c r="Q10" s="403"/>
    </row>
    <row r="11" spans="1:19" x14ac:dyDescent="0.35">
      <c r="J11" s="404"/>
      <c r="K11" s="405"/>
      <c r="L11" s="405"/>
      <c r="M11" s="405"/>
      <c r="N11" s="405"/>
      <c r="O11" s="405"/>
      <c r="P11" s="405"/>
      <c r="Q11" s="406"/>
    </row>
    <row r="12" spans="1:19" x14ac:dyDescent="0.35">
      <c r="J12" s="404"/>
      <c r="K12" s="405"/>
      <c r="L12" s="405"/>
      <c r="M12" s="405"/>
      <c r="N12" s="405"/>
      <c r="O12" s="405"/>
      <c r="P12" s="405"/>
      <c r="Q12" s="406"/>
    </row>
    <row r="13" spans="1:19" x14ac:dyDescent="0.35">
      <c r="J13" s="404"/>
      <c r="K13" s="405"/>
      <c r="L13" s="405"/>
      <c r="M13" s="405"/>
      <c r="N13" s="405"/>
      <c r="O13" s="405"/>
      <c r="P13" s="405"/>
      <c r="Q13" s="406"/>
    </row>
    <row r="14" spans="1:19" x14ac:dyDescent="0.35">
      <c r="J14" s="404"/>
      <c r="K14" s="405"/>
      <c r="L14" s="405"/>
      <c r="M14" s="405"/>
      <c r="N14" s="405"/>
      <c r="O14" s="405"/>
      <c r="P14" s="405"/>
      <c r="Q14" s="406"/>
    </row>
    <row r="15" spans="1:19" ht="15" thickBot="1" x14ac:dyDescent="0.4">
      <c r="J15" s="407"/>
      <c r="K15" s="408"/>
      <c r="L15" s="408"/>
      <c r="M15" s="408"/>
      <c r="N15" s="408"/>
      <c r="O15" s="408"/>
      <c r="P15" s="408"/>
      <c r="Q15" s="409"/>
    </row>
    <row r="18" spans="3:17" x14ac:dyDescent="0.35">
      <c r="C18" s="7" t="s">
        <v>8</v>
      </c>
      <c r="E18" s="11">
        <f>'KPI 1'!E18</f>
        <v>45839</v>
      </c>
      <c r="F18" s="11">
        <f>'KPI 1'!F18</f>
        <v>45870</v>
      </c>
      <c r="G18" s="11">
        <f>'KPI 1'!G18</f>
        <v>45901</v>
      </c>
      <c r="H18" s="11">
        <f>'KPI 1'!H18</f>
        <v>45931</v>
      </c>
      <c r="I18" s="11">
        <f>'KPI 1'!I18</f>
        <v>45962</v>
      </c>
      <c r="J18" s="11">
        <f>'KPI 1'!J18</f>
        <v>45992</v>
      </c>
      <c r="K18" s="11">
        <f>'KPI 1'!K18</f>
        <v>46023</v>
      </c>
      <c r="L18" s="11">
        <f>'KPI 1'!L18</f>
        <v>46054</v>
      </c>
      <c r="M18" s="11">
        <f>'KPI 1'!M18</f>
        <v>46082</v>
      </c>
      <c r="N18" s="11">
        <f>'KPI 1'!N18</f>
        <v>46113</v>
      </c>
      <c r="O18" s="11">
        <f>'KPI 1'!O18</f>
        <v>46143</v>
      </c>
      <c r="P18" s="11">
        <f>'KPI 1'!P18</f>
        <v>46174</v>
      </c>
      <c r="Q18" s="8" t="s">
        <v>0</v>
      </c>
    </row>
    <row r="19" spans="3:17" x14ac:dyDescent="0.35">
      <c r="D19" s="3" t="str">
        <f>'KPI 1'!D19</f>
        <v>Budget 2025-26</v>
      </c>
      <c r="E19" s="5">
        <f>'budget 2025-26'!D23</f>
        <v>1</v>
      </c>
      <c r="F19" s="5">
        <f>'budget 2025-26'!E23</f>
        <v>1</v>
      </c>
      <c r="G19" s="5">
        <f>'budget 2025-26'!F23</f>
        <v>1</v>
      </c>
      <c r="H19" s="5">
        <f>'budget 2025-26'!G23</f>
        <v>1</v>
      </c>
      <c r="I19" s="5">
        <f>'budget 2025-26'!H23</f>
        <v>1</v>
      </c>
      <c r="J19" s="5">
        <f>'budget 2025-26'!I23</f>
        <v>1</v>
      </c>
      <c r="K19" s="5">
        <f>'budget 2025-26'!J23</f>
        <v>1</v>
      </c>
      <c r="L19" s="5">
        <f>'budget 2025-26'!K23</f>
        <v>1</v>
      </c>
      <c r="M19" s="5">
        <f>'budget 2025-26'!L23</f>
        <v>1</v>
      </c>
      <c r="N19" s="5">
        <f>'budget 2025-26'!M23</f>
        <v>1</v>
      </c>
      <c r="O19" s="5">
        <f>'budget 2025-26'!N23</f>
        <v>1</v>
      </c>
      <c r="P19" s="5">
        <f>'budget 2025-26'!O23</f>
        <v>1</v>
      </c>
      <c r="Q19" s="5">
        <f>SUM(E19:P19)</f>
        <v>12</v>
      </c>
    </row>
    <row r="20" spans="3:17" x14ac:dyDescent="0.35">
      <c r="D20" s="3" t="str">
        <f>'KPI 1'!D20</f>
        <v>Actual 2025-26</v>
      </c>
      <c r="E20" s="5">
        <f>'Input Actual2025-26'!E24</f>
        <v>0</v>
      </c>
      <c r="F20" s="5">
        <f>'Input Actual2025-26'!F24</f>
        <v>0</v>
      </c>
      <c r="G20" s="5">
        <f>'Input Actual2025-26'!G24</f>
        <v>0</v>
      </c>
      <c r="H20" s="5">
        <f>'Input Actual2025-26'!H24</f>
        <v>0</v>
      </c>
      <c r="I20" s="5">
        <f>'Input Actual2025-26'!I24</f>
        <v>0</v>
      </c>
      <c r="J20" s="5">
        <f>'Input Actual2025-26'!J24</f>
        <v>0</v>
      </c>
      <c r="K20" s="5">
        <f>'Input Actual2025-26'!K24</f>
        <v>0</v>
      </c>
      <c r="L20" s="5">
        <f>'Input Actual2025-26'!L24</f>
        <v>0</v>
      </c>
      <c r="M20" s="5">
        <f>'Input Actual2025-26'!M24</f>
        <v>0</v>
      </c>
      <c r="N20" s="5">
        <f>'Input Actual2025-26'!N24</f>
        <v>0</v>
      </c>
      <c r="O20" s="5">
        <f>'Input Actual2025-26'!O24</f>
        <v>0</v>
      </c>
      <c r="P20" s="5">
        <f>'Input Actual2025-26'!P24</f>
        <v>0</v>
      </c>
      <c r="Q20" s="5">
        <f t="shared" ref="Q20:Q22" si="0">SUM(E20:P20)</f>
        <v>0</v>
      </c>
    </row>
    <row r="21" spans="3:17" x14ac:dyDescent="0.35">
      <c r="D21" s="3" t="s">
        <v>424</v>
      </c>
      <c r="E21" s="5">
        <f>'Input Actual2024-25'!E22</f>
        <v>0</v>
      </c>
      <c r="F21" s="5">
        <f>'Input Actual2024-25'!F22</f>
        <v>1</v>
      </c>
      <c r="G21" s="5">
        <f>'Input Actual2024-25'!G22</f>
        <v>0</v>
      </c>
      <c r="H21" s="5">
        <f>'Input Actual2024-25'!H22</f>
        <v>0</v>
      </c>
      <c r="I21" s="5">
        <f>'Input Actual2024-25'!I22</f>
        <v>0</v>
      </c>
      <c r="J21" s="5">
        <f>'Input Actual2024-25'!J22</f>
        <v>1</v>
      </c>
      <c r="K21" s="5">
        <f>'Input Actual2024-25'!K22</f>
        <v>1</v>
      </c>
      <c r="L21" s="5">
        <f>'Input Actual2024-25'!L22</f>
        <v>0</v>
      </c>
      <c r="M21" s="5">
        <f>'Input Actual2024-25'!M22</f>
        <v>0</v>
      </c>
      <c r="N21" s="5">
        <f>'Input Actual2024-25'!N22</f>
        <v>0</v>
      </c>
      <c r="O21" s="5">
        <f>'Input Actual2024-25'!O22</f>
        <v>0</v>
      </c>
      <c r="P21" s="5">
        <f>'Input Actual2024-25'!P22</f>
        <v>1</v>
      </c>
      <c r="Q21" s="5">
        <f t="shared" si="0"/>
        <v>4</v>
      </c>
    </row>
    <row r="22" spans="3:17" x14ac:dyDescent="0.35">
      <c r="D22" s="3" t="s">
        <v>7</v>
      </c>
      <c r="E22" s="5">
        <f t="shared" ref="E22:P22" si="1">IF(E20=0,0,E20-E19)</f>
        <v>0</v>
      </c>
      <c r="F22" s="5">
        <f t="shared" si="1"/>
        <v>0</v>
      </c>
      <c r="G22" s="5">
        <f t="shared" si="1"/>
        <v>0</v>
      </c>
      <c r="H22" s="5">
        <f t="shared" si="1"/>
        <v>0</v>
      </c>
      <c r="I22" s="5">
        <f t="shared" si="1"/>
        <v>0</v>
      </c>
      <c r="J22" s="5">
        <f t="shared" si="1"/>
        <v>0</v>
      </c>
      <c r="K22" s="5">
        <f t="shared" si="1"/>
        <v>0</v>
      </c>
      <c r="L22" s="5">
        <f t="shared" si="1"/>
        <v>0</v>
      </c>
      <c r="M22" s="5">
        <f t="shared" si="1"/>
        <v>0</v>
      </c>
      <c r="N22" s="5">
        <f t="shared" si="1"/>
        <v>0</v>
      </c>
      <c r="O22" s="5">
        <f t="shared" si="1"/>
        <v>0</v>
      </c>
      <c r="P22" s="5">
        <f t="shared" si="1"/>
        <v>0</v>
      </c>
      <c r="Q22" s="5">
        <f t="shared" si="0"/>
        <v>0</v>
      </c>
    </row>
    <row r="23" spans="3:17" x14ac:dyDescent="0.35">
      <c r="D23" s="3" t="s">
        <v>43</v>
      </c>
      <c r="E23" s="9">
        <f>E21/E19</f>
        <v>0</v>
      </c>
      <c r="F23" s="9">
        <f t="shared" ref="F23:P23" si="2">F20/F19</f>
        <v>0</v>
      </c>
      <c r="G23" s="9">
        <f t="shared" si="2"/>
        <v>0</v>
      </c>
      <c r="H23" s="9">
        <f t="shared" si="2"/>
        <v>0</v>
      </c>
      <c r="I23" s="9">
        <f t="shared" si="2"/>
        <v>0</v>
      </c>
      <c r="J23" s="9">
        <f t="shared" si="2"/>
        <v>0</v>
      </c>
      <c r="K23" s="9">
        <f t="shared" si="2"/>
        <v>0</v>
      </c>
      <c r="L23" s="9">
        <f t="shared" si="2"/>
        <v>0</v>
      </c>
      <c r="M23" s="9">
        <f t="shared" si="2"/>
        <v>0</v>
      </c>
      <c r="N23" s="9">
        <f t="shared" si="2"/>
        <v>0</v>
      </c>
      <c r="O23" s="9">
        <f t="shared" si="2"/>
        <v>0</v>
      </c>
      <c r="P23" s="9">
        <f t="shared" si="2"/>
        <v>0</v>
      </c>
    </row>
    <row r="25" spans="3:17" x14ac:dyDescent="0.35">
      <c r="C25" s="7" t="s">
        <v>3</v>
      </c>
      <c r="E25" s="11">
        <f>E18</f>
        <v>45839</v>
      </c>
      <c r="F25" s="11">
        <f t="shared" ref="F25:P25" si="3">F18</f>
        <v>45870</v>
      </c>
      <c r="G25" s="11">
        <f t="shared" si="3"/>
        <v>45901</v>
      </c>
      <c r="H25" s="11">
        <f t="shared" si="3"/>
        <v>45931</v>
      </c>
      <c r="I25" s="11">
        <f t="shared" si="3"/>
        <v>45962</v>
      </c>
      <c r="J25" s="11">
        <f t="shared" si="3"/>
        <v>45992</v>
      </c>
      <c r="K25" s="11">
        <f t="shared" si="3"/>
        <v>46023</v>
      </c>
      <c r="L25" s="11">
        <f t="shared" si="3"/>
        <v>46054</v>
      </c>
      <c r="M25" s="11">
        <f t="shared" si="3"/>
        <v>46082</v>
      </c>
      <c r="N25" s="11">
        <f t="shared" si="3"/>
        <v>46113</v>
      </c>
      <c r="O25" s="11">
        <f t="shared" si="3"/>
        <v>46143</v>
      </c>
      <c r="P25" s="11">
        <f t="shared" si="3"/>
        <v>46174</v>
      </c>
    </row>
    <row r="26" spans="3:17" x14ac:dyDescent="0.35">
      <c r="D26" s="3" t="str">
        <f>D19</f>
        <v>Budget 2025-26</v>
      </c>
      <c r="E26" s="5">
        <f>SUM($E19:E19)</f>
        <v>1</v>
      </c>
      <c r="F26" s="5">
        <f>SUM($E19:F19)</f>
        <v>2</v>
      </c>
      <c r="G26" s="5">
        <f>SUM($E19:G19)</f>
        <v>3</v>
      </c>
      <c r="H26" s="5">
        <f>SUM($E19:H19)</f>
        <v>4</v>
      </c>
      <c r="I26" s="5">
        <f>SUM($E19:I19)</f>
        <v>5</v>
      </c>
      <c r="J26" s="5">
        <f>SUM($E19:J19)</f>
        <v>6</v>
      </c>
      <c r="K26" s="5">
        <f>SUM($E19:K19)</f>
        <v>7</v>
      </c>
      <c r="L26" s="5">
        <f>SUM($E19:L19)</f>
        <v>8</v>
      </c>
      <c r="M26" s="5">
        <f>SUM($E19:M19)</f>
        <v>9</v>
      </c>
      <c r="N26" s="5">
        <f>SUM($E19:N19)</f>
        <v>10</v>
      </c>
      <c r="O26" s="5">
        <f>SUM($E19:O19)</f>
        <v>11</v>
      </c>
      <c r="P26" s="5">
        <f>SUM($E19:P19)</f>
        <v>12</v>
      </c>
    </row>
    <row r="27" spans="3:17" x14ac:dyDescent="0.35">
      <c r="D27" s="3" t="str">
        <f t="shared" ref="D27:D30" si="4">D20</f>
        <v>Actual 2025-26</v>
      </c>
      <c r="E27" s="5">
        <f>SUM($E20:E20)</f>
        <v>0</v>
      </c>
      <c r="F27" s="5">
        <f>SUM($E20:F20)</f>
        <v>0</v>
      </c>
      <c r="G27" s="5">
        <f>SUM($E20:G20)</f>
        <v>0</v>
      </c>
      <c r="H27" s="5">
        <f>SUM($E20:H20)</f>
        <v>0</v>
      </c>
      <c r="I27" s="5">
        <f>SUM($E20:I20)</f>
        <v>0</v>
      </c>
      <c r="J27" s="5">
        <f>SUM($E20:J20)</f>
        <v>0</v>
      </c>
      <c r="K27" s="5">
        <f>SUM($E20:K20)</f>
        <v>0</v>
      </c>
      <c r="L27" s="5">
        <f>SUM($E20:L20)</f>
        <v>0</v>
      </c>
      <c r="M27" s="5">
        <f>SUM($E20:M20)</f>
        <v>0</v>
      </c>
      <c r="N27" s="5">
        <f>SUM($E20:N20)</f>
        <v>0</v>
      </c>
      <c r="O27" s="5">
        <f>SUM($E20:O20)</f>
        <v>0</v>
      </c>
      <c r="P27" s="5">
        <f>SUM($E20:P20)</f>
        <v>0</v>
      </c>
    </row>
    <row r="28" spans="3:17" x14ac:dyDescent="0.35">
      <c r="D28" s="3" t="str">
        <f t="shared" si="4"/>
        <v>Actual 2024-25</v>
      </c>
      <c r="E28" s="5">
        <f>SUM($E21:E21)</f>
        <v>0</v>
      </c>
      <c r="F28" s="5">
        <f>SUM($E21:F21)</f>
        <v>1</v>
      </c>
      <c r="G28" s="5">
        <f>SUM($E21:G21)</f>
        <v>1</v>
      </c>
      <c r="H28" s="5">
        <f>SUM($E21:H21)</f>
        <v>1</v>
      </c>
      <c r="I28" s="5">
        <f>SUM($E21:I21)</f>
        <v>1</v>
      </c>
      <c r="J28" s="5">
        <f>SUM($E21:J21)</f>
        <v>2</v>
      </c>
      <c r="K28" s="5">
        <f>SUM($E21:K21)</f>
        <v>3</v>
      </c>
      <c r="L28" s="5">
        <f>SUM($E21:L21)</f>
        <v>3</v>
      </c>
      <c r="M28" s="5">
        <f>SUM($E21:M21)</f>
        <v>3</v>
      </c>
      <c r="N28" s="5">
        <f>SUM($E21:N21)</f>
        <v>3</v>
      </c>
      <c r="O28" s="5">
        <f>SUM($E21:O21)</f>
        <v>3</v>
      </c>
      <c r="P28" s="5">
        <f>SUM($E21:P21)</f>
        <v>4</v>
      </c>
    </row>
    <row r="29" spans="3:17" x14ac:dyDescent="0.35">
      <c r="D29" s="3" t="str">
        <f t="shared" si="4"/>
        <v>Difference</v>
      </c>
      <c r="E29" s="5">
        <f>SUM($E22:E22)</f>
        <v>0</v>
      </c>
      <c r="F29" s="5">
        <f>SUM($E22:F22)</f>
        <v>0</v>
      </c>
      <c r="G29" s="5">
        <f>SUM($E22:G22)</f>
        <v>0</v>
      </c>
      <c r="H29" s="5">
        <f>SUM($E22:H22)</f>
        <v>0</v>
      </c>
      <c r="I29" s="5">
        <f>SUM($E22:I22)</f>
        <v>0</v>
      </c>
      <c r="J29" s="5">
        <f>SUM($E22:J22)</f>
        <v>0</v>
      </c>
      <c r="K29" s="5">
        <f>SUM($E22:K22)</f>
        <v>0</v>
      </c>
      <c r="L29" s="5">
        <f>SUM($E22:L22)</f>
        <v>0</v>
      </c>
      <c r="M29" s="5">
        <f>SUM($E22:M22)</f>
        <v>0</v>
      </c>
      <c r="N29" s="5">
        <f>SUM($E22:N22)</f>
        <v>0</v>
      </c>
      <c r="O29" s="5">
        <f>SUM($E22:O22)</f>
        <v>0</v>
      </c>
      <c r="P29" s="5">
        <f>SUM($E22:P22)</f>
        <v>0</v>
      </c>
    </row>
    <row r="30" spans="3:17" x14ac:dyDescent="0.35">
      <c r="D30" s="3" t="str">
        <f t="shared" si="4"/>
        <v>Realisation</v>
      </c>
      <c r="E30" s="9">
        <f>E28/E26</f>
        <v>0</v>
      </c>
      <c r="F30" s="9">
        <f t="shared" ref="F30:P30" si="5">F27/F26</f>
        <v>0</v>
      </c>
      <c r="G30" s="9">
        <f t="shared" si="5"/>
        <v>0</v>
      </c>
      <c r="H30" s="9">
        <f t="shared" si="5"/>
        <v>0</v>
      </c>
      <c r="I30" s="9">
        <f t="shared" si="5"/>
        <v>0</v>
      </c>
      <c r="J30" s="9">
        <f t="shared" si="5"/>
        <v>0</v>
      </c>
      <c r="K30" s="9">
        <f t="shared" si="5"/>
        <v>0</v>
      </c>
      <c r="L30" s="9">
        <f t="shared" si="5"/>
        <v>0</v>
      </c>
      <c r="M30" s="9">
        <f t="shared" si="5"/>
        <v>0</v>
      </c>
      <c r="N30" s="9">
        <f t="shared" si="5"/>
        <v>0</v>
      </c>
      <c r="O30" s="9">
        <f t="shared" si="5"/>
        <v>0</v>
      </c>
      <c r="P30" s="9">
        <f t="shared" si="5"/>
        <v>0</v>
      </c>
    </row>
  </sheetData>
  <mergeCells count="2">
    <mergeCell ref="J4:Q8"/>
    <mergeCell ref="J10:Q15"/>
  </mergeCells>
  <conditionalFormatting sqref="C3">
    <cfRule type="expression" dxfId="515" priority="2">
      <formula>S4&lt;S6</formula>
    </cfRule>
  </conditionalFormatting>
  <conditionalFormatting sqref="C5">
    <cfRule type="expression" dxfId="514" priority="3">
      <formula>S4&gt;=S5</formula>
    </cfRule>
  </conditionalFormatting>
  <conditionalFormatting sqref="C4">
    <cfRule type="expression" dxfId="513" priority="1">
      <formula>AND(S4&gt;=S6,S4&lt;S5)</formula>
    </cfRule>
  </conditionalFormatting>
  <hyperlinks>
    <hyperlink ref="L1" location="Dashboard!A1" display="Dashboard"/>
  </hyperlinks>
  <pageMargins left="0.7" right="0.7" top="0.75" bottom="0.75" header="0.3" footer="0.3"/>
  <pageSetup orientation="portrait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948225" r:id="rId4" name="Spinner 1">
              <controlPr defaultSize="0" autoPict="0">
                <anchor moveWithCells="1" sizeWithCells="1">
                  <from>
                    <xdr:col>9</xdr:col>
                    <xdr:colOff>19050</xdr:colOff>
                    <xdr:row>0</xdr:row>
                    <xdr:rowOff>38100</xdr:rowOff>
                  </from>
                  <to>
                    <xdr:col>9</xdr:col>
                    <xdr:colOff>400050</xdr:colOff>
                    <xdr:row>1</xdr:row>
                    <xdr:rowOff>152400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18">
    <tabColor rgb="FFFFC000"/>
  </sheetPr>
  <dimension ref="A1:S30"/>
  <sheetViews>
    <sheetView zoomScale="90" zoomScaleNormal="90" workbookViewId="0">
      <selection activeCell="L1" sqref="L1"/>
    </sheetView>
  </sheetViews>
  <sheetFormatPr defaultColWidth="9.1796875" defaultRowHeight="14.5" x14ac:dyDescent="0.35"/>
  <cols>
    <col min="1" max="1" width="9.1796875" style="3"/>
    <col min="2" max="2" width="5.1796875" style="3" customWidth="1"/>
    <col min="3" max="3" width="6.26953125" style="3" customWidth="1"/>
    <col min="4" max="4" width="21.26953125" style="3" bestFit="1" customWidth="1"/>
    <col min="5" max="16" width="11.1796875" style="3" customWidth="1"/>
    <col min="17" max="17" width="12" style="3" bestFit="1" customWidth="1"/>
    <col min="18" max="18" width="9.1796875" style="3" customWidth="1"/>
    <col min="19" max="16384" width="9.1796875" style="3"/>
  </cols>
  <sheetData>
    <row r="1" spans="1:19" ht="21" x14ac:dyDescent="0.5">
      <c r="A1" s="4" t="s">
        <v>4</v>
      </c>
      <c r="B1" s="4">
        <f>Dashboard!A25</f>
        <v>2</v>
      </c>
      <c r="C1" s="4" t="str">
        <f>Dashboard!B25</f>
        <v>CCCR- NEW SEWER</v>
      </c>
      <c r="G1" s="3" t="s">
        <v>9</v>
      </c>
      <c r="I1" s="12">
        <f>INDEX($E$18:$P$18,Actual_month)</f>
        <v>46054</v>
      </c>
      <c r="L1" s="16" t="s">
        <v>19</v>
      </c>
      <c r="R1" s="5"/>
    </row>
    <row r="2" spans="1:19" x14ac:dyDescent="0.35">
      <c r="A2" s="3" t="s">
        <v>13</v>
      </c>
      <c r="C2" s="3" t="s">
        <v>27</v>
      </c>
      <c r="R2" s="6"/>
    </row>
    <row r="3" spans="1:19" ht="25.5" customHeight="1" thickBot="1" x14ac:dyDescent="0.4">
      <c r="C3" s="1" t="s">
        <v>5</v>
      </c>
      <c r="E3" s="10"/>
      <c r="F3" s="10"/>
      <c r="G3" s="10"/>
      <c r="H3" s="10"/>
      <c r="I3" s="10"/>
      <c r="J3" s="3" t="s">
        <v>6</v>
      </c>
      <c r="K3" s="10"/>
      <c r="M3" s="10"/>
      <c r="N3" s="10"/>
      <c r="O3" s="10"/>
      <c r="P3" s="10"/>
    </row>
    <row r="4" spans="1:19" ht="25.5" customHeight="1" x14ac:dyDescent="0.35">
      <c r="C4" s="1" t="s">
        <v>5</v>
      </c>
      <c r="E4" s="10"/>
      <c r="F4" s="10"/>
      <c r="G4" s="10"/>
      <c r="H4" s="10"/>
      <c r="I4" s="10"/>
      <c r="J4" s="401"/>
      <c r="K4" s="402"/>
      <c r="L4" s="402"/>
      <c r="M4" s="402"/>
      <c r="N4" s="402"/>
      <c r="O4" s="402"/>
      <c r="P4" s="402"/>
      <c r="Q4" s="403"/>
      <c r="R4" s="3" t="s">
        <v>22</v>
      </c>
      <c r="S4" s="5">
        <f>INDEX(E27:P27,Actual_month)</f>
        <v>5</v>
      </c>
    </row>
    <row r="5" spans="1:19" ht="25.5" customHeight="1" x14ac:dyDescent="0.35">
      <c r="C5" s="1" t="s">
        <v>5</v>
      </c>
      <c r="E5" s="10"/>
      <c r="F5" s="10"/>
      <c r="G5" s="10"/>
      <c r="H5" s="10"/>
      <c r="I5" s="10"/>
      <c r="J5" s="404"/>
      <c r="K5" s="405"/>
      <c r="L5" s="405"/>
      <c r="M5" s="405"/>
      <c r="N5" s="405"/>
      <c r="O5" s="405"/>
      <c r="P5" s="405"/>
      <c r="Q5" s="406"/>
      <c r="R5" s="3" t="s">
        <v>23</v>
      </c>
      <c r="S5" s="5">
        <f>INDEX(E26:P26,Actual_month)</f>
        <v>56</v>
      </c>
    </row>
    <row r="6" spans="1:19" x14ac:dyDescent="0.35">
      <c r="J6" s="404"/>
      <c r="K6" s="405"/>
      <c r="L6" s="405"/>
      <c r="M6" s="405"/>
      <c r="N6" s="405"/>
      <c r="O6" s="405"/>
      <c r="P6" s="405"/>
      <c r="Q6" s="406"/>
      <c r="R6" s="6">
        <v>0.9</v>
      </c>
      <c r="S6" s="5">
        <f>+S5*R6</f>
        <v>50.4</v>
      </c>
    </row>
    <row r="7" spans="1:19" x14ac:dyDescent="0.35">
      <c r="J7" s="404"/>
      <c r="K7" s="405"/>
      <c r="L7" s="405"/>
      <c r="M7" s="405"/>
      <c r="N7" s="405"/>
      <c r="O7" s="405"/>
      <c r="P7" s="405"/>
      <c r="Q7" s="406"/>
    </row>
    <row r="8" spans="1:19" ht="15" thickBot="1" x14ac:dyDescent="0.4">
      <c r="J8" s="407"/>
      <c r="K8" s="408"/>
      <c r="L8" s="408"/>
      <c r="M8" s="408"/>
      <c r="N8" s="408"/>
      <c r="O8" s="408"/>
      <c r="P8" s="408"/>
      <c r="Q8" s="409"/>
    </row>
    <row r="9" spans="1:19" ht="15" thickBot="1" x14ac:dyDescent="0.4">
      <c r="J9" s="3" t="s">
        <v>12</v>
      </c>
    </row>
    <row r="10" spans="1:19" x14ac:dyDescent="0.35">
      <c r="J10" s="401"/>
      <c r="K10" s="402"/>
      <c r="L10" s="402"/>
      <c r="M10" s="402"/>
      <c r="N10" s="402"/>
      <c r="O10" s="402"/>
      <c r="P10" s="402"/>
      <c r="Q10" s="403"/>
    </row>
    <row r="11" spans="1:19" x14ac:dyDescent="0.35">
      <c r="J11" s="404"/>
      <c r="K11" s="405"/>
      <c r="L11" s="405"/>
      <c r="M11" s="405"/>
      <c r="N11" s="405"/>
      <c r="O11" s="405"/>
      <c r="P11" s="405"/>
      <c r="Q11" s="406"/>
    </row>
    <row r="12" spans="1:19" x14ac:dyDescent="0.35">
      <c r="J12" s="404"/>
      <c r="K12" s="405"/>
      <c r="L12" s="405"/>
      <c r="M12" s="405"/>
      <c r="N12" s="405"/>
      <c r="O12" s="405"/>
      <c r="P12" s="405"/>
      <c r="Q12" s="406"/>
    </row>
    <row r="13" spans="1:19" x14ac:dyDescent="0.35">
      <c r="J13" s="404"/>
      <c r="K13" s="405"/>
      <c r="L13" s="405"/>
      <c r="M13" s="405"/>
      <c r="N13" s="405"/>
      <c r="O13" s="405"/>
      <c r="P13" s="405"/>
      <c r="Q13" s="406"/>
    </row>
    <row r="14" spans="1:19" x14ac:dyDescent="0.35">
      <c r="J14" s="404"/>
      <c r="K14" s="405"/>
      <c r="L14" s="405"/>
      <c r="M14" s="405"/>
      <c r="N14" s="405"/>
      <c r="O14" s="405"/>
      <c r="P14" s="405"/>
      <c r="Q14" s="406"/>
    </row>
    <row r="15" spans="1:19" ht="15" thickBot="1" x14ac:dyDescent="0.4">
      <c r="J15" s="407"/>
      <c r="K15" s="408"/>
      <c r="L15" s="408"/>
      <c r="M15" s="408"/>
      <c r="N15" s="408"/>
      <c r="O15" s="408"/>
      <c r="P15" s="408"/>
      <c r="Q15" s="409"/>
    </row>
    <row r="18" spans="3:17" x14ac:dyDescent="0.35">
      <c r="C18" s="7" t="s">
        <v>8</v>
      </c>
      <c r="E18" s="11">
        <f>'KPI 1'!E18</f>
        <v>45839</v>
      </c>
      <c r="F18" s="11">
        <f>'KPI 1'!F18</f>
        <v>45870</v>
      </c>
      <c r="G18" s="11">
        <f>'KPI 1'!G18</f>
        <v>45901</v>
      </c>
      <c r="H18" s="11">
        <f>'KPI 1'!H18</f>
        <v>45931</v>
      </c>
      <c r="I18" s="11">
        <f>'KPI 1'!I18</f>
        <v>45962</v>
      </c>
      <c r="J18" s="11">
        <f>'KPI 1'!J18</f>
        <v>45992</v>
      </c>
      <c r="K18" s="11">
        <f>'KPI 1'!K18</f>
        <v>46023</v>
      </c>
      <c r="L18" s="11">
        <f>'KPI 1'!L18</f>
        <v>46054</v>
      </c>
      <c r="M18" s="11">
        <f>'KPI 1'!M18</f>
        <v>46082</v>
      </c>
      <c r="N18" s="11">
        <f>'KPI 1'!N18</f>
        <v>46113</v>
      </c>
      <c r="O18" s="11">
        <f>'KPI 1'!O18</f>
        <v>46143</v>
      </c>
      <c r="P18" s="11">
        <f>'KPI 1'!P18</f>
        <v>46174</v>
      </c>
      <c r="Q18" s="8" t="s">
        <v>0</v>
      </c>
    </row>
    <row r="19" spans="3:17" x14ac:dyDescent="0.35">
      <c r="D19" s="3" t="str">
        <f>'KPI 1'!D19</f>
        <v>Budget 2025-26</v>
      </c>
      <c r="E19" s="5">
        <f>'budget 2025-26'!D24</f>
        <v>7</v>
      </c>
      <c r="F19" s="5">
        <f>'budget 2025-26'!E24</f>
        <v>7</v>
      </c>
      <c r="G19" s="5">
        <f>'budget 2025-26'!F24</f>
        <v>7</v>
      </c>
      <c r="H19" s="5">
        <f>'budget 2025-26'!G24</f>
        <v>7</v>
      </c>
      <c r="I19" s="5">
        <f>'budget 2025-26'!H24</f>
        <v>7</v>
      </c>
      <c r="J19" s="5">
        <f>'budget 2025-26'!I24</f>
        <v>7</v>
      </c>
      <c r="K19" s="5">
        <f>'budget 2025-26'!J24</f>
        <v>7</v>
      </c>
      <c r="L19" s="5">
        <f>'budget 2025-26'!K24</f>
        <v>7</v>
      </c>
      <c r="M19" s="5">
        <f>'budget 2025-26'!L24</f>
        <v>7</v>
      </c>
      <c r="N19" s="5">
        <f>'budget 2025-26'!M24</f>
        <v>7</v>
      </c>
      <c r="O19" s="5">
        <f>'budget 2025-26'!N24</f>
        <v>7</v>
      </c>
      <c r="P19" s="5">
        <f>'budget 2025-26'!O24</f>
        <v>7</v>
      </c>
      <c r="Q19" s="5">
        <f>SUM(E19:P19)</f>
        <v>84</v>
      </c>
    </row>
    <row r="20" spans="3:17" x14ac:dyDescent="0.35">
      <c r="D20" s="3" t="str">
        <f>'KPI 1'!D20</f>
        <v>Actual 2025-26</v>
      </c>
      <c r="E20" s="5">
        <f>'Input Actual2025-26'!E25</f>
        <v>0</v>
      </c>
      <c r="F20" s="5">
        <f>'Input Actual2025-26'!F25</f>
        <v>0</v>
      </c>
      <c r="G20" s="5">
        <f>'Input Actual2025-26'!G25</f>
        <v>0</v>
      </c>
      <c r="H20" s="5">
        <f>'Input Actual2025-26'!H25</f>
        <v>1</v>
      </c>
      <c r="I20" s="5">
        <f>'Input Actual2025-26'!I25</f>
        <v>1</v>
      </c>
      <c r="J20" s="5">
        <f>'Input Actual2025-26'!J25</f>
        <v>0</v>
      </c>
      <c r="K20" s="5">
        <f>'Input Actual2025-26'!K25</f>
        <v>1</v>
      </c>
      <c r="L20" s="5">
        <f>'Input Actual2025-26'!L25</f>
        <v>2</v>
      </c>
      <c r="M20" s="5">
        <f>'Input Actual2025-26'!M25</f>
        <v>0</v>
      </c>
      <c r="N20" s="5">
        <f>'Input Actual2025-26'!N25</f>
        <v>0</v>
      </c>
      <c r="O20" s="5">
        <f>'Input Actual2025-26'!O25</f>
        <v>0</v>
      </c>
      <c r="P20" s="5">
        <f>'Input Actual2025-26'!P25</f>
        <v>0</v>
      </c>
      <c r="Q20" s="5">
        <f t="shared" ref="Q20:Q22" si="0">SUM(E20:P20)</f>
        <v>5</v>
      </c>
    </row>
    <row r="21" spans="3:17" x14ac:dyDescent="0.35">
      <c r="D21" s="3" t="s">
        <v>424</v>
      </c>
      <c r="E21" s="5">
        <f>'Input Actual2024-25'!E23</f>
        <v>1</v>
      </c>
      <c r="F21" s="5">
        <f>'Input Actual2024-25'!F23</f>
        <v>2</v>
      </c>
      <c r="G21" s="5">
        <f>'Input Actual2024-25'!G23</f>
        <v>-2</v>
      </c>
      <c r="H21" s="5">
        <f>'Input Actual2024-25'!H23</f>
        <v>0</v>
      </c>
      <c r="I21" s="5">
        <f>'Input Actual2024-25'!I23</f>
        <v>0</v>
      </c>
      <c r="J21" s="5">
        <f>'Input Actual2024-25'!J23</f>
        <v>0</v>
      </c>
      <c r="K21" s="5">
        <f>'Input Actual2024-25'!K23</f>
        <v>0</v>
      </c>
      <c r="L21" s="5">
        <f>'Input Actual2024-25'!L23</f>
        <v>0</v>
      </c>
      <c r="M21" s="5">
        <f>'Input Actual2024-25'!M23</f>
        <v>1</v>
      </c>
      <c r="N21" s="5">
        <f>'Input Actual2024-25'!N23</f>
        <v>1</v>
      </c>
      <c r="O21" s="5">
        <f>'Input Actual2024-25'!O23</f>
        <v>0</v>
      </c>
      <c r="P21" s="5">
        <f>'Input Actual2024-25'!P23</f>
        <v>0</v>
      </c>
      <c r="Q21" s="5">
        <f t="shared" si="0"/>
        <v>3</v>
      </c>
    </row>
    <row r="22" spans="3:17" x14ac:dyDescent="0.35">
      <c r="D22" s="3" t="s">
        <v>7</v>
      </c>
      <c r="E22" s="5">
        <f t="shared" ref="E22:P22" si="1">IF(E20=0,0,E20-E19)</f>
        <v>0</v>
      </c>
      <c r="F22" s="5">
        <f t="shared" si="1"/>
        <v>0</v>
      </c>
      <c r="G22" s="5">
        <f t="shared" si="1"/>
        <v>0</v>
      </c>
      <c r="H22" s="5">
        <f t="shared" si="1"/>
        <v>-6</v>
      </c>
      <c r="I22" s="5">
        <f t="shared" si="1"/>
        <v>-6</v>
      </c>
      <c r="J22" s="5">
        <f t="shared" si="1"/>
        <v>0</v>
      </c>
      <c r="K22" s="5">
        <f t="shared" si="1"/>
        <v>-6</v>
      </c>
      <c r="L22" s="5">
        <f t="shared" si="1"/>
        <v>-5</v>
      </c>
      <c r="M22" s="5">
        <f t="shared" si="1"/>
        <v>0</v>
      </c>
      <c r="N22" s="5">
        <f t="shared" si="1"/>
        <v>0</v>
      </c>
      <c r="O22" s="5">
        <f t="shared" si="1"/>
        <v>0</v>
      </c>
      <c r="P22" s="5">
        <f t="shared" si="1"/>
        <v>0</v>
      </c>
      <c r="Q22" s="5">
        <f t="shared" si="0"/>
        <v>-23</v>
      </c>
    </row>
    <row r="23" spans="3:17" x14ac:dyDescent="0.35">
      <c r="D23" s="3" t="s">
        <v>43</v>
      </c>
      <c r="E23" s="9">
        <f>E21/E19</f>
        <v>0.14285714285714285</v>
      </c>
      <c r="F23" s="9">
        <f t="shared" ref="F23:P23" si="2">F20/F19</f>
        <v>0</v>
      </c>
      <c r="G23" s="9">
        <f t="shared" si="2"/>
        <v>0</v>
      </c>
      <c r="H23" s="9">
        <f t="shared" si="2"/>
        <v>0.14285714285714285</v>
      </c>
      <c r="I23" s="9">
        <f t="shared" si="2"/>
        <v>0.14285714285714285</v>
      </c>
      <c r="J23" s="9">
        <f t="shared" si="2"/>
        <v>0</v>
      </c>
      <c r="K23" s="9">
        <f t="shared" si="2"/>
        <v>0.14285714285714285</v>
      </c>
      <c r="L23" s="9">
        <f t="shared" si="2"/>
        <v>0.2857142857142857</v>
      </c>
      <c r="M23" s="9">
        <f t="shared" si="2"/>
        <v>0</v>
      </c>
      <c r="N23" s="9">
        <f t="shared" si="2"/>
        <v>0</v>
      </c>
      <c r="O23" s="9">
        <f t="shared" si="2"/>
        <v>0</v>
      </c>
      <c r="P23" s="9">
        <f t="shared" si="2"/>
        <v>0</v>
      </c>
    </row>
    <row r="25" spans="3:17" x14ac:dyDescent="0.35">
      <c r="C25" s="7" t="s">
        <v>3</v>
      </c>
      <c r="E25" s="11">
        <f>E18</f>
        <v>45839</v>
      </c>
      <c r="F25" s="11">
        <f t="shared" ref="F25:P25" si="3">F18</f>
        <v>45870</v>
      </c>
      <c r="G25" s="11">
        <f t="shared" si="3"/>
        <v>45901</v>
      </c>
      <c r="H25" s="11">
        <f t="shared" si="3"/>
        <v>45931</v>
      </c>
      <c r="I25" s="11">
        <f t="shared" si="3"/>
        <v>45962</v>
      </c>
      <c r="J25" s="11">
        <f t="shared" si="3"/>
        <v>45992</v>
      </c>
      <c r="K25" s="11">
        <f t="shared" si="3"/>
        <v>46023</v>
      </c>
      <c r="L25" s="11">
        <f t="shared" si="3"/>
        <v>46054</v>
      </c>
      <c r="M25" s="11">
        <f t="shared" si="3"/>
        <v>46082</v>
      </c>
      <c r="N25" s="11">
        <f t="shared" si="3"/>
        <v>46113</v>
      </c>
      <c r="O25" s="11">
        <f t="shared" si="3"/>
        <v>46143</v>
      </c>
      <c r="P25" s="11">
        <f t="shared" si="3"/>
        <v>46174</v>
      </c>
    </row>
    <row r="26" spans="3:17" x14ac:dyDescent="0.35">
      <c r="D26" s="3" t="str">
        <f>D19</f>
        <v>Budget 2025-26</v>
      </c>
      <c r="E26" s="5">
        <f>SUM($E19:E19)</f>
        <v>7</v>
      </c>
      <c r="F26" s="5">
        <f>SUM($E19:F19)</f>
        <v>14</v>
      </c>
      <c r="G26" s="5">
        <f>SUM($E19:G19)</f>
        <v>21</v>
      </c>
      <c r="H26" s="5">
        <f>SUM($E19:H19)</f>
        <v>28</v>
      </c>
      <c r="I26" s="5">
        <f>SUM($E19:I19)</f>
        <v>35</v>
      </c>
      <c r="J26" s="5">
        <f>SUM($E19:J19)</f>
        <v>42</v>
      </c>
      <c r="K26" s="5">
        <f>SUM($E19:K19)</f>
        <v>49</v>
      </c>
      <c r="L26" s="5">
        <f>SUM($E19:L19)</f>
        <v>56</v>
      </c>
      <c r="M26" s="5">
        <f>SUM($E19:M19)</f>
        <v>63</v>
      </c>
      <c r="N26" s="5">
        <f>SUM($E19:N19)</f>
        <v>70</v>
      </c>
      <c r="O26" s="5">
        <f>SUM($E19:O19)</f>
        <v>77</v>
      </c>
      <c r="P26" s="5">
        <f>SUM($E19:P19)</f>
        <v>84</v>
      </c>
    </row>
    <row r="27" spans="3:17" x14ac:dyDescent="0.35">
      <c r="D27" s="3" t="str">
        <f t="shared" ref="D27:D30" si="4">D20</f>
        <v>Actual 2025-26</v>
      </c>
      <c r="E27" s="5">
        <f>SUM($E20:E20)</f>
        <v>0</v>
      </c>
      <c r="F27" s="5">
        <f>SUM($E20:F20)</f>
        <v>0</v>
      </c>
      <c r="G27" s="5">
        <f>SUM($E20:G20)</f>
        <v>0</v>
      </c>
      <c r="H27" s="5">
        <f>SUM($E20:H20)</f>
        <v>1</v>
      </c>
      <c r="I27" s="5">
        <f>SUM($E20:I20)</f>
        <v>2</v>
      </c>
      <c r="J27" s="5">
        <f>SUM($E20:J20)</f>
        <v>2</v>
      </c>
      <c r="K27" s="5">
        <f>SUM($E20:K20)</f>
        <v>3</v>
      </c>
      <c r="L27" s="5">
        <f>SUM($E20:L20)</f>
        <v>5</v>
      </c>
      <c r="M27" s="5">
        <f>SUM($E20:M20)</f>
        <v>5</v>
      </c>
      <c r="N27" s="5">
        <f>SUM($E20:N20)</f>
        <v>5</v>
      </c>
      <c r="O27" s="5">
        <f>SUM($E20:O20)</f>
        <v>5</v>
      </c>
      <c r="P27" s="5">
        <f>SUM($E20:P20)</f>
        <v>5</v>
      </c>
    </row>
    <row r="28" spans="3:17" x14ac:dyDescent="0.35">
      <c r="D28" s="3" t="str">
        <f t="shared" si="4"/>
        <v>Actual 2024-25</v>
      </c>
      <c r="E28" s="5">
        <f>SUM($E21:E21)</f>
        <v>1</v>
      </c>
      <c r="F28" s="5">
        <f>SUM($E21:F21)</f>
        <v>3</v>
      </c>
      <c r="G28" s="5">
        <f>SUM($E21:G21)</f>
        <v>1</v>
      </c>
      <c r="H28" s="5">
        <f>SUM($E21:H21)</f>
        <v>1</v>
      </c>
      <c r="I28" s="5">
        <f>SUM($E21:I21)</f>
        <v>1</v>
      </c>
      <c r="J28" s="5">
        <f>SUM($E21:J21)</f>
        <v>1</v>
      </c>
      <c r="K28" s="5">
        <f>SUM($E21:K21)</f>
        <v>1</v>
      </c>
      <c r="L28" s="5">
        <f>SUM($E21:L21)</f>
        <v>1</v>
      </c>
      <c r="M28" s="5">
        <f>SUM($E21:M21)</f>
        <v>2</v>
      </c>
      <c r="N28" s="5">
        <f>SUM($E21:N21)</f>
        <v>3</v>
      </c>
      <c r="O28" s="5">
        <f>SUM($E21:O21)</f>
        <v>3</v>
      </c>
      <c r="P28" s="5">
        <f>SUM($E21:P21)</f>
        <v>3</v>
      </c>
    </row>
    <row r="29" spans="3:17" x14ac:dyDescent="0.35">
      <c r="D29" s="3" t="str">
        <f t="shared" si="4"/>
        <v>Difference</v>
      </c>
      <c r="E29" s="5">
        <f>SUM($E22:E22)</f>
        <v>0</v>
      </c>
      <c r="F29" s="5">
        <f>SUM($E22:F22)</f>
        <v>0</v>
      </c>
      <c r="G29" s="5">
        <f>SUM($E22:G22)</f>
        <v>0</v>
      </c>
      <c r="H29" s="5">
        <f>SUM($E22:H22)</f>
        <v>-6</v>
      </c>
      <c r="I29" s="5">
        <f>SUM($E22:I22)</f>
        <v>-12</v>
      </c>
      <c r="J29" s="5">
        <f>SUM($E22:J22)</f>
        <v>-12</v>
      </c>
      <c r="K29" s="5">
        <f>SUM($E22:K22)</f>
        <v>-18</v>
      </c>
      <c r="L29" s="5">
        <f>SUM($E22:L22)</f>
        <v>-23</v>
      </c>
      <c r="M29" s="5">
        <f>SUM($E22:M22)</f>
        <v>-23</v>
      </c>
      <c r="N29" s="5">
        <f>SUM($E22:N22)</f>
        <v>-23</v>
      </c>
      <c r="O29" s="5">
        <f>SUM($E22:O22)</f>
        <v>-23</v>
      </c>
      <c r="P29" s="5">
        <f>SUM($E22:P22)</f>
        <v>-23</v>
      </c>
    </row>
    <row r="30" spans="3:17" x14ac:dyDescent="0.35">
      <c r="D30" s="3" t="str">
        <f t="shared" si="4"/>
        <v>Realisation</v>
      </c>
      <c r="E30" s="9">
        <f>E28/E26</f>
        <v>0.14285714285714285</v>
      </c>
      <c r="F30" s="9">
        <f t="shared" ref="F30:P30" si="5">F27/F26</f>
        <v>0</v>
      </c>
      <c r="G30" s="9">
        <f t="shared" si="5"/>
        <v>0</v>
      </c>
      <c r="H30" s="9">
        <f t="shared" si="5"/>
        <v>3.5714285714285712E-2</v>
      </c>
      <c r="I30" s="9">
        <f t="shared" si="5"/>
        <v>5.7142857142857141E-2</v>
      </c>
      <c r="J30" s="9">
        <f t="shared" si="5"/>
        <v>4.7619047619047616E-2</v>
      </c>
      <c r="K30" s="9">
        <f t="shared" si="5"/>
        <v>6.1224489795918366E-2</v>
      </c>
      <c r="L30" s="9">
        <f t="shared" si="5"/>
        <v>8.9285714285714288E-2</v>
      </c>
      <c r="M30" s="9">
        <f t="shared" si="5"/>
        <v>7.9365079365079361E-2</v>
      </c>
      <c r="N30" s="9">
        <f t="shared" si="5"/>
        <v>7.1428571428571425E-2</v>
      </c>
      <c r="O30" s="9">
        <f t="shared" si="5"/>
        <v>6.4935064935064929E-2</v>
      </c>
      <c r="P30" s="9">
        <f t="shared" si="5"/>
        <v>5.9523809523809521E-2</v>
      </c>
    </row>
  </sheetData>
  <mergeCells count="2">
    <mergeCell ref="J4:Q8"/>
    <mergeCell ref="J10:Q15"/>
  </mergeCells>
  <conditionalFormatting sqref="C3">
    <cfRule type="expression" dxfId="512" priority="2">
      <formula>S4&lt;S6</formula>
    </cfRule>
  </conditionalFormatting>
  <conditionalFormatting sqref="C5">
    <cfRule type="expression" dxfId="511" priority="3">
      <formula>S4&gt;=S5</formula>
    </cfRule>
  </conditionalFormatting>
  <conditionalFormatting sqref="C4">
    <cfRule type="expression" dxfId="510" priority="1">
      <formula>AND(S4&gt;=S6,S4&lt;S5)</formula>
    </cfRule>
  </conditionalFormatting>
  <hyperlinks>
    <hyperlink ref="L1" location="Dashboard!A1" display="Dashboard"/>
  </hyperlinks>
  <pageMargins left="0.7" right="0.7" top="0.75" bottom="0.75" header="0.3" footer="0.3"/>
  <pageSetup orientation="portrait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949249" r:id="rId4" name="Spinner 1">
              <controlPr defaultSize="0" autoPict="0">
                <anchor moveWithCells="1" sizeWithCells="1">
                  <from>
                    <xdr:col>9</xdr:col>
                    <xdr:colOff>19050</xdr:colOff>
                    <xdr:row>0</xdr:row>
                    <xdr:rowOff>38100</xdr:rowOff>
                  </from>
                  <to>
                    <xdr:col>9</xdr:col>
                    <xdr:colOff>400050</xdr:colOff>
                    <xdr:row>1</xdr:row>
                    <xdr:rowOff>152400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19">
    <tabColor rgb="FFFFC000"/>
  </sheetPr>
  <dimension ref="A1:S30"/>
  <sheetViews>
    <sheetView zoomScale="90" zoomScaleNormal="90" workbookViewId="0">
      <selection activeCell="L1" sqref="L1"/>
    </sheetView>
  </sheetViews>
  <sheetFormatPr defaultColWidth="9.1796875" defaultRowHeight="14.5" x14ac:dyDescent="0.35"/>
  <cols>
    <col min="1" max="1" width="9.1796875" style="3"/>
    <col min="2" max="2" width="5.1796875" style="3" customWidth="1"/>
    <col min="3" max="3" width="6.26953125" style="3" customWidth="1"/>
    <col min="4" max="4" width="21.26953125" style="3" bestFit="1" customWidth="1"/>
    <col min="5" max="16" width="11.1796875" style="3" customWidth="1"/>
    <col min="17" max="17" width="12" style="3" bestFit="1" customWidth="1"/>
    <col min="18" max="18" width="9.1796875" style="3" customWidth="1"/>
    <col min="19" max="16384" width="9.1796875" style="3"/>
  </cols>
  <sheetData>
    <row r="1" spans="1:19" ht="21" x14ac:dyDescent="0.5">
      <c r="A1" s="4" t="s">
        <v>4</v>
      </c>
      <c r="B1" s="4">
        <f>Dashboard!A26</f>
        <v>3</v>
      </c>
      <c r="C1" s="4" t="str">
        <f>Dashboard!B26</f>
        <v>KABATI- NEW SEWER</v>
      </c>
      <c r="G1" s="3" t="s">
        <v>9</v>
      </c>
      <c r="I1" s="12">
        <f>INDEX($E$18:$P$18,Actual_month)</f>
        <v>46054</v>
      </c>
      <c r="L1" s="16" t="s">
        <v>19</v>
      </c>
      <c r="R1" s="5"/>
    </row>
    <row r="2" spans="1:19" x14ac:dyDescent="0.35">
      <c r="A2" s="3" t="s">
        <v>13</v>
      </c>
      <c r="C2" s="3" t="s">
        <v>27</v>
      </c>
      <c r="R2" s="6"/>
    </row>
    <row r="3" spans="1:19" ht="25.5" customHeight="1" thickBot="1" x14ac:dyDescent="0.4">
      <c r="C3" s="1" t="s">
        <v>5</v>
      </c>
      <c r="E3" s="10"/>
      <c r="F3" s="10"/>
      <c r="G3" s="10"/>
      <c r="H3" s="10"/>
      <c r="I3" s="10"/>
      <c r="J3" s="3" t="s">
        <v>6</v>
      </c>
      <c r="K3" s="10"/>
      <c r="M3" s="10"/>
      <c r="N3" s="10"/>
      <c r="O3" s="10"/>
      <c r="P3" s="10"/>
    </row>
    <row r="4" spans="1:19" ht="25.5" customHeight="1" x14ac:dyDescent="0.35">
      <c r="C4" s="1" t="s">
        <v>5</v>
      </c>
      <c r="E4" s="10"/>
      <c r="F4" s="10"/>
      <c r="G4" s="10"/>
      <c r="H4" s="10"/>
      <c r="I4" s="10"/>
      <c r="J4" s="401"/>
      <c r="K4" s="402"/>
      <c r="L4" s="402"/>
      <c r="M4" s="402"/>
      <c r="N4" s="402"/>
      <c r="O4" s="402"/>
      <c r="P4" s="402"/>
      <c r="Q4" s="403"/>
      <c r="R4" s="3" t="s">
        <v>22</v>
      </c>
      <c r="S4" s="5">
        <f>INDEX(E27:P27,Actual_month)</f>
        <v>6</v>
      </c>
    </row>
    <row r="5" spans="1:19" ht="25.5" customHeight="1" x14ac:dyDescent="0.35">
      <c r="C5" s="1" t="s">
        <v>5</v>
      </c>
      <c r="E5" s="10"/>
      <c r="F5" s="10"/>
      <c r="G5" s="10"/>
      <c r="H5" s="10"/>
      <c r="I5" s="10"/>
      <c r="J5" s="404"/>
      <c r="K5" s="405"/>
      <c r="L5" s="405"/>
      <c r="M5" s="405"/>
      <c r="N5" s="405"/>
      <c r="O5" s="405"/>
      <c r="P5" s="405"/>
      <c r="Q5" s="406"/>
      <c r="R5" s="3" t="s">
        <v>23</v>
      </c>
      <c r="S5" s="5">
        <f>INDEX(E26:P26,Actual_month)</f>
        <v>25</v>
      </c>
    </row>
    <row r="6" spans="1:19" x14ac:dyDescent="0.35">
      <c r="J6" s="404"/>
      <c r="K6" s="405"/>
      <c r="L6" s="405"/>
      <c r="M6" s="405"/>
      <c r="N6" s="405"/>
      <c r="O6" s="405"/>
      <c r="P6" s="405"/>
      <c r="Q6" s="406"/>
      <c r="R6" s="6">
        <v>0.9</v>
      </c>
      <c r="S6" s="5">
        <f>+S5*R6</f>
        <v>22.5</v>
      </c>
    </row>
    <row r="7" spans="1:19" x14ac:dyDescent="0.35">
      <c r="J7" s="404"/>
      <c r="K7" s="405"/>
      <c r="L7" s="405"/>
      <c r="M7" s="405"/>
      <c r="N7" s="405"/>
      <c r="O7" s="405"/>
      <c r="P7" s="405"/>
      <c r="Q7" s="406"/>
    </row>
    <row r="8" spans="1:19" ht="15" thickBot="1" x14ac:dyDescent="0.4">
      <c r="J8" s="407"/>
      <c r="K8" s="408"/>
      <c r="L8" s="408"/>
      <c r="M8" s="408"/>
      <c r="N8" s="408"/>
      <c r="O8" s="408"/>
      <c r="P8" s="408"/>
      <c r="Q8" s="409"/>
    </row>
    <row r="9" spans="1:19" ht="15" thickBot="1" x14ac:dyDescent="0.4">
      <c r="J9" s="3" t="s">
        <v>12</v>
      </c>
    </row>
    <row r="10" spans="1:19" x14ac:dyDescent="0.35">
      <c r="J10" s="401"/>
      <c r="K10" s="402"/>
      <c r="L10" s="402"/>
      <c r="M10" s="402"/>
      <c r="N10" s="402"/>
      <c r="O10" s="402"/>
      <c r="P10" s="402"/>
      <c r="Q10" s="403"/>
    </row>
    <row r="11" spans="1:19" x14ac:dyDescent="0.35">
      <c r="J11" s="404"/>
      <c r="K11" s="405"/>
      <c r="L11" s="405"/>
      <c r="M11" s="405"/>
      <c r="N11" s="405"/>
      <c r="O11" s="405"/>
      <c r="P11" s="405"/>
      <c r="Q11" s="406"/>
    </row>
    <row r="12" spans="1:19" x14ac:dyDescent="0.35">
      <c r="J12" s="404"/>
      <c r="K12" s="405"/>
      <c r="L12" s="405"/>
      <c r="M12" s="405"/>
      <c r="N12" s="405"/>
      <c r="O12" s="405"/>
      <c r="P12" s="405"/>
      <c r="Q12" s="406"/>
    </row>
    <row r="13" spans="1:19" x14ac:dyDescent="0.35">
      <c r="J13" s="404"/>
      <c r="K13" s="405"/>
      <c r="L13" s="405"/>
      <c r="M13" s="405"/>
      <c r="N13" s="405"/>
      <c r="O13" s="405"/>
      <c r="P13" s="405"/>
      <c r="Q13" s="406"/>
    </row>
    <row r="14" spans="1:19" x14ac:dyDescent="0.35">
      <c r="J14" s="404"/>
      <c r="K14" s="405"/>
      <c r="L14" s="405"/>
      <c r="M14" s="405"/>
      <c r="N14" s="405"/>
      <c r="O14" s="405"/>
      <c r="P14" s="405"/>
      <c r="Q14" s="406"/>
    </row>
    <row r="15" spans="1:19" ht="15" thickBot="1" x14ac:dyDescent="0.4">
      <c r="J15" s="407"/>
      <c r="K15" s="408"/>
      <c r="L15" s="408"/>
      <c r="M15" s="408"/>
      <c r="N15" s="408"/>
      <c r="O15" s="408"/>
      <c r="P15" s="408"/>
      <c r="Q15" s="409"/>
    </row>
    <row r="18" spans="3:17" x14ac:dyDescent="0.35">
      <c r="C18" s="7" t="s">
        <v>8</v>
      </c>
      <c r="E18" s="11">
        <f>'KPI 1'!E18</f>
        <v>45839</v>
      </c>
      <c r="F18" s="11">
        <f>'KPI 1'!F18</f>
        <v>45870</v>
      </c>
      <c r="G18" s="11">
        <f>'KPI 1'!G18</f>
        <v>45901</v>
      </c>
      <c r="H18" s="11">
        <f>'KPI 1'!H18</f>
        <v>45931</v>
      </c>
      <c r="I18" s="11">
        <f>'KPI 1'!I18</f>
        <v>45962</v>
      </c>
      <c r="J18" s="11">
        <f>'KPI 1'!J18</f>
        <v>45992</v>
      </c>
      <c r="K18" s="11">
        <f>'KPI 1'!K18</f>
        <v>46023</v>
      </c>
      <c r="L18" s="11">
        <f>'KPI 1'!L18</f>
        <v>46054</v>
      </c>
      <c r="M18" s="11">
        <f>'KPI 1'!M18</f>
        <v>46082</v>
      </c>
      <c r="N18" s="11">
        <f>'KPI 1'!N18</f>
        <v>46113</v>
      </c>
      <c r="O18" s="11">
        <f>'KPI 1'!O18</f>
        <v>46143</v>
      </c>
      <c r="P18" s="11">
        <f>'KPI 1'!P18</f>
        <v>46174</v>
      </c>
      <c r="Q18" s="8" t="s">
        <v>0</v>
      </c>
    </row>
    <row r="19" spans="3:17" x14ac:dyDescent="0.35">
      <c r="D19" s="3" t="str">
        <f>'KPI 1'!D19</f>
        <v>Budget 2025-26</v>
      </c>
      <c r="E19" s="5">
        <f>'budget 2025-26'!D25</f>
        <v>4</v>
      </c>
      <c r="F19" s="5">
        <f>'budget 2025-26'!E25</f>
        <v>3</v>
      </c>
      <c r="G19" s="5">
        <f>'budget 2025-26'!F25</f>
        <v>3</v>
      </c>
      <c r="H19" s="5">
        <f>'budget 2025-26'!G25</f>
        <v>3</v>
      </c>
      <c r="I19" s="5">
        <f>'budget 2025-26'!H25</f>
        <v>3</v>
      </c>
      <c r="J19" s="5">
        <f>'budget 2025-26'!I25</f>
        <v>3</v>
      </c>
      <c r="K19" s="5">
        <f>'budget 2025-26'!J25</f>
        <v>3</v>
      </c>
      <c r="L19" s="5">
        <f>'budget 2025-26'!K25</f>
        <v>3</v>
      </c>
      <c r="M19" s="5">
        <f>'budget 2025-26'!L25</f>
        <v>3</v>
      </c>
      <c r="N19" s="5">
        <f>'budget 2025-26'!M25</f>
        <v>3</v>
      </c>
      <c r="O19" s="5">
        <f>'budget 2025-26'!N25</f>
        <v>3</v>
      </c>
      <c r="P19" s="5">
        <f>'budget 2025-26'!O25</f>
        <v>3</v>
      </c>
      <c r="Q19" s="5">
        <f>SUM(E19:P19)</f>
        <v>37</v>
      </c>
    </row>
    <row r="20" spans="3:17" x14ac:dyDescent="0.35">
      <c r="D20" s="3" t="str">
        <f>'KPI 1'!D20</f>
        <v>Actual 2025-26</v>
      </c>
      <c r="E20" s="5">
        <f>'Input Actual2025-26'!E26</f>
        <v>0</v>
      </c>
      <c r="F20" s="5">
        <f>'Input Actual2025-26'!F26</f>
        <v>1</v>
      </c>
      <c r="G20" s="5">
        <f>'Input Actual2025-26'!G26</f>
        <v>1</v>
      </c>
      <c r="H20" s="5">
        <f>'Input Actual2025-26'!H26</f>
        <v>0</v>
      </c>
      <c r="I20" s="5">
        <f>'Input Actual2025-26'!I26</f>
        <v>1</v>
      </c>
      <c r="J20" s="5">
        <f>'Input Actual2025-26'!J26</f>
        <v>0</v>
      </c>
      <c r="K20" s="5">
        <f>'Input Actual2025-26'!K26</f>
        <v>2</v>
      </c>
      <c r="L20" s="5">
        <f>'Input Actual2025-26'!L26</f>
        <v>1</v>
      </c>
      <c r="M20" s="5">
        <f>'Input Actual2025-26'!M26</f>
        <v>0</v>
      </c>
      <c r="N20" s="5">
        <f>'Input Actual2025-26'!N26</f>
        <v>0</v>
      </c>
      <c r="O20" s="5">
        <f>'Input Actual2025-26'!O26</f>
        <v>0</v>
      </c>
      <c r="P20" s="5">
        <f>'Input Actual2025-26'!P26</f>
        <v>0</v>
      </c>
      <c r="Q20" s="5">
        <f t="shared" ref="Q20:Q22" si="0">SUM(E20:P20)</f>
        <v>6</v>
      </c>
    </row>
    <row r="21" spans="3:17" x14ac:dyDescent="0.35">
      <c r="D21" s="3" t="s">
        <v>424</v>
      </c>
      <c r="E21" s="5">
        <f>'Input Actual2024-25'!E24</f>
        <v>0</v>
      </c>
      <c r="F21" s="5">
        <f>'Input Actual2024-25'!F24</f>
        <v>4</v>
      </c>
      <c r="G21" s="5">
        <f>'Input Actual2024-25'!G24</f>
        <v>0</v>
      </c>
      <c r="H21" s="5">
        <f>'Input Actual2024-25'!H24</f>
        <v>0</v>
      </c>
      <c r="I21" s="5">
        <f>'Input Actual2024-25'!I24</f>
        <v>0</v>
      </c>
      <c r="J21" s="5">
        <f>'Input Actual2024-25'!J24</f>
        <v>2</v>
      </c>
      <c r="K21" s="5">
        <f>'Input Actual2024-25'!K24</f>
        <v>0</v>
      </c>
      <c r="L21" s="5">
        <f>'Input Actual2024-25'!L24</f>
        <v>2</v>
      </c>
      <c r="M21" s="5">
        <f>'Input Actual2024-25'!M24</f>
        <v>0</v>
      </c>
      <c r="N21" s="5">
        <f>'Input Actual2024-25'!N24</f>
        <v>1</v>
      </c>
      <c r="O21" s="5">
        <f>'Input Actual2024-25'!O24</f>
        <v>0</v>
      </c>
      <c r="P21" s="5">
        <f>'Input Actual2024-25'!P24</f>
        <v>1</v>
      </c>
      <c r="Q21" s="5">
        <f t="shared" si="0"/>
        <v>10</v>
      </c>
    </row>
    <row r="22" spans="3:17" x14ac:dyDescent="0.35">
      <c r="D22" s="3" t="s">
        <v>7</v>
      </c>
      <c r="E22" s="5">
        <f t="shared" ref="E22:P22" si="1">IF(E20=0,0,E20-E19)</f>
        <v>0</v>
      </c>
      <c r="F22" s="5">
        <f t="shared" si="1"/>
        <v>-2</v>
      </c>
      <c r="G22" s="5">
        <f t="shared" si="1"/>
        <v>-2</v>
      </c>
      <c r="H22" s="5">
        <f t="shared" si="1"/>
        <v>0</v>
      </c>
      <c r="I22" s="5">
        <f t="shared" si="1"/>
        <v>-2</v>
      </c>
      <c r="J22" s="5">
        <f t="shared" si="1"/>
        <v>0</v>
      </c>
      <c r="K22" s="5">
        <f t="shared" si="1"/>
        <v>-1</v>
      </c>
      <c r="L22" s="5">
        <f t="shared" si="1"/>
        <v>-2</v>
      </c>
      <c r="M22" s="5">
        <f t="shared" si="1"/>
        <v>0</v>
      </c>
      <c r="N22" s="5">
        <f t="shared" si="1"/>
        <v>0</v>
      </c>
      <c r="O22" s="5">
        <f t="shared" si="1"/>
        <v>0</v>
      </c>
      <c r="P22" s="5">
        <f t="shared" si="1"/>
        <v>0</v>
      </c>
      <c r="Q22" s="5">
        <f t="shared" si="0"/>
        <v>-9</v>
      </c>
    </row>
    <row r="23" spans="3:17" x14ac:dyDescent="0.35">
      <c r="D23" s="3" t="s">
        <v>43</v>
      </c>
      <c r="E23" s="9">
        <f>E21/E19</f>
        <v>0</v>
      </c>
      <c r="F23" s="9">
        <f t="shared" ref="F23:P23" si="2">F20/F19</f>
        <v>0.33333333333333331</v>
      </c>
      <c r="G23" s="9">
        <f t="shared" si="2"/>
        <v>0.33333333333333331</v>
      </c>
      <c r="H23" s="9">
        <f t="shared" si="2"/>
        <v>0</v>
      </c>
      <c r="I23" s="9">
        <f t="shared" si="2"/>
        <v>0.33333333333333331</v>
      </c>
      <c r="J23" s="9">
        <f t="shared" si="2"/>
        <v>0</v>
      </c>
      <c r="K23" s="9">
        <f t="shared" si="2"/>
        <v>0.66666666666666663</v>
      </c>
      <c r="L23" s="9">
        <f t="shared" si="2"/>
        <v>0.33333333333333331</v>
      </c>
      <c r="M23" s="9">
        <f t="shared" si="2"/>
        <v>0</v>
      </c>
      <c r="N23" s="9">
        <f t="shared" si="2"/>
        <v>0</v>
      </c>
      <c r="O23" s="9">
        <f t="shared" si="2"/>
        <v>0</v>
      </c>
      <c r="P23" s="9">
        <f t="shared" si="2"/>
        <v>0</v>
      </c>
    </row>
    <row r="25" spans="3:17" x14ac:dyDescent="0.35">
      <c r="C25" s="7" t="s">
        <v>3</v>
      </c>
      <c r="E25" s="11">
        <f>E18</f>
        <v>45839</v>
      </c>
      <c r="F25" s="11">
        <f t="shared" ref="F25:P25" si="3">F18</f>
        <v>45870</v>
      </c>
      <c r="G25" s="11">
        <f t="shared" si="3"/>
        <v>45901</v>
      </c>
      <c r="H25" s="11">
        <f t="shared" si="3"/>
        <v>45931</v>
      </c>
      <c r="I25" s="11">
        <f t="shared" si="3"/>
        <v>45962</v>
      </c>
      <c r="J25" s="11">
        <f t="shared" si="3"/>
        <v>45992</v>
      </c>
      <c r="K25" s="11">
        <f t="shared" si="3"/>
        <v>46023</v>
      </c>
      <c r="L25" s="11">
        <f t="shared" si="3"/>
        <v>46054</v>
      </c>
      <c r="M25" s="11">
        <f t="shared" si="3"/>
        <v>46082</v>
      </c>
      <c r="N25" s="11">
        <f t="shared" si="3"/>
        <v>46113</v>
      </c>
      <c r="O25" s="11">
        <f t="shared" si="3"/>
        <v>46143</v>
      </c>
      <c r="P25" s="11">
        <f t="shared" si="3"/>
        <v>46174</v>
      </c>
    </row>
    <row r="26" spans="3:17" x14ac:dyDescent="0.35">
      <c r="D26" s="3" t="str">
        <f>D19</f>
        <v>Budget 2025-26</v>
      </c>
      <c r="E26" s="5">
        <f>SUM($E19:E19)</f>
        <v>4</v>
      </c>
      <c r="F26" s="5">
        <f>SUM($E19:F19)</f>
        <v>7</v>
      </c>
      <c r="G26" s="5">
        <f>SUM($E19:G19)</f>
        <v>10</v>
      </c>
      <c r="H26" s="5">
        <f>SUM($E19:H19)</f>
        <v>13</v>
      </c>
      <c r="I26" s="5">
        <f>SUM($E19:I19)</f>
        <v>16</v>
      </c>
      <c r="J26" s="5">
        <f>SUM($E19:J19)</f>
        <v>19</v>
      </c>
      <c r="K26" s="5">
        <f>SUM($E19:K19)</f>
        <v>22</v>
      </c>
      <c r="L26" s="5">
        <f>SUM($E19:L19)</f>
        <v>25</v>
      </c>
      <c r="M26" s="5">
        <f>SUM($E19:M19)</f>
        <v>28</v>
      </c>
      <c r="N26" s="5">
        <f>SUM($E19:N19)</f>
        <v>31</v>
      </c>
      <c r="O26" s="5">
        <f>SUM($E19:O19)</f>
        <v>34</v>
      </c>
      <c r="P26" s="5">
        <f>SUM($E19:P19)</f>
        <v>37</v>
      </c>
    </row>
    <row r="27" spans="3:17" x14ac:dyDescent="0.35">
      <c r="D27" s="3" t="str">
        <f t="shared" ref="D27:D30" si="4">D20</f>
        <v>Actual 2025-26</v>
      </c>
      <c r="E27" s="5">
        <f>SUM($E20:E20)</f>
        <v>0</v>
      </c>
      <c r="F27" s="5">
        <f>SUM($E20:F20)</f>
        <v>1</v>
      </c>
      <c r="G27" s="5">
        <f>SUM($E20:G20)</f>
        <v>2</v>
      </c>
      <c r="H27" s="5">
        <f>SUM($E20:H20)</f>
        <v>2</v>
      </c>
      <c r="I27" s="5">
        <f>SUM($E20:I20)</f>
        <v>3</v>
      </c>
      <c r="J27" s="5">
        <f>SUM($E20:J20)</f>
        <v>3</v>
      </c>
      <c r="K27" s="5">
        <f>SUM($E20:K20)</f>
        <v>5</v>
      </c>
      <c r="L27" s="5">
        <f>SUM($E20:L20)</f>
        <v>6</v>
      </c>
      <c r="M27" s="5">
        <f>SUM($E20:M20)</f>
        <v>6</v>
      </c>
      <c r="N27" s="5">
        <f>SUM($E20:N20)</f>
        <v>6</v>
      </c>
      <c r="O27" s="5">
        <f>SUM($E20:O20)</f>
        <v>6</v>
      </c>
      <c r="P27" s="5">
        <f>SUM($E20:P20)</f>
        <v>6</v>
      </c>
    </row>
    <row r="28" spans="3:17" x14ac:dyDescent="0.35">
      <c r="D28" s="3" t="str">
        <f t="shared" si="4"/>
        <v>Actual 2024-25</v>
      </c>
      <c r="E28" s="5">
        <f>SUM($E21:E21)</f>
        <v>0</v>
      </c>
      <c r="F28" s="5">
        <f>SUM($E21:F21)</f>
        <v>4</v>
      </c>
      <c r="G28" s="5">
        <f>SUM($E21:G21)</f>
        <v>4</v>
      </c>
      <c r="H28" s="5">
        <f>SUM($E21:H21)</f>
        <v>4</v>
      </c>
      <c r="I28" s="5">
        <f>SUM($E21:I21)</f>
        <v>4</v>
      </c>
      <c r="J28" s="5">
        <f>SUM($E21:J21)</f>
        <v>6</v>
      </c>
      <c r="K28" s="5">
        <f>SUM($E21:K21)</f>
        <v>6</v>
      </c>
      <c r="L28" s="5">
        <f>SUM($E21:L21)</f>
        <v>8</v>
      </c>
      <c r="M28" s="5">
        <f>SUM($E21:M21)</f>
        <v>8</v>
      </c>
      <c r="N28" s="5">
        <f>SUM($E21:N21)</f>
        <v>9</v>
      </c>
      <c r="O28" s="5">
        <f>SUM($E21:O21)</f>
        <v>9</v>
      </c>
      <c r="P28" s="5">
        <f>SUM($E21:P21)</f>
        <v>10</v>
      </c>
    </row>
    <row r="29" spans="3:17" x14ac:dyDescent="0.35">
      <c r="D29" s="3" t="str">
        <f t="shared" si="4"/>
        <v>Difference</v>
      </c>
      <c r="E29" s="5">
        <f>SUM($E22:E22)</f>
        <v>0</v>
      </c>
      <c r="F29" s="5">
        <f>SUM($E22:F22)</f>
        <v>-2</v>
      </c>
      <c r="G29" s="5">
        <f>SUM($E22:G22)</f>
        <v>-4</v>
      </c>
      <c r="H29" s="5">
        <f>SUM($E22:H22)</f>
        <v>-4</v>
      </c>
      <c r="I29" s="5">
        <f>SUM($E22:I22)</f>
        <v>-6</v>
      </c>
      <c r="J29" s="5">
        <f>SUM($E22:J22)</f>
        <v>-6</v>
      </c>
      <c r="K29" s="5">
        <f>SUM($E22:K22)</f>
        <v>-7</v>
      </c>
      <c r="L29" s="5">
        <f>SUM($E22:L22)</f>
        <v>-9</v>
      </c>
      <c r="M29" s="5">
        <f>SUM($E22:M22)</f>
        <v>-9</v>
      </c>
      <c r="N29" s="5">
        <f>SUM($E22:N22)</f>
        <v>-9</v>
      </c>
      <c r="O29" s="5">
        <f>SUM($E22:O22)</f>
        <v>-9</v>
      </c>
      <c r="P29" s="5">
        <f>SUM($E22:P22)</f>
        <v>-9</v>
      </c>
    </row>
    <row r="30" spans="3:17" x14ac:dyDescent="0.35">
      <c r="D30" s="3" t="str">
        <f t="shared" si="4"/>
        <v>Realisation</v>
      </c>
      <c r="E30" s="9">
        <f>E28/E26</f>
        <v>0</v>
      </c>
      <c r="F30" s="9">
        <f t="shared" ref="F30:P30" si="5">F27/F26</f>
        <v>0.14285714285714285</v>
      </c>
      <c r="G30" s="9">
        <f t="shared" si="5"/>
        <v>0.2</v>
      </c>
      <c r="H30" s="9">
        <f t="shared" si="5"/>
        <v>0.15384615384615385</v>
      </c>
      <c r="I30" s="9">
        <f t="shared" si="5"/>
        <v>0.1875</v>
      </c>
      <c r="J30" s="9">
        <f t="shared" si="5"/>
        <v>0.15789473684210525</v>
      </c>
      <c r="K30" s="9">
        <f t="shared" si="5"/>
        <v>0.22727272727272727</v>
      </c>
      <c r="L30" s="9">
        <f t="shared" si="5"/>
        <v>0.24</v>
      </c>
      <c r="M30" s="9">
        <f t="shared" si="5"/>
        <v>0.21428571428571427</v>
      </c>
      <c r="N30" s="9">
        <f t="shared" si="5"/>
        <v>0.19354838709677419</v>
      </c>
      <c r="O30" s="9">
        <f t="shared" si="5"/>
        <v>0.17647058823529413</v>
      </c>
      <c r="P30" s="9">
        <f t="shared" si="5"/>
        <v>0.16216216216216217</v>
      </c>
    </row>
  </sheetData>
  <mergeCells count="2">
    <mergeCell ref="J4:Q8"/>
    <mergeCell ref="J10:Q15"/>
  </mergeCells>
  <conditionalFormatting sqref="C3">
    <cfRule type="expression" dxfId="509" priority="2">
      <formula>S4&lt;S6</formula>
    </cfRule>
  </conditionalFormatting>
  <conditionalFormatting sqref="C5">
    <cfRule type="expression" dxfId="508" priority="3">
      <formula>S4&gt;=S5</formula>
    </cfRule>
  </conditionalFormatting>
  <conditionalFormatting sqref="C4">
    <cfRule type="expression" dxfId="507" priority="1">
      <formula>AND(S4&gt;=S6,S4&lt;S5)</formula>
    </cfRule>
  </conditionalFormatting>
  <hyperlinks>
    <hyperlink ref="L1" location="Dashboard!A1" display="Dashboard"/>
  </hyperlinks>
  <pageMargins left="0.7" right="0.7" top="0.75" bottom="0.75" header="0.3" footer="0.3"/>
  <pageSetup orientation="portrait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950273" r:id="rId4" name="Spinner 1">
              <controlPr defaultSize="0" autoPict="0">
                <anchor moveWithCells="1" sizeWithCells="1">
                  <from>
                    <xdr:col>9</xdr:col>
                    <xdr:colOff>19050</xdr:colOff>
                    <xdr:row>0</xdr:row>
                    <xdr:rowOff>38100</xdr:rowOff>
                  </from>
                  <to>
                    <xdr:col>9</xdr:col>
                    <xdr:colOff>400050</xdr:colOff>
                    <xdr:row>1</xdr:row>
                    <xdr:rowOff>152400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20">
    <tabColor rgb="FFFFC000"/>
  </sheetPr>
  <dimension ref="A1:S30"/>
  <sheetViews>
    <sheetView zoomScale="90" zoomScaleNormal="90" workbookViewId="0">
      <selection activeCell="L1" sqref="L1"/>
    </sheetView>
  </sheetViews>
  <sheetFormatPr defaultColWidth="9.1796875" defaultRowHeight="14.5" x14ac:dyDescent="0.35"/>
  <cols>
    <col min="1" max="1" width="9.1796875" style="3"/>
    <col min="2" max="2" width="5.1796875" style="3" customWidth="1"/>
    <col min="3" max="3" width="6.26953125" style="3" customWidth="1"/>
    <col min="4" max="4" width="21.26953125" style="3" bestFit="1" customWidth="1"/>
    <col min="5" max="16" width="11.1796875" style="3" customWidth="1"/>
    <col min="17" max="17" width="12" style="3" bestFit="1" customWidth="1"/>
    <col min="18" max="18" width="9.1796875" style="3" customWidth="1"/>
    <col min="19" max="16384" width="9.1796875" style="3"/>
  </cols>
  <sheetData>
    <row r="1" spans="1:19" ht="21" x14ac:dyDescent="0.5">
      <c r="A1" s="4" t="s">
        <v>4</v>
      </c>
      <c r="B1" s="4">
        <f>Dashboard!A27</f>
        <v>4</v>
      </c>
      <c r="C1" s="4" t="str">
        <f>Dashboard!B27</f>
        <v>SITE- NEW SEWER</v>
      </c>
      <c r="G1" s="3" t="s">
        <v>9</v>
      </c>
      <c r="I1" s="12">
        <f>INDEX($E$18:$P$18,Actual_month)</f>
        <v>46054</v>
      </c>
      <c r="L1" s="16" t="s">
        <v>19</v>
      </c>
      <c r="R1" s="5"/>
    </row>
    <row r="2" spans="1:19" x14ac:dyDescent="0.35">
      <c r="A2" s="3" t="s">
        <v>13</v>
      </c>
      <c r="C2" s="3" t="s">
        <v>27</v>
      </c>
      <c r="R2" s="6"/>
    </row>
    <row r="3" spans="1:19" ht="25.5" customHeight="1" thickBot="1" x14ac:dyDescent="0.4">
      <c r="C3" s="1" t="s">
        <v>5</v>
      </c>
      <c r="E3" s="10"/>
      <c r="F3" s="10"/>
      <c r="G3" s="10"/>
      <c r="H3" s="10"/>
      <c r="I3" s="10"/>
      <c r="J3" s="3" t="s">
        <v>6</v>
      </c>
      <c r="K3" s="10"/>
      <c r="M3" s="10"/>
      <c r="N3" s="10"/>
      <c r="O3" s="10"/>
      <c r="P3" s="10"/>
    </row>
    <row r="4" spans="1:19" ht="25.5" customHeight="1" x14ac:dyDescent="0.35">
      <c r="C4" s="1" t="s">
        <v>5</v>
      </c>
      <c r="E4" s="10"/>
      <c r="F4" s="10"/>
      <c r="G4" s="10"/>
      <c r="H4" s="10"/>
      <c r="I4" s="10"/>
      <c r="J4" s="401"/>
      <c r="K4" s="402"/>
      <c r="L4" s="402"/>
      <c r="M4" s="402"/>
      <c r="N4" s="402"/>
      <c r="O4" s="402"/>
      <c r="P4" s="402"/>
      <c r="Q4" s="403"/>
      <c r="R4" s="3" t="s">
        <v>22</v>
      </c>
      <c r="S4" s="5">
        <f>INDEX(E27:P27,Actual_month)</f>
        <v>1</v>
      </c>
    </row>
    <row r="5" spans="1:19" ht="25.5" customHeight="1" x14ac:dyDescent="0.35">
      <c r="C5" s="1" t="s">
        <v>5</v>
      </c>
      <c r="E5" s="10"/>
      <c r="F5" s="10"/>
      <c r="G5" s="10"/>
      <c r="H5" s="10"/>
      <c r="I5" s="10"/>
      <c r="J5" s="404"/>
      <c r="K5" s="405"/>
      <c r="L5" s="405"/>
      <c r="M5" s="405"/>
      <c r="N5" s="405"/>
      <c r="O5" s="405"/>
      <c r="P5" s="405"/>
      <c r="Q5" s="406"/>
      <c r="R5" s="3" t="s">
        <v>23</v>
      </c>
      <c r="S5" s="5">
        <f>INDEX(E26:P26,Actual_month)</f>
        <v>8</v>
      </c>
    </row>
    <row r="6" spans="1:19" x14ac:dyDescent="0.35">
      <c r="J6" s="404"/>
      <c r="K6" s="405"/>
      <c r="L6" s="405"/>
      <c r="M6" s="405"/>
      <c r="N6" s="405"/>
      <c r="O6" s="405"/>
      <c r="P6" s="405"/>
      <c r="Q6" s="406"/>
      <c r="R6" s="6">
        <v>0.9</v>
      </c>
      <c r="S6" s="5">
        <f>+S5*R6</f>
        <v>7.2</v>
      </c>
    </row>
    <row r="7" spans="1:19" x14ac:dyDescent="0.35">
      <c r="J7" s="404"/>
      <c r="K7" s="405"/>
      <c r="L7" s="405"/>
      <c r="M7" s="405"/>
      <c r="N7" s="405"/>
      <c r="O7" s="405"/>
      <c r="P7" s="405"/>
      <c r="Q7" s="406"/>
    </row>
    <row r="8" spans="1:19" ht="15" thickBot="1" x14ac:dyDescent="0.4">
      <c r="J8" s="407"/>
      <c r="K8" s="408"/>
      <c r="L8" s="408"/>
      <c r="M8" s="408"/>
      <c r="N8" s="408"/>
      <c r="O8" s="408"/>
      <c r="P8" s="408"/>
      <c r="Q8" s="409"/>
    </row>
    <row r="9" spans="1:19" ht="15" thickBot="1" x14ac:dyDescent="0.4">
      <c r="J9" s="3" t="s">
        <v>12</v>
      </c>
    </row>
    <row r="10" spans="1:19" x14ac:dyDescent="0.35">
      <c r="J10" s="401"/>
      <c r="K10" s="402"/>
      <c r="L10" s="402"/>
      <c r="M10" s="402"/>
      <c r="N10" s="402"/>
      <c r="O10" s="402"/>
      <c r="P10" s="402"/>
      <c r="Q10" s="403"/>
    </row>
    <row r="11" spans="1:19" x14ac:dyDescent="0.35">
      <c r="J11" s="404"/>
      <c r="K11" s="405"/>
      <c r="L11" s="405"/>
      <c r="M11" s="405"/>
      <c r="N11" s="405"/>
      <c r="O11" s="405"/>
      <c r="P11" s="405"/>
      <c r="Q11" s="406"/>
    </row>
    <row r="12" spans="1:19" x14ac:dyDescent="0.35">
      <c r="J12" s="404"/>
      <c r="K12" s="405"/>
      <c r="L12" s="405"/>
      <c r="M12" s="405"/>
      <c r="N12" s="405"/>
      <c r="O12" s="405"/>
      <c r="P12" s="405"/>
      <c r="Q12" s="406"/>
    </row>
    <row r="13" spans="1:19" x14ac:dyDescent="0.35">
      <c r="J13" s="404"/>
      <c r="K13" s="405"/>
      <c r="L13" s="405"/>
      <c r="M13" s="405"/>
      <c r="N13" s="405"/>
      <c r="O13" s="405"/>
      <c r="P13" s="405"/>
      <c r="Q13" s="406"/>
    </row>
    <row r="14" spans="1:19" x14ac:dyDescent="0.35">
      <c r="J14" s="404"/>
      <c r="K14" s="405"/>
      <c r="L14" s="405"/>
      <c r="M14" s="405"/>
      <c r="N14" s="405"/>
      <c r="O14" s="405"/>
      <c r="P14" s="405"/>
      <c r="Q14" s="406"/>
    </row>
    <row r="15" spans="1:19" ht="15" thickBot="1" x14ac:dyDescent="0.4">
      <c r="J15" s="407"/>
      <c r="K15" s="408"/>
      <c r="L15" s="408"/>
      <c r="M15" s="408"/>
      <c r="N15" s="408"/>
      <c r="O15" s="408"/>
      <c r="P15" s="408"/>
      <c r="Q15" s="409"/>
    </row>
    <row r="18" spans="3:17" x14ac:dyDescent="0.35">
      <c r="C18" s="7" t="s">
        <v>8</v>
      </c>
      <c r="E18" s="11">
        <f>'KPI 1'!E18</f>
        <v>45839</v>
      </c>
      <c r="F18" s="11">
        <f>'KPI 1'!F18</f>
        <v>45870</v>
      </c>
      <c r="G18" s="11">
        <f>'KPI 1'!G18</f>
        <v>45901</v>
      </c>
      <c r="H18" s="11">
        <f>'KPI 1'!H18</f>
        <v>45931</v>
      </c>
      <c r="I18" s="11">
        <f>'KPI 1'!I18</f>
        <v>45962</v>
      </c>
      <c r="J18" s="11">
        <f>'KPI 1'!J18</f>
        <v>45992</v>
      </c>
      <c r="K18" s="11">
        <f>'KPI 1'!K18</f>
        <v>46023</v>
      </c>
      <c r="L18" s="11">
        <f>'KPI 1'!L18</f>
        <v>46054</v>
      </c>
      <c r="M18" s="11">
        <f>'KPI 1'!M18</f>
        <v>46082</v>
      </c>
      <c r="N18" s="11">
        <f>'KPI 1'!N18</f>
        <v>46113</v>
      </c>
      <c r="O18" s="11">
        <f>'KPI 1'!O18</f>
        <v>46143</v>
      </c>
      <c r="P18" s="11">
        <f>'KPI 1'!P18</f>
        <v>46174</v>
      </c>
      <c r="Q18" s="8" t="s">
        <v>0</v>
      </c>
    </row>
    <row r="19" spans="3:17" x14ac:dyDescent="0.35">
      <c r="D19" s="3" t="str">
        <f>'KPI 1'!D19</f>
        <v>Budget 2025-26</v>
      </c>
      <c r="E19" s="5">
        <f>'budget 2025-26'!D26</f>
        <v>1</v>
      </c>
      <c r="F19" s="5">
        <f>'budget 2025-26'!E26</f>
        <v>1</v>
      </c>
      <c r="G19" s="5">
        <f>'budget 2025-26'!F26</f>
        <v>1</v>
      </c>
      <c r="H19" s="5">
        <f>'budget 2025-26'!G26</f>
        <v>1</v>
      </c>
      <c r="I19" s="5">
        <f>'budget 2025-26'!H26</f>
        <v>1</v>
      </c>
      <c r="J19" s="5">
        <f>'budget 2025-26'!I26</f>
        <v>1</v>
      </c>
      <c r="K19" s="5">
        <f>'budget 2025-26'!J26</f>
        <v>1</v>
      </c>
      <c r="L19" s="5">
        <f>'budget 2025-26'!K26</f>
        <v>1</v>
      </c>
      <c r="M19" s="5">
        <f>'budget 2025-26'!L26</f>
        <v>1</v>
      </c>
      <c r="N19" s="5">
        <f>'budget 2025-26'!M26</f>
        <v>1</v>
      </c>
      <c r="O19" s="5">
        <f>'budget 2025-26'!N26</f>
        <v>1</v>
      </c>
      <c r="P19" s="5">
        <f>'budget 2025-26'!O26</f>
        <v>1</v>
      </c>
      <c r="Q19" s="5">
        <f>SUM(E19:P19)</f>
        <v>12</v>
      </c>
    </row>
    <row r="20" spans="3:17" x14ac:dyDescent="0.35">
      <c r="D20" s="3" t="str">
        <f>'KPI 1'!D20</f>
        <v>Actual 2025-26</v>
      </c>
      <c r="E20" s="5">
        <f>'Input Actual2025-26'!E27</f>
        <v>0</v>
      </c>
      <c r="F20" s="5">
        <f>'Input Actual2025-26'!F27</f>
        <v>0</v>
      </c>
      <c r="G20" s="5">
        <f>'Input Actual2025-26'!G27</f>
        <v>1</v>
      </c>
      <c r="H20" s="5">
        <f>'Input Actual2025-26'!H27</f>
        <v>0</v>
      </c>
      <c r="I20" s="5">
        <f>'Input Actual2025-26'!I27</f>
        <v>0</v>
      </c>
      <c r="J20" s="5">
        <f>'Input Actual2025-26'!J27</f>
        <v>0</v>
      </c>
      <c r="K20" s="5">
        <f>'Input Actual2025-26'!K27</f>
        <v>0</v>
      </c>
      <c r="L20" s="5">
        <f>'Input Actual2025-26'!L27</f>
        <v>0</v>
      </c>
      <c r="M20" s="5">
        <f>'Input Actual2025-26'!M27</f>
        <v>0</v>
      </c>
      <c r="N20" s="5">
        <f>'Input Actual2025-26'!N27</f>
        <v>0</v>
      </c>
      <c r="O20" s="5">
        <f>'Input Actual2025-26'!O27</f>
        <v>0</v>
      </c>
      <c r="P20" s="5">
        <f>'Input Actual2025-26'!P27</f>
        <v>0</v>
      </c>
      <c r="Q20" s="5">
        <f t="shared" ref="Q20:Q22" si="0">SUM(E20:P20)</f>
        <v>1</v>
      </c>
    </row>
    <row r="21" spans="3:17" x14ac:dyDescent="0.35">
      <c r="D21" s="3" t="s">
        <v>424</v>
      </c>
      <c r="E21" s="5">
        <f>'Input Actual2024-25'!E25</f>
        <v>1</v>
      </c>
      <c r="F21" s="5">
        <f>'Input Actual2024-25'!F25</f>
        <v>3</v>
      </c>
      <c r="G21" s="5">
        <f>'Input Actual2024-25'!G25</f>
        <v>1</v>
      </c>
      <c r="H21" s="5">
        <f>'Input Actual2024-25'!H25</f>
        <v>0</v>
      </c>
      <c r="I21" s="5">
        <f>'Input Actual2024-25'!I25</f>
        <v>0</v>
      </c>
      <c r="J21" s="5">
        <f>'Input Actual2024-25'!J25</f>
        <v>0</v>
      </c>
      <c r="K21" s="5">
        <f>'Input Actual2024-25'!K25</f>
        <v>0</v>
      </c>
      <c r="L21" s="5">
        <f>'Input Actual2024-25'!L25</f>
        <v>1</v>
      </c>
      <c r="M21" s="5">
        <f>'Input Actual2024-25'!M25</f>
        <v>0</v>
      </c>
      <c r="N21" s="5">
        <f>'Input Actual2024-25'!N25</f>
        <v>0</v>
      </c>
      <c r="O21" s="5">
        <f>'Input Actual2024-25'!O25</f>
        <v>0</v>
      </c>
      <c r="P21" s="5">
        <f>'Input Actual2024-25'!P25</f>
        <v>0</v>
      </c>
      <c r="Q21" s="5">
        <f t="shared" si="0"/>
        <v>6</v>
      </c>
    </row>
    <row r="22" spans="3:17" x14ac:dyDescent="0.35">
      <c r="D22" s="3" t="s">
        <v>7</v>
      </c>
      <c r="E22" s="5">
        <f t="shared" ref="E22:P22" si="1">IF(E20=0,0,E20-E19)</f>
        <v>0</v>
      </c>
      <c r="F22" s="5">
        <f t="shared" si="1"/>
        <v>0</v>
      </c>
      <c r="G22" s="5">
        <f t="shared" si="1"/>
        <v>0</v>
      </c>
      <c r="H22" s="5">
        <f t="shared" si="1"/>
        <v>0</v>
      </c>
      <c r="I22" s="5">
        <f t="shared" si="1"/>
        <v>0</v>
      </c>
      <c r="J22" s="5">
        <f t="shared" si="1"/>
        <v>0</v>
      </c>
      <c r="K22" s="5">
        <f t="shared" si="1"/>
        <v>0</v>
      </c>
      <c r="L22" s="5">
        <f t="shared" si="1"/>
        <v>0</v>
      </c>
      <c r="M22" s="5">
        <f t="shared" si="1"/>
        <v>0</v>
      </c>
      <c r="N22" s="5">
        <f t="shared" si="1"/>
        <v>0</v>
      </c>
      <c r="O22" s="5">
        <f t="shared" si="1"/>
        <v>0</v>
      </c>
      <c r="P22" s="5">
        <f t="shared" si="1"/>
        <v>0</v>
      </c>
      <c r="Q22" s="5">
        <f t="shared" si="0"/>
        <v>0</v>
      </c>
    </row>
    <row r="23" spans="3:17" x14ac:dyDescent="0.35">
      <c r="D23" s="3" t="s">
        <v>43</v>
      </c>
      <c r="E23" s="9">
        <f>E21/E19</f>
        <v>1</v>
      </c>
      <c r="F23" s="9">
        <f t="shared" ref="F23:P23" si="2">F20/F19</f>
        <v>0</v>
      </c>
      <c r="G23" s="9">
        <f t="shared" si="2"/>
        <v>1</v>
      </c>
      <c r="H23" s="9">
        <f t="shared" si="2"/>
        <v>0</v>
      </c>
      <c r="I23" s="9">
        <f t="shared" si="2"/>
        <v>0</v>
      </c>
      <c r="J23" s="9">
        <f t="shared" si="2"/>
        <v>0</v>
      </c>
      <c r="K23" s="9">
        <f t="shared" si="2"/>
        <v>0</v>
      </c>
      <c r="L23" s="9">
        <f t="shared" si="2"/>
        <v>0</v>
      </c>
      <c r="M23" s="9">
        <f t="shared" si="2"/>
        <v>0</v>
      </c>
      <c r="N23" s="9">
        <f t="shared" si="2"/>
        <v>0</v>
      </c>
      <c r="O23" s="9">
        <f t="shared" si="2"/>
        <v>0</v>
      </c>
      <c r="P23" s="9">
        <f t="shared" si="2"/>
        <v>0</v>
      </c>
    </row>
    <row r="25" spans="3:17" x14ac:dyDescent="0.35">
      <c r="C25" s="7" t="s">
        <v>3</v>
      </c>
      <c r="E25" s="11">
        <f>E18</f>
        <v>45839</v>
      </c>
      <c r="F25" s="11">
        <f t="shared" ref="F25:P25" si="3">F18</f>
        <v>45870</v>
      </c>
      <c r="G25" s="11">
        <f t="shared" si="3"/>
        <v>45901</v>
      </c>
      <c r="H25" s="11">
        <f t="shared" si="3"/>
        <v>45931</v>
      </c>
      <c r="I25" s="11">
        <f t="shared" si="3"/>
        <v>45962</v>
      </c>
      <c r="J25" s="11">
        <f t="shared" si="3"/>
        <v>45992</v>
      </c>
      <c r="K25" s="11">
        <f t="shared" si="3"/>
        <v>46023</v>
      </c>
      <c r="L25" s="11">
        <f t="shared" si="3"/>
        <v>46054</v>
      </c>
      <c r="M25" s="11">
        <f t="shared" si="3"/>
        <v>46082</v>
      </c>
      <c r="N25" s="11">
        <f t="shared" si="3"/>
        <v>46113</v>
      </c>
      <c r="O25" s="11">
        <f t="shared" si="3"/>
        <v>46143</v>
      </c>
      <c r="P25" s="11">
        <f t="shared" si="3"/>
        <v>46174</v>
      </c>
    </row>
    <row r="26" spans="3:17" x14ac:dyDescent="0.35">
      <c r="D26" s="3" t="str">
        <f>D19</f>
        <v>Budget 2025-26</v>
      </c>
      <c r="E26" s="5">
        <f>SUM($E19:E19)</f>
        <v>1</v>
      </c>
      <c r="F26" s="5">
        <f>SUM($E19:F19)</f>
        <v>2</v>
      </c>
      <c r="G26" s="5">
        <f>SUM($E19:G19)</f>
        <v>3</v>
      </c>
      <c r="H26" s="5">
        <f>SUM($E19:H19)</f>
        <v>4</v>
      </c>
      <c r="I26" s="5">
        <f>SUM($E19:I19)</f>
        <v>5</v>
      </c>
      <c r="J26" s="5">
        <f>SUM($E19:J19)</f>
        <v>6</v>
      </c>
      <c r="K26" s="5">
        <f>SUM($E19:K19)</f>
        <v>7</v>
      </c>
      <c r="L26" s="5">
        <f>SUM($E19:L19)</f>
        <v>8</v>
      </c>
      <c r="M26" s="5">
        <f>SUM($E19:M19)</f>
        <v>9</v>
      </c>
      <c r="N26" s="5">
        <f>SUM($E19:N19)</f>
        <v>10</v>
      </c>
      <c r="O26" s="5">
        <f>SUM($E19:O19)</f>
        <v>11</v>
      </c>
      <c r="P26" s="5">
        <f>SUM($E19:P19)</f>
        <v>12</v>
      </c>
    </row>
    <row r="27" spans="3:17" x14ac:dyDescent="0.35">
      <c r="D27" s="3" t="str">
        <f t="shared" ref="D27:D30" si="4">D20</f>
        <v>Actual 2025-26</v>
      </c>
      <c r="E27" s="5">
        <f>SUM($E20:E20)</f>
        <v>0</v>
      </c>
      <c r="F27" s="5">
        <f>SUM($E20:F20)</f>
        <v>0</v>
      </c>
      <c r="G27" s="5">
        <f>SUM($E20:G20)</f>
        <v>1</v>
      </c>
      <c r="H27" s="5">
        <f>SUM($E20:H20)</f>
        <v>1</v>
      </c>
      <c r="I27" s="5">
        <f>SUM($E20:I20)</f>
        <v>1</v>
      </c>
      <c r="J27" s="5">
        <f>SUM($E20:J20)</f>
        <v>1</v>
      </c>
      <c r="K27" s="5">
        <f>SUM($E20:K20)</f>
        <v>1</v>
      </c>
      <c r="L27" s="5">
        <f>SUM($E20:L20)</f>
        <v>1</v>
      </c>
      <c r="M27" s="5">
        <f>SUM($E20:M20)</f>
        <v>1</v>
      </c>
      <c r="N27" s="5">
        <f>SUM($E20:N20)</f>
        <v>1</v>
      </c>
      <c r="O27" s="5">
        <f>SUM($E20:O20)</f>
        <v>1</v>
      </c>
      <c r="P27" s="5">
        <f>SUM($E20:P20)</f>
        <v>1</v>
      </c>
    </row>
    <row r="28" spans="3:17" x14ac:dyDescent="0.35">
      <c r="D28" s="3" t="str">
        <f t="shared" si="4"/>
        <v>Actual 2024-25</v>
      </c>
      <c r="E28" s="5">
        <f>SUM($E21:E21)</f>
        <v>1</v>
      </c>
      <c r="F28" s="5">
        <f>SUM($E21:F21)</f>
        <v>4</v>
      </c>
      <c r="G28" s="5">
        <f>SUM($E21:G21)</f>
        <v>5</v>
      </c>
      <c r="H28" s="5">
        <f>SUM($E21:H21)</f>
        <v>5</v>
      </c>
      <c r="I28" s="5">
        <f>SUM($E21:I21)</f>
        <v>5</v>
      </c>
      <c r="J28" s="5">
        <f>SUM($E21:J21)</f>
        <v>5</v>
      </c>
      <c r="K28" s="5">
        <f>SUM($E21:K21)</f>
        <v>5</v>
      </c>
      <c r="L28" s="5">
        <f>SUM($E21:L21)</f>
        <v>6</v>
      </c>
      <c r="M28" s="5">
        <f>SUM($E21:M21)</f>
        <v>6</v>
      </c>
      <c r="N28" s="5">
        <f>SUM($E21:N21)</f>
        <v>6</v>
      </c>
      <c r="O28" s="5">
        <f>SUM($E21:O21)</f>
        <v>6</v>
      </c>
      <c r="P28" s="5">
        <f>SUM($E21:P21)</f>
        <v>6</v>
      </c>
    </row>
    <row r="29" spans="3:17" x14ac:dyDescent="0.35">
      <c r="D29" s="3" t="str">
        <f t="shared" si="4"/>
        <v>Difference</v>
      </c>
      <c r="E29" s="5">
        <f>SUM($E22:E22)</f>
        <v>0</v>
      </c>
      <c r="F29" s="5">
        <f>SUM($E22:F22)</f>
        <v>0</v>
      </c>
      <c r="G29" s="5">
        <f>SUM($E22:G22)</f>
        <v>0</v>
      </c>
      <c r="H29" s="5">
        <f>SUM($E22:H22)</f>
        <v>0</v>
      </c>
      <c r="I29" s="5">
        <f>SUM($E22:I22)</f>
        <v>0</v>
      </c>
      <c r="J29" s="5">
        <f>SUM($E22:J22)</f>
        <v>0</v>
      </c>
      <c r="K29" s="5">
        <f>SUM($E22:K22)</f>
        <v>0</v>
      </c>
      <c r="L29" s="5">
        <f>SUM($E22:L22)</f>
        <v>0</v>
      </c>
      <c r="M29" s="5">
        <f>SUM($E22:M22)</f>
        <v>0</v>
      </c>
      <c r="N29" s="5">
        <f>SUM($E22:N22)</f>
        <v>0</v>
      </c>
      <c r="O29" s="5">
        <f>SUM($E22:O22)</f>
        <v>0</v>
      </c>
      <c r="P29" s="5">
        <f>SUM($E22:P22)</f>
        <v>0</v>
      </c>
    </row>
    <row r="30" spans="3:17" x14ac:dyDescent="0.35">
      <c r="D30" s="3" t="str">
        <f t="shared" si="4"/>
        <v>Realisation</v>
      </c>
      <c r="E30" s="9">
        <f>E28/E26</f>
        <v>1</v>
      </c>
      <c r="F30" s="9">
        <f t="shared" ref="F30:P30" si="5">F27/F26</f>
        <v>0</v>
      </c>
      <c r="G30" s="9">
        <f t="shared" si="5"/>
        <v>0.33333333333333331</v>
      </c>
      <c r="H30" s="9">
        <f t="shared" si="5"/>
        <v>0.25</v>
      </c>
      <c r="I30" s="9">
        <f t="shared" si="5"/>
        <v>0.2</v>
      </c>
      <c r="J30" s="9">
        <f t="shared" si="5"/>
        <v>0.16666666666666666</v>
      </c>
      <c r="K30" s="9">
        <f t="shared" si="5"/>
        <v>0.14285714285714285</v>
      </c>
      <c r="L30" s="9">
        <f t="shared" si="5"/>
        <v>0.125</v>
      </c>
      <c r="M30" s="9">
        <f t="shared" si="5"/>
        <v>0.1111111111111111</v>
      </c>
      <c r="N30" s="9">
        <f t="shared" si="5"/>
        <v>0.1</v>
      </c>
      <c r="O30" s="9">
        <f t="shared" si="5"/>
        <v>9.0909090909090912E-2</v>
      </c>
      <c r="P30" s="9">
        <f t="shared" si="5"/>
        <v>8.3333333333333329E-2</v>
      </c>
    </row>
  </sheetData>
  <mergeCells count="2">
    <mergeCell ref="J4:Q8"/>
    <mergeCell ref="J10:Q15"/>
  </mergeCells>
  <conditionalFormatting sqref="C3">
    <cfRule type="expression" dxfId="506" priority="2">
      <formula>S4&lt;S6</formula>
    </cfRule>
  </conditionalFormatting>
  <conditionalFormatting sqref="C5">
    <cfRule type="expression" dxfId="505" priority="3">
      <formula>S4&gt;=S5</formula>
    </cfRule>
  </conditionalFormatting>
  <conditionalFormatting sqref="C4">
    <cfRule type="expression" dxfId="504" priority="1">
      <formula>AND(S4&gt;=S6,S4&lt;S5)</formula>
    </cfRule>
  </conditionalFormatting>
  <hyperlinks>
    <hyperlink ref="L1" location="Dashboard!A1" display="Dashboard"/>
  </hyperlinks>
  <pageMargins left="0.7" right="0.7" top="0.75" bottom="0.75" header="0.3" footer="0.3"/>
  <pageSetup orientation="portrait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951297" r:id="rId4" name="Spinner 1">
              <controlPr defaultSize="0" autoPict="0">
                <anchor moveWithCells="1" sizeWithCells="1">
                  <from>
                    <xdr:col>9</xdr:col>
                    <xdr:colOff>19050</xdr:colOff>
                    <xdr:row>0</xdr:row>
                    <xdr:rowOff>38100</xdr:rowOff>
                  </from>
                  <to>
                    <xdr:col>9</xdr:col>
                    <xdr:colOff>400050</xdr:colOff>
                    <xdr:row>1</xdr:row>
                    <xdr:rowOff>152400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21"/>
  <dimension ref="A1:S30"/>
  <sheetViews>
    <sheetView zoomScale="90" zoomScaleNormal="90" workbookViewId="0">
      <selection activeCell="L1" sqref="L1"/>
    </sheetView>
  </sheetViews>
  <sheetFormatPr defaultColWidth="9.1796875" defaultRowHeight="14.5" x14ac:dyDescent="0.35"/>
  <cols>
    <col min="1" max="1" width="9.1796875" style="3"/>
    <col min="2" max="2" width="5.1796875" style="3" customWidth="1"/>
    <col min="3" max="3" width="6.26953125" style="3" customWidth="1"/>
    <col min="4" max="4" width="21.26953125" style="3" bestFit="1" customWidth="1"/>
    <col min="5" max="16" width="11.1796875" style="3" customWidth="1"/>
    <col min="17" max="17" width="12" style="3" bestFit="1" customWidth="1"/>
    <col min="18" max="18" width="9.1796875" style="3" customWidth="1"/>
    <col min="19" max="16384" width="9.1796875" style="3"/>
  </cols>
  <sheetData>
    <row r="1" spans="1:19" ht="21" x14ac:dyDescent="0.5">
      <c r="A1" s="4" t="s">
        <v>4</v>
      </c>
      <c r="B1" s="4">
        <f>Dashboard!A28</f>
        <v>5</v>
      </c>
      <c r="C1" s="4" t="str">
        <f>Dashboard!B28</f>
        <v>KIHOTO- NEW SEWER</v>
      </c>
      <c r="G1" s="3" t="s">
        <v>9</v>
      </c>
      <c r="I1" s="12">
        <f>INDEX($E$18:$P$18,Actual_month)</f>
        <v>46054</v>
      </c>
      <c r="L1" s="16" t="s">
        <v>19</v>
      </c>
      <c r="R1" s="5"/>
    </row>
    <row r="2" spans="1:19" x14ac:dyDescent="0.35">
      <c r="A2" s="3" t="s">
        <v>13</v>
      </c>
      <c r="C2" s="3" t="s">
        <v>27</v>
      </c>
      <c r="R2" s="6"/>
    </row>
    <row r="3" spans="1:19" ht="25.5" customHeight="1" thickBot="1" x14ac:dyDescent="0.4">
      <c r="C3" s="1" t="s">
        <v>5</v>
      </c>
      <c r="E3" s="10"/>
      <c r="F3" s="10"/>
      <c r="G3" s="10"/>
      <c r="H3" s="10"/>
      <c r="I3" s="10"/>
      <c r="J3" s="3" t="s">
        <v>6</v>
      </c>
      <c r="K3" s="10"/>
      <c r="M3" s="10"/>
      <c r="N3" s="10"/>
      <c r="O3" s="10"/>
      <c r="P3" s="10"/>
    </row>
    <row r="4" spans="1:19" ht="25.5" customHeight="1" x14ac:dyDescent="0.35">
      <c r="C4" s="1" t="s">
        <v>5</v>
      </c>
      <c r="E4" s="10"/>
      <c r="F4" s="10"/>
      <c r="G4" s="10"/>
      <c r="H4" s="10"/>
      <c r="I4" s="10"/>
      <c r="J4" s="401"/>
      <c r="K4" s="402"/>
      <c r="L4" s="402"/>
      <c r="M4" s="402"/>
      <c r="N4" s="402"/>
      <c r="O4" s="402"/>
      <c r="P4" s="402"/>
      <c r="Q4" s="403"/>
      <c r="R4" s="3" t="s">
        <v>22</v>
      </c>
      <c r="S4" s="5">
        <f>INDEX(E27:P27,Actual_month)</f>
        <v>0</v>
      </c>
    </row>
    <row r="5" spans="1:19" ht="25.5" customHeight="1" x14ac:dyDescent="0.35">
      <c r="C5" s="1" t="s">
        <v>5</v>
      </c>
      <c r="E5" s="10"/>
      <c r="F5" s="10"/>
      <c r="G5" s="10"/>
      <c r="H5" s="10"/>
      <c r="I5" s="10"/>
      <c r="J5" s="404"/>
      <c r="K5" s="405"/>
      <c r="L5" s="405"/>
      <c r="M5" s="405"/>
      <c r="N5" s="405"/>
      <c r="O5" s="405"/>
      <c r="P5" s="405"/>
      <c r="Q5" s="406"/>
      <c r="R5" s="3" t="s">
        <v>23</v>
      </c>
      <c r="S5" s="5">
        <f>INDEX(E26:P26,Actual_month)</f>
        <v>0</v>
      </c>
    </row>
    <row r="6" spans="1:19" x14ac:dyDescent="0.35">
      <c r="J6" s="404"/>
      <c r="K6" s="405"/>
      <c r="L6" s="405"/>
      <c r="M6" s="405"/>
      <c r="N6" s="405"/>
      <c r="O6" s="405"/>
      <c r="P6" s="405"/>
      <c r="Q6" s="406"/>
      <c r="R6" s="6">
        <v>0.9</v>
      </c>
      <c r="S6" s="5">
        <f>+S5*R6</f>
        <v>0</v>
      </c>
    </row>
    <row r="7" spans="1:19" x14ac:dyDescent="0.35">
      <c r="J7" s="404"/>
      <c r="K7" s="405"/>
      <c r="L7" s="405"/>
      <c r="M7" s="405"/>
      <c r="N7" s="405"/>
      <c r="O7" s="405"/>
      <c r="P7" s="405"/>
      <c r="Q7" s="406"/>
    </row>
    <row r="8" spans="1:19" ht="15" thickBot="1" x14ac:dyDescent="0.4">
      <c r="J8" s="407"/>
      <c r="K8" s="408"/>
      <c r="L8" s="408"/>
      <c r="M8" s="408"/>
      <c r="N8" s="408"/>
      <c r="O8" s="408"/>
      <c r="P8" s="408"/>
      <c r="Q8" s="409"/>
    </row>
    <row r="9" spans="1:19" ht="15" thickBot="1" x14ac:dyDescent="0.4">
      <c r="J9" s="3" t="s">
        <v>12</v>
      </c>
    </row>
    <row r="10" spans="1:19" x14ac:dyDescent="0.35">
      <c r="J10" s="401"/>
      <c r="K10" s="402"/>
      <c r="L10" s="402"/>
      <c r="M10" s="402"/>
      <c r="N10" s="402"/>
      <c r="O10" s="402"/>
      <c r="P10" s="402"/>
      <c r="Q10" s="403"/>
    </row>
    <row r="11" spans="1:19" x14ac:dyDescent="0.35">
      <c r="J11" s="404"/>
      <c r="K11" s="405"/>
      <c r="L11" s="405"/>
      <c r="M11" s="405"/>
      <c r="N11" s="405"/>
      <c r="O11" s="405"/>
      <c r="P11" s="405"/>
      <c r="Q11" s="406"/>
    </row>
    <row r="12" spans="1:19" x14ac:dyDescent="0.35">
      <c r="J12" s="404"/>
      <c r="K12" s="405"/>
      <c r="L12" s="405"/>
      <c r="M12" s="405"/>
      <c r="N12" s="405"/>
      <c r="O12" s="405"/>
      <c r="P12" s="405"/>
      <c r="Q12" s="406"/>
    </row>
    <row r="13" spans="1:19" x14ac:dyDescent="0.35">
      <c r="J13" s="404"/>
      <c r="K13" s="405"/>
      <c r="L13" s="405"/>
      <c r="M13" s="405"/>
      <c r="N13" s="405"/>
      <c r="O13" s="405"/>
      <c r="P13" s="405"/>
      <c r="Q13" s="406"/>
    </row>
    <row r="14" spans="1:19" x14ac:dyDescent="0.35">
      <c r="J14" s="404"/>
      <c r="K14" s="405"/>
      <c r="L14" s="405"/>
      <c r="M14" s="405"/>
      <c r="N14" s="405"/>
      <c r="O14" s="405"/>
      <c r="P14" s="405"/>
      <c r="Q14" s="406"/>
    </row>
    <row r="15" spans="1:19" ht="15" thickBot="1" x14ac:dyDescent="0.4">
      <c r="J15" s="407"/>
      <c r="K15" s="408"/>
      <c r="L15" s="408"/>
      <c r="M15" s="408"/>
      <c r="N15" s="408"/>
      <c r="O15" s="408"/>
      <c r="P15" s="408"/>
      <c r="Q15" s="409"/>
    </row>
    <row r="18" spans="3:17" x14ac:dyDescent="0.35">
      <c r="C18" s="7" t="s">
        <v>8</v>
      </c>
      <c r="E18" s="11">
        <f>'KPI 1'!E18</f>
        <v>45839</v>
      </c>
      <c r="F18" s="11">
        <f>'KPI 1'!F18</f>
        <v>45870</v>
      </c>
      <c r="G18" s="11">
        <f>'KPI 1'!G18</f>
        <v>45901</v>
      </c>
      <c r="H18" s="11">
        <f>'KPI 1'!H18</f>
        <v>45931</v>
      </c>
      <c r="I18" s="11">
        <f>'KPI 1'!I18</f>
        <v>45962</v>
      </c>
      <c r="J18" s="11">
        <f>'KPI 1'!J18</f>
        <v>45992</v>
      </c>
      <c r="K18" s="11">
        <f>'KPI 1'!K18</f>
        <v>46023</v>
      </c>
      <c r="L18" s="11">
        <f>'KPI 1'!L18</f>
        <v>46054</v>
      </c>
      <c r="M18" s="11">
        <f>'KPI 1'!M18</f>
        <v>46082</v>
      </c>
      <c r="N18" s="11">
        <f>'KPI 1'!N18</f>
        <v>46113</v>
      </c>
      <c r="O18" s="11">
        <f>'KPI 1'!O18</f>
        <v>46143</v>
      </c>
      <c r="P18" s="11">
        <f>'KPI 1'!P18</f>
        <v>46174</v>
      </c>
      <c r="Q18" s="8" t="s">
        <v>0</v>
      </c>
    </row>
    <row r="19" spans="3:17" x14ac:dyDescent="0.35">
      <c r="D19" s="3" t="str">
        <f>'KPI 1'!D19</f>
        <v>Budget 2025-26</v>
      </c>
      <c r="E19" s="5">
        <f>'budget 2025-26'!D27</f>
        <v>0</v>
      </c>
      <c r="F19" s="5">
        <f>'budget 2025-26'!E27</f>
        <v>0</v>
      </c>
      <c r="G19" s="5">
        <f>'budget 2025-26'!F27</f>
        <v>0</v>
      </c>
      <c r="H19" s="5">
        <f>'budget 2025-26'!G27</f>
        <v>0</v>
      </c>
      <c r="I19" s="5">
        <f>'budget 2025-26'!H27</f>
        <v>0</v>
      </c>
      <c r="J19" s="5">
        <f>'budget 2025-26'!I27</f>
        <v>0</v>
      </c>
      <c r="K19" s="5">
        <f>'budget 2025-26'!J27</f>
        <v>0</v>
      </c>
      <c r="L19" s="5">
        <f>'budget 2025-26'!K27</f>
        <v>0</v>
      </c>
      <c r="M19" s="5">
        <f>'budget 2025-26'!L27</f>
        <v>0</v>
      </c>
      <c r="N19" s="5">
        <f>'budget 2025-26'!M27</f>
        <v>0</v>
      </c>
      <c r="O19" s="5">
        <f>'budget 2025-26'!N27</f>
        <v>0</v>
      </c>
      <c r="P19" s="5">
        <f>'budget 2025-26'!O27</f>
        <v>0</v>
      </c>
      <c r="Q19" s="5">
        <f>SUM(E19:P19)</f>
        <v>0</v>
      </c>
    </row>
    <row r="20" spans="3:17" x14ac:dyDescent="0.35">
      <c r="D20" s="3" t="str">
        <f>'KPI 1'!D20</f>
        <v>Actual 2025-26</v>
      </c>
      <c r="E20" s="5">
        <f>'Input Actual2025-26'!E28</f>
        <v>0</v>
      </c>
      <c r="F20" s="5">
        <f>'Input Actual2025-26'!F28</f>
        <v>0</v>
      </c>
      <c r="G20" s="5">
        <f>'Input Actual2025-26'!G28</f>
        <v>0</v>
      </c>
      <c r="H20" s="5">
        <f>'Input Actual2025-26'!H28</f>
        <v>0</v>
      </c>
      <c r="I20" s="5">
        <f>'Input Actual2025-26'!I28</f>
        <v>0</v>
      </c>
      <c r="J20" s="5">
        <f>'Input Actual2025-26'!J28</f>
        <v>0</v>
      </c>
      <c r="K20" s="5">
        <f>'Input Actual2025-26'!K28</f>
        <v>0</v>
      </c>
      <c r="L20" s="5">
        <f>'Input Actual2025-26'!L28</f>
        <v>0</v>
      </c>
      <c r="M20" s="5">
        <f>'Input Actual2025-26'!M28</f>
        <v>0</v>
      </c>
      <c r="N20" s="5">
        <f>'Input Actual2025-26'!N28</f>
        <v>0</v>
      </c>
      <c r="O20" s="5">
        <f>'Input Actual2025-26'!O28</f>
        <v>0</v>
      </c>
      <c r="P20" s="5">
        <f>'Input Actual2025-26'!P28</f>
        <v>0</v>
      </c>
      <c r="Q20" s="5">
        <f t="shared" ref="Q20:Q22" si="0">SUM(E20:P20)</f>
        <v>0</v>
      </c>
    </row>
    <row r="21" spans="3:17" x14ac:dyDescent="0.35">
      <c r="D21" s="3" t="s">
        <v>424</v>
      </c>
      <c r="E21" s="5">
        <f>'Input Actual2024-25'!E26</f>
        <v>0</v>
      </c>
      <c r="F21" s="5">
        <f>'Input Actual2024-25'!F26</f>
        <v>0</v>
      </c>
      <c r="G21" s="5">
        <f>'Input Actual2024-25'!G26</f>
        <v>0</v>
      </c>
      <c r="H21" s="5">
        <f>'Input Actual2024-25'!H26</f>
        <v>0</v>
      </c>
      <c r="I21" s="5">
        <f>'Input Actual2024-25'!I26</f>
        <v>0</v>
      </c>
      <c r="J21" s="5">
        <f>'Input Actual2024-25'!J26</f>
        <v>0</v>
      </c>
      <c r="K21" s="5">
        <f>'Input Actual2024-25'!K26</f>
        <v>0</v>
      </c>
      <c r="L21" s="5">
        <f>'Input Actual2024-25'!L26</f>
        <v>0</v>
      </c>
      <c r="M21" s="5">
        <f>'Input Actual2024-25'!M26</f>
        <v>0</v>
      </c>
      <c r="N21" s="5">
        <f>'Input Actual2024-25'!N26</f>
        <v>0</v>
      </c>
      <c r="O21" s="5">
        <f>'Input Actual2024-25'!O26</f>
        <v>0</v>
      </c>
      <c r="P21" s="5">
        <f>'Input Actual2024-25'!P26</f>
        <v>0</v>
      </c>
      <c r="Q21" s="5">
        <f t="shared" si="0"/>
        <v>0</v>
      </c>
    </row>
    <row r="22" spans="3:17" x14ac:dyDescent="0.35">
      <c r="D22" s="3" t="s">
        <v>7</v>
      </c>
      <c r="E22" s="5">
        <f t="shared" ref="E22:P22" si="1">IF(E20=0,0,E20-E19)</f>
        <v>0</v>
      </c>
      <c r="F22" s="5">
        <f t="shared" si="1"/>
        <v>0</v>
      </c>
      <c r="G22" s="5">
        <f t="shared" si="1"/>
        <v>0</v>
      </c>
      <c r="H22" s="5">
        <f t="shared" si="1"/>
        <v>0</v>
      </c>
      <c r="I22" s="5">
        <f t="shared" si="1"/>
        <v>0</v>
      </c>
      <c r="J22" s="5">
        <f t="shared" si="1"/>
        <v>0</v>
      </c>
      <c r="K22" s="5">
        <f t="shared" si="1"/>
        <v>0</v>
      </c>
      <c r="L22" s="5">
        <f t="shared" si="1"/>
        <v>0</v>
      </c>
      <c r="M22" s="5">
        <f t="shared" si="1"/>
        <v>0</v>
      </c>
      <c r="N22" s="5">
        <f t="shared" si="1"/>
        <v>0</v>
      </c>
      <c r="O22" s="5">
        <f t="shared" si="1"/>
        <v>0</v>
      </c>
      <c r="P22" s="5">
        <f t="shared" si="1"/>
        <v>0</v>
      </c>
      <c r="Q22" s="5">
        <f t="shared" si="0"/>
        <v>0</v>
      </c>
    </row>
    <row r="23" spans="3:17" x14ac:dyDescent="0.35">
      <c r="D23" s="3" t="s">
        <v>43</v>
      </c>
      <c r="E23" s="9" t="e">
        <f>E21/E19</f>
        <v>#DIV/0!</v>
      </c>
      <c r="F23" s="9" t="e">
        <f t="shared" ref="F23:P23" si="2">F20/F19</f>
        <v>#DIV/0!</v>
      </c>
      <c r="G23" s="9" t="e">
        <f t="shared" si="2"/>
        <v>#DIV/0!</v>
      </c>
      <c r="H23" s="9" t="e">
        <f t="shared" si="2"/>
        <v>#DIV/0!</v>
      </c>
      <c r="I23" s="9" t="e">
        <f t="shared" si="2"/>
        <v>#DIV/0!</v>
      </c>
      <c r="J23" s="9" t="e">
        <f t="shared" si="2"/>
        <v>#DIV/0!</v>
      </c>
      <c r="K23" s="9" t="e">
        <f t="shared" si="2"/>
        <v>#DIV/0!</v>
      </c>
      <c r="L23" s="9" t="e">
        <f t="shared" si="2"/>
        <v>#DIV/0!</v>
      </c>
      <c r="M23" s="9" t="e">
        <f t="shared" si="2"/>
        <v>#DIV/0!</v>
      </c>
      <c r="N23" s="9" t="e">
        <f t="shared" si="2"/>
        <v>#DIV/0!</v>
      </c>
      <c r="O23" s="9" t="e">
        <f t="shared" si="2"/>
        <v>#DIV/0!</v>
      </c>
      <c r="P23" s="9" t="e">
        <f t="shared" si="2"/>
        <v>#DIV/0!</v>
      </c>
    </row>
    <row r="25" spans="3:17" x14ac:dyDescent="0.35">
      <c r="C25" s="7" t="s">
        <v>3</v>
      </c>
      <c r="E25" s="11">
        <f>E18</f>
        <v>45839</v>
      </c>
      <c r="F25" s="11">
        <f t="shared" ref="F25:P25" si="3">F18</f>
        <v>45870</v>
      </c>
      <c r="G25" s="11">
        <f t="shared" si="3"/>
        <v>45901</v>
      </c>
      <c r="H25" s="11">
        <f t="shared" si="3"/>
        <v>45931</v>
      </c>
      <c r="I25" s="11">
        <f t="shared" si="3"/>
        <v>45962</v>
      </c>
      <c r="J25" s="11">
        <f t="shared" si="3"/>
        <v>45992</v>
      </c>
      <c r="K25" s="11">
        <f t="shared" si="3"/>
        <v>46023</v>
      </c>
      <c r="L25" s="11">
        <f t="shared" si="3"/>
        <v>46054</v>
      </c>
      <c r="M25" s="11">
        <f t="shared" si="3"/>
        <v>46082</v>
      </c>
      <c r="N25" s="11">
        <f t="shared" si="3"/>
        <v>46113</v>
      </c>
      <c r="O25" s="11">
        <f t="shared" si="3"/>
        <v>46143</v>
      </c>
      <c r="P25" s="11">
        <f t="shared" si="3"/>
        <v>46174</v>
      </c>
    </row>
    <row r="26" spans="3:17" x14ac:dyDescent="0.35">
      <c r="D26" s="3" t="str">
        <f>D19</f>
        <v>Budget 2025-26</v>
      </c>
      <c r="E26" s="5">
        <f>SUM($E19:E19)</f>
        <v>0</v>
      </c>
      <c r="F26" s="5">
        <f>SUM($E19:F19)</f>
        <v>0</v>
      </c>
      <c r="G26" s="5">
        <f>SUM($E19:G19)</f>
        <v>0</v>
      </c>
      <c r="H26" s="5">
        <f>SUM($E19:H19)</f>
        <v>0</v>
      </c>
      <c r="I26" s="5">
        <f>SUM($E19:I19)</f>
        <v>0</v>
      </c>
      <c r="J26" s="5">
        <f>SUM($E19:J19)</f>
        <v>0</v>
      </c>
      <c r="K26" s="5">
        <f>SUM($E19:K19)</f>
        <v>0</v>
      </c>
      <c r="L26" s="5">
        <f>SUM($E19:L19)</f>
        <v>0</v>
      </c>
      <c r="M26" s="5">
        <f>SUM($E19:M19)</f>
        <v>0</v>
      </c>
      <c r="N26" s="5">
        <f>SUM($E19:N19)</f>
        <v>0</v>
      </c>
      <c r="O26" s="5">
        <f>SUM($E19:O19)</f>
        <v>0</v>
      </c>
      <c r="P26" s="5">
        <f>SUM($E19:P19)</f>
        <v>0</v>
      </c>
    </row>
    <row r="27" spans="3:17" x14ac:dyDescent="0.35">
      <c r="D27" s="3" t="str">
        <f t="shared" ref="D27:D30" si="4">D20</f>
        <v>Actual 2025-26</v>
      </c>
      <c r="E27" s="5">
        <f>SUM($E20:E20)</f>
        <v>0</v>
      </c>
      <c r="F27" s="5">
        <f>SUM($E20:F20)</f>
        <v>0</v>
      </c>
      <c r="G27" s="5">
        <f>SUM($E20:G20)</f>
        <v>0</v>
      </c>
      <c r="H27" s="5">
        <f>SUM($E20:H20)</f>
        <v>0</v>
      </c>
      <c r="I27" s="5">
        <f>SUM($E20:I20)</f>
        <v>0</v>
      </c>
      <c r="J27" s="5">
        <f>SUM($E20:J20)</f>
        <v>0</v>
      </c>
      <c r="K27" s="5">
        <f>SUM($E20:K20)</f>
        <v>0</v>
      </c>
      <c r="L27" s="5">
        <f>SUM($E20:L20)</f>
        <v>0</v>
      </c>
      <c r="M27" s="5">
        <f>SUM($E20:M20)</f>
        <v>0</v>
      </c>
      <c r="N27" s="5">
        <f>SUM($E20:N20)</f>
        <v>0</v>
      </c>
      <c r="O27" s="5">
        <f>SUM($E20:O20)</f>
        <v>0</v>
      </c>
      <c r="P27" s="5">
        <f>SUM($E20:P20)</f>
        <v>0</v>
      </c>
    </row>
    <row r="28" spans="3:17" x14ac:dyDescent="0.35">
      <c r="D28" s="3" t="str">
        <f t="shared" si="4"/>
        <v>Actual 2024-25</v>
      </c>
      <c r="E28" s="5">
        <f>SUM($E21:E21)</f>
        <v>0</v>
      </c>
      <c r="F28" s="5">
        <f>SUM($E21:F21)</f>
        <v>0</v>
      </c>
      <c r="G28" s="5">
        <f>SUM($E21:G21)</f>
        <v>0</v>
      </c>
      <c r="H28" s="5">
        <f>SUM($E21:H21)</f>
        <v>0</v>
      </c>
      <c r="I28" s="5">
        <f>SUM($E21:I21)</f>
        <v>0</v>
      </c>
      <c r="J28" s="5">
        <f>SUM($E21:J21)</f>
        <v>0</v>
      </c>
      <c r="K28" s="5">
        <f>SUM($E21:K21)</f>
        <v>0</v>
      </c>
      <c r="L28" s="5">
        <f>SUM($E21:L21)</f>
        <v>0</v>
      </c>
      <c r="M28" s="5">
        <f>SUM($E21:M21)</f>
        <v>0</v>
      </c>
      <c r="N28" s="5">
        <f>SUM($E21:N21)</f>
        <v>0</v>
      </c>
      <c r="O28" s="5">
        <f>SUM($E21:O21)</f>
        <v>0</v>
      </c>
      <c r="P28" s="5">
        <f>SUM($E21:P21)</f>
        <v>0</v>
      </c>
    </row>
    <row r="29" spans="3:17" x14ac:dyDescent="0.35">
      <c r="D29" s="3" t="str">
        <f t="shared" si="4"/>
        <v>Difference</v>
      </c>
      <c r="E29" s="5">
        <f>SUM($E22:E22)</f>
        <v>0</v>
      </c>
      <c r="F29" s="5">
        <f>SUM($E22:F22)</f>
        <v>0</v>
      </c>
      <c r="G29" s="5">
        <f>SUM($E22:G22)</f>
        <v>0</v>
      </c>
      <c r="H29" s="5">
        <f>SUM($E22:H22)</f>
        <v>0</v>
      </c>
      <c r="I29" s="5">
        <f>SUM($E22:I22)</f>
        <v>0</v>
      </c>
      <c r="J29" s="5">
        <f>SUM($E22:J22)</f>
        <v>0</v>
      </c>
      <c r="K29" s="5">
        <f>SUM($E22:K22)</f>
        <v>0</v>
      </c>
      <c r="L29" s="5">
        <f>SUM($E22:L22)</f>
        <v>0</v>
      </c>
      <c r="M29" s="5">
        <f>SUM($E22:M22)</f>
        <v>0</v>
      </c>
      <c r="N29" s="5">
        <f>SUM($E22:N22)</f>
        <v>0</v>
      </c>
      <c r="O29" s="5">
        <f>SUM($E22:O22)</f>
        <v>0</v>
      </c>
      <c r="P29" s="5">
        <f>SUM($E22:P22)</f>
        <v>0</v>
      </c>
    </row>
    <row r="30" spans="3:17" x14ac:dyDescent="0.35">
      <c r="D30" s="3" t="str">
        <f t="shared" si="4"/>
        <v>Realisation</v>
      </c>
      <c r="E30" s="9" t="e">
        <f>E28/E26</f>
        <v>#DIV/0!</v>
      </c>
      <c r="F30" s="9" t="e">
        <f t="shared" ref="F30:P30" si="5">F27/F26</f>
        <v>#DIV/0!</v>
      </c>
      <c r="G30" s="9" t="e">
        <f t="shared" si="5"/>
        <v>#DIV/0!</v>
      </c>
      <c r="H30" s="9" t="e">
        <f t="shared" si="5"/>
        <v>#DIV/0!</v>
      </c>
      <c r="I30" s="9" t="e">
        <f t="shared" si="5"/>
        <v>#DIV/0!</v>
      </c>
      <c r="J30" s="9" t="e">
        <f t="shared" si="5"/>
        <v>#DIV/0!</v>
      </c>
      <c r="K30" s="9" t="e">
        <f t="shared" si="5"/>
        <v>#DIV/0!</v>
      </c>
      <c r="L30" s="9" t="e">
        <f t="shared" si="5"/>
        <v>#DIV/0!</v>
      </c>
      <c r="M30" s="9" t="e">
        <f t="shared" si="5"/>
        <v>#DIV/0!</v>
      </c>
      <c r="N30" s="9" t="e">
        <f t="shared" si="5"/>
        <v>#DIV/0!</v>
      </c>
      <c r="O30" s="9" t="e">
        <f t="shared" si="5"/>
        <v>#DIV/0!</v>
      </c>
      <c r="P30" s="9" t="e">
        <f t="shared" si="5"/>
        <v>#DIV/0!</v>
      </c>
    </row>
  </sheetData>
  <mergeCells count="2">
    <mergeCell ref="J4:Q8"/>
    <mergeCell ref="J10:Q15"/>
  </mergeCells>
  <conditionalFormatting sqref="C3">
    <cfRule type="expression" dxfId="503" priority="2">
      <formula>S4&lt;S6</formula>
    </cfRule>
  </conditionalFormatting>
  <conditionalFormatting sqref="C5">
    <cfRule type="expression" dxfId="502" priority="3">
      <formula>S4&gt;=S5</formula>
    </cfRule>
  </conditionalFormatting>
  <conditionalFormatting sqref="C4">
    <cfRule type="expression" dxfId="501" priority="1">
      <formula>AND(S4&gt;=S6,S4&lt;S5)</formula>
    </cfRule>
  </conditionalFormatting>
  <hyperlinks>
    <hyperlink ref="L1" location="Dashboard!A1" display="Dashboard"/>
  </hyperlinks>
  <pageMargins left="0.7" right="0.7" top="0.75" bottom="0.75" header="0.3" footer="0.3"/>
  <pageSetup orientation="portrait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952321" r:id="rId4" name="Spinner 1">
              <controlPr defaultSize="0" autoPict="0">
                <anchor moveWithCells="1" sizeWithCells="1">
                  <from>
                    <xdr:col>9</xdr:col>
                    <xdr:colOff>19050</xdr:colOff>
                    <xdr:row>0</xdr:row>
                    <xdr:rowOff>38100</xdr:rowOff>
                  </from>
                  <to>
                    <xdr:col>9</xdr:col>
                    <xdr:colOff>400050</xdr:colOff>
                    <xdr:row>1</xdr:row>
                    <xdr:rowOff>152400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22">
    <tabColor rgb="FFFFC000"/>
  </sheetPr>
  <dimension ref="A1:S30"/>
  <sheetViews>
    <sheetView zoomScale="90" zoomScaleNormal="90" workbookViewId="0">
      <selection activeCell="L1" sqref="L1"/>
    </sheetView>
  </sheetViews>
  <sheetFormatPr defaultColWidth="9.1796875" defaultRowHeight="14.5" x14ac:dyDescent="0.35"/>
  <cols>
    <col min="1" max="1" width="9.1796875" style="3"/>
    <col min="2" max="2" width="5.1796875" style="3" customWidth="1"/>
    <col min="3" max="3" width="6.26953125" style="3" customWidth="1"/>
    <col min="4" max="4" width="21.26953125" style="3" bestFit="1" customWidth="1"/>
    <col min="5" max="16" width="11.1796875" style="3" customWidth="1"/>
    <col min="17" max="17" width="12" style="3" bestFit="1" customWidth="1"/>
    <col min="18" max="18" width="9.1796875" style="3" customWidth="1"/>
    <col min="19" max="16384" width="9.1796875" style="3"/>
  </cols>
  <sheetData>
    <row r="1" spans="1:19" ht="21" x14ac:dyDescent="0.5">
      <c r="A1" s="4" t="s">
        <v>4</v>
      </c>
      <c r="B1" s="4">
        <f>Dashboard!A31</f>
        <v>0</v>
      </c>
      <c r="C1" s="4" t="str">
        <f>Dashboard!B31</f>
        <v>TOTAL NEW SEWER CONNECTIONS CENTRAL REGION</v>
      </c>
      <c r="G1" s="3" t="s">
        <v>9</v>
      </c>
      <c r="I1" s="12">
        <f>INDEX($E$18:$P$18,Actual_month)</f>
        <v>46054</v>
      </c>
      <c r="L1" s="16" t="s">
        <v>19</v>
      </c>
      <c r="R1" s="5"/>
    </row>
    <row r="2" spans="1:19" x14ac:dyDescent="0.35">
      <c r="A2" s="3" t="s">
        <v>13</v>
      </c>
      <c r="C2" s="3" t="s">
        <v>27</v>
      </c>
      <c r="R2" s="6"/>
    </row>
    <row r="3" spans="1:19" ht="25.5" customHeight="1" thickBot="1" x14ac:dyDescent="0.4">
      <c r="C3" s="1" t="s">
        <v>5</v>
      </c>
      <c r="E3" s="10"/>
      <c r="F3" s="10"/>
      <c r="G3" s="10"/>
      <c r="H3" s="10"/>
      <c r="I3" s="10"/>
      <c r="J3" s="3" t="s">
        <v>6</v>
      </c>
      <c r="K3" s="10"/>
      <c r="M3" s="10"/>
      <c r="N3" s="10"/>
      <c r="O3" s="10"/>
      <c r="P3" s="10"/>
    </row>
    <row r="4" spans="1:19" ht="25.5" customHeight="1" x14ac:dyDescent="0.35">
      <c r="C4" s="1" t="s">
        <v>5</v>
      </c>
      <c r="E4" s="10"/>
      <c r="F4" s="10"/>
      <c r="G4" s="10"/>
      <c r="H4" s="10"/>
      <c r="I4" s="10"/>
      <c r="J4" s="401"/>
      <c r="K4" s="402"/>
      <c r="L4" s="402"/>
      <c r="M4" s="402"/>
      <c r="N4" s="402"/>
      <c r="O4" s="402"/>
      <c r="P4" s="402"/>
      <c r="Q4" s="403"/>
      <c r="R4" s="3" t="s">
        <v>22</v>
      </c>
      <c r="S4" s="5">
        <f>INDEX(E27:P27,Actual_month)</f>
        <v>15</v>
      </c>
    </row>
    <row r="5" spans="1:19" ht="25.5" customHeight="1" x14ac:dyDescent="0.35">
      <c r="C5" s="1" t="s">
        <v>5</v>
      </c>
      <c r="E5" s="10"/>
      <c r="F5" s="10"/>
      <c r="G5" s="10"/>
      <c r="H5" s="10"/>
      <c r="I5" s="10"/>
      <c r="J5" s="404"/>
      <c r="K5" s="405"/>
      <c r="L5" s="405"/>
      <c r="M5" s="405"/>
      <c r="N5" s="405"/>
      <c r="O5" s="405"/>
      <c r="P5" s="405"/>
      <c r="Q5" s="406"/>
      <c r="R5" s="3" t="s">
        <v>23</v>
      </c>
      <c r="S5" s="5">
        <f>INDEX(E26:P26,Actual_month)</f>
        <v>105</v>
      </c>
    </row>
    <row r="6" spans="1:19" x14ac:dyDescent="0.35">
      <c r="J6" s="404"/>
      <c r="K6" s="405"/>
      <c r="L6" s="405"/>
      <c r="M6" s="405"/>
      <c r="N6" s="405"/>
      <c r="O6" s="405"/>
      <c r="P6" s="405"/>
      <c r="Q6" s="406"/>
      <c r="R6" s="6">
        <v>0.9</v>
      </c>
      <c r="S6" s="5">
        <f>+S5*R6</f>
        <v>94.5</v>
      </c>
    </row>
    <row r="7" spans="1:19" x14ac:dyDescent="0.35">
      <c r="J7" s="404"/>
      <c r="K7" s="405"/>
      <c r="L7" s="405"/>
      <c r="M7" s="405"/>
      <c r="N7" s="405"/>
      <c r="O7" s="405"/>
      <c r="P7" s="405"/>
      <c r="Q7" s="406"/>
    </row>
    <row r="8" spans="1:19" ht="15" thickBot="1" x14ac:dyDescent="0.4">
      <c r="J8" s="407"/>
      <c r="K8" s="408"/>
      <c r="L8" s="408"/>
      <c r="M8" s="408"/>
      <c r="N8" s="408"/>
      <c r="O8" s="408"/>
      <c r="P8" s="408"/>
      <c r="Q8" s="409"/>
    </row>
    <row r="9" spans="1:19" ht="15" thickBot="1" x14ac:dyDescent="0.4">
      <c r="J9" s="3" t="s">
        <v>12</v>
      </c>
    </row>
    <row r="10" spans="1:19" x14ac:dyDescent="0.35">
      <c r="J10" s="401"/>
      <c r="K10" s="402"/>
      <c r="L10" s="402"/>
      <c r="M10" s="402"/>
      <c r="N10" s="402"/>
      <c r="O10" s="402"/>
      <c r="P10" s="402"/>
      <c r="Q10" s="403"/>
    </row>
    <row r="11" spans="1:19" x14ac:dyDescent="0.35">
      <c r="J11" s="404"/>
      <c r="K11" s="405"/>
      <c r="L11" s="405"/>
      <c r="M11" s="405"/>
      <c r="N11" s="405"/>
      <c r="O11" s="405"/>
      <c r="P11" s="405"/>
      <c r="Q11" s="406"/>
    </row>
    <row r="12" spans="1:19" x14ac:dyDescent="0.35">
      <c r="J12" s="404"/>
      <c r="K12" s="405"/>
      <c r="L12" s="405"/>
      <c r="M12" s="405"/>
      <c r="N12" s="405"/>
      <c r="O12" s="405"/>
      <c r="P12" s="405"/>
      <c r="Q12" s="406"/>
    </row>
    <row r="13" spans="1:19" x14ac:dyDescent="0.35">
      <c r="J13" s="404"/>
      <c r="K13" s="405"/>
      <c r="L13" s="405"/>
      <c r="M13" s="405"/>
      <c r="N13" s="405"/>
      <c r="O13" s="405"/>
      <c r="P13" s="405"/>
      <c r="Q13" s="406"/>
    </row>
    <row r="14" spans="1:19" x14ac:dyDescent="0.35">
      <c r="J14" s="404"/>
      <c r="K14" s="405"/>
      <c r="L14" s="405"/>
      <c r="M14" s="405"/>
      <c r="N14" s="405"/>
      <c r="O14" s="405"/>
      <c r="P14" s="405"/>
      <c r="Q14" s="406"/>
    </row>
    <row r="15" spans="1:19" ht="15" thickBot="1" x14ac:dyDescent="0.4">
      <c r="J15" s="407"/>
      <c r="K15" s="408"/>
      <c r="L15" s="408"/>
      <c r="M15" s="408"/>
      <c r="N15" s="408"/>
      <c r="O15" s="408"/>
      <c r="P15" s="408"/>
      <c r="Q15" s="409"/>
    </row>
    <row r="18" spans="3:17" x14ac:dyDescent="0.35">
      <c r="C18" s="7" t="s">
        <v>8</v>
      </c>
      <c r="E18" s="11">
        <f>'KPI 1'!E18</f>
        <v>45839</v>
      </c>
      <c r="F18" s="11">
        <f>'KPI 1'!F18</f>
        <v>45870</v>
      </c>
      <c r="G18" s="11">
        <f>'KPI 1'!G18</f>
        <v>45901</v>
      </c>
      <c r="H18" s="11">
        <f>'KPI 1'!H18</f>
        <v>45931</v>
      </c>
      <c r="I18" s="11">
        <f>'KPI 1'!I18</f>
        <v>45962</v>
      </c>
      <c r="J18" s="11">
        <f>'KPI 1'!J18</f>
        <v>45992</v>
      </c>
      <c r="K18" s="11">
        <f>'KPI 1'!K18</f>
        <v>46023</v>
      </c>
      <c r="L18" s="11">
        <f>'KPI 1'!L18</f>
        <v>46054</v>
      </c>
      <c r="M18" s="11">
        <f>'KPI 1'!M18</f>
        <v>46082</v>
      </c>
      <c r="N18" s="11">
        <f>'KPI 1'!N18</f>
        <v>46113</v>
      </c>
      <c r="O18" s="11">
        <f>'KPI 1'!O18</f>
        <v>46143</v>
      </c>
      <c r="P18" s="11">
        <f>'KPI 1'!P18</f>
        <v>46174</v>
      </c>
      <c r="Q18" s="8" t="s">
        <v>0</v>
      </c>
    </row>
    <row r="19" spans="3:17" x14ac:dyDescent="0.35">
      <c r="D19" s="3" t="str">
        <f>'KPI 1'!D19</f>
        <v>Budget 2025-26</v>
      </c>
      <c r="E19" s="5">
        <f>'budget 2025-26'!D30</f>
        <v>14</v>
      </c>
      <c r="F19" s="5">
        <f>'budget 2025-26'!E30</f>
        <v>13</v>
      </c>
      <c r="G19" s="5">
        <f>'budget 2025-26'!F30</f>
        <v>13</v>
      </c>
      <c r="H19" s="5">
        <f>'budget 2025-26'!G30</f>
        <v>13</v>
      </c>
      <c r="I19" s="5">
        <f>'budget 2025-26'!H30</f>
        <v>13</v>
      </c>
      <c r="J19" s="5">
        <f>'budget 2025-26'!I30</f>
        <v>13</v>
      </c>
      <c r="K19" s="5">
        <f>'budget 2025-26'!J30</f>
        <v>13</v>
      </c>
      <c r="L19" s="5">
        <f>'budget 2025-26'!K30</f>
        <v>13</v>
      </c>
      <c r="M19" s="5">
        <f>'budget 2025-26'!L30</f>
        <v>13</v>
      </c>
      <c r="N19" s="5">
        <f>'budget 2025-26'!M30</f>
        <v>13</v>
      </c>
      <c r="O19" s="5">
        <f>'budget 2025-26'!N30</f>
        <v>13</v>
      </c>
      <c r="P19" s="5">
        <f>'budget 2025-26'!O30</f>
        <v>13</v>
      </c>
      <c r="Q19" s="5">
        <f>SUM(E19:P19)</f>
        <v>157</v>
      </c>
    </row>
    <row r="20" spans="3:17" x14ac:dyDescent="0.35">
      <c r="D20" s="3" t="str">
        <f>'KPI 1'!D20</f>
        <v>Actual 2025-26</v>
      </c>
      <c r="E20" s="5">
        <f>'Input Actual2025-26'!E31</f>
        <v>0</v>
      </c>
      <c r="F20" s="5">
        <f>'Input Actual2025-26'!F31</f>
        <v>2</v>
      </c>
      <c r="G20" s="5">
        <f>'Input Actual2025-26'!G31</f>
        <v>2</v>
      </c>
      <c r="H20" s="5">
        <f>'Input Actual2025-26'!H31</f>
        <v>2</v>
      </c>
      <c r="I20" s="5">
        <f>'Input Actual2025-26'!I31</f>
        <v>2</v>
      </c>
      <c r="J20" s="5">
        <f>'Input Actual2025-26'!J31</f>
        <v>0</v>
      </c>
      <c r="K20" s="5">
        <f>'Input Actual2025-26'!K31</f>
        <v>4</v>
      </c>
      <c r="L20" s="5">
        <f>'Input Actual2025-26'!L31</f>
        <v>3</v>
      </c>
      <c r="M20" s="5">
        <f>'Input Actual2025-26'!M31</f>
        <v>0</v>
      </c>
      <c r="N20" s="5">
        <f>'Input Actual2025-26'!N31</f>
        <v>0</v>
      </c>
      <c r="O20" s="5">
        <f>'Input Actual2025-26'!O31</f>
        <v>0</v>
      </c>
      <c r="P20" s="5">
        <f>'Input Actual2025-26'!P31</f>
        <v>0</v>
      </c>
      <c r="Q20" s="5">
        <f t="shared" ref="Q20:Q22" si="0">SUM(E20:P20)</f>
        <v>15</v>
      </c>
    </row>
    <row r="21" spans="3:17" x14ac:dyDescent="0.35">
      <c r="D21" s="3" t="s">
        <v>424</v>
      </c>
      <c r="E21" s="5">
        <f>'Input Actual2024-25'!E29</f>
        <v>2</v>
      </c>
      <c r="F21" s="5">
        <f>'Input Actual2024-25'!F29</f>
        <v>10</v>
      </c>
      <c r="G21" s="5">
        <f>'Input Actual2024-25'!G29</f>
        <v>1</v>
      </c>
      <c r="H21" s="5">
        <f>'Input Actual2024-25'!H29</f>
        <v>1</v>
      </c>
      <c r="I21" s="5">
        <f>'Input Actual2024-25'!I29</f>
        <v>0</v>
      </c>
      <c r="J21" s="5">
        <f>'Input Actual2024-25'!J29</f>
        <v>3</v>
      </c>
      <c r="K21" s="5">
        <f>'Input Actual2024-25'!K29</f>
        <v>1</v>
      </c>
      <c r="L21" s="5">
        <f>'Input Actual2024-25'!L29</f>
        <v>4</v>
      </c>
      <c r="M21" s="5">
        <f>'Input Actual2024-25'!M29</f>
        <v>2</v>
      </c>
      <c r="N21" s="5">
        <f>'Input Actual2024-25'!N29</f>
        <v>2</v>
      </c>
      <c r="O21" s="5">
        <f>'Input Actual2024-25'!O29</f>
        <v>0</v>
      </c>
      <c r="P21" s="5">
        <f>'Input Actual2024-25'!P29</f>
        <v>2</v>
      </c>
      <c r="Q21" s="5">
        <f t="shared" si="0"/>
        <v>28</v>
      </c>
    </row>
    <row r="22" spans="3:17" x14ac:dyDescent="0.35">
      <c r="D22" s="3" t="s">
        <v>7</v>
      </c>
      <c r="E22" s="5">
        <f t="shared" ref="E22:P22" si="1">IF(E20=0,0,E20-E19)</f>
        <v>0</v>
      </c>
      <c r="F22" s="5">
        <f t="shared" si="1"/>
        <v>-11</v>
      </c>
      <c r="G22" s="5">
        <f t="shared" si="1"/>
        <v>-11</v>
      </c>
      <c r="H22" s="5">
        <f t="shared" si="1"/>
        <v>-11</v>
      </c>
      <c r="I22" s="5">
        <f t="shared" si="1"/>
        <v>-11</v>
      </c>
      <c r="J22" s="5">
        <f t="shared" si="1"/>
        <v>0</v>
      </c>
      <c r="K22" s="5">
        <f t="shared" si="1"/>
        <v>-9</v>
      </c>
      <c r="L22" s="5">
        <f t="shared" si="1"/>
        <v>-10</v>
      </c>
      <c r="M22" s="5">
        <f t="shared" si="1"/>
        <v>0</v>
      </c>
      <c r="N22" s="5">
        <f t="shared" si="1"/>
        <v>0</v>
      </c>
      <c r="O22" s="5">
        <f t="shared" si="1"/>
        <v>0</v>
      </c>
      <c r="P22" s="5">
        <f t="shared" si="1"/>
        <v>0</v>
      </c>
      <c r="Q22" s="5">
        <f t="shared" si="0"/>
        <v>-63</v>
      </c>
    </row>
    <row r="23" spans="3:17" x14ac:dyDescent="0.35">
      <c r="D23" s="3" t="s">
        <v>43</v>
      </c>
      <c r="E23" s="9">
        <f>E21/E19</f>
        <v>0.14285714285714285</v>
      </c>
      <c r="F23" s="9">
        <f t="shared" ref="F23:P23" si="2">F20/F19</f>
        <v>0.15384615384615385</v>
      </c>
      <c r="G23" s="9">
        <f t="shared" si="2"/>
        <v>0.15384615384615385</v>
      </c>
      <c r="H23" s="9">
        <f t="shared" si="2"/>
        <v>0.15384615384615385</v>
      </c>
      <c r="I23" s="9">
        <f t="shared" si="2"/>
        <v>0.15384615384615385</v>
      </c>
      <c r="J23" s="9">
        <f t="shared" si="2"/>
        <v>0</v>
      </c>
      <c r="K23" s="9">
        <f t="shared" si="2"/>
        <v>0.30769230769230771</v>
      </c>
      <c r="L23" s="9">
        <f t="shared" si="2"/>
        <v>0.23076923076923078</v>
      </c>
      <c r="M23" s="9">
        <f t="shared" si="2"/>
        <v>0</v>
      </c>
      <c r="N23" s="9">
        <f t="shared" si="2"/>
        <v>0</v>
      </c>
      <c r="O23" s="9">
        <f t="shared" si="2"/>
        <v>0</v>
      </c>
      <c r="P23" s="9">
        <f t="shared" si="2"/>
        <v>0</v>
      </c>
    </row>
    <row r="25" spans="3:17" x14ac:dyDescent="0.35">
      <c r="C25" s="7" t="s">
        <v>3</v>
      </c>
      <c r="E25" s="11">
        <f>E18</f>
        <v>45839</v>
      </c>
      <c r="F25" s="11">
        <f t="shared" ref="F25:P25" si="3">F18</f>
        <v>45870</v>
      </c>
      <c r="G25" s="11">
        <f t="shared" si="3"/>
        <v>45901</v>
      </c>
      <c r="H25" s="11">
        <f t="shared" si="3"/>
        <v>45931</v>
      </c>
      <c r="I25" s="11">
        <f t="shared" si="3"/>
        <v>45962</v>
      </c>
      <c r="J25" s="11">
        <f t="shared" si="3"/>
        <v>45992</v>
      </c>
      <c r="K25" s="11">
        <f t="shared" si="3"/>
        <v>46023</v>
      </c>
      <c r="L25" s="11">
        <f t="shared" si="3"/>
        <v>46054</v>
      </c>
      <c r="M25" s="11">
        <f t="shared" si="3"/>
        <v>46082</v>
      </c>
      <c r="N25" s="11">
        <f t="shared" si="3"/>
        <v>46113</v>
      </c>
      <c r="O25" s="11">
        <f t="shared" si="3"/>
        <v>46143</v>
      </c>
      <c r="P25" s="11">
        <f t="shared" si="3"/>
        <v>46174</v>
      </c>
    </row>
    <row r="26" spans="3:17" x14ac:dyDescent="0.35">
      <c r="D26" s="3" t="str">
        <f>D19</f>
        <v>Budget 2025-26</v>
      </c>
      <c r="E26" s="5">
        <f>SUM($E19:E19)</f>
        <v>14</v>
      </c>
      <c r="F26" s="5">
        <f>SUM($E19:F19)</f>
        <v>27</v>
      </c>
      <c r="G26" s="5">
        <f>SUM($E19:G19)</f>
        <v>40</v>
      </c>
      <c r="H26" s="5">
        <f>SUM($E19:H19)</f>
        <v>53</v>
      </c>
      <c r="I26" s="5">
        <f>SUM($E19:I19)</f>
        <v>66</v>
      </c>
      <c r="J26" s="5">
        <f>SUM($E19:J19)</f>
        <v>79</v>
      </c>
      <c r="K26" s="5">
        <f>SUM($E19:K19)</f>
        <v>92</v>
      </c>
      <c r="L26" s="5">
        <f>SUM($E19:L19)</f>
        <v>105</v>
      </c>
      <c r="M26" s="5">
        <f>SUM($E19:M19)</f>
        <v>118</v>
      </c>
      <c r="N26" s="5">
        <f>SUM($E19:N19)</f>
        <v>131</v>
      </c>
      <c r="O26" s="5">
        <f>SUM($E19:O19)</f>
        <v>144</v>
      </c>
      <c r="P26" s="5">
        <f>SUM($E19:P19)</f>
        <v>157</v>
      </c>
    </row>
    <row r="27" spans="3:17" x14ac:dyDescent="0.35">
      <c r="D27" s="3" t="str">
        <f t="shared" ref="D27:D30" si="4">D20</f>
        <v>Actual 2025-26</v>
      </c>
      <c r="E27" s="5">
        <f>SUM($E20:E20)</f>
        <v>0</v>
      </c>
      <c r="F27" s="5">
        <f>SUM($E20:F20)</f>
        <v>2</v>
      </c>
      <c r="G27" s="5">
        <f>SUM($E20:G20)</f>
        <v>4</v>
      </c>
      <c r="H27" s="5">
        <f>SUM($E20:H20)</f>
        <v>6</v>
      </c>
      <c r="I27" s="5">
        <f>SUM($E20:I20)</f>
        <v>8</v>
      </c>
      <c r="J27" s="5">
        <f>SUM($E20:J20)</f>
        <v>8</v>
      </c>
      <c r="K27" s="5">
        <f>SUM($E20:K20)</f>
        <v>12</v>
      </c>
      <c r="L27" s="5">
        <f>SUM($E20:L20)</f>
        <v>15</v>
      </c>
      <c r="M27" s="5">
        <f>SUM($E20:M20)</f>
        <v>15</v>
      </c>
      <c r="N27" s="5">
        <f>SUM($E20:N20)</f>
        <v>15</v>
      </c>
      <c r="O27" s="5">
        <f>SUM($E20:O20)</f>
        <v>15</v>
      </c>
      <c r="P27" s="5">
        <f>SUM($E20:P20)</f>
        <v>15</v>
      </c>
    </row>
    <row r="28" spans="3:17" x14ac:dyDescent="0.35">
      <c r="D28" s="3" t="str">
        <f t="shared" si="4"/>
        <v>Actual 2024-25</v>
      </c>
      <c r="E28" s="5">
        <f>SUM($E21:E21)</f>
        <v>2</v>
      </c>
      <c r="F28" s="5">
        <f>SUM($E21:F21)</f>
        <v>12</v>
      </c>
      <c r="G28" s="5">
        <f>SUM($E21:G21)</f>
        <v>13</v>
      </c>
      <c r="H28" s="5">
        <f>SUM($E21:H21)</f>
        <v>14</v>
      </c>
      <c r="I28" s="5">
        <f>SUM($E21:I21)</f>
        <v>14</v>
      </c>
      <c r="J28" s="5">
        <f>SUM($E21:J21)</f>
        <v>17</v>
      </c>
      <c r="K28" s="5">
        <f>SUM($E21:K21)</f>
        <v>18</v>
      </c>
      <c r="L28" s="5">
        <f>SUM($E21:L21)</f>
        <v>22</v>
      </c>
      <c r="M28" s="5">
        <f>SUM($E21:M21)</f>
        <v>24</v>
      </c>
      <c r="N28" s="5">
        <f>SUM($E21:N21)</f>
        <v>26</v>
      </c>
      <c r="O28" s="5">
        <f>SUM($E21:O21)</f>
        <v>26</v>
      </c>
      <c r="P28" s="5">
        <f>SUM($E21:P21)</f>
        <v>28</v>
      </c>
    </row>
    <row r="29" spans="3:17" x14ac:dyDescent="0.35">
      <c r="D29" s="3" t="str">
        <f t="shared" si="4"/>
        <v>Difference</v>
      </c>
      <c r="E29" s="5">
        <f>SUM($E22:E22)</f>
        <v>0</v>
      </c>
      <c r="F29" s="5">
        <f>SUM($E22:F22)</f>
        <v>-11</v>
      </c>
      <c r="G29" s="5">
        <f>SUM($E22:G22)</f>
        <v>-22</v>
      </c>
      <c r="H29" s="5">
        <f>SUM($E22:H22)</f>
        <v>-33</v>
      </c>
      <c r="I29" s="5">
        <f>SUM($E22:I22)</f>
        <v>-44</v>
      </c>
      <c r="J29" s="5">
        <f>SUM($E22:J22)</f>
        <v>-44</v>
      </c>
      <c r="K29" s="5">
        <f>SUM($E22:K22)</f>
        <v>-53</v>
      </c>
      <c r="L29" s="5">
        <f>SUM($E22:L22)</f>
        <v>-63</v>
      </c>
      <c r="M29" s="5">
        <f>SUM($E22:M22)</f>
        <v>-63</v>
      </c>
      <c r="N29" s="5">
        <f>SUM($E22:N22)</f>
        <v>-63</v>
      </c>
      <c r="O29" s="5">
        <f>SUM($E22:O22)</f>
        <v>-63</v>
      </c>
      <c r="P29" s="5">
        <f>SUM($E22:P22)</f>
        <v>-63</v>
      </c>
    </row>
    <row r="30" spans="3:17" x14ac:dyDescent="0.35">
      <c r="D30" s="3" t="str">
        <f t="shared" si="4"/>
        <v>Realisation</v>
      </c>
      <c r="E30" s="9">
        <f>E28/E26</f>
        <v>0.14285714285714285</v>
      </c>
      <c r="F30" s="9">
        <f t="shared" ref="F30:P30" si="5">F27/F26</f>
        <v>7.407407407407407E-2</v>
      </c>
      <c r="G30" s="9">
        <f t="shared" si="5"/>
        <v>0.1</v>
      </c>
      <c r="H30" s="9">
        <f t="shared" si="5"/>
        <v>0.11320754716981132</v>
      </c>
      <c r="I30" s="9">
        <f t="shared" si="5"/>
        <v>0.12121212121212122</v>
      </c>
      <c r="J30" s="9">
        <f t="shared" si="5"/>
        <v>0.10126582278481013</v>
      </c>
      <c r="K30" s="9">
        <f t="shared" si="5"/>
        <v>0.13043478260869565</v>
      </c>
      <c r="L30" s="9">
        <f t="shared" si="5"/>
        <v>0.14285714285714285</v>
      </c>
      <c r="M30" s="9">
        <f t="shared" si="5"/>
        <v>0.1271186440677966</v>
      </c>
      <c r="N30" s="9">
        <f t="shared" si="5"/>
        <v>0.11450381679389313</v>
      </c>
      <c r="O30" s="9">
        <f t="shared" si="5"/>
        <v>0.10416666666666667</v>
      </c>
      <c r="P30" s="9">
        <f t="shared" si="5"/>
        <v>9.5541401273885357E-2</v>
      </c>
    </row>
  </sheetData>
  <mergeCells count="2">
    <mergeCell ref="J4:Q8"/>
    <mergeCell ref="J10:Q15"/>
  </mergeCells>
  <conditionalFormatting sqref="C3">
    <cfRule type="expression" dxfId="500" priority="2">
      <formula>S4&lt;S6</formula>
    </cfRule>
  </conditionalFormatting>
  <conditionalFormatting sqref="C5">
    <cfRule type="expression" dxfId="499" priority="3">
      <formula>S4&gt;=S5</formula>
    </cfRule>
  </conditionalFormatting>
  <conditionalFormatting sqref="C4">
    <cfRule type="expression" dxfId="498" priority="1">
      <formula>AND(S4&gt;=S6,S4&lt;S5)</formula>
    </cfRule>
  </conditionalFormatting>
  <hyperlinks>
    <hyperlink ref="L1" location="Dashboard!A1" display="Dashboard"/>
  </hyperlinks>
  <pageMargins left="0.7" right="0.7" top="0.75" bottom="0.75" header="0.3" footer="0.3"/>
  <pageSetup orientation="portrait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953345" r:id="rId4" name="Spinner 1">
              <controlPr defaultSize="0" autoPict="0">
                <anchor moveWithCells="1" sizeWithCells="1">
                  <from>
                    <xdr:col>9</xdr:col>
                    <xdr:colOff>19050</xdr:colOff>
                    <xdr:row>0</xdr:row>
                    <xdr:rowOff>38100</xdr:rowOff>
                  </from>
                  <to>
                    <xdr:col>9</xdr:col>
                    <xdr:colOff>400050</xdr:colOff>
                    <xdr:row>1</xdr:row>
                    <xdr:rowOff>152400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23"/>
  <dimension ref="A1:S30"/>
  <sheetViews>
    <sheetView zoomScale="90" zoomScaleNormal="90" workbookViewId="0">
      <selection activeCell="L1" sqref="L1"/>
    </sheetView>
  </sheetViews>
  <sheetFormatPr defaultColWidth="9.1796875" defaultRowHeight="14.5" x14ac:dyDescent="0.35"/>
  <cols>
    <col min="1" max="1" width="9.1796875" style="3"/>
    <col min="2" max="2" width="5.1796875" style="3" customWidth="1"/>
    <col min="3" max="3" width="6.26953125" style="3" customWidth="1"/>
    <col min="4" max="4" width="21.26953125" style="3" bestFit="1" customWidth="1"/>
    <col min="5" max="16" width="11.1796875" style="3" customWidth="1"/>
    <col min="17" max="17" width="12" style="3" bestFit="1" customWidth="1"/>
    <col min="18" max="18" width="9.1796875" style="3" customWidth="1"/>
    <col min="19" max="16384" width="9.1796875" style="3"/>
  </cols>
  <sheetData>
    <row r="1" spans="1:19" ht="21" x14ac:dyDescent="0.5">
      <c r="A1" s="4" t="s">
        <v>4</v>
      </c>
      <c r="B1" s="4">
        <f>Dashboard!A32</f>
        <v>1</v>
      </c>
      <c r="C1" s="4" t="str">
        <f>Dashboard!B32</f>
        <v>HELLSGATE- NEW SEWER</v>
      </c>
      <c r="G1" s="3" t="s">
        <v>9</v>
      </c>
      <c r="I1" s="12">
        <f>INDEX($E$18:$P$18,Actual_month)</f>
        <v>46054</v>
      </c>
      <c r="L1" s="16" t="s">
        <v>19</v>
      </c>
      <c r="R1" s="5"/>
    </row>
    <row r="2" spans="1:19" x14ac:dyDescent="0.35">
      <c r="A2" s="3" t="s">
        <v>13</v>
      </c>
      <c r="C2" s="3" t="s">
        <v>27</v>
      </c>
      <c r="R2" s="6"/>
    </row>
    <row r="3" spans="1:19" ht="25.5" customHeight="1" thickBot="1" x14ac:dyDescent="0.4">
      <c r="C3" s="1" t="s">
        <v>5</v>
      </c>
      <c r="E3" s="10"/>
      <c r="F3" s="10"/>
      <c r="G3" s="10"/>
      <c r="H3" s="10"/>
      <c r="I3" s="10"/>
      <c r="J3" s="3" t="s">
        <v>6</v>
      </c>
      <c r="K3" s="10"/>
      <c r="M3" s="10"/>
      <c r="N3" s="10"/>
      <c r="O3" s="10"/>
      <c r="P3" s="10"/>
    </row>
    <row r="4" spans="1:19" ht="25.5" customHeight="1" x14ac:dyDescent="0.35">
      <c r="C4" s="1" t="s">
        <v>5</v>
      </c>
      <c r="E4" s="10"/>
      <c r="F4" s="10"/>
      <c r="G4" s="10"/>
      <c r="H4" s="10"/>
      <c r="I4" s="10"/>
      <c r="J4" s="401"/>
      <c r="K4" s="402"/>
      <c r="L4" s="402"/>
      <c r="M4" s="402"/>
      <c r="N4" s="402"/>
      <c r="O4" s="402"/>
      <c r="P4" s="402"/>
      <c r="Q4" s="403"/>
      <c r="R4" s="3" t="s">
        <v>22</v>
      </c>
      <c r="S4" s="5">
        <f>INDEX(E27:P27,Actual_month)</f>
        <v>0</v>
      </c>
    </row>
    <row r="5" spans="1:19" ht="25.5" customHeight="1" x14ac:dyDescent="0.35">
      <c r="C5" s="1" t="s">
        <v>5</v>
      </c>
      <c r="E5" s="10"/>
      <c r="F5" s="10"/>
      <c r="G5" s="10"/>
      <c r="H5" s="10"/>
      <c r="I5" s="10"/>
      <c r="J5" s="404"/>
      <c r="K5" s="405"/>
      <c r="L5" s="405"/>
      <c r="M5" s="405"/>
      <c r="N5" s="405"/>
      <c r="O5" s="405"/>
      <c r="P5" s="405"/>
      <c r="Q5" s="406"/>
      <c r="R5" s="3" t="s">
        <v>23</v>
      </c>
      <c r="S5" s="5">
        <f>INDEX(E26:P26,Actual_month)</f>
        <v>0</v>
      </c>
    </row>
    <row r="6" spans="1:19" x14ac:dyDescent="0.35">
      <c r="J6" s="404"/>
      <c r="K6" s="405"/>
      <c r="L6" s="405"/>
      <c r="M6" s="405"/>
      <c r="N6" s="405"/>
      <c r="O6" s="405"/>
      <c r="P6" s="405"/>
      <c r="Q6" s="406"/>
      <c r="R6" s="6">
        <v>0.9</v>
      </c>
      <c r="S6" s="5">
        <f>+S5*R6</f>
        <v>0</v>
      </c>
    </row>
    <row r="7" spans="1:19" x14ac:dyDescent="0.35">
      <c r="J7" s="404"/>
      <c r="K7" s="405"/>
      <c r="L7" s="405"/>
      <c r="M7" s="405"/>
      <c r="N7" s="405"/>
      <c r="O7" s="405"/>
      <c r="P7" s="405"/>
      <c r="Q7" s="406"/>
    </row>
    <row r="8" spans="1:19" ht="15" thickBot="1" x14ac:dyDescent="0.4">
      <c r="J8" s="407"/>
      <c r="K8" s="408"/>
      <c r="L8" s="408"/>
      <c r="M8" s="408"/>
      <c r="N8" s="408"/>
      <c r="O8" s="408"/>
      <c r="P8" s="408"/>
      <c r="Q8" s="409"/>
    </row>
    <row r="9" spans="1:19" ht="15" thickBot="1" x14ac:dyDescent="0.4">
      <c r="J9" s="3" t="s">
        <v>12</v>
      </c>
    </row>
    <row r="10" spans="1:19" x14ac:dyDescent="0.35">
      <c r="J10" s="401"/>
      <c r="K10" s="402"/>
      <c r="L10" s="402"/>
      <c r="M10" s="402"/>
      <c r="N10" s="402"/>
      <c r="O10" s="402"/>
      <c r="P10" s="402"/>
      <c r="Q10" s="403"/>
    </row>
    <row r="11" spans="1:19" x14ac:dyDescent="0.35">
      <c r="J11" s="404"/>
      <c r="K11" s="405"/>
      <c r="L11" s="405"/>
      <c r="M11" s="405"/>
      <c r="N11" s="405"/>
      <c r="O11" s="405"/>
      <c r="P11" s="405"/>
      <c r="Q11" s="406"/>
    </row>
    <row r="12" spans="1:19" x14ac:dyDescent="0.35">
      <c r="J12" s="404"/>
      <c r="K12" s="405"/>
      <c r="L12" s="405"/>
      <c r="M12" s="405"/>
      <c r="N12" s="405"/>
      <c r="O12" s="405"/>
      <c r="P12" s="405"/>
      <c r="Q12" s="406"/>
    </row>
    <row r="13" spans="1:19" x14ac:dyDescent="0.35">
      <c r="J13" s="404"/>
      <c r="K13" s="405"/>
      <c r="L13" s="405"/>
      <c r="M13" s="405"/>
      <c r="N13" s="405"/>
      <c r="O13" s="405"/>
      <c r="P13" s="405"/>
      <c r="Q13" s="406"/>
    </row>
    <row r="14" spans="1:19" x14ac:dyDescent="0.35">
      <c r="J14" s="404"/>
      <c r="K14" s="405"/>
      <c r="L14" s="405"/>
      <c r="M14" s="405"/>
      <c r="N14" s="405"/>
      <c r="O14" s="405"/>
      <c r="P14" s="405"/>
      <c r="Q14" s="406"/>
    </row>
    <row r="15" spans="1:19" ht="15" thickBot="1" x14ac:dyDescent="0.4">
      <c r="J15" s="407"/>
      <c r="K15" s="408"/>
      <c r="L15" s="408"/>
      <c r="M15" s="408"/>
      <c r="N15" s="408"/>
      <c r="O15" s="408"/>
      <c r="P15" s="408"/>
      <c r="Q15" s="409"/>
    </row>
    <row r="18" spans="3:17" x14ac:dyDescent="0.35">
      <c r="C18" s="7" t="s">
        <v>8</v>
      </c>
      <c r="E18" s="11">
        <f>'KPI 1'!E18</f>
        <v>45839</v>
      </c>
      <c r="F18" s="11">
        <f>'KPI 1'!F18</f>
        <v>45870</v>
      </c>
      <c r="G18" s="11">
        <f>'KPI 1'!G18</f>
        <v>45901</v>
      </c>
      <c r="H18" s="11">
        <f>'KPI 1'!H18</f>
        <v>45931</v>
      </c>
      <c r="I18" s="11">
        <f>'KPI 1'!I18</f>
        <v>45962</v>
      </c>
      <c r="J18" s="11">
        <f>'KPI 1'!J18</f>
        <v>45992</v>
      </c>
      <c r="K18" s="11">
        <f>'KPI 1'!K18</f>
        <v>46023</v>
      </c>
      <c r="L18" s="11">
        <f>'KPI 1'!L18</f>
        <v>46054</v>
      </c>
      <c r="M18" s="11">
        <f>'KPI 1'!M18</f>
        <v>46082</v>
      </c>
      <c r="N18" s="11">
        <f>'KPI 1'!N18</f>
        <v>46113</v>
      </c>
      <c r="O18" s="11">
        <f>'KPI 1'!O18</f>
        <v>46143</v>
      </c>
      <c r="P18" s="11">
        <f>'KPI 1'!P18</f>
        <v>46174</v>
      </c>
      <c r="Q18" s="8" t="s">
        <v>0</v>
      </c>
    </row>
    <row r="19" spans="3:17" x14ac:dyDescent="0.35">
      <c r="D19" s="3" t="str">
        <f>'KPI 1'!D19</f>
        <v>Budget 2025-26</v>
      </c>
      <c r="E19" s="5">
        <f>'budget 2025-26'!D31</f>
        <v>0</v>
      </c>
      <c r="F19" s="5">
        <f>'budget 2025-26'!E31</f>
        <v>0</v>
      </c>
      <c r="G19" s="5">
        <f>'budget 2025-26'!F31</f>
        <v>0</v>
      </c>
      <c r="H19" s="5">
        <f>'budget 2025-26'!G31</f>
        <v>0</v>
      </c>
      <c r="I19" s="5">
        <f>'budget 2025-26'!H31</f>
        <v>0</v>
      </c>
      <c r="J19" s="5">
        <f>'budget 2025-26'!I31</f>
        <v>0</v>
      </c>
      <c r="K19" s="5">
        <f>'budget 2025-26'!J31</f>
        <v>0</v>
      </c>
      <c r="L19" s="5">
        <f>'budget 2025-26'!K31</f>
        <v>0</v>
      </c>
      <c r="M19" s="5">
        <f>'budget 2025-26'!L31</f>
        <v>0</v>
      </c>
      <c r="N19" s="5">
        <f>'budget 2025-26'!M31</f>
        <v>0</v>
      </c>
      <c r="O19" s="5">
        <f>'budget 2025-26'!N31</f>
        <v>0</v>
      </c>
      <c r="P19" s="5">
        <f>'budget 2025-26'!O31</f>
        <v>0</v>
      </c>
      <c r="Q19" s="5">
        <f>SUM(E19:P19)</f>
        <v>0</v>
      </c>
    </row>
    <row r="20" spans="3:17" x14ac:dyDescent="0.35">
      <c r="D20" s="3" t="str">
        <f>'KPI 1'!D20</f>
        <v>Actual 2025-26</v>
      </c>
      <c r="E20" s="5">
        <f>'Input Actual2025-26'!E32</f>
        <v>0</v>
      </c>
      <c r="F20" s="5">
        <f>'Input Actual2025-26'!F32</f>
        <v>0</v>
      </c>
      <c r="G20" s="5">
        <f>'Input Actual2025-26'!G32</f>
        <v>0</v>
      </c>
      <c r="H20" s="5">
        <f>'Input Actual2025-26'!H32</f>
        <v>0</v>
      </c>
      <c r="I20" s="5">
        <f>'Input Actual2025-26'!I32</f>
        <v>0</v>
      </c>
      <c r="J20" s="5">
        <f>'Input Actual2025-26'!J32</f>
        <v>0</v>
      </c>
      <c r="K20" s="5">
        <f>'Input Actual2025-26'!K32</f>
        <v>0</v>
      </c>
      <c r="L20" s="5">
        <f>'Input Actual2025-26'!L32</f>
        <v>0</v>
      </c>
      <c r="M20" s="5">
        <f>'Input Actual2025-26'!M32</f>
        <v>0</v>
      </c>
      <c r="N20" s="5">
        <f>'Input Actual2025-26'!N32</f>
        <v>0</v>
      </c>
      <c r="O20" s="5">
        <f>'Input Actual2025-26'!O32</f>
        <v>0</v>
      </c>
      <c r="P20" s="5">
        <f>'Input Actual2025-26'!P32</f>
        <v>0</v>
      </c>
      <c r="Q20" s="5">
        <f t="shared" ref="Q20:Q22" si="0">SUM(E20:P20)</f>
        <v>0</v>
      </c>
    </row>
    <row r="21" spans="3:17" x14ac:dyDescent="0.35">
      <c r="D21" s="3" t="s">
        <v>424</v>
      </c>
      <c r="E21" s="5">
        <f>'Input Actual2024-25'!E30</f>
        <v>0</v>
      </c>
      <c r="F21" s="5">
        <f>'Input Actual2024-25'!F30</f>
        <v>0</v>
      </c>
      <c r="G21" s="5">
        <f>'Input Actual2024-25'!G30</f>
        <v>0</v>
      </c>
      <c r="H21" s="5">
        <f>'Input Actual2024-25'!H30</f>
        <v>0</v>
      </c>
      <c r="I21" s="5">
        <f>'Input Actual2024-25'!I30</f>
        <v>0</v>
      </c>
      <c r="J21" s="5">
        <f>'Input Actual2024-25'!J30</f>
        <v>0</v>
      </c>
      <c r="K21" s="5">
        <f>'Input Actual2024-25'!K30</f>
        <v>0</v>
      </c>
      <c r="L21" s="5">
        <f>'Input Actual2024-25'!L30</f>
        <v>0</v>
      </c>
      <c r="M21" s="5">
        <f>'Input Actual2024-25'!M30</f>
        <v>0</v>
      </c>
      <c r="N21" s="5">
        <f>'Input Actual2024-25'!N30</f>
        <v>0</v>
      </c>
      <c r="O21" s="5">
        <f>'Input Actual2024-25'!O30</f>
        <v>0</v>
      </c>
      <c r="P21" s="5">
        <f>'Input Actual2024-25'!P30</f>
        <v>0</v>
      </c>
      <c r="Q21" s="5">
        <f t="shared" si="0"/>
        <v>0</v>
      </c>
    </row>
    <row r="22" spans="3:17" x14ac:dyDescent="0.35">
      <c r="D22" s="3" t="s">
        <v>7</v>
      </c>
      <c r="E22" s="5">
        <f t="shared" ref="E22:P22" si="1">IF(E20=0,0,E20-E19)</f>
        <v>0</v>
      </c>
      <c r="F22" s="5">
        <f t="shared" si="1"/>
        <v>0</v>
      </c>
      <c r="G22" s="5">
        <f t="shared" si="1"/>
        <v>0</v>
      </c>
      <c r="H22" s="5">
        <f t="shared" si="1"/>
        <v>0</v>
      </c>
      <c r="I22" s="5">
        <f t="shared" si="1"/>
        <v>0</v>
      </c>
      <c r="J22" s="5">
        <f t="shared" si="1"/>
        <v>0</v>
      </c>
      <c r="K22" s="5">
        <f t="shared" si="1"/>
        <v>0</v>
      </c>
      <c r="L22" s="5">
        <f t="shared" si="1"/>
        <v>0</v>
      </c>
      <c r="M22" s="5">
        <f t="shared" si="1"/>
        <v>0</v>
      </c>
      <c r="N22" s="5">
        <f t="shared" si="1"/>
        <v>0</v>
      </c>
      <c r="O22" s="5">
        <f t="shared" si="1"/>
        <v>0</v>
      </c>
      <c r="P22" s="5">
        <f t="shared" si="1"/>
        <v>0</v>
      </c>
      <c r="Q22" s="5">
        <f t="shared" si="0"/>
        <v>0</v>
      </c>
    </row>
    <row r="23" spans="3:17" x14ac:dyDescent="0.35">
      <c r="D23" s="3" t="s">
        <v>43</v>
      </c>
      <c r="E23" s="9" t="e">
        <f>E21/E19</f>
        <v>#DIV/0!</v>
      </c>
      <c r="F23" s="9" t="e">
        <f t="shared" ref="F23:P23" si="2">F20/F19</f>
        <v>#DIV/0!</v>
      </c>
      <c r="G23" s="9" t="e">
        <f t="shared" si="2"/>
        <v>#DIV/0!</v>
      </c>
      <c r="H23" s="9" t="e">
        <f t="shared" si="2"/>
        <v>#DIV/0!</v>
      </c>
      <c r="I23" s="9" t="e">
        <f t="shared" si="2"/>
        <v>#DIV/0!</v>
      </c>
      <c r="J23" s="9" t="e">
        <f t="shared" si="2"/>
        <v>#DIV/0!</v>
      </c>
      <c r="K23" s="9" t="e">
        <f t="shared" si="2"/>
        <v>#DIV/0!</v>
      </c>
      <c r="L23" s="9" t="e">
        <f t="shared" si="2"/>
        <v>#DIV/0!</v>
      </c>
      <c r="M23" s="9" t="e">
        <f t="shared" si="2"/>
        <v>#DIV/0!</v>
      </c>
      <c r="N23" s="9" t="e">
        <f t="shared" si="2"/>
        <v>#DIV/0!</v>
      </c>
      <c r="O23" s="9" t="e">
        <f t="shared" si="2"/>
        <v>#DIV/0!</v>
      </c>
      <c r="P23" s="9" t="e">
        <f t="shared" si="2"/>
        <v>#DIV/0!</v>
      </c>
    </row>
    <row r="25" spans="3:17" x14ac:dyDescent="0.35">
      <c r="C25" s="7" t="s">
        <v>3</v>
      </c>
      <c r="E25" s="11">
        <f>E18</f>
        <v>45839</v>
      </c>
      <c r="F25" s="11">
        <f t="shared" ref="F25:P25" si="3">F18</f>
        <v>45870</v>
      </c>
      <c r="G25" s="11">
        <f t="shared" si="3"/>
        <v>45901</v>
      </c>
      <c r="H25" s="11">
        <f t="shared" si="3"/>
        <v>45931</v>
      </c>
      <c r="I25" s="11">
        <f t="shared" si="3"/>
        <v>45962</v>
      </c>
      <c r="J25" s="11">
        <f t="shared" si="3"/>
        <v>45992</v>
      </c>
      <c r="K25" s="11">
        <f t="shared" si="3"/>
        <v>46023</v>
      </c>
      <c r="L25" s="11">
        <f t="shared" si="3"/>
        <v>46054</v>
      </c>
      <c r="M25" s="11">
        <f t="shared" si="3"/>
        <v>46082</v>
      </c>
      <c r="N25" s="11">
        <f t="shared" si="3"/>
        <v>46113</v>
      </c>
      <c r="O25" s="11">
        <f t="shared" si="3"/>
        <v>46143</v>
      </c>
      <c r="P25" s="11">
        <f t="shared" si="3"/>
        <v>46174</v>
      </c>
    </row>
    <row r="26" spans="3:17" x14ac:dyDescent="0.35">
      <c r="D26" s="3" t="str">
        <f>D19</f>
        <v>Budget 2025-26</v>
      </c>
      <c r="E26" s="5">
        <f>SUM($E19:E19)</f>
        <v>0</v>
      </c>
      <c r="F26" s="5">
        <f>SUM($E19:F19)</f>
        <v>0</v>
      </c>
      <c r="G26" s="5">
        <f>SUM($E19:G19)</f>
        <v>0</v>
      </c>
      <c r="H26" s="5">
        <f>SUM($E19:H19)</f>
        <v>0</v>
      </c>
      <c r="I26" s="5">
        <f>SUM($E19:I19)</f>
        <v>0</v>
      </c>
      <c r="J26" s="5">
        <f>SUM($E19:J19)</f>
        <v>0</v>
      </c>
      <c r="K26" s="5">
        <f>SUM($E19:K19)</f>
        <v>0</v>
      </c>
      <c r="L26" s="5">
        <f>SUM($E19:L19)</f>
        <v>0</v>
      </c>
      <c r="M26" s="5">
        <f>SUM($E19:M19)</f>
        <v>0</v>
      </c>
      <c r="N26" s="5">
        <f>SUM($E19:N19)</f>
        <v>0</v>
      </c>
      <c r="O26" s="5">
        <f>SUM($E19:O19)</f>
        <v>0</v>
      </c>
      <c r="P26" s="5">
        <f>SUM($E19:P19)</f>
        <v>0</v>
      </c>
    </row>
    <row r="27" spans="3:17" x14ac:dyDescent="0.35">
      <c r="D27" s="3" t="str">
        <f t="shared" ref="D27:D30" si="4">D20</f>
        <v>Actual 2025-26</v>
      </c>
      <c r="E27" s="5">
        <f>SUM($E20:E20)</f>
        <v>0</v>
      </c>
      <c r="F27" s="5">
        <f>SUM($E20:F20)</f>
        <v>0</v>
      </c>
      <c r="G27" s="5">
        <f>SUM($E20:G20)</f>
        <v>0</v>
      </c>
      <c r="H27" s="5">
        <f>SUM($E20:H20)</f>
        <v>0</v>
      </c>
      <c r="I27" s="5">
        <f>SUM($E20:I20)</f>
        <v>0</v>
      </c>
      <c r="J27" s="5">
        <f>SUM($E20:J20)</f>
        <v>0</v>
      </c>
      <c r="K27" s="5">
        <f>SUM($E20:K20)</f>
        <v>0</v>
      </c>
      <c r="L27" s="5">
        <f>SUM($E20:L20)</f>
        <v>0</v>
      </c>
      <c r="M27" s="5">
        <f>SUM($E20:M20)</f>
        <v>0</v>
      </c>
      <c r="N27" s="5">
        <f>SUM($E20:N20)</f>
        <v>0</v>
      </c>
      <c r="O27" s="5">
        <f>SUM($E20:O20)</f>
        <v>0</v>
      </c>
      <c r="P27" s="5">
        <f>SUM($E20:P20)</f>
        <v>0</v>
      </c>
    </row>
    <row r="28" spans="3:17" x14ac:dyDescent="0.35">
      <c r="D28" s="3" t="str">
        <f t="shared" si="4"/>
        <v>Actual 2024-25</v>
      </c>
      <c r="E28" s="5">
        <f>SUM($E21:E21)</f>
        <v>0</v>
      </c>
      <c r="F28" s="5">
        <f>SUM($E21:F21)</f>
        <v>0</v>
      </c>
      <c r="G28" s="5">
        <f>SUM($E21:G21)</f>
        <v>0</v>
      </c>
      <c r="H28" s="5">
        <f>SUM($E21:H21)</f>
        <v>0</v>
      </c>
      <c r="I28" s="5">
        <f>SUM($E21:I21)</f>
        <v>0</v>
      </c>
      <c r="J28" s="5">
        <f>SUM($E21:J21)</f>
        <v>0</v>
      </c>
      <c r="K28" s="5">
        <f>SUM($E21:K21)</f>
        <v>0</v>
      </c>
      <c r="L28" s="5">
        <f>SUM($E21:L21)</f>
        <v>0</v>
      </c>
      <c r="M28" s="5">
        <f>SUM($E21:M21)</f>
        <v>0</v>
      </c>
      <c r="N28" s="5">
        <f>SUM($E21:N21)</f>
        <v>0</v>
      </c>
      <c r="O28" s="5">
        <f>SUM($E21:O21)</f>
        <v>0</v>
      </c>
      <c r="P28" s="5">
        <f>SUM($E21:P21)</f>
        <v>0</v>
      </c>
    </row>
    <row r="29" spans="3:17" x14ac:dyDescent="0.35">
      <c r="D29" s="3" t="str">
        <f t="shared" si="4"/>
        <v>Difference</v>
      </c>
      <c r="E29" s="5">
        <f>SUM($E22:E22)</f>
        <v>0</v>
      </c>
      <c r="F29" s="5">
        <f>SUM($E22:F22)</f>
        <v>0</v>
      </c>
      <c r="G29" s="5">
        <f>SUM($E22:G22)</f>
        <v>0</v>
      </c>
      <c r="H29" s="5">
        <f>SUM($E22:H22)</f>
        <v>0</v>
      </c>
      <c r="I29" s="5">
        <f>SUM($E22:I22)</f>
        <v>0</v>
      </c>
      <c r="J29" s="5">
        <f>SUM($E22:J22)</f>
        <v>0</v>
      </c>
      <c r="K29" s="5">
        <f>SUM($E22:K22)</f>
        <v>0</v>
      </c>
      <c r="L29" s="5">
        <f>SUM($E22:L22)</f>
        <v>0</v>
      </c>
      <c r="M29" s="5">
        <f>SUM($E22:M22)</f>
        <v>0</v>
      </c>
      <c r="N29" s="5">
        <f>SUM($E22:N22)</f>
        <v>0</v>
      </c>
      <c r="O29" s="5">
        <f>SUM($E22:O22)</f>
        <v>0</v>
      </c>
      <c r="P29" s="5">
        <f>SUM($E22:P22)</f>
        <v>0</v>
      </c>
    </row>
    <row r="30" spans="3:17" x14ac:dyDescent="0.35">
      <c r="D30" s="3" t="str">
        <f t="shared" si="4"/>
        <v>Realisation</v>
      </c>
      <c r="E30" s="9" t="e">
        <f>E28/E26</f>
        <v>#DIV/0!</v>
      </c>
      <c r="F30" s="9" t="e">
        <f t="shared" ref="F30:P30" si="5">F27/F26</f>
        <v>#DIV/0!</v>
      </c>
      <c r="G30" s="9" t="e">
        <f t="shared" si="5"/>
        <v>#DIV/0!</v>
      </c>
      <c r="H30" s="9" t="e">
        <f t="shared" si="5"/>
        <v>#DIV/0!</v>
      </c>
      <c r="I30" s="9" t="e">
        <f t="shared" si="5"/>
        <v>#DIV/0!</v>
      </c>
      <c r="J30" s="9" t="e">
        <f t="shared" si="5"/>
        <v>#DIV/0!</v>
      </c>
      <c r="K30" s="9" t="e">
        <f t="shared" si="5"/>
        <v>#DIV/0!</v>
      </c>
      <c r="L30" s="9" t="e">
        <f t="shared" si="5"/>
        <v>#DIV/0!</v>
      </c>
      <c r="M30" s="9" t="e">
        <f t="shared" si="5"/>
        <v>#DIV/0!</v>
      </c>
      <c r="N30" s="9" t="e">
        <f t="shared" si="5"/>
        <v>#DIV/0!</v>
      </c>
      <c r="O30" s="9" t="e">
        <f t="shared" si="5"/>
        <v>#DIV/0!</v>
      </c>
      <c r="P30" s="9" t="e">
        <f t="shared" si="5"/>
        <v>#DIV/0!</v>
      </c>
    </row>
  </sheetData>
  <mergeCells count="2">
    <mergeCell ref="J4:Q8"/>
    <mergeCell ref="J10:Q15"/>
  </mergeCells>
  <conditionalFormatting sqref="C3">
    <cfRule type="expression" dxfId="497" priority="2">
      <formula>S4&lt;S6</formula>
    </cfRule>
  </conditionalFormatting>
  <conditionalFormatting sqref="C5">
    <cfRule type="expression" dxfId="496" priority="3">
      <formula>S4&gt;=S5</formula>
    </cfRule>
  </conditionalFormatting>
  <conditionalFormatting sqref="C4">
    <cfRule type="expression" dxfId="495" priority="1">
      <formula>AND(S4&gt;=S6,S4&lt;S5)</formula>
    </cfRule>
  </conditionalFormatting>
  <hyperlinks>
    <hyperlink ref="L1" location="Dashboard!A1" display="Dashboard"/>
  </hyperlinks>
  <pageMargins left="0.7" right="0.7" top="0.75" bottom="0.75" header="0.3" footer="0.3"/>
  <pageSetup orientation="portrait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954369" r:id="rId4" name="Spinner 1">
              <controlPr defaultSize="0" autoPict="0">
                <anchor moveWithCells="1" sizeWithCells="1">
                  <from>
                    <xdr:col>9</xdr:col>
                    <xdr:colOff>19050</xdr:colOff>
                    <xdr:row>0</xdr:row>
                    <xdr:rowOff>38100</xdr:rowOff>
                  </from>
                  <to>
                    <xdr:col>9</xdr:col>
                    <xdr:colOff>400050</xdr:colOff>
                    <xdr:row>1</xdr:row>
                    <xdr:rowOff>152400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24"/>
  <dimension ref="A1:S30"/>
  <sheetViews>
    <sheetView zoomScale="90" zoomScaleNormal="90" workbookViewId="0">
      <selection activeCell="L1" sqref="L1"/>
    </sheetView>
  </sheetViews>
  <sheetFormatPr defaultColWidth="9.1796875" defaultRowHeight="14.5" x14ac:dyDescent="0.35"/>
  <cols>
    <col min="1" max="1" width="9.1796875" style="3"/>
    <col min="2" max="2" width="5.1796875" style="3" customWidth="1"/>
    <col min="3" max="3" width="6.26953125" style="3" customWidth="1"/>
    <col min="4" max="4" width="21.26953125" style="3" bestFit="1" customWidth="1"/>
    <col min="5" max="16" width="11.1796875" style="3" customWidth="1"/>
    <col min="17" max="17" width="12" style="3" bestFit="1" customWidth="1"/>
    <col min="18" max="18" width="9.1796875" style="3" customWidth="1"/>
    <col min="19" max="16384" width="9.1796875" style="3"/>
  </cols>
  <sheetData>
    <row r="1" spans="1:19" ht="21" x14ac:dyDescent="0.5">
      <c r="A1" s="4" t="s">
        <v>4</v>
      </c>
      <c r="B1" s="4">
        <f>Dashboard!A33</f>
        <v>2</v>
      </c>
      <c r="C1" s="4" t="str">
        <f>Dashboard!B33</f>
        <v>KAMERE- NEW SEWER</v>
      </c>
      <c r="G1" s="3" t="s">
        <v>9</v>
      </c>
      <c r="I1" s="12">
        <f>INDEX($E$18:$P$18,Actual_month)</f>
        <v>46054</v>
      </c>
      <c r="L1" s="16" t="s">
        <v>19</v>
      </c>
      <c r="R1" s="5"/>
    </row>
    <row r="2" spans="1:19" x14ac:dyDescent="0.35">
      <c r="A2" s="3" t="s">
        <v>13</v>
      </c>
      <c r="C2" s="3" t="s">
        <v>27</v>
      </c>
      <c r="R2" s="6"/>
    </row>
    <row r="3" spans="1:19" ht="25.5" customHeight="1" thickBot="1" x14ac:dyDescent="0.4">
      <c r="C3" s="1" t="s">
        <v>5</v>
      </c>
      <c r="E3" s="10"/>
      <c r="F3" s="10"/>
      <c r="G3" s="10"/>
      <c r="H3" s="10"/>
      <c r="I3" s="10"/>
      <c r="J3" s="3" t="s">
        <v>6</v>
      </c>
      <c r="K3" s="10"/>
      <c r="M3" s="10"/>
      <c r="N3" s="10"/>
      <c r="O3" s="10"/>
      <c r="P3" s="10"/>
    </row>
    <row r="4" spans="1:19" ht="25.5" customHeight="1" x14ac:dyDescent="0.35">
      <c r="C4" s="1" t="s">
        <v>5</v>
      </c>
      <c r="E4" s="10"/>
      <c r="F4" s="10"/>
      <c r="G4" s="10"/>
      <c r="H4" s="10"/>
      <c r="I4" s="10"/>
      <c r="J4" s="401"/>
      <c r="K4" s="402"/>
      <c r="L4" s="402"/>
      <c r="M4" s="402"/>
      <c r="N4" s="402"/>
      <c r="O4" s="402"/>
      <c r="P4" s="402"/>
      <c r="Q4" s="403"/>
      <c r="R4" s="3" t="s">
        <v>22</v>
      </c>
      <c r="S4" s="5">
        <f>INDEX(E27:P27,Actual_month)</f>
        <v>0</v>
      </c>
    </row>
    <row r="5" spans="1:19" ht="25.5" customHeight="1" x14ac:dyDescent="0.35">
      <c r="C5" s="1" t="s">
        <v>5</v>
      </c>
      <c r="E5" s="10"/>
      <c r="F5" s="10"/>
      <c r="G5" s="10"/>
      <c r="H5" s="10"/>
      <c r="I5" s="10"/>
      <c r="J5" s="404"/>
      <c r="K5" s="405"/>
      <c r="L5" s="405"/>
      <c r="M5" s="405"/>
      <c r="N5" s="405"/>
      <c r="O5" s="405"/>
      <c r="P5" s="405"/>
      <c r="Q5" s="406"/>
      <c r="R5" s="3" t="s">
        <v>23</v>
      </c>
      <c r="S5" s="5">
        <f>INDEX(E26:P26,Actual_month)</f>
        <v>0</v>
      </c>
    </row>
    <row r="6" spans="1:19" x14ac:dyDescent="0.35">
      <c r="J6" s="404"/>
      <c r="K6" s="405"/>
      <c r="L6" s="405"/>
      <c r="M6" s="405"/>
      <c r="N6" s="405"/>
      <c r="O6" s="405"/>
      <c r="P6" s="405"/>
      <c r="Q6" s="406"/>
      <c r="R6" s="6">
        <v>0.9</v>
      </c>
      <c r="S6" s="5">
        <f>+S5*R6</f>
        <v>0</v>
      </c>
    </row>
    <row r="7" spans="1:19" x14ac:dyDescent="0.35">
      <c r="J7" s="404"/>
      <c r="K7" s="405"/>
      <c r="L7" s="405"/>
      <c r="M7" s="405"/>
      <c r="N7" s="405"/>
      <c r="O7" s="405"/>
      <c r="P7" s="405"/>
      <c r="Q7" s="406"/>
    </row>
    <row r="8" spans="1:19" ht="15" thickBot="1" x14ac:dyDescent="0.4">
      <c r="J8" s="407"/>
      <c r="K8" s="408"/>
      <c r="L8" s="408"/>
      <c r="M8" s="408"/>
      <c r="N8" s="408"/>
      <c r="O8" s="408"/>
      <c r="P8" s="408"/>
      <c r="Q8" s="409"/>
    </row>
    <row r="9" spans="1:19" ht="15" thickBot="1" x14ac:dyDescent="0.4">
      <c r="J9" s="3" t="s">
        <v>12</v>
      </c>
    </row>
    <row r="10" spans="1:19" x14ac:dyDescent="0.35">
      <c r="J10" s="401"/>
      <c r="K10" s="402"/>
      <c r="L10" s="402"/>
      <c r="M10" s="402"/>
      <c r="N10" s="402"/>
      <c r="O10" s="402"/>
      <c r="P10" s="402"/>
      <c r="Q10" s="403"/>
    </row>
    <row r="11" spans="1:19" x14ac:dyDescent="0.35">
      <c r="J11" s="404"/>
      <c r="K11" s="405"/>
      <c r="L11" s="405"/>
      <c r="M11" s="405"/>
      <c r="N11" s="405"/>
      <c r="O11" s="405"/>
      <c r="P11" s="405"/>
      <c r="Q11" s="406"/>
    </row>
    <row r="12" spans="1:19" x14ac:dyDescent="0.35">
      <c r="J12" s="404"/>
      <c r="K12" s="405"/>
      <c r="L12" s="405"/>
      <c r="M12" s="405"/>
      <c r="N12" s="405"/>
      <c r="O12" s="405"/>
      <c r="P12" s="405"/>
      <c r="Q12" s="406"/>
    </row>
    <row r="13" spans="1:19" x14ac:dyDescent="0.35">
      <c r="J13" s="404"/>
      <c r="K13" s="405"/>
      <c r="L13" s="405"/>
      <c r="M13" s="405"/>
      <c r="N13" s="405"/>
      <c r="O13" s="405"/>
      <c r="P13" s="405"/>
      <c r="Q13" s="406"/>
    </row>
    <row r="14" spans="1:19" x14ac:dyDescent="0.35">
      <c r="J14" s="404"/>
      <c r="K14" s="405"/>
      <c r="L14" s="405"/>
      <c r="M14" s="405"/>
      <c r="N14" s="405"/>
      <c r="O14" s="405"/>
      <c r="P14" s="405"/>
      <c r="Q14" s="406"/>
    </row>
    <row r="15" spans="1:19" ht="15" thickBot="1" x14ac:dyDescent="0.4">
      <c r="J15" s="407"/>
      <c r="K15" s="408"/>
      <c r="L15" s="408"/>
      <c r="M15" s="408"/>
      <c r="N15" s="408"/>
      <c r="O15" s="408"/>
      <c r="P15" s="408"/>
      <c r="Q15" s="409"/>
    </row>
    <row r="18" spans="3:17" x14ac:dyDescent="0.35">
      <c r="C18" s="7" t="s">
        <v>8</v>
      </c>
      <c r="E18" s="11">
        <f>'KPI 1'!E18</f>
        <v>45839</v>
      </c>
      <c r="F18" s="11">
        <f>'KPI 1'!F18</f>
        <v>45870</v>
      </c>
      <c r="G18" s="11">
        <f>'KPI 1'!G18</f>
        <v>45901</v>
      </c>
      <c r="H18" s="11">
        <f>'KPI 1'!H18</f>
        <v>45931</v>
      </c>
      <c r="I18" s="11">
        <f>'KPI 1'!I18</f>
        <v>45962</v>
      </c>
      <c r="J18" s="11">
        <f>'KPI 1'!J18</f>
        <v>45992</v>
      </c>
      <c r="K18" s="11">
        <f>'KPI 1'!K18</f>
        <v>46023</v>
      </c>
      <c r="L18" s="11">
        <f>'KPI 1'!L18</f>
        <v>46054</v>
      </c>
      <c r="M18" s="11">
        <f>'KPI 1'!M18</f>
        <v>46082</v>
      </c>
      <c r="N18" s="11">
        <f>'KPI 1'!N18</f>
        <v>46113</v>
      </c>
      <c r="O18" s="11">
        <f>'KPI 1'!O18</f>
        <v>46143</v>
      </c>
      <c r="P18" s="11">
        <f>'KPI 1'!P18</f>
        <v>46174</v>
      </c>
      <c r="Q18" s="8" t="s">
        <v>0</v>
      </c>
    </row>
    <row r="19" spans="3:17" x14ac:dyDescent="0.35">
      <c r="D19" s="3" t="str">
        <f>'KPI 1'!D19</f>
        <v>Budget 2025-26</v>
      </c>
      <c r="E19" s="5">
        <f>'budget 2025-26'!D32</f>
        <v>0</v>
      </c>
      <c r="F19" s="5">
        <f>'budget 2025-26'!E32</f>
        <v>0</v>
      </c>
      <c r="G19" s="5">
        <f>'budget 2025-26'!F32</f>
        <v>0</v>
      </c>
      <c r="H19" s="5">
        <f>'budget 2025-26'!G32</f>
        <v>0</v>
      </c>
      <c r="I19" s="5">
        <f>'budget 2025-26'!H32</f>
        <v>0</v>
      </c>
      <c r="J19" s="5">
        <f>'budget 2025-26'!I32</f>
        <v>0</v>
      </c>
      <c r="K19" s="5">
        <f>'budget 2025-26'!J32</f>
        <v>0</v>
      </c>
      <c r="L19" s="5">
        <f>'budget 2025-26'!K32</f>
        <v>0</v>
      </c>
      <c r="M19" s="5">
        <f>'budget 2025-26'!L32</f>
        <v>0</v>
      </c>
      <c r="N19" s="5">
        <f>'budget 2025-26'!M32</f>
        <v>0</v>
      </c>
      <c r="O19" s="5">
        <f>'budget 2025-26'!N32</f>
        <v>0</v>
      </c>
      <c r="P19" s="5">
        <f>'budget 2025-26'!O32</f>
        <v>0</v>
      </c>
      <c r="Q19" s="5">
        <f>SUM(E19:P19)</f>
        <v>0</v>
      </c>
    </row>
    <row r="20" spans="3:17" x14ac:dyDescent="0.35">
      <c r="D20" s="3" t="str">
        <f>'KPI 1'!D20</f>
        <v>Actual 2025-26</v>
      </c>
      <c r="E20" s="5">
        <f>'Input Actual2025-26'!E33</f>
        <v>0</v>
      </c>
      <c r="F20" s="5">
        <f>'Input Actual2025-26'!F33</f>
        <v>0</v>
      </c>
      <c r="G20" s="5">
        <f>'Input Actual2025-26'!G33</f>
        <v>0</v>
      </c>
      <c r="H20" s="5">
        <f>'Input Actual2025-26'!H33</f>
        <v>0</v>
      </c>
      <c r="I20" s="5">
        <f>'Input Actual2025-26'!I33</f>
        <v>0</v>
      </c>
      <c r="J20" s="5">
        <f>'Input Actual2025-26'!J33</f>
        <v>0</v>
      </c>
      <c r="K20" s="5">
        <f>'Input Actual2025-26'!K33</f>
        <v>0</v>
      </c>
      <c r="L20" s="5">
        <f>'Input Actual2025-26'!L33</f>
        <v>0</v>
      </c>
      <c r="M20" s="5">
        <f>'Input Actual2025-26'!M33</f>
        <v>0</v>
      </c>
      <c r="N20" s="5">
        <f>'Input Actual2025-26'!N33</f>
        <v>0</v>
      </c>
      <c r="O20" s="5">
        <f>'Input Actual2025-26'!O33</f>
        <v>0</v>
      </c>
      <c r="P20" s="5">
        <f>'Input Actual2025-26'!P33</f>
        <v>0</v>
      </c>
      <c r="Q20" s="5">
        <f t="shared" ref="Q20:Q22" si="0">SUM(E20:P20)</f>
        <v>0</v>
      </c>
    </row>
    <row r="21" spans="3:17" x14ac:dyDescent="0.35">
      <c r="D21" s="3" t="s">
        <v>424</v>
      </c>
      <c r="E21" s="5">
        <f>'Input Actual2024-25'!E31</f>
        <v>0</v>
      </c>
      <c r="F21" s="5">
        <f>'Input Actual2024-25'!F31</f>
        <v>0</v>
      </c>
      <c r="G21" s="5">
        <f>'Input Actual2024-25'!G31</f>
        <v>0</v>
      </c>
      <c r="H21" s="5">
        <f>'Input Actual2024-25'!H31</f>
        <v>0</v>
      </c>
      <c r="I21" s="5">
        <f>'Input Actual2024-25'!I31</f>
        <v>0</v>
      </c>
      <c r="J21" s="5">
        <f>'Input Actual2024-25'!J31</f>
        <v>0</v>
      </c>
      <c r="K21" s="5">
        <f>'Input Actual2024-25'!K31</f>
        <v>0</v>
      </c>
      <c r="L21" s="5">
        <f>'Input Actual2024-25'!L31</f>
        <v>0</v>
      </c>
      <c r="M21" s="5">
        <f>'Input Actual2024-25'!M31</f>
        <v>0</v>
      </c>
      <c r="N21" s="5">
        <f>'Input Actual2024-25'!N31</f>
        <v>0</v>
      </c>
      <c r="O21" s="5">
        <f>'Input Actual2024-25'!O31</f>
        <v>0</v>
      </c>
      <c r="P21" s="5">
        <f>'Input Actual2024-25'!P31</f>
        <v>0</v>
      </c>
      <c r="Q21" s="5">
        <f t="shared" si="0"/>
        <v>0</v>
      </c>
    </row>
    <row r="22" spans="3:17" x14ac:dyDescent="0.35">
      <c r="D22" s="3" t="s">
        <v>7</v>
      </c>
      <c r="E22" s="5">
        <f t="shared" ref="E22:P22" si="1">IF(E20=0,0,E20-E19)</f>
        <v>0</v>
      </c>
      <c r="F22" s="5">
        <f t="shared" si="1"/>
        <v>0</v>
      </c>
      <c r="G22" s="5">
        <f t="shared" si="1"/>
        <v>0</v>
      </c>
      <c r="H22" s="5">
        <f t="shared" si="1"/>
        <v>0</v>
      </c>
      <c r="I22" s="5">
        <f t="shared" si="1"/>
        <v>0</v>
      </c>
      <c r="J22" s="5">
        <f t="shared" si="1"/>
        <v>0</v>
      </c>
      <c r="K22" s="5">
        <f t="shared" si="1"/>
        <v>0</v>
      </c>
      <c r="L22" s="5">
        <f t="shared" si="1"/>
        <v>0</v>
      </c>
      <c r="M22" s="5">
        <f t="shared" si="1"/>
        <v>0</v>
      </c>
      <c r="N22" s="5">
        <f t="shared" si="1"/>
        <v>0</v>
      </c>
      <c r="O22" s="5">
        <f t="shared" si="1"/>
        <v>0</v>
      </c>
      <c r="P22" s="5">
        <f t="shared" si="1"/>
        <v>0</v>
      </c>
      <c r="Q22" s="5">
        <f t="shared" si="0"/>
        <v>0</v>
      </c>
    </row>
    <row r="23" spans="3:17" x14ac:dyDescent="0.35">
      <c r="D23" s="3" t="s">
        <v>43</v>
      </c>
      <c r="E23" s="9" t="e">
        <f>E21/E19</f>
        <v>#DIV/0!</v>
      </c>
      <c r="F23" s="9" t="e">
        <f t="shared" ref="F23:P23" si="2">F20/F19</f>
        <v>#DIV/0!</v>
      </c>
      <c r="G23" s="9" t="e">
        <f t="shared" si="2"/>
        <v>#DIV/0!</v>
      </c>
      <c r="H23" s="9" t="e">
        <f t="shared" si="2"/>
        <v>#DIV/0!</v>
      </c>
      <c r="I23" s="9" t="e">
        <f t="shared" si="2"/>
        <v>#DIV/0!</v>
      </c>
      <c r="J23" s="9" t="e">
        <f t="shared" si="2"/>
        <v>#DIV/0!</v>
      </c>
      <c r="K23" s="9" t="e">
        <f t="shared" si="2"/>
        <v>#DIV/0!</v>
      </c>
      <c r="L23" s="9" t="e">
        <f t="shared" si="2"/>
        <v>#DIV/0!</v>
      </c>
      <c r="M23" s="9" t="e">
        <f t="shared" si="2"/>
        <v>#DIV/0!</v>
      </c>
      <c r="N23" s="9" t="e">
        <f t="shared" si="2"/>
        <v>#DIV/0!</v>
      </c>
      <c r="O23" s="9" t="e">
        <f t="shared" si="2"/>
        <v>#DIV/0!</v>
      </c>
      <c r="P23" s="9" t="e">
        <f t="shared" si="2"/>
        <v>#DIV/0!</v>
      </c>
    </row>
    <row r="25" spans="3:17" x14ac:dyDescent="0.35">
      <c r="C25" s="7" t="s">
        <v>3</v>
      </c>
      <c r="E25" s="11">
        <f>E18</f>
        <v>45839</v>
      </c>
      <c r="F25" s="11">
        <f t="shared" ref="F25:P25" si="3">F18</f>
        <v>45870</v>
      </c>
      <c r="G25" s="11">
        <f t="shared" si="3"/>
        <v>45901</v>
      </c>
      <c r="H25" s="11">
        <f t="shared" si="3"/>
        <v>45931</v>
      </c>
      <c r="I25" s="11">
        <f t="shared" si="3"/>
        <v>45962</v>
      </c>
      <c r="J25" s="11">
        <f t="shared" si="3"/>
        <v>45992</v>
      </c>
      <c r="K25" s="11">
        <f t="shared" si="3"/>
        <v>46023</v>
      </c>
      <c r="L25" s="11">
        <f t="shared" si="3"/>
        <v>46054</v>
      </c>
      <c r="M25" s="11">
        <f t="shared" si="3"/>
        <v>46082</v>
      </c>
      <c r="N25" s="11">
        <f t="shared" si="3"/>
        <v>46113</v>
      </c>
      <c r="O25" s="11">
        <f t="shared" si="3"/>
        <v>46143</v>
      </c>
      <c r="P25" s="11">
        <f t="shared" si="3"/>
        <v>46174</v>
      </c>
    </row>
    <row r="26" spans="3:17" x14ac:dyDescent="0.35">
      <c r="D26" s="3" t="str">
        <f>D19</f>
        <v>Budget 2025-26</v>
      </c>
      <c r="E26" s="5">
        <f>SUM($E19:E19)</f>
        <v>0</v>
      </c>
      <c r="F26" s="5">
        <f>SUM($E19:F19)</f>
        <v>0</v>
      </c>
      <c r="G26" s="5">
        <f>SUM($E19:G19)</f>
        <v>0</v>
      </c>
      <c r="H26" s="5">
        <f>SUM($E19:H19)</f>
        <v>0</v>
      </c>
      <c r="I26" s="5">
        <f>SUM($E19:I19)</f>
        <v>0</v>
      </c>
      <c r="J26" s="5">
        <f>SUM($E19:J19)</f>
        <v>0</v>
      </c>
      <c r="K26" s="5">
        <f>SUM($E19:K19)</f>
        <v>0</v>
      </c>
      <c r="L26" s="5">
        <f>SUM($E19:L19)</f>
        <v>0</v>
      </c>
      <c r="M26" s="5">
        <f>SUM($E19:M19)</f>
        <v>0</v>
      </c>
      <c r="N26" s="5">
        <f>SUM($E19:N19)</f>
        <v>0</v>
      </c>
      <c r="O26" s="5">
        <f>SUM($E19:O19)</f>
        <v>0</v>
      </c>
      <c r="P26" s="5">
        <f>SUM($E19:P19)</f>
        <v>0</v>
      </c>
    </row>
    <row r="27" spans="3:17" x14ac:dyDescent="0.35">
      <c r="D27" s="3" t="str">
        <f t="shared" ref="D27:D30" si="4">D20</f>
        <v>Actual 2025-26</v>
      </c>
      <c r="E27" s="5">
        <f>SUM($E20:E20)</f>
        <v>0</v>
      </c>
      <c r="F27" s="5">
        <f>SUM($E20:F20)</f>
        <v>0</v>
      </c>
      <c r="G27" s="5">
        <f>SUM($E20:G20)</f>
        <v>0</v>
      </c>
      <c r="H27" s="5">
        <f>SUM($E20:H20)</f>
        <v>0</v>
      </c>
      <c r="I27" s="5">
        <f>SUM($E20:I20)</f>
        <v>0</v>
      </c>
      <c r="J27" s="5">
        <f>SUM($E20:J20)</f>
        <v>0</v>
      </c>
      <c r="K27" s="5">
        <f>SUM($E20:K20)</f>
        <v>0</v>
      </c>
      <c r="L27" s="5">
        <f>SUM($E20:L20)</f>
        <v>0</v>
      </c>
      <c r="M27" s="5">
        <f>SUM($E20:M20)</f>
        <v>0</v>
      </c>
      <c r="N27" s="5">
        <f>SUM($E20:N20)</f>
        <v>0</v>
      </c>
      <c r="O27" s="5">
        <f>SUM($E20:O20)</f>
        <v>0</v>
      </c>
      <c r="P27" s="5">
        <f>SUM($E20:P20)</f>
        <v>0</v>
      </c>
    </row>
    <row r="28" spans="3:17" x14ac:dyDescent="0.35">
      <c r="D28" s="3" t="str">
        <f t="shared" si="4"/>
        <v>Actual 2024-25</v>
      </c>
      <c r="E28" s="5">
        <f>SUM($E21:E21)</f>
        <v>0</v>
      </c>
      <c r="F28" s="5">
        <f>SUM($E21:F21)</f>
        <v>0</v>
      </c>
      <c r="G28" s="5">
        <f>SUM($E21:G21)</f>
        <v>0</v>
      </c>
      <c r="H28" s="5">
        <f>SUM($E21:H21)</f>
        <v>0</v>
      </c>
      <c r="I28" s="5">
        <f>SUM($E21:I21)</f>
        <v>0</v>
      </c>
      <c r="J28" s="5">
        <f>SUM($E21:J21)</f>
        <v>0</v>
      </c>
      <c r="K28" s="5">
        <f>SUM($E21:K21)</f>
        <v>0</v>
      </c>
      <c r="L28" s="5">
        <f>SUM($E21:L21)</f>
        <v>0</v>
      </c>
      <c r="M28" s="5">
        <f>SUM($E21:M21)</f>
        <v>0</v>
      </c>
      <c r="N28" s="5">
        <f>SUM($E21:N21)</f>
        <v>0</v>
      </c>
      <c r="O28" s="5">
        <f>SUM($E21:O21)</f>
        <v>0</v>
      </c>
      <c r="P28" s="5">
        <f>SUM($E21:P21)</f>
        <v>0</v>
      </c>
    </row>
    <row r="29" spans="3:17" x14ac:dyDescent="0.35">
      <c r="D29" s="3" t="str">
        <f t="shared" si="4"/>
        <v>Difference</v>
      </c>
      <c r="E29" s="5">
        <f>SUM($E22:E22)</f>
        <v>0</v>
      </c>
      <c r="F29" s="5">
        <f>SUM($E22:F22)</f>
        <v>0</v>
      </c>
      <c r="G29" s="5">
        <f>SUM($E22:G22)</f>
        <v>0</v>
      </c>
      <c r="H29" s="5">
        <f>SUM($E22:H22)</f>
        <v>0</v>
      </c>
      <c r="I29" s="5">
        <f>SUM($E22:I22)</f>
        <v>0</v>
      </c>
      <c r="J29" s="5">
        <f>SUM($E22:J22)</f>
        <v>0</v>
      </c>
      <c r="K29" s="5">
        <f>SUM($E22:K22)</f>
        <v>0</v>
      </c>
      <c r="L29" s="5">
        <f>SUM($E22:L22)</f>
        <v>0</v>
      </c>
      <c r="M29" s="5">
        <f>SUM($E22:M22)</f>
        <v>0</v>
      </c>
      <c r="N29" s="5">
        <f>SUM($E22:N22)</f>
        <v>0</v>
      </c>
      <c r="O29" s="5">
        <f>SUM($E22:O22)</f>
        <v>0</v>
      </c>
      <c r="P29" s="5">
        <f>SUM($E22:P22)</f>
        <v>0</v>
      </c>
    </row>
    <row r="30" spans="3:17" x14ac:dyDescent="0.35">
      <c r="D30" s="3" t="str">
        <f t="shared" si="4"/>
        <v>Realisation</v>
      </c>
      <c r="E30" s="9" t="e">
        <f>E28/E26</f>
        <v>#DIV/0!</v>
      </c>
      <c r="F30" s="9" t="e">
        <f t="shared" ref="F30:P30" si="5">F27/F26</f>
        <v>#DIV/0!</v>
      </c>
      <c r="G30" s="9" t="e">
        <f t="shared" si="5"/>
        <v>#DIV/0!</v>
      </c>
      <c r="H30" s="9" t="e">
        <f t="shared" si="5"/>
        <v>#DIV/0!</v>
      </c>
      <c r="I30" s="9" t="e">
        <f t="shared" si="5"/>
        <v>#DIV/0!</v>
      </c>
      <c r="J30" s="9" t="e">
        <f t="shared" si="5"/>
        <v>#DIV/0!</v>
      </c>
      <c r="K30" s="9" t="e">
        <f t="shared" si="5"/>
        <v>#DIV/0!</v>
      </c>
      <c r="L30" s="9" t="e">
        <f t="shared" si="5"/>
        <v>#DIV/0!</v>
      </c>
      <c r="M30" s="9" t="e">
        <f t="shared" si="5"/>
        <v>#DIV/0!</v>
      </c>
      <c r="N30" s="9" t="e">
        <f t="shared" si="5"/>
        <v>#DIV/0!</v>
      </c>
      <c r="O30" s="9" t="e">
        <f t="shared" si="5"/>
        <v>#DIV/0!</v>
      </c>
      <c r="P30" s="9" t="e">
        <f t="shared" si="5"/>
        <v>#DIV/0!</v>
      </c>
    </row>
  </sheetData>
  <mergeCells count="2">
    <mergeCell ref="J4:Q8"/>
    <mergeCell ref="J10:Q15"/>
  </mergeCells>
  <conditionalFormatting sqref="C3">
    <cfRule type="expression" dxfId="494" priority="2">
      <formula>S4&lt;S6</formula>
    </cfRule>
  </conditionalFormatting>
  <conditionalFormatting sqref="C5">
    <cfRule type="expression" dxfId="493" priority="3">
      <formula>S4&gt;=S5</formula>
    </cfRule>
  </conditionalFormatting>
  <conditionalFormatting sqref="C4">
    <cfRule type="expression" dxfId="492" priority="1">
      <formula>AND(S4&gt;=S6,S4&lt;S5)</formula>
    </cfRule>
  </conditionalFormatting>
  <hyperlinks>
    <hyperlink ref="L1" location="Dashboard!A1" display="Dashboard"/>
  </hyperlinks>
  <pageMargins left="0.7" right="0.7" top="0.75" bottom="0.75" header="0.3" footer="0.3"/>
  <pageSetup orientation="portrait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955393" r:id="rId4" name="Spinner 1">
              <controlPr defaultSize="0" autoPict="0">
                <anchor moveWithCells="1" sizeWithCells="1">
                  <from>
                    <xdr:col>9</xdr:col>
                    <xdr:colOff>19050</xdr:colOff>
                    <xdr:row>0</xdr:row>
                    <xdr:rowOff>38100</xdr:rowOff>
                  </from>
                  <to>
                    <xdr:col>9</xdr:col>
                    <xdr:colOff>400050</xdr:colOff>
                    <xdr:row>1</xdr:row>
                    <xdr:rowOff>152400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25">
    <tabColor rgb="FFFFC000"/>
  </sheetPr>
  <dimension ref="A1:S30"/>
  <sheetViews>
    <sheetView topLeftCell="C1" zoomScale="90" zoomScaleNormal="90" workbookViewId="0">
      <selection activeCell="L1" sqref="L1"/>
    </sheetView>
  </sheetViews>
  <sheetFormatPr defaultColWidth="9.1796875" defaultRowHeight="14.5" x14ac:dyDescent="0.35"/>
  <cols>
    <col min="1" max="1" width="9.1796875" style="3"/>
    <col min="2" max="2" width="5.1796875" style="3" customWidth="1"/>
    <col min="3" max="3" width="6.26953125" style="3" customWidth="1"/>
    <col min="4" max="4" width="21.26953125" style="3" bestFit="1" customWidth="1"/>
    <col min="5" max="16" width="11.1796875" style="3" customWidth="1"/>
    <col min="17" max="17" width="12" style="3" bestFit="1" customWidth="1"/>
    <col min="18" max="18" width="9.1796875" style="3" customWidth="1"/>
    <col min="19" max="16384" width="9.1796875" style="3"/>
  </cols>
  <sheetData>
    <row r="1" spans="1:19" ht="21" x14ac:dyDescent="0.5">
      <c r="A1" s="4" t="s">
        <v>4</v>
      </c>
      <c r="B1" s="4">
        <f>Dashboard!A37</f>
        <v>1</v>
      </c>
      <c r="C1" s="4" t="str">
        <f>Dashboard!B37</f>
        <v>KAYOLE- NEW SEWER</v>
      </c>
      <c r="G1" s="3" t="s">
        <v>9</v>
      </c>
      <c r="I1" s="12">
        <f>INDEX($E$18:$P$18,Actual_month)</f>
        <v>46054</v>
      </c>
      <c r="L1" s="16" t="s">
        <v>19</v>
      </c>
      <c r="R1" s="5"/>
    </row>
    <row r="2" spans="1:19" x14ac:dyDescent="0.35">
      <c r="A2" s="3" t="s">
        <v>13</v>
      </c>
      <c r="C2" s="3" t="s">
        <v>27</v>
      </c>
      <c r="R2" s="6"/>
    </row>
    <row r="3" spans="1:19" ht="25.5" customHeight="1" thickBot="1" x14ac:dyDescent="0.4">
      <c r="C3" s="1" t="s">
        <v>5</v>
      </c>
      <c r="E3" s="10"/>
      <c r="F3" s="10"/>
      <c r="G3" s="10"/>
      <c r="H3" s="10"/>
      <c r="I3" s="10"/>
      <c r="J3" s="3" t="s">
        <v>6</v>
      </c>
      <c r="K3" s="10"/>
      <c r="M3" s="10"/>
      <c r="N3" s="10"/>
      <c r="O3" s="10"/>
      <c r="P3" s="10"/>
    </row>
    <row r="4" spans="1:19" ht="25.5" customHeight="1" x14ac:dyDescent="0.35">
      <c r="C4" s="1" t="s">
        <v>5</v>
      </c>
      <c r="E4" s="10"/>
      <c r="F4" s="10"/>
      <c r="G4" s="10"/>
      <c r="H4" s="10"/>
      <c r="I4" s="10"/>
      <c r="J4" s="401"/>
      <c r="K4" s="402"/>
      <c r="L4" s="402"/>
      <c r="M4" s="402"/>
      <c r="N4" s="402"/>
      <c r="O4" s="402"/>
      <c r="P4" s="402"/>
      <c r="Q4" s="403"/>
      <c r="R4" s="3" t="s">
        <v>22</v>
      </c>
      <c r="S4" s="5">
        <f>INDEX(E27:P27,Actual_month)</f>
        <v>10</v>
      </c>
    </row>
    <row r="5" spans="1:19" ht="25.5" customHeight="1" x14ac:dyDescent="0.35">
      <c r="C5" s="1" t="s">
        <v>5</v>
      </c>
      <c r="E5" s="10"/>
      <c r="F5" s="10"/>
      <c r="G5" s="10"/>
      <c r="H5" s="10"/>
      <c r="I5" s="10"/>
      <c r="J5" s="404"/>
      <c r="K5" s="405"/>
      <c r="L5" s="405"/>
      <c r="M5" s="405"/>
      <c r="N5" s="405"/>
      <c r="O5" s="405"/>
      <c r="P5" s="405"/>
      <c r="Q5" s="406"/>
      <c r="R5" s="3" t="s">
        <v>23</v>
      </c>
      <c r="S5" s="5">
        <f>INDEX(E26:P26,Actual_month)</f>
        <v>8</v>
      </c>
    </row>
    <row r="6" spans="1:19" x14ac:dyDescent="0.35">
      <c r="J6" s="404"/>
      <c r="K6" s="405"/>
      <c r="L6" s="405"/>
      <c r="M6" s="405"/>
      <c r="N6" s="405"/>
      <c r="O6" s="405"/>
      <c r="P6" s="405"/>
      <c r="Q6" s="406"/>
      <c r="R6" s="6">
        <v>0.9</v>
      </c>
      <c r="S6" s="5">
        <f>+S5*R6</f>
        <v>7.2</v>
      </c>
    </row>
    <row r="7" spans="1:19" x14ac:dyDescent="0.35">
      <c r="J7" s="404"/>
      <c r="K7" s="405"/>
      <c r="L7" s="405"/>
      <c r="M7" s="405"/>
      <c r="N7" s="405"/>
      <c r="O7" s="405"/>
      <c r="P7" s="405"/>
      <c r="Q7" s="406"/>
    </row>
    <row r="8" spans="1:19" ht="15" thickBot="1" x14ac:dyDescent="0.4">
      <c r="J8" s="407"/>
      <c r="K8" s="408"/>
      <c r="L8" s="408"/>
      <c r="M8" s="408"/>
      <c r="N8" s="408"/>
      <c r="O8" s="408"/>
      <c r="P8" s="408"/>
      <c r="Q8" s="409"/>
    </row>
    <row r="9" spans="1:19" ht="15" thickBot="1" x14ac:dyDescent="0.4">
      <c r="J9" s="3" t="s">
        <v>12</v>
      </c>
    </row>
    <row r="10" spans="1:19" x14ac:dyDescent="0.35">
      <c r="J10" s="401"/>
      <c r="K10" s="402"/>
      <c r="L10" s="402"/>
      <c r="M10" s="402"/>
      <c r="N10" s="402"/>
      <c r="O10" s="402"/>
      <c r="P10" s="402"/>
      <c r="Q10" s="403"/>
    </row>
    <row r="11" spans="1:19" x14ac:dyDescent="0.35">
      <c r="J11" s="404"/>
      <c r="K11" s="405"/>
      <c r="L11" s="405"/>
      <c r="M11" s="405"/>
      <c r="N11" s="405"/>
      <c r="O11" s="405"/>
      <c r="P11" s="405"/>
      <c r="Q11" s="406"/>
    </row>
    <row r="12" spans="1:19" x14ac:dyDescent="0.35">
      <c r="J12" s="404"/>
      <c r="K12" s="405"/>
      <c r="L12" s="405"/>
      <c r="M12" s="405"/>
      <c r="N12" s="405"/>
      <c r="O12" s="405"/>
      <c r="P12" s="405"/>
      <c r="Q12" s="406"/>
    </row>
    <row r="13" spans="1:19" x14ac:dyDescent="0.35">
      <c r="J13" s="404"/>
      <c r="K13" s="405"/>
      <c r="L13" s="405"/>
      <c r="M13" s="405"/>
      <c r="N13" s="405"/>
      <c r="O13" s="405"/>
      <c r="P13" s="405"/>
      <c r="Q13" s="406"/>
    </row>
    <row r="14" spans="1:19" x14ac:dyDescent="0.35">
      <c r="J14" s="404"/>
      <c r="K14" s="405"/>
      <c r="L14" s="405"/>
      <c r="M14" s="405"/>
      <c r="N14" s="405"/>
      <c r="O14" s="405"/>
      <c r="P14" s="405"/>
      <c r="Q14" s="406"/>
    </row>
    <row r="15" spans="1:19" ht="15" thickBot="1" x14ac:dyDescent="0.4">
      <c r="J15" s="407"/>
      <c r="K15" s="408"/>
      <c r="L15" s="408"/>
      <c r="M15" s="408"/>
      <c r="N15" s="408"/>
      <c r="O15" s="408"/>
      <c r="P15" s="408"/>
      <c r="Q15" s="409"/>
    </row>
    <row r="18" spans="3:17" x14ac:dyDescent="0.35">
      <c r="C18" s="7" t="s">
        <v>8</v>
      </c>
      <c r="E18" s="11">
        <f>'KPI 1'!E18</f>
        <v>45839</v>
      </c>
      <c r="F18" s="11">
        <f>'KPI 1'!F18</f>
        <v>45870</v>
      </c>
      <c r="G18" s="11">
        <f>'KPI 1'!G18</f>
        <v>45901</v>
      </c>
      <c r="H18" s="11">
        <f>'KPI 1'!H18</f>
        <v>45931</v>
      </c>
      <c r="I18" s="11">
        <f>'KPI 1'!I18</f>
        <v>45962</v>
      </c>
      <c r="J18" s="11">
        <f>'KPI 1'!J18</f>
        <v>45992</v>
      </c>
      <c r="K18" s="11">
        <f>'KPI 1'!K18</f>
        <v>46023</v>
      </c>
      <c r="L18" s="11">
        <f>'KPI 1'!L18</f>
        <v>46054</v>
      </c>
      <c r="M18" s="11">
        <f>'KPI 1'!M18</f>
        <v>46082</v>
      </c>
      <c r="N18" s="11">
        <f>'KPI 1'!N18</f>
        <v>46113</v>
      </c>
      <c r="O18" s="11">
        <f>'KPI 1'!O18</f>
        <v>46143</v>
      </c>
      <c r="P18" s="11">
        <f>'KPI 1'!P18</f>
        <v>46174</v>
      </c>
      <c r="Q18" s="8" t="s">
        <v>0</v>
      </c>
    </row>
    <row r="19" spans="3:17" x14ac:dyDescent="0.35">
      <c r="D19" s="3" t="str">
        <f>'KPI 1'!D19</f>
        <v>Budget 2025-26</v>
      </c>
      <c r="E19" s="5">
        <f>'budget 2025-26'!D35</f>
        <v>1</v>
      </c>
      <c r="F19" s="5">
        <f>'budget 2025-26'!E35</f>
        <v>1</v>
      </c>
      <c r="G19" s="5">
        <f>'budget 2025-26'!F35</f>
        <v>1</v>
      </c>
      <c r="H19" s="5">
        <f>'budget 2025-26'!G35</f>
        <v>1</v>
      </c>
      <c r="I19" s="5">
        <f>'budget 2025-26'!H35</f>
        <v>1</v>
      </c>
      <c r="J19" s="5">
        <f>'budget 2025-26'!I35</f>
        <v>1</v>
      </c>
      <c r="K19" s="5">
        <f>'budget 2025-26'!J35</f>
        <v>1</v>
      </c>
      <c r="L19" s="5">
        <f>'budget 2025-26'!K35</f>
        <v>1</v>
      </c>
      <c r="M19" s="5">
        <f>'budget 2025-26'!L35</f>
        <v>1</v>
      </c>
      <c r="N19" s="5">
        <f>'budget 2025-26'!M35</f>
        <v>1</v>
      </c>
      <c r="O19" s="5">
        <f>'budget 2025-26'!N35</f>
        <v>1</v>
      </c>
      <c r="P19" s="5">
        <f>'budget 2025-26'!O35</f>
        <v>1</v>
      </c>
      <c r="Q19" s="5">
        <f>SUM(E19:P19)</f>
        <v>12</v>
      </c>
    </row>
    <row r="20" spans="3:17" x14ac:dyDescent="0.35">
      <c r="D20" s="3" t="str">
        <f>'KPI 1'!D20</f>
        <v>Actual 2025-26</v>
      </c>
      <c r="E20" s="5">
        <f>'Input Actual2025-26'!E36</f>
        <v>0</v>
      </c>
      <c r="F20" s="5">
        <f>'Input Actual2025-26'!F36</f>
        <v>2</v>
      </c>
      <c r="G20" s="5">
        <f>'Input Actual2025-26'!G36</f>
        <v>2</v>
      </c>
      <c r="H20" s="5">
        <f>'Input Actual2025-26'!H36</f>
        <v>1</v>
      </c>
      <c r="I20" s="5">
        <f>'Input Actual2025-26'!I36</f>
        <v>3</v>
      </c>
      <c r="J20" s="5">
        <f>'Input Actual2025-26'!J36</f>
        <v>0</v>
      </c>
      <c r="K20" s="5">
        <f>'Input Actual2025-26'!K36</f>
        <v>0</v>
      </c>
      <c r="L20" s="5">
        <f>'Input Actual2025-26'!L36</f>
        <v>2</v>
      </c>
      <c r="M20" s="5">
        <f>'Input Actual2025-26'!M36</f>
        <v>0</v>
      </c>
      <c r="N20" s="5">
        <f>'Input Actual2025-26'!N36</f>
        <v>0</v>
      </c>
      <c r="O20" s="5">
        <f>'Input Actual2025-26'!O36</f>
        <v>0</v>
      </c>
      <c r="P20" s="5">
        <f>'Input Actual2025-26'!P36</f>
        <v>0</v>
      </c>
      <c r="Q20" s="5">
        <f t="shared" ref="Q20:Q22" si="0">SUM(E20:P20)</f>
        <v>10</v>
      </c>
    </row>
    <row r="21" spans="3:17" x14ac:dyDescent="0.35">
      <c r="D21" s="3" t="s">
        <v>424</v>
      </c>
      <c r="E21" s="5">
        <f>'Input Actual2024-25'!E34</f>
        <v>1</v>
      </c>
      <c r="F21" s="5">
        <f>'Input Actual2024-25'!F34</f>
        <v>0</v>
      </c>
      <c r="G21" s="5">
        <f>'Input Actual2024-25'!G34</f>
        <v>2</v>
      </c>
      <c r="H21" s="5">
        <f>'Input Actual2024-25'!H34</f>
        <v>1</v>
      </c>
      <c r="I21" s="5">
        <f>'Input Actual2024-25'!I34</f>
        <v>0</v>
      </c>
      <c r="J21" s="5">
        <f>'Input Actual2024-25'!J34</f>
        <v>1</v>
      </c>
      <c r="K21" s="5">
        <f>'Input Actual2024-25'!K34</f>
        <v>0</v>
      </c>
      <c r="L21" s="5">
        <f>'Input Actual2024-25'!L34</f>
        <v>2</v>
      </c>
      <c r="M21" s="5">
        <f>'Input Actual2024-25'!M34</f>
        <v>2</v>
      </c>
      <c r="N21" s="5">
        <f>'Input Actual2024-25'!N34</f>
        <v>1</v>
      </c>
      <c r="O21" s="5">
        <f>'Input Actual2024-25'!O34</f>
        <v>0</v>
      </c>
      <c r="P21" s="5">
        <f>'Input Actual2024-25'!P34</f>
        <v>1</v>
      </c>
      <c r="Q21" s="5">
        <f t="shared" si="0"/>
        <v>11</v>
      </c>
    </row>
    <row r="22" spans="3:17" x14ac:dyDescent="0.35">
      <c r="D22" s="3" t="s">
        <v>7</v>
      </c>
      <c r="E22" s="5">
        <f t="shared" ref="E22:P22" si="1">IF(E20=0,0,E20-E19)</f>
        <v>0</v>
      </c>
      <c r="F22" s="5">
        <f t="shared" si="1"/>
        <v>1</v>
      </c>
      <c r="G22" s="5">
        <f t="shared" si="1"/>
        <v>1</v>
      </c>
      <c r="H22" s="5">
        <f t="shared" si="1"/>
        <v>0</v>
      </c>
      <c r="I22" s="5">
        <f t="shared" si="1"/>
        <v>2</v>
      </c>
      <c r="J22" s="5">
        <f t="shared" si="1"/>
        <v>0</v>
      </c>
      <c r="K22" s="5">
        <f t="shared" si="1"/>
        <v>0</v>
      </c>
      <c r="L22" s="5">
        <f t="shared" si="1"/>
        <v>1</v>
      </c>
      <c r="M22" s="5">
        <f t="shared" si="1"/>
        <v>0</v>
      </c>
      <c r="N22" s="5">
        <f t="shared" si="1"/>
        <v>0</v>
      </c>
      <c r="O22" s="5">
        <f t="shared" si="1"/>
        <v>0</v>
      </c>
      <c r="P22" s="5">
        <f t="shared" si="1"/>
        <v>0</v>
      </c>
      <c r="Q22" s="5">
        <f t="shared" si="0"/>
        <v>5</v>
      </c>
    </row>
    <row r="23" spans="3:17" x14ac:dyDescent="0.35">
      <c r="D23" s="3" t="s">
        <v>43</v>
      </c>
      <c r="E23" s="9">
        <f>E21/E19</f>
        <v>1</v>
      </c>
      <c r="F23" s="9">
        <f t="shared" ref="F23:P23" si="2">F20/F19</f>
        <v>2</v>
      </c>
      <c r="G23" s="9">
        <f t="shared" si="2"/>
        <v>2</v>
      </c>
      <c r="H23" s="9">
        <f t="shared" si="2"/>
        <v>1</v>
      </c>
      <c r="I23" s="9">
        <f t="shared" si="2"/>
        <v>3</v>
      </c>
      <c r="J23" s="9">
        <f t="shared" si="2"/>
        <v>0</v>
      </c>
      <c r="K23" s="9">
        <f t="shared" si="2"/>
        <v>0</v>
      </c>
      <c r="L23" s="9">
        <f t="shared" si="2"/>
        <v>2</v>
      </c>
      <c r="M23" s="9">
        <f t="shared" si="2"/>
        <v>0</v>
      </c>
      <c r="N23" s="9">
        <f t="shared" si="2"/>
        <v>0</v>
      </c>
      <c r="O23" s="9">
        <f t="shared" si="2"/>
        <v>0</v>
      </c>
      <c r="P23" s="9">
        <f t="shared" si="2"/>
        <v>0</v>
      </c>
    </row>
    <row r="25" spans="3:17" x14ac:dyDescent="0.35">
      <c r="C25" s="7" t="s">
        <v>3</v>
      </c>
      <c r="E25" s="11">
        <f>E18</f>
        <v>45839</v>
      </c>
      <c r="F25" s="11">
        <f t="shared" ref="F25:P25" si="3">F18</f>
        <v>45870</v>
      </c>
      <c r="G25" s="11">
        <f t="shared" si="3"/>
        <v>45901</v>
      </c>
      <c r="H25" s="11">
        <f t="shared" si="3"/>
        <v>45931</v>
      </c>
      <c r="I25" s="11">
        <f t="shared" si="3"/>
        <v>45962</v>
      </c>
      <c r="J25" s="11">
        <f t="shared" si="3"/>
        <v>45992</v>
      </c>
      <c r="K25" s="11">
        <f t="shared" si="3"/>
        <v>46023</v>
      </c>
      <c r="L25" s="11">
        <f t="shared" si="3"/>
        <v>46054</v>
      </c>
      <c r="M25" s="11">
        <f t="shared" si="3"/>
        <v>46082</v>
      </c>
      <c r="N25" s="11">
        <f t="shared" si="3"/>
        <v>46113</v>
      </c>
      <c r="O25" s="11">
        <f t="shared" si="3"/>
        <v>46143</v>
      </c>
      <c r="P25" s="11">
        <f t="shared" si="3"/>
        <v>46174</v>
      </c>
    </row>
    <row r="26" spans="3:17" x14ac:dyDescent="0.35">
      <c r="D26" s="3" t="str">
        <f>D19</f>
        <v>Budget 2025-26</v>
      </c>
      <c r="E26" s="5">
        <f>SUM($E19:E19)</f>
        <v>1</v>
      </c>
      <c r="F26" s="5">
        <f>SUM($E19:F19)</f>
        <v>2</v>
      </c>
      <c r="G26" s="5">
        <f>SUM($E19:G19)</f>
        <v>3</v>
      </c>
      <c r="H26" s="5">
        <f>SUM($E19:H19)</f>
        <v>4</v>
      </c>
      <c r="I26" s="5">
        <f>SUM($E19:I19)</f>
        <v>5</v>
      </c>
      <c r="J26" s="5">
        <f>SUM($E19:J19)</f>
        <v>6</v>
      </c>
      <c r="K26" s="5">
        <f>SUM($E19:K19)</f>
        <v>7</v>
      </c>
      <c r="L26" s="5">
        <f>SUM($E19:L19)</f>
        <v>8</v>
      </c>
      <c r="M26" s="5">
        <f>SUM($E19:M19)</f>
        <v>9</v>
      </c>
      <c r="N26" s="5">
        <f>SUM($E19:N19)</f>
        <v>10</v>
      </c>
      <c r="O26" s="5">
        <f>SUM($E19:O19)</f>
        <v>11</v>
      </c>
      <c r="P26" s="5">
        <f>SUM($E19:P19)</f>
        <v>12</v>
      </c>
    </row>
    <row r="27" spans="3:17" x14ac:dyDescent="0.35">
      <c r="D27" s="3" t="str">
        <f t="shared" ref="D27:D30" si="4">D20</f>
        <v>Actual 2025-26</v>
      </c>
      <c r="E27" s="5">
        <f>SUM($E20:E20)</f>
        <v>0</v>
      </c>
      <c r="F27" s="5">
        <f>SUM($E20:F20)</f>
        <v>2</v>
      </c>
      <c r="G27" s="5">
        <f>SUM($E20:G20)</f>
        <v>4</v>
      </c>
      <c r="H27" s="5">
        <f>SUM($E20:H20)</f>
        <v>5</v>
      </c>
      <c r="I27" s="5">
        <f>SUM($E20:I20)</f>
        <v>8</v>
      </c>
      <c r="J27" s="5">
        <f>SUM($E20:J20)</f>
        <v>8</v>
      </c>
      <c r="K27" s="5">
        <f>SUM($E20:K20)</f>
        <v>8</v>
      </c>
      <c r="L27" s="5">
        <f>SUM($E20:L20)</f>
        <v>10</v>
      </c>
      <c r="M27" s="5">
        <f>SUM($E20:M20)</f>
        <v>10</v>
      </c>
      <c r="N27" s="5">
        <f>SUM($E20:N20)</f>
        <v>10</v>
      </c>
      <c r="O27" s="5">
        <f>SUM($E20:O20)</f>
        <v>10</v>
      </c>
      <c r="P27" s="5">
        <f>SUM($E20:P20)</f>
        <v>10</v>
      </c>
    </row>
    <row r="28" spans="3:17" x14ac:dyDescent="0.35">
      <c r="D28" s="3" t="str">
        <f t="shared" si="4"/>
        <v>Actual 2024-25</v>
      </c>
      <c r="E28" s="5">
        <f>SUM($E21:E21)</f>
        <v>1</v>
      </c>
      <c r="F28" s="5">
        <f>SUM($E21:F21)</f>
        <v>1</v>
      </c>
      <c r="G28" s="5">
        <f>SUM($E21:G21)</f>
        <v>3</v>
      </c>
      <c r="H28" s="5">
        <f>SUM($E21:H21)</f>
        <v>4</v>
      </c>
      <c r="I28" s="5">
        <f>SUM($E21:I21)</f>
        <v>4</v>
      </c>
      <c r="J28" s="5">
        <f>SUM($E21:J21)</f>
        <v>5</v>
      </c>
      <c r="K28" s="5">
        <f>SUM($E21:K21)</f>
        <v>5</v>
      </c>
      <c r="L28" s="5">
        <f>SUM($E21:L21)</f>
        <v>7</v>
      </c>
      <c r="M28" s="5">
        <f>SUM($E21:M21)</f>
        <v>9</v>
      </c>
      <c r="N28" s="5">
        <f>SUM($E21:N21)</f>
        <v>10</v>
      </c>
      <c r="O28" s="5">
        <f>SUM($E21:O21)</f>
        <v>10</v>
      </c>
      <c r="P28" s="5">
        <f>SUM($E21:P21)</f>
        <v>11</v>
      </c>
    </row>
    <row r="29" spans="3:17" x14ac:dyDescent="0.35">
      <c r="D29" s="3" t="str">
        <f t="shared" si="4"/>
        <v>Difference</v>
      </c>
      <c r="E29" s="5">
        <f>SUM($E22:E22)</f>
        <v>0</v>
      </c>
      <c r="F29" s="5">
        <f>SUM($E22:F22)</f>
        <v>1</v>
      </c>
      <c r="G29" s="5">
        <f>SUM($E22:G22)</f>
        <v>2</v>
      </c>
      <c r="H29" s="5">
        <f>SUM($E22:H22)</f>
        <v>2</v>
      </c>
      <c r="I29" s="5">
        <f>SUM($E22:I22)</f>
        <v>4</v>
      </c>
      <c r="J29" s="5">
        <f>SUM($E22:J22)</f>
        <v>4</v>
      </c>
      <c r="K29" s="5">
        <f>SUM($E22:K22)</f>
        <v>4</v>
      </c>
      <c r="L29" s="5">
        <f>SUM($E22:L22)</f>
        <v>5</v>
      </c>
      <c r="M29" s="5">
        <f>SUM($E22:M22)</f>
        <v>5</v>
      </c>
      <c r="N29" s="5">
        <f>SUM($E22:N22)</f>
        <v>5</v>
      </c>
      <c r="O29" s="5">
        <f>SUM($E22:O22)</f>
        <v>5</v>
      </c>
      <c r="P29" s="5">
        <f>SUM($E22:P22)</f>
        <v>5</v>
      </c>
    </row>
    <row r="30" spans="3:17" x14ac:dyDescent="0.35">
      <c r="D30" s="3" t="str">
        <f t="shared" si="4"/>
        <v>Realisation</v>
      </c>
      <c r="E30" s="9">
        <f>E28/E26</f>
        <v>1</v>
      </c>
      <c r="F30" s="9">
        <f t="shared" ref="F30:P30" si="5">F27/F26</f>
        <v>1</v>
      </c>
      <c r="G30" s="9">
        <f t="shared" si="5"/>
        <v>1.3333333333333333</v>
      </c>
      <c r="H30" s="9">
        <f t="shared" si="5"/>
        <v>1.25</v>
      </c>
      <c r="I30" s="9">
        <f t="shared" si="5"/>
        <v>1.6</v>
      </c>
      <c r="J30" s="9">
        <f t="shared" si="5"/>
        <v>1.3333333333333333</v>
      </c>
      <c r="K30" s="9">
        <f t="shared" si="5"/>
        <v>1.1428571428571428</v>
      </c>
      <c r="L30" s="9">
        <f t="shared" si="5"/>
        <v>1.25</v>
      </c>
      <c r="M30" s="9">
        <f t="shared" si="5"/>
        <v>1.1111111111111112</v>
      </c>
      <c r="N30" s="9">
        <f t="shared" si="5"/>
        <v>1</v>
      </c>
      <c r="O30" s="9">
        <f t="shared" si="5"/>
        <v>0.90909090909090906</v>
      </c>
      <c r="P30" s="9">
        <f t="shared" si="5"/>
        <v>0.83333333333333337</v>
      </c>
    </row>
  </sheetData>
  <mergeCells count="2">
    <mergeCell ref="J4:Q8"/>
    <mergeCell ref="J10:Q15"/>
  </mergeCells>
  <conditionalFormatting sqref="C3">
    <cfRule type="expression" dxfId="491" priority="2">
      <formula>S4&lt;S6</formula>
    </cfRule>
  </conditionalFormatting>
  <conditionalFormatting sqref="C5">
    <cfRule type="expression" dxfId="490" priority="3">
      <formula>S4&gt;=S5</formula>
    </cfRule>
  </conditionalFormatting>
  <conditionalFormatting sqref="C4">
    <cfRule type="expression" dxfId="489" priority="1">
      <formula>AND(S4&gt;=S6,S4&lt;S5)</formula>
    </cfRule>
  </conditionalFormatting>
  <hyperlinks>
    <hyperlink ref="L1" location="Dashboard!A1" display="Dashboard"/>
  </hyperlinks>
  <pageMargins left="0.7" right="0.7" top="0.75" bottom="0.75" header="0.3" footer="0.3"/>
  <pageSetup orientation="portrait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956417" r:id="rId4" name="Spinner 1">
              <controlPr defaultSize="0" autoPict="0">
                <anchor moveWithCells="1" sizeWithCells="1">
                  <from>
                    <xdr:col>9</xdr:col>
                    <xdr:colOff>19050</xdr:colOff>
                    <xdr:row>0</xdr:row>
                    <xdr:rowOff>38100</xdr:rowOff>
                  </from>
                  <to>
                    <xdr:col>9</xdr:col>
                    <xdr:colOff>400050</xdr:colOff>
                    <xdr:row>1</xdr:row>
                    <xdr:rowOff>152400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FFC000"/>
  </sheetPr>
  <dimension ref="A1:S30"/>
  <sheetViews>
    <sheetView topLeftCell="E1" workbookViewId="0">
      <selection activeCell="L1" sqref="L1"/>
    </sheetView>
  </sheetViews>
  <sheetFormatPr defaultColWidth="9.1796875" defaultRowHeight="14.5" x14ac:dyDescent="0.35"/>
  <cols>
    <col min="1" max="1" width="9.1796875" style="3"/>
    <col min="2" max="2" width="5.1796875" style="3" customWidth="1"/>
    <col min="3" max="3" width="6.26953125" style="3" customWidth="1"/>
    <col min="4" max="4" width="21.26953125" style="3" bestFit="1" customWidth="1"/>
    <col min="5" max="16" width="11.1796875" style="3" customWidth="1"/>
    <col min="17" max="17" width="12" style="3" bestFit="1" customWidth="1"/>
    <col min="18" max="18" width="9.1796875" style="3" customWidth="1"/>
    <col min="19" max="16384" width="9.1796875" style="3"/>
  </cols>
  <sheetData>
    <row r="1" spans="1:19" ht="21" x14ac:dyDescent="0.5">
      <c r="A1" s="4" t="s">
        <v>4</v>
      </c>
      <c r="B1" s="4">
        <f>Dashboard!A30</f>
        <v>7</v>
      </c>
      <c r="C1" s="4" t="str">
        <f>Dashboard!B30</f>
        <v>HOPEWELL- NEW SEWER</v>
      </c>
      <c r="G1" s="3" t="s">
        <v>9</v>
      </c>
      <c r="I1" s="12">
        <f>INDEX($E$18:$P$18,Actual_month)</f>
        <v>46054</v>
      </c>
      <c r="L1" s="16" t="s">
        <v>19</v>
      </c>
      <c r="R1" s="5"/>
    </row>
    <row r="2" spans="1:19" x14ac:dyDescent="0.35">
      <c r="A2" s="3" t="s">
        <v>13</v>
      </c>
      <c r="C2" s="3" t="s">
        <v>27</v>
      </c>
      <c r="R2" s="6"/>
    </row>
    <row r="3" spans="1:19" ht="25.5" customHeight="1" thickBot="1" x14ac:dyDescent="0.4">
      <c r="C3" s="1" t="s">
        <v>5</v>
      </c>
      <c r="E3" s="10"/>
      <c r="F3" s="10"/>
      <c r="G3" s="10"/>
      <c r="H3" s="10"/>
      <c r="I3" s="10"/>
      <c r="J3" s="3" t="s">
        <v>6</v>
      </c>
      <c r="K3" s="10"/>
      <c r="M3" s="10"/>
      <c r="N3" s="10"/>
      <c r="O3" s="10"/>
      <c r="P3" s="10"/>
    </row>
    <row r="4" spans="1:19" ht="25.5" customHeight="1" x14ac:dyDescent="0.35">
      <c r="C4" s="1" t="s">
        <v>5</v>
      </c>
      <c r="E4" s="10"/>
      <c r="F4" s="10"/>
      <c r="G4" s="10"/>
      <c r="H4" s="10"/>
      <c r="I4" s="10"/>
      <c r="J4" s="401"/>
      <c r="K4" s="402"/>
      <c r="L4" s="402"/>
      <c r="M4" s="402"/>
      <c r="N4" s="402"/>
      <c r="O4" s="402"/>
      <c r="P4" s="402"/>
      <c r="Q4" s="403"/>
      <c r="R4" s="3" t="s">
        <v>22</v>
      </c>
      <c r="S4" s="5">
        <f>INDEX(E27:P27,Actual_month)</f>
        <v>0</v>
      </c>
    </row>
    <row r="5" spans="1:19" ht="25.5" customHeight="1" x14ac:dyDescent="0.35">
      <c r="C5" s="1" t="s">
        <v>5</v>
      </c>
      <c r="E5" s="10"/>
      <c r="F5" s="10"/>
      <c r="G5" s="10"/>
      <c r="H5" s="10"/>
      <c r="I5" s="10"/>
      <c r="J5" s="404"/>
      <c r="K5" s="405"/>
      <c r="L5" s="405"/>
      <c r="M5" s="405"/>
      <c r="N5" s="405"/>
      <c r="O5" s="405"/>
      <c r="P5" s="405"/>
      <c r="Q5" s="406"/>
      <c r="R5" s="3" t="s">
        <v>23</v>
      </c>
      <c r="S5" s="5">
        <f>INDEX(E26:P26,Actual_month)</f>
        <v>0</v>
      </c>
    </row>
    <row r="6" spans="1:19" x14ac:dyDescent="0.35">
      <c r="J6" s="404"/>
      <c r="K6" s="405"/>
      <c r="L6" s="405"/>
      <c r="M6" s="405"/>
      <c r="N6" s="405"/>
      <c r="O6" s="405"/>
      <c r="P6" s="405"/>
      <c r="Q6" s="406"/>
      <c r="R6" s="6">
        <v>0.9</v>
      </c>
      <c r="S6" s="5">
        <f>+S5*R6</f>
        <v>0</v>
      </c>
    </row>
    <row r="7" spans="1:19" x14ac:dyDescent="0.35">
      <c r="J7" s="404"/>
      <c r="K7" s="405"/>
      <c r="L7" s="405"/>
      <c r="M7" s="405"/>
      <c r="N7" s="405"/>
      <c r="O7" s="405"/>
      <c r="P7" s="405"/>
      <c r="Q7" s="406"/>
    </row>
    <row r="8" spans="1:19" ht="15" thickBot="1" x14ac:dyDescent="0.4">
      <c r="J8" s="407"/>
      <c r="K8" s="408"/>
      <c r="L8" s="408"/>
      <c r="M8" s="408"/>
      <c r="N8" s="408"/>
      <c r="O8" s="408"/>
      <c r="P8" s="408"/>
      <c r="Q8" s="409"/>
    </row>
    <row r="9" spans="1:19" ht="15" thickBot="1" x14ac:dyDescent="0.4">
      <c r="J9" s="3" t="s">
        <v>12</v>
      </c>
    </row>
    <row r="10" spans="1:19" x14ac:dyDescent="0.35">
      <c r="J10" s="401"/>
      <c r="K10" s="402"/>
      <c r="L10" s="402"/>
      <c r="M10" s="402"/>
      <c r="N10" s="402"/>
      <c r="O10" s="402"/>
      <c r="P10" s="402"/>
      <c r="Q10" s="403"/>
    </row>
    <row r="11" spans="1:19" x14ac:dyDescent="0.35">
      <c r="J11" s="404"/>
      <c r="K11" s="405"/>
      <c r="L11" s="405"/>
      <c r="M11" s="405"/>
      <c r="N11" s="405"/>
      <c r="O11" s="405"/>
      <c r="P11" s="405"/>
      <c r="Q11" s="406"/>
    </row>
    <row r="12" spans="1:19" x14ac:dyDescent="0.35">
      <c r="J12" s="404"/>
      <c r="K12" s="405"/>
      <c r="L12" s="405"/>
      <c r="M12" s="405"/>
      <c r="N12" s="405"/>
      <c r="O12" s="405"/>
      <c r="P12" s="405"/>
      <c r="Q12" s="406"/>
    </row>
    <row r="13" spans="1:19" x14ac:dyDescent="0.35">
      <c r="J13" s="404"/>
      <c r="K13" s="405"/>
      <c r="L13" s="405"/>
      <c r="M13" s="405"/>
      <c r="N13" s="405"/>
      <c r="O13" s="405"/>
      <c r="P13" s="405"/>
      <c r="Q13" s="406"/>
    </row>
    <row r="14" spans="1:19" x14ac:dyDescent="0.35">
      <c r="J14" s="404"/>
      <c r="K14" s="405"/>
      <c r="L14" s="405"/>
      <c r="M14" s="405"/>
      <c r="N14" s="405"/>
      <c r="O14" s="405"/>
      <c r="P14" s="405"/>
      <c r="Q14" s="406"/>
    </row>
    <row r="15" spans="1:19" ht="15" thickBot="1" x14ac:dyDescent="0.4">
      <c r="J15" s="407"/>
      <c r="K15" s="408"/>
      <c r="L15" s="408"/>
      <c r="M15" s="408"/>
      <c r="N15" s="408"/>
      <c r="O15" s="408"/>
      <c r="P15" s="408"/>
      <c r="Q15" s="409"/>
    </row>
    <row r="18" spans="3:17" x14ac:dyDescent="0.35">
      <c r="C18" s="7" t="s">
        <v>8</v>
      </c>
      <c r="E18" s="11">
        <f>'KPI 1'!E18</f>
        <v>45839</v>
      </c>
      <c r="F18" s="11">
        <f>'KPI 1'!F18</f>
        <v>45870</v>
      </c>
      <c r="G18" s="11">
        <f>'KPI 1'!G18</f>
        <v>45901</v>
      </c>
      <c r="H18" s="11">
        <f>'KPI 1'!H18</f>
        <v>45931</v>
      </c>
      <c r="I18" s="11">
        <f>'KPI 1'!I18</f>
        <v>45962</v>
      </c>
      <c r="J18" s="11">
        <f>'KPI 1'!J18</f>
        <v>45992</v>
      </c>
      <c r="K18" s="11">
        <f>'KPI 1'!K18</f>
        <v>46023</v>
      </c>
      <c r="L18" s="11">
        <f>'KPI 1'!L18</f>
        <v>46054</v>
      </c>
      <c r="M18" s="11">
        <f>'KPI 1'!M18</f>
        <v>46082</v>
      </c>
      <c r="N18" s="11">
        <f>'KPI 1'!N18</f>
        <v>46113</v>
      </c>
      <c r="O18" s="11">
        <f>'KPI 1'!O18</f>
        <v>46143</v>
      </c>
      <c r="P18" s="11">
        <f>'KPI 1'!P18</f>
        <v>46174</v>
      </c>
      <c r="Q18" s="8" t="s">
        <v>0</v>
      </c>
    </row>
    <row r="19" spans="3:17" x14ac:dyDescent="0.35">
      <c r="D19" s="3" t="str">
        <f>'KPI 1'!D19</f>
        <v>Budget 2025-26</v>
      </c>
      <c r="E19" s="5">
        <f>'budget 2025-26'!D29</f>
        <v>0</v>
      </c>
      <c r="F19" s="5">
        <f>'budget 2025-26'!E29</f>
        <v>0</v>
      </c>
      <c r="G19" s="5">
        <f>'budget 2025-26'!F29</f>
        <v>0</v>
      </c>
      <c r="H19" s="5">
        <f>'budget 2025-26'!G29</f>
        <v>0</v>
      </c>
      <c r="I19" s="5">
        <f>'budget 2025-26'!H29</f>
        <v>0</v>
      </c>
      <c r="J19" s="5">
        <f>'budget 2025-26'!I29</f>
        <v>0</v>
      </c>
      <c r="K19" s="5">
        <f>'budget 2025-26'!J29</f>
        <v>0</v>
      </c>
      <c r="L19" s="5">
        <f>'budget 2025-26'!K29</f>
        <v>0</v>
      </c>
      <c r="M19" s="5">
        <f>'budget 2025-26'!L29</f>
        <v>0</v>
      </c>
      <c r="N19" s="5">
        <f>'budget 2025-26'!M29</f>
        <v>0</v>
      </c>
      <c r="O19" s="5">
        <f>'budget 2025-26'!N29</f>
        <v>0</v>
      </c>
      <c r="P19" s="5">
        <f>'budget 2025-26'!O29</f>
        <v>0</v>
      </c>
      <c r="Q19" s="5">
        <f>SUM(E19:P19)</f>
        <v>0</v>
      </c>
    </row>
    <row r="20" spans="3:17" x14ac:dyDescent="0.35">
      <c r="D20" s="3" t="str">
        <f>'KPI 1'!D20</f>
        <v>Actual 2025-26</v>
      </c>
      <c r="E20" s="5">
        <f>'Input Actual2025-26'!E30</f>
        <v>0</v>
      </c>
      <c r="F20" s="5">
        <f>'Input Actual2025-26'!F30</f>
        <v>0</v>
      </c>
      <c r="G20" s="5">
        <f>'Input Actual2025-26'!G30</f>
        <v>0</v>
      </c>
      <c r="H20" s="5">
        <f>'Input Actual2025-26'!H30</f>
        <v>0</v>
      </c>
      <c r="I20" s="5">
        <f>'Input Actual2025-26'!I30</f>
        <v>0</v>
      </c>
      <c r="J20" s="5">
        <f>'Input Actual2025-26'!J30</f>
        <v>0</v>
      </c>
      <c r="K20" s="5">
        <f>'Input Actual2025-26'!K30</f>
        <v>0</v>
      </c>
      <c r="L20" s="5">
        <f>'Input Actual2025-26'!L30</f>
        <v>0</v>
      </c>
      <c r="M20" s="5">
        <f>'Input Actual2025-26'!M30</f>
        <v>0</v>
      </c>
      <c r="N20" s="5">
        <f>'Input Actual2025-26'!N30</f>
        <v>0</v>
      </c>
      <c r="O20" s="5">
        <f>'Input Actual2025-26'!O30</f>
        <v>0</v>
      </c>
      <c r="P20" s="5">
        <f>'Input Actual2025-26'!P30</f>
        <v>0</v>
      </c>
      <c r="Q20" s="5">
        <f t="shared" ref="Q20:Q22" si="0">SUM(E20:P20)</f>
        <v>0</v>
      </c>
    </row>
    <row r="21" spans="3:17" x14ac:dyDescent="0.35">
      <c r="D21" s="3" t="s">
        <v>424</v>
      </c>
      <c r="E21" s="5">
        <f>'Input Actual2024-25'!E28</f>
        <v>0</v>
      </c>
      <c r="F21" s="5">
        <f>'Input Actual2024-25'!F28</f>
        <v>0</v>
      </c>
      <c r="G21" s="5">
        <f>'Input Actual2024-25'!G28</f>
        <v>0</v>
      </c>
      <c r="H21" s="5">
        <f>'Input Actual2024-25'!H28</f>
        <v>0</v>
      </c>
      <c r="I21" s="5">
        <f>'Input Actual2024-25'!I28</f>
        <v>0</v>
      </c>
      <c r="J21" s="5">
        <f>'Input Actual2024-25'!J28</f>
        <v>0</v>
      </c>
      <c r="K21" s="5">
        <f>'Input Actual2024-25'!K28</f>
        <v>0</v>
      </c>
      <c r="L21" s="5">
        <f>'Input Actual2024-25'!L28</f>
        <v>0</v>
      </c>
      <c r="M21" s="5">
        <f>'Input Actual2024-25'!M28</f>
        <v>0</v>
      </c>
      <c r="N21" s="5">
        <f>'Input Actual2024-25'!N28</f>
        <v>0</v>
      </c>
      <c r="O21" s="5">
        <f>'Input Actual2024-25'!O28</f>
        <v>0</v>
      </c>
      <c r="P21" s="5">
        <f>'Input Actual2024-25'!P28</f>
        <v>0</v>
      </c>
      <c r="Q21" s="5">
        <f t="shared" si="0"/>
        <v>0</v>
      </c>
    </row>
    <row r="22" spans="3:17" x14ac:dyDescent="0.35">
      <c r="D22" s="3" t="s">
        <v>7</v>
      </c>
      <c r="E22" s="5">
        <f t="shared" ref="E22:P22" si="1">IF(E20=0,0,E20-E19)</f>
        <v>0</v>
      </c>
      <c r="F22" s="5">
        <f t="shared" si="1"/>
        <v>0</v>
      </c>
      <c r="G22" s="5">
        <f t="shared" si="1"/>
        <v>0</v>
      </c>
      <c r="H22" s="5">
        <f t="shared" si="1"/>
        <v>0</v>
      </c>
      <c r="I22" s="5">
        <f t="shared" si="1"/>
        <v>0</v>
      </c>
      <c r="J22" s="5">
        <f t="shared" si="1"/>
        <v>0</v>
      </c>
      <c r="K22" s="5">
        <f t="shared" si="1"/>
        <v>0</v>
      </c>
      <c r="L22" s="5">
        <f t="shared" si="1"/>
        <v>0</v>
      </c>
      <c r="M22" s="5">
        <f t="shared" si="1"/>
        <v>0</v>
      </c>
      <c r="N22" s="5">
        <f t="shared" si="1"/>
        <v>0</v>
      </c>
      <c r="O22" s="5">
        <f t="shared" si="1"/>
        <v>0</v>
      </c>
      <c r="P22" s="5">
        <f t="shared" si="1"/>
        <v>0</v>
      </c>
      <c r="Q22" s="5">
        <f t="shared" si="0"/>
        <v>0</v>
      </c>
    </row>
    <row r="23" spans="3:17" x14ac:dyDescent="0.35">
      <c r="D23" s="3" t="s">
        <v>43</v>
      </c>
      <c r="E23" s="9" t="e">
        <f>E21/E19</f>
        <v>#DIV/0!</v>
      </c>
      <c r="F23" s="9" t="e">
        <f t="shared" ref="F23:P23" si="2">F20/F19</f>
        <v>#DIV/0!</v>
      </c>
      <c r="G23" s="9" t="e">
        <f t="shared" si="2"/>
        <v>#DIV/0!</v>
      </c>
      <c r="H23" s="9" t="e">
        <f t="shared" si="2"/>
        <v>#DIV/0!</v>
      </c>
      <c r="I23" s="9" t="e">
        <f t="shared" si="2"/>
        <v>#DIV/0!</v>
      </c>
      <c r="J23" s="9" t="e">
        <f t="shared" si="2"/>
        <v>#DIV/0!</v>
      </c>
      <c r="K23" s="9" t="e">
        <f t="shared" si="2"/>
        <v>#DIV/0!</v>
      </c>
      <c r="L23" s="9" t="e">
        <f t="shared" si="2"/>
        <v>#DIV/0!</v>
      </c>
      <c r="M23" s="9" t="e">
        <f t="shared" si="2"/>
        <v>#DIV/0!</v>
      </c>
      <c r="N23" s="9" t="e">
        <f t="shared" si="2"/>
        <v>#DIV/0!</v>
      </c>
      <c r="O23" s="9" t="e">
        <f t="shared" si="2"/>
        <v>#DIV/0!</v>
      </c>
      <c r="P23" s="9" t="e">
        <f t="shared" si="2"/>
        <v>#DIV/0!</v>
      </c>
    </row>
    <row r="25" spans="3:17" x14ac:dyDescent="0.35">
      <c r="C25" s="7" t="s">
        <v>3</v>
      </c>
      <c r="E25" s="11">
        <f>E18</f>
        <v>45839</v>
      </c>
      <c r="F25" s="11">
        <f t="shared" ref="F25:P25" si="3">F18</f>
        <v>45870</v>
      </c>
      <c r="G25" s="11">
        <f t="shared" si="3"/>
        <v>45901</v>
      </c>
      <c r="H25" s="11">
        <f t="shared" si="3"/>
        <v>45931</v>
      </c>
      <c r="I25" s="11">
        <f t="shared" si="3"/>
        <v>45962</v>
      </c>
      <c r="J25" s="11">
        <f t="shared" si="3"/>
        <v>45992</v>
      </c>
      <c r="K25" s="11">
        <f t="shared" si="3"/>
        <v>46023</v>
      </c>
      <c r="L25" s="11">
        <f t="shared" si="3"/>
        <v>46054</v>
      </c>
      <c r="M25" s="11">
        <f t="shared" si="3"/>
        <v>46082</v>
      </c>
      <c r="N25" s="11">
        <f t="shared" si="3"/>
        <v>46113</v>
      </c>
      <c r="O25" s="11">
        <f t="shared" si="3"/>
        <v>46143</v>
      </c>
      <c r="P25" s="11">
        <f t="shared" si="3"/>
        <v>46174</v>
      </c>
    </row>
    <row r="26" spans="3:17" x14ac:dyDescent="0.35">
      <c r="D26" s="3" t="str">
        <f>D19</f>
        <v>Budget 2025-26</v>
      </c>
      <c r="E26" s="5">
        <f>SUM($E19:E19)</f>
        <v>0</v>
      </c>
      <c r="F26" s="5">
        <f>SUM($E19:F19)</f>
        <v>0</v>
      </c>
      <c r="G26" s="5">
        <f>SUM($E19:G19)</f>
        <v>0</v>
      </c>
      <c r="H26" s="5">
        <f>SUM($E19:H19)</f>
        <v>0</v>
      </c>
      <c r="I26" s="5">
        <f>SUM($E19:I19)</f>
        <v>0</v>
      </c>
      <c r="J26" s="5">
        <f>SUM($E19:J19)</f>
        <v>0</v>
      </c>
      <c r="K26" s="5">
        <f>SUM($E19:K19)</f>
        <v>0</v>
      </c>
      <c r="L26" s="5">
        <f>SUM($E19:L19)</f>
        <v>0</v>
      </c>
      <c r="M26" s="5">
        <f>SUM($E19:M19)</f>
        <v>0</v>
      </c>
      <c r="N26" s="5">
        <f>SUM($E19:N19)</f>
        <v>0</v>
      </c>
      <c r="O26" s="5">
        <f>SUM($E19:O19)</f>
        <v>0</v>
      </c>
      <c r="P26" s="5">
        <f>SUM($E19:P19)</f>
        <v>0</v>
      </c>
    </row>
    <row r="27" spans="3:17" x14ac:dyDescent="0.35">
      <c r="D27" s="3" t="str">
        <f t="shared" ref="D27:D30" si="4">D20</f>
        <v>Actual 2025-26</v>
      </c>
      <c r="E27" s="5">
        <f>SUM($E20:E20)</f>
        <v>0</v>
      </c>
      <c r="F27" s="5">
        <f>SUM($E20:F20)</f>
        <v>0</v>
      </c>
      <c r="G27" s="5">
        <f>SUM($E20:G20)</f>
        <v>0</v>
      </c>
      <c r="H27" s="5">
        <f>SUM($E20:H20)</f>
        <v>0</v>
      </c>
      <c r="I27" s="5">
        <f>SUM($E20:I20)</f>
        <v>0</v>
      </c>
      <c r="J27" s="5">
        <f>SUM($E20:J20)</f>
        <v>0</v>
      </c>
      <c r="K27" s="5">
        <f>SUM($E20:K20)</f>
        <v>0</v>
      </c>
      <c r="L27" s="5">
        <f>SUM($E20:L20)</f>
        <v>0</v>
      </c>
      <c r="M27" s="5">
        <f>SUM($E20:M20)</f>
        <v>0</v>
      </c>
      <c r="N27" s="5">
        <f>SUM($E20:N20)</f>
        <v>0</v>
      </c>
      <c r="O27" s="5">
        <f>SUM($E20:O20)</f>
        <v>0</v>
      </c>
      <c r="P27" s="5">
        <f>SUM($E20:P20)</f>
        <v>0</v>
      </c>
    </row>
    <row r="28" spans="3:17" x14ac:dyDescent="0.35">
      <c r="D28" s="3" t="str">
        <f t="shared" si="4"/>
        <v>Actual 2024-25</v>
      </c>
      <c r="E28" s="5">
        <f>SUM($E21:E21)</f>
        <v>0</v>
      </c>
      <c r="F28" s="5">
        <f>SUM($E21:F21)</f>
        <v>0</v>
      </c>
      <c r="G28" s="5">
        <f>SUM($E21:G21)</f>
        <v>0</v>
      </c>
      <c r="H28" s="5">
        <f>SUM($E21:H21)</f>
        <v>0</v>
      </c>
      <c r="I28" s="5">
        <f>SUM($E21:I21)</f>
        <v>0</v>
      </c>
      <c r="J28" s="5">
        <f>SUM($E21:J21)</f>
        <v>0</v>
      </c>
      <c r="K28" s="5">
        <f>SUM($E21:K21)</f>
        <v>0</v>
      </c>
      <c r="L28" s="5">
        <f>SUM($E21:L21)</f>
        <v>0</v>
      </c>
      <c r="M28" s="5">
        <f>SUM($E21:M21)</f>
        <v>0</v>
      </c>
      <c r="N28" s="5">
        <f>SUM($E21:N21)</f>
        <v>0</v>
      </c>
      <c r="O28" s="5">
        <f>SUM($E21:O21)</f>
        <v>0</v>
      </c>
      <c r="P28" s="5">
        <f>SUM($E21:P21)</f>
        <v>0</v>
      </c>
    </row>
    <row r="29" spans="3:17" x14ac:dyDescent="0.35">
      <c r="D29" s="3" t="str">
        <f t="shared" si="4"/>
        <v>Difference</v>
      </c>
      <c r="E29" s="5">
        <f>SUM($E22:E22)</f>
        <v>0</v>
      </c>
      <c r="F29" s="5">
        <f>SUM($E22:F22)</f>
        <v>0</v>
      </c>
      <c r="G29" s="5">
        <f>SUM($E22:G22)</f>
        <v>0</v>
      </c>
      <c r="H29" s="5">
        <f>SUM($E22:H22)</f>
        <v>0</v>
      </c>
      <c r="I29" s="5">
        <f>SUM($E22:I22)</f>
        <v>0</v>
      </c>
      <c r="J29" s="5">
        <f>SUM($E22:J22)</f>
        <v>0</v>
      </c>
      <c r="K29" s="5">
        <f>SUM($E22:K22)</f>
        <v>0</v>
      </c>
      <c r="L29" s="5">
        <f>SUM($E22:L22)</f>
        <v>0</v>
      </c>
      <c r="M29" s="5">
        <f>SUM($E22:M22)</f>
        <v>0</v>
      </c>
      <c r="N29" s="5">
        <f>SUM($E22:N22)</f>
        <v>0</v>
      </c>
      <c r="O29" s="5">
        <f>SUM($E22:O22)</f>
        <v>0</v>
      </c>
      <c r="P29" s="5">
        <f>SUM($E22:P22)</f>
        <v>0</v>
      </c>
    </row>
    <row r="30" spans="3:17" x14ac:dyDescent="0.35">
      <c r="D30" s="3" t="str">
        <f t="shared" si="4"/>
        <v>Realisation</v>
      </c>
      <c r="E30" s="9" t="e">
        <f>E28/E26</f>
        <v>#DIV/0!</v>
      </c>
      <c r="F30" s="9" t="e">
        <f t="shared" ref="F30:P30" si="5">F27/F26</f>
        <v>#DIV/0!</v>
      </c>
      <c r="G30" s="9" t="e">
        <f t="shared" si="5"/>
        <v>#DIV/0!</v>
      </c>
      <c r="H30" s="9" t="e">
        <f t="shared" si="5"/>
        <v>#DIV/0!</v>
      </c>
      <c r="I30" s="9" t="e">
        <f t="shared" si="5"/>
        <v>#DIV/0!</v>
      </c>
      <c r="J30" s="9" t="e">
        <f t="shared" si="5"/>
        <v>#DIV/0!</v>
      </c>
      <c r="K30" s="9" t="e">
        <f t="shared" si="5"/>
        <v>#DIV/0!</v>
      </c>
      <c r="L30" s="9" t="e">
        <f t="shared" si="5"/>
        <v>#DIV/0!</v>
      </c>
      <c r="M30" s="9" t="e">
        <f t="shared" si="5"/>
        <v>#DIV/0!</v>
      </c>
      <c r="N30" s="9" t="e">
        <f t="shared" si="5"/>
        <v>#DIV/0!</v>
      </c>
      <c r="O30" s="9" t="e">
        <f t="shared" si="5"/>
        <v>#DIV/0!</v>
      </c>
      <c r="P30" s="9" t="e">
        <f t="shared" si="5"/>
        <v>#DIV/0!</v>
      </c>
    </row>
  </sheetData>
  <mergeCells count="2">
    <mergeCell ref="J4:Q8"/>
    <mergeCell ref="J10:Q15"/>
  </mergeCells>
  <conditionalFormatting sqref="C3">
    <cfRule type="expression" dxfId="488" priority="2">
      <formula>S4&lt;S6</formula>
    </cfRule>
  </conditionalFormatting>
  <conditionalFormatting sqref="C5">
    <cfRule type="expression" dxfId="487" priority="3">
      <formula>S4&gt;=S5</formula>
    </cfRule>
  </conditionalFormatting>
  <conditionalFormatting sqref="C4">
    <cfRule type="expression" dxfId="486" priority="1">
      <formula>AND(S4&gt;=S6,S4&lt;S5)</formula>
    </cfRule>
  </conditionalFormatting>
  <hyperlinks>
    <hyperlink ref="L1" location="Dashboard!A1" display="Dashboard"/>
  </hyperlinks>
  <pageMargins left="0.7" right="0.7" top="0.75" bottom="0.75" header="0.3" footer="0.3"/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589249" r:id="rId3" name="Spinner 1">
              <controlPr defaultSize="0" autoPict="0">
                <anchor moveWithCells="1" sizeWithCells="1">
                  <from>
                    <xdr:col>9</xdr:col>
                    <xdr:colOff>19050</xdr:colOff>
                    <xdr:row>0</xdr:row>
                    <xdr:rowOff>38100</xdr:rowOff>
                  </from>
                  <to>
                    <xdr:col>9</xdr:col>
                    <xdr:colOff>400050</xdr:colOff>
                    <xdr:row>1</xdr:row>
                    <xdr:rowOff>152400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3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26">
    <tabColor rgb="FFFFC000"/>
  </sheetPr>
  <dimension ref="A1:S30"/>
  <sheetViews>
    <sheetView zoomScale="90" zoomScaleNormal="90" workbookViewId="0">
      <selection activeCell="L1" sqref="L1"/>
    </sheetView>
  </sheetViews>
  <sheetFormatPr defaultColWidth="9.1796875" defaultRowHeight="14.5" x14ac:dyDescent="0.35"/>
  <cols>
    <col min="1" max="1" width="9.1796875" style="3"/>
    <col min="2" max="2" width="5.1796875" style="3" customWidth="1"/>
    <col min="3" max="3" width="6.26953125" style="3" customWidth="1"/>
    <col min="4" max="4" width="21.26953125" style="3" bestFit="1" customWidth="1"/>
    <col min="5" max="16" width="11.1796875" style="3" customWidth="1"/>
    <col min="17" max="17" width="12" style="3" bestFit="1" customWidth="1"/>
    <col min="18" max="18" width="9.1796875" style="3" customWidth="1"/>
    <col min="19" max="16384" width="9.1796875" style="3"/>
  </cols>
  <sheetData>
    <row r="1" spans="1:19" ht="21" x14ac:dyDescent="0.5">
      <c r="A1" s="4" t="s">
        <v>4</v>
      </c>
      <c r="B1" s="4">
        <f>Dashboard!A29</f>
        <v>6</v>
      </c>
      <c r="C1" s="4" t="str">
        <f>Dashboard!B29</f>
        <v>LAKEVIEW- NEW SEWER</v>
      </c>
      <c r="G1" s="3" t="s">
        <v>9</v>
      </c>
      <c r="I1" s="12">
        <f>INDEX($E$18:$P$18,Actual_month)</f>
        <v>46054</v>
      </c>
      <c r="L1" s="16" t="s">
        <v>19</v>
      </c>
      <c r="R1" s="5"/>
    </row>
    <row r="2" spans="1:19" x14ac:dyDescent="0.35">
      <c r="A2" s="3" t="s">
        <v>13</v>
      </c>
      <c r="C2" s="3" t="s">
        <v>27</v>
      </c>
      <c r="R2" s="6"/>
    </row>
    <row r="3" spans="1:19" ht="25.5" customHeight="1" thickBot="1" x14ac:dyDescent="0.4">
      <c r="C3" s="1" t="s">
        <v>5</v>
      </c>
      <c r="E3" s="10"/>
      <c r="F3" s="10"/>
      <c r="G3" s="10"/>
      <c r="H3" s="10"/>
      <c r="I3" s="10"/>
      <c r="J3" s="3" t="s">
        <v>6</v>
      </c>
      <c r="K3" s="10"/>
      <c r="M3" s="10"/>
      <c r="N3" s="10"/>
      <c r="O3" s="10"/>
      <c r="P3" s="10"/>
    </row>
    <row r="4" spans="1:19" ht="25.5" customHeight="1" x14ac:dyDescent="0.35">
      <c r="C4" s="1" t="s">
        <v>5</v>
      </c>
      <c r="E4" s="10"/>
      <c r="F4" s="10"/>
      <c r="G4" s="10"/>
      <c r="H4" s="10"/>
      <c r="I4" s="10"/>
      <c r="J4" s="401"/>
      <c r="K4" s="402"/>
      <c r="L4" s="402"/>
      <c r="M4" s="402"/>
      <c r="N4" s="402"/>
      <c r="O4" s="402"/>
      <c r="P4" s="402"/>
      <c r="Q4" s="403"/>
      <c r="R4" s="3" t="s">
        <v>22</v>
      </c>
      <c r="S4" s="5">
        <f>INDEX(E27:P27,Actual_month)</f>
        <v>3</v>
      </c>
    </row>
    <row r="5" spans="1:19" ht="25.5" customHeight="1" x14ac:dyDescent="0.35">
      <c r="C5" s="1" t="s">
        <v>5</v>
      </c>
      <c r="E5" s="10"/>
      <c r="F5" s="10"/>
      <c r="G5" s="10"/>
      <c r="H5" s="10"/>
      <c r="I5" s="10"/>
      <c r="J5" s="404"/>
      <c r="K5" s="405"/>
      <c r="L5" s="405"/>
      <c r="M5" s="405"/>
      <c r="N5" s="405"/>
      <c r="O5" s="405"/>
      <c r="P5" s="405"/>
      <c r="Q5" s="406"/>
      <c r="R5" s="3" t="s">
        <v>23</v>
      </c>
      <c r="S5" s="5">
        <f>INDEX(E26:P26,Actual_month)</f>
        <v>8</v>
      </c>
    </row>
    <row r="6" spans="1:19" x14ac:dyDescent="0.35">
      <c r="J6" s="404"/>
      <c r="K6" s="405"/>
      <c r="L6" s="405"/>
      <c r="M6" s="405"/>
      <c r="N6" s="405"/>
      <c r="O6" s="405"/>
      <c r="P6" s="405"/>
      <c r="Q6" s="406"/>
      <c r="R6" s="6">
        <v>0.9</v>
      </c>
      <c r="S6" s="5">
        <f>+S5*R6</f>
        <v>7.2</v>
      </c>
    </row>
    <row r="7" spans="1:19" x14ac:dyDescent="0.35">
      <c r="J7" s="404"/>
      <c r="K7" s="405"/>
      <c r="L7" s="405"/>
      <c r="M7" s="405"/>
      <c r="N7" s="405"/>
      <c r="O7" s="405"/>
      <c r="P7" s="405"/>
      <c r="Q7" s="406"/>
    </row>
    <row r="8" spans="1:19" ht="15" thickBot="1" x14ac:dyDescent="0.4">
      <c r="J8" s="407"/>
      <c r="K8" s="408"/>
      <c r="L8" s="408"/>
      <c r="M8" s="408"/>
      <c r="N8" s="408"/>
      <c r="O8" s="408"/>
      <c r="P8" s="408"/>
      <c r="Q8" s="409"/>
    </row>
    <row r="9" spans="1:19" ht="15" thickBot="1" x14ac:dyDescent="0.4">
      <c r="J9" s="3" t="s">
        <v>12</v>
      </c>
    </row>
    <row r="10" spans="1:19" x14ac:dyDescent="0.35">
      <c r="J10" s="401"/>
      <c r="K10" s="402"/>
      <c r="L10" s="402"/>
      <c r="M10" s="402"/>
      <c r="N10" s="402"/>
      <c r="O10" s="402"/>
      <c r="P10" s="402"/>
      <c r="Q10" s="403"/>
    </row>
    <row r="11" spans="1:19" x14ac:dyDescent="0.35">
      <c r="J11" s="404"/>
      <c r="K11" s="405"/>
      <c r="L11" s="405"/>
      <c r="M11" s="405"/>
      <c r="N11" s="405"/>
      <c r="O11" s="405"/>
      <c r="P11" s="405"/>
      <c r="Q11" s="406"/>
    </row>
    <row r="12" spans="1:19" x14ac:dyDescent="0.35">
      <c r="J12" s="404"/>
      <c r="K12" s="405"/>
      <c r="L12" s="405"/>
      <c r="M12" s="405"/>
      <c r="N12" s="405"/>
      <c r="O12" s="405"/>
      <c r="P12" s="405"/>
      <c r="Q12" s="406"/>
    </row>
    <row r="13" spans="1:19" x14ac:dyDescent="0.35">
      <c r="J13" s="404"/>
      <c r="K13" s="405"/>
      <c r="L13" s="405"/>
      <c r="M13" s="405"/>
      <c r="N13" s="405"/>
      <c r="O13" s="405"/>
      <c r="P13" s="405"/>
      <c r="Q13" s="406"/>
    </row>
    <row r="14" spans="1:19" x14ac:dyDescent="0.35">
      <c r="J14" s="404"/>
      <c r="K14" s="405"/>
      <c r="L14" s="405"/>
      <c r="M14" s="405"/>
      <c r="N14" s="405"/>
      <c r="O14" s="405"/>
      <c r="P14" s="405"/>
      <c r="Q14" s="406"/>
    </row>
    <row r="15" spans="1:19" ht="15" thickBot="1" x14ac:dyDescent="0.4">
      <c r="J15" s="407"/>
      <c r="K15" s="408"/>
      <c r="L15" s="408"/>
      <c r="M15" s="408"/>
      <c r="N15" s="408"/>
      <c r="O15" s="408"/>
      <c r="P15" s="408"/>
      <c r="Q15" s="409"/>
    </row>
    <row r="18" spans="3:17" x14ac:dyDescent="0.35">
      <c r="C18" s="7" t="s">
        <v>8</v>
      </c>
      <c r="E18" s="11">
        <f>'KPI 1'!E18</f>
        <v>45839</v>
      </c>
      <c r="F18" s="11">
        <f>'KPI 1'!F18</f>
        <v>45870</v>
      </c>
      <c r="G18" s="11">
        <f>'KPI 1'!G18</f>
        <v>45901</v>
      </c>
      <c r="H18" s="11">
        <f>'KPI 1'!H18</f>
        <v>45931</v>
      </c>
      <c r="I18" s="11">
        <f>'KPI 1'!I18</f>
        <v>45962</v>
      </c>
      <c r="J18" s="11">
        <f>'KPI 1'!J18</f>
        <v>45992</v>
      </c>
      <c r="K18" s="11">
        <f>'KPI 1'!K18</f>
        <v>46023</v>
      </c>
      <c r="L18" s="11">
        <f>'KPI 1'!L18</f>
        <v>46054</v>
      </c>
      <c r="M18" s="11">
        <f>'KPI 1'!M18</f>
        <v>46082</v>
      </c>
      <c r="N18" s="11">
        <f>'KPI 1'!N18</f>
        <v>46113</v>
      </c>
      <c r="O18" s="11">
        <f>'KPI 1'!O18</f>
        <v>46143</v>
      </c>
      <c r="P18" s="11">
        <f>'KPI 1'!P18</f>
        <v>46174</v>
      </c>
      <c r="Q18" s="8" t="s">
        <v>0</v>
      </c>
    </row>
    <row r="19" spans="3:17" x14ac:dyDescent="0.35">
      <c r="D19" s="3" t="str">
        <f>'KPI 1'!D19</f>
        <v>Budget 2025-26</v>
      </c>
      <c r="E19" s="5">
        <f>'budget 2025-26'!D28</f>
        <v>1</v>
      </c>
      <c r="F19" s="5">
        <f>'budget 2025-26'!E28</f>
        <v>1</v>
      </c>
      <c r="G19" s="5">
        <f>'budget 2025-26'!F28</f>
        <v>1</v>
      </c>
      <c r="H19" s="5">
        <f>'budget 2025-26'!G28</f>
        <v>1</v>
      </c>
      <c r="I19" s="5">
        <f>'budget 2025-26'!H28</f>
        <v>1</v>
      </c>
      <c r="J19" s="5">
        <f>'budget 2025-26'!I28</f>
        <v>1</v>
      </c>
      <c r="K19" s="5">
        <f>'budget 2025-26'!J28</f>
        <v>1</v>
      </c>
      <c r="L19" s="5">
        <f>'budget 2025-26'!K28</f>
        <v>1</v>
      </c>
      <c r="M19" s="5">
        <f>'budget 2025-26'!L28</f>
        <v>1</v>
      </c>
      <c r="N19" s="5">
        <f>'budget 2025-26'!M28</f>
        <v>1</v>
      </c>
      <c r="O19" s="5">
        <f>'budget 2025-26'!N28</f>
        <v>1</v>
      </c>
      <c r="P19" s="5">
        <f>'budget 2025-26'!O28</f>
        <v>1</v>
      </c>
      <c r="Q19" s="5">
        <f>SUM(E19:P19)</f>
        <v>12</v>
      </c>
    </row>
    <row r="20" spans="3:17" x14ac:dyDescent="0.35">
      <c r="D20" s="3" t="str">
        <f>'KPI 1'!D20</f>
        <v>Actual 2025-26</v>
      </c>
      <c r="E20" s="5">
        <f>'Input Actual2025-26'!E29</f>
        <v>0</v>
      </c>
      <c r="F20" s="5">
        <f>'Input Actual2025-26'!F29</f>
        <v>1</v>
      </c>
      <c r="G20" s="5">
        <f>'Input Actual2025-26'!G29</f>
        <v>0</v>
      </c>
      <c r="H20" s="5">
        <f>'Input Actual2025-26'!H29</f>
        <v>1</v>
      </c>
      <c r="I20" s="5">
        <f>'Input Actual2025-26'!I29</f>
        <v>0</v>
      </c>
      <c r="J20" s="5">
        <f>'Input Actual2025-26'!J29</f>
        <v>0</v>
      </c>
      <c r="K20" s="5">
        <f>'Input Actual2025-26'!K29</f>
        <v>1</v>
      </c>
      <c r="L20" s="5">
        <f>'Input Actual2025-26'!L29</f>
        <v>0</v>
      </c>
      <c r="M20" s="5">
        <f>'Input Actual2025-26'!M29</f>
        <v>0</v>
      </c>
      <c r="N20" s="5">
        <f>'Input Actual2025-26'!N29</f>
        <v>0</v>
      </c>
      <c r="O20" s="5">
        <f>'Input Actual2025-26'!O29</f>
        <v>0</v>
      </c>
      <c r="P20" s="5">
        <f>'Input Actual2025-26'!P29</f>
        <v>0</v>
      </c>
      <c r="Q20" s="5">
        <f t="shared" ref="Q20:Q22" si="0">SUM(E20:P20)</f>
        <v>3</v>
      </c>
    </row>
    <row r="21" spans="3:17" x14ac:dyDescent="0.35">
      <c r="D21" s="3" t="s">
        <v>424</v>
      </c>
      <c r="E21" s="5">
        <f>'Input Actual2024-25'!E27</f>
        <v>0</v>
      </c>
      <c r="F21" s="5">
        <f>'Input Actual2024-25'!F27</f>
        <v>0</v>
      </c>
      <c r="G21" s="5">
        <f>'Input Actual2024-25'!G27</f>
        <v>2</v>
      </c>
      <c r="H21" s="5">
        <f>'Input Actual2024-25'!H27</f>
        <v>1</v>
      </c>
      <c r="I21" s="5">
        <f>'Input Actual2024-25'!I27</f>
        <v>0</v>
      </c>
      <c r="J21" s="5">
        <f>'Input Actual2024-25'!J27</f>
        <v>0</v>
      </c>
      <c r="K21" s="5">
        <f>'Input Actual2024-25'!K27</f>
        <v>0</v>
      </c>
      <c r="L21" s="5">
        <f>'Input Actual2024-25'!L27</f>
        <v>1</v>
      </c>
      <c r="M21" s="5">
        <f>'Input Actual2024-25'!M27</f>
        <v>1</v>
      </c>
      <c r="N21" s="5">
        <f>'Input Actual2024-25'!N27</f>
        <v>0</v>
      </c>
      <c r="O21" s="5">
        <f>'Input Actual2024-25'!O27</f>
        <v>0</v>
      </c>
      <c r="P21" s="5">
        <f>'Input Actual2024-25'!P27</f>
        <v>0</v>
      </c>
      <c r="Q21" s="5">
        <f t="shared" si="0"/>
        <v>5</v>
      </c>
    </row>
    <row r="22" spans="3:17" x14ac:dyDescent="0.35">
      <c r="D22" s="3" t="s">
        <v>7</v>
      </c>
      <c r="E22" s="5">
        <f t="shared" ref="E22:P22" si="1">IF(E20=0,0,E20-E19)</f>
        <v>0</v>
      </c>
      <c r="F22" s="5">
        <f t="shared" si="1"/>
        <v>0</v>
      </c>
      <c r="G22" s="5">
        <f t="shared" si="1"/>
        <v>0</v>
      </c>
      <c r="H22" s="5">
        <f t="shared" si="1"/>
        <v>0</v>
      </c>
      <c r="I22" s="5">
        <f t="shared" si="1"/>
        <v>0</v>
      </c>
      <c r="J22" s="5">
        <f t="shared" si="1"/>
        <v>0</v>
      </c>
      <c r="K22" s="5">
        <f t="shared" si="1"/>
        <v>0</v>
      </c>
      <c r="L22" s="5">
        <f t="shared" si="1"/>
        <v>0</v>
      </c>
      <c r="M22" s="5">
        <f t="shared" si="1"/>
        <v>0</v>
      </c>
      <c r="N22" s="5">
        <f t="shared" si="1"/>
        <v>0</v>
      </c>
      <c r="O22" s="5">
        <f t="shared" si="1"/>
        <v>0</v>
      </c>
      <c r="P22" s="5">
        <f t="shared" si="1"/>
        <v>0</v>
      </c>
      <c r="Q22" s="5">
        <f t="shared" si="0"/>
        <v>0</v>
      </c>
    </row>
    <row r="23" spans="3:17" x14ac:dyDescent="0.35">
      <c r="D23" s="3" t="s">
        <v>43</v>
      </c>
      <c r="E23" s="9">
        <f>E21/E19</f>
        <v>0</v>
      </c>
      <c r="F23" s="9">
        <f t="shared" ref="F23:P23" si="2">F20/F19</f>
        <v>1</v>
      </c>
      <c r="G23" s="9">
        <f t="shared" si="2"/>
        <v>0</v>
      </c>
      <c r="H23" s="9">
        <f t="shared" si="2"/>
        <v>1</v>
      </c>
      <c r="I23" s="9">
        <f t="shared" si="2"/>
        <v>0</v>
      </c>
      <c r="J23" s="9">
        <f t="shared" si="2"/>
        <v>0</v>
      </c>
      <c r="K23" s="9">
        <f t="shared" si="2"/>
        <v>1</v>
      </c>
      <c r="L23" s="9">
        <f t="shared" si="2"/>
        <v>0</v>
      </c>
      <c r="M23" s="9">
        <f t="shared" si="2"/>
        <v>0</v>
      </c>
      <c r="N23" s="9">
        <f t="shared" si="2"/>
        <v>0</v>
      </c>
      <c r="O23" s="9">
        <f t="shared" si="2"/>
        <v>0</v>
      </c>
      <c r="P23" s="9">
        <f t="shared" si="2"/>
        <v>0</v>
      </c>
    </row>
    <row r="25" spans="3:17" x14ac:dyDescent="0.35">
      <c r="C25" s="7" t="s">
        <v>3</v>
      </c>
      <c r="E25" s="11">
        <f>E18</f>
        <v>45839</v>
      </c>
      <c r="F25" s="11">
        <f t="shared" ref="F25:P25" si="3">F18</f>
        <v>45870</v>
      </c>
      <c r="G25" s="11">
        <f t="shared" si="3"/>
        <v>45901</v>
      </c>
      <c r="H25" s="11">
        <f t="shared" si="3"/>
        <v>45931</v>
      </c>
      <c r="I25" s="11">
        <f t="shared" si="3"/>
        <v>45962</v>
      </c>
      <c r="J25" s="11">
        <f t="shared" si="3"/>
        <v>45992</v>
      </c>
      <c r="K25" s="11">
        <f t="shared" si="3"/>
        <v>46023</v>
      </c>
      <c r="L25" s="11">
        <f t="shared" si="3"/>
        <v>46054</v>
      </c>
      <c r="M25" s="11">
        <f t="shared" si="3"/>
        <v>46082</v>
      </c>
      <c r="N25" s="11">
        <f t="shared" si="3"/>
        <v>46113</v>
      </c>
      <c r="O25" s="11">
        <f t="shared" si="3"/>
        <v>46143</v>
      </c>
      <c r="P25" s="11">
        <f t="shared" si="3"/>
        <v>46174</v>
      </c>
    </row>
    <row r="26" spans="3:17" x14ac:dyDescent="0.35">
      <c r="D26" s="3" t="str">
        <f>D19</f>
        <v>Budget 2025-26</v>
      </c>
      <c r="E26" s="5">
        <f>SUM($E19:E19)</f>
        <v>1</v>
      </c>
      <c r="F26" s="5">
        <f>SUM($E19:F19)</f>
        <v>2</v>
      </c>
      <c r="G26" s="5">
        <f>SUM($E19:G19)</f>
        <v>3</v>
      </c>
      <c r="H26" s="5">
        <f>SUM($E19:H19)</f>
        <v>4</v>
      </c>
      <c r="I26" s="5">
        <f>SUM($E19:I19)</f>
        <v>5</v>
      </c>
      <c r="J26" s="5">
        <f>SUM($E19:J19)</f>
        <v>6</v>
      </c>
      <c r="K26" s="5">
        <f>SUM($E19:K19)</f>
        <v>7</v>
      </c>
      <c r="L26" s="5">
        <f>SUM($E19:L19)</f>
        <v>8</v>
      </c>
      <c r="M26" s="5">
        <f>SUM($E19:M19)</f>
        <v>9</v>
      </c>
      <c r="N26" s="5">
        <f>SUM($E19:N19)</f>
        <v>10</v>
      </c>
      <c r="O26" s="5">
        <f>SUM($E19:O19)</f>
        <v>11</v>
      </c>
      <c r="P26" s="5">
        <f>SUM($E19:P19)</f>
        <v>12</v>
      </c>
    </row>
    <row r="27" spans="3:17" x14ac:dyDescent="0.35">
      <c r="D27" s="3" t="str">
        <f t="shared" ref="D27:D30" si="4">D20</f>
        <v>Actual 2025-26</v>
      </c>
      <c r="E27" s="5">
        <f>SUM($E20:E20)</f>
        <v>0</v>
      </c>
      <c r="F27" s="5">
        <f>SUM($E20:F20)</f>
        <v>1</v>
      </c>
      <c r="G27" s="5">
        <f>SUM($E20:G20)</f>
        <v>1</v>
      </c>
      <c r="H27" s="5">
        <f>SUM($E20:H20)</f>
        <v>2</v>
      </c>
      <c r="I27" s="5">
        <f>SUM($E20:I20)</f>
        <v>2</v>
      </c>
      <c r="J27" s="5">
        <f>SUM($E20:J20)</f>
        <v>2</v>
      </c>
      <c r="K27" s="5">
        <f>SUM($E20:K20)</f>
        <v>3</v>
      </c>
      <c r="L27" s="5">
        <f>SUM($E20:L20)</f>
        <v>3</v>
      </c>
      <c r="M27" s="5">
        <f>SUM($E20:M20)</f>
        <v>3</v>
      </c>
      <c r="N27" s="5">
        <f>SUM($E20:N20)</f>
        <v>3</v>
      </c>
      <c r="O27" s="5">
        <f>SUM($E20:O20)</f>
        <v>3</v>
      </c>
      <c r="P27" s="5">
        <f>SUM($E20:P20)</f>
        <v>3</v>
      </c>
    </row>
    <row r="28" spans="3:17" x14ac:dyDescent="0.35">
      <c r="D28" s="3" t="str">
        <f t="shared" si="4"/>
        <v>Actual 2024-25</v>
      </c>
      <c r="E28" s="5">
        <f>SUM($E21:E21)</f>
        <v>0</v>
      </c>
      <c r="F28" s="5">
        <f>SUM($E21:F21)</f>
        <v>0</v>
      </c>
      <c r="G28" s="5">
        <f>SUM($E21:G21)</f>
        <v>2</v>
      </c>
      <c r="H28" s="5">
        <f>SUM($E21:H21)</f>
        <v>3</v>
      </c>
      <c r="I28" s="5">
        <f>SUM($E21:I21)</f>
        <v>3</v>
      </c>
      <c r="J28" s="5">
        <f>SUM($E21:J21)</f>
        <v>3</v>
      </c>
      <c r="K28" s="5">
        <f>SUM($E21:K21)</f>
        <v>3</v>
      </c>
      <c r="L28" s="5">
        <f>SUM($E21:L21)</f>
        <v>4</v>
      </c>
      <c r="M28" s="5">
        <f>SUM($E21:M21)</f>
        <v>5</v>
      </c>
      <c r="N28" s="5">
        <f>SUM($E21:N21)</f>
        <v>5</v>
      </c>
      <c r="O28" s="5">
        <f>SUM($E21:O21)</f>
        <v>5</v>
      </c>
      <c r="P28" s="5">
        <f>SUM($E21:P21)</f>
        <v>5</v>
      </c>
    </row>
    <row r="29" spans="3:17" x14ac:dyDescent="0.35">
      <c r="D29" s="3" t="str">
        <f t="shared" si="4"/>
        <v>Difference</v>
      </c>
      <c r="E29" s="5">
        <f>SUM($E22:E22)</f>
        <v>0</v>
      </c>
      <c r="F29" s="5">
        <f>SUM($E22:F22)</f>
        <v>0</v>
      </c>
      <c r="G29" s="5">
        <f>SUM($E22:G22)</f>
        <v>0</v>
      </c>
      <c r="H29" s="5">
        <f>SUM($E22:H22)</f>
        <v>0</v>
      </c>
      <c r="I29" s="5">
        <f>SUM($E22:I22)</f>
        <v>0</v>
      </c>
      <c r="J29" s="5">
        <f>SUM($E22:J22)</f>
        <v>0</v>
      </c>
      <c r="K29" s="5">
        <f>SUM($E22:K22)</f>
        <v>0</v>
      </c>
      <c r="L29" s="5">
        <f>SUM($E22:L22)</f>
        <v>0</v>
      </c>
      <c r="M29" s="5">
        <f>SUM($E22:M22)</f>
        <v>0</v>
      </c>
      <c r="N29" s="5">
        <f>SUM($E22:N22)</f>
        <v>0</v>
      </c>
      <c r="O29" s="5">
        <f>SUM($E22:O22)</f>
        <v>0</v>
      </c>
      <c r="P29" s="5">
        <f>SUM($E22:P22)</f>
        <v>0</v>
      </c>
    </row>
    <row r="30" spans="3:17" x14ac:dyDescent="0.35">
      <c r="D30" s="3" t="str">
        <f t="shared" si="4"/>
        <v>Realisation</v>
      </c>
      <c r="E30" s="9">
        <f>E28/E26</f>
        <v>0</v>
      </c>
      <c r="F30" s="9">
        <f t="shared" ref="F30:P30" si="5">F27/F26</f>
        <v>0.5</v>
      </c>
      <c r="G30" s="9">
        <f t="shared" si="5"/>
        <v>0.33333333333333331</v>
      </c>
      <c r="H30" s="9">
        <f t="shared" si="5"/>
        <v>0.5</v>
      </c>
      <c r="I30" s="9">
        <f t="shared" si="5"/>
        <v>0.4</v>
      </c>
      <c r="J30" s="9">
        <f t="shared" si="5"/>
        <v>0.33333333333333331</v>
      </c>
      <c r="K30" s="9">
        <f t="shared" si="5"/>
        <v>0.42857142857142855</v>
      </c>
      <c r="L30" s="9">
        <f t="shared" si="5"/>
        <v>0.375</v>
      </c>
      <c r="M30" s="9">
        <f t="shared" si="5"/>
        <v>0.33333333333333331</v>
      </c>
      <c r="N30" s="9">
        <f t="shared" si="5"/>
        <v>0.3</v>
      </c>
      <c r="O30" s="9">
        <f t="shared" si="5"/>
        <v>0.27272727272727271</v>
      </c>
      <c r="P30" s="9">
        <f t="shared" si="5"/>
        <v>0.25</v>
      </c>
    </row>
  </sheetData>
  <mergeCells count="2">
    <mergeCell ref="J4:Q8"/>
    <mergeCell ref="J10:Q15"/>
  </mergeCells>
  <conditionalFormatting sqref="C3">
    <cfRule type="expression" dxfId="485" priority="2">
      <formula>S4&lt;S6</formula>
    </cfRule>
  </conditionalFormatting>
  <conditionalFormatting sqref="C5">
    <cfRule type="expression" dxfId="484" priority="3">
      <formula>S4&gt;=S5</formula>
    </cfRule>
  </conditionalFormatting>
  <conditionalFormatting sqref="C4">
    <cfRule type="expression" dxfId="483" priority="1">
      <formula>AND(S4&gt;=S6,S4&lt;S5)</formula>
    </cfRule>
  </conditionalFormatting>
  <hyperlinks>
    <hyperlink ref="L1" location="Dashboard!A1" display="Dashboard"/>
  </hyperlinks>
  <pageMargins left="0.7" right="0.7" top="0.75" bottom="0.75" header="0.3" footer="0.3"/>
  <pageSetup orientation="portrait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957441" r:id="rId4" name="Spinner 1">
              <controlPr defaultSize="0" autoPict="0">
                <anchor moveWithCells="1" sizeWithCells="1">
                  <from>
                    <xdr:col>9</xdr:col>
                    <xdr:colOff>19050</xdr:colOff>
                    <xdr:row>0</xdr:row>
                    <xdr:rowOff>38100</xdr:rowOff>
                  </from>
                  <to>
                    <xdr:col>9</xdr:col>
                    <xdr:colOff>400050</xdr:colOff>
                    <xdr:row>1</xdr:row>
                    <xdr:rowOff>152400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3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27"/>
  <dimension ref="A1:S30"/>
  <sheetViews>
    <sheetView zoomScale="90" zoomScaleNormal="90" workbookViewId="0">
      <selection activeCell="L1" sqref="L1"/>
    </sheetView>
  </sheetViews>
  <sheetFormatPr defaultColWidth="9.1796875" defaultRowHeight="14.5" x14ac:dyDescent="0.35"/>
  <cols>
    <col min="1" max="1" width="9.1796875" style="3"/>
    <col min="2" max="2" width="5.1796875" style="3" customWidth="1"/>
    <col min="3" max="3" width="6.26953125" style="3" customWidth="1"/>
    <col min="4" max="4" width="21.26953125" style="3" bestFit="1" customWidth="1"/>
    <col min="5" max="16" width="11.1796875" style="3" customWidth="1"/>
    <col min="17" max="17" width="12" style="3" bestFit="1" customWidth="1"/>
    <col min="18" max="18" width="9.1796875" style="3" customWidth="1"/>
    <col min="19" max="16384" width="9.1796875" style="3"/>
  </cols>
  <sheetData>
    <row r="1" spans="1:19" ht="21" x14ac:dyDescent="0.5">
      <c r="A1" s="4" t="s">
        <v>4</v>
      </c>
      <c r="B1" s="4">
        <f>Dashboard!A34</f>
        <v>3</v>
      </c>
      <c r="C1" s="4" t="str">
        <f>Dashboard!B34</f>
        <v>MAI-MAHIU- NEW SEWER</v>
      </c>
      <c r="G1" s="3" t="s">
        <v>9</v>
      </c>
      <c r="I1" s="12">
        <f>INDEX($E$18:$P$18,Actual_month)</f>
        <v>46054</v>
      </c>
      <c r="L1" s="16" t="s">
        <v>19</v>
      </c>
      <c r="R1" s="5"/>
    </row>
    <row r="2" spans="1:19" x14ac:dyDescent="0.35">
      <c r="A2" s="3" t="s">
        <v>13</v>
      </c>
      <c r="C2" s="3" t="s">
        <v>27</v>
      </c>
      <c r="R2" s="6"/>
    </row>
    <row r="3" spans="1:19" ht="25.5" customHeight="1" thickBot="1" x14ac:dyDescent="0.4">
      <c r="C3" s="1" t="s">
        <v>5</v>
      </c>
      <c r="E3" s="10"/>
      <c r="F3" s="10"/>
      <c r="G3" s="10"/>
      <c r="H3" s="10"/>
      <c r="I3" s="10"/>
      <c r="J3" s="3" t="s">
        <v>6</v>
      </c>
      <c r="K3" s="10"/>
      <c r="M3" s="10"/>
      <c r="N3" s="10"/>
      <c r="O3" s="10"/>
      <c r="P3" s="10"/>
    </row>
    <row r="4" spans="1:19" ht="25.5" customHeight="1" x14ac:dyDescent="0.35">
      <c r="C4" s="1" t="s">
        <v>5</v>
      </c>
      <c r="E4" s="10"/>
      <c r="F4" s="10"/>
      <c r="G4" s="10"/>
      <c r="H4" s="10"/>
      <c r="I4" s="10"/>
      <c r="J4" s="401"/>
      <c r="K4" s="402"/>
      <c r="L4" s="402"/>
      <c r="M4" s="402"/>
      <c r="N4" s="402"/>
      <c r="O4" s="402"/>
      <c r="P4" s="402"/>
      <c r="Q4" s="403"/>
      <c r="R4" s="3" t="s">
        <v>22</v>
      </c>
      <c r="S4" s="5">
        <f>INDEX(E27:P27,Actual_month)</f>
        <v>0</v>
      </c>
    </row>
    <row r="5" spans="1:19" ht="25.5" customHeight="1" x14ac:dyDescent="0.35">
      <c r="C5" s="1" t="s">
        <v>5</v>
      </c>
      <c r="E5" s="10"/>
      <c r="F5" s="10"/>
      <c r="G5" s="10"/>
      <c r="H5" s="10"/>
      <c r="I5" s="10"/>
      <c r="J5" s="404"/>
      <c r="K5" s="405"/>
      <c r="L5" s="405"/>
      <c r="M5" s="405"/>
      <c r="N5" s="405"/>
      <c r="O5" s="405"/>
      <c r="P5" s="405"/>
      <c r="Q5" s="406"/>
      <c r="R5" s="3" t="s">
        <v>23</v>
      </c>
      <c r="S5" s="5">
        <f>INDEX(E26:P26,Actual_month)</f>
        <v>0</v>
      </c>
    </row>
    <row r="6" spans="1:19" x14ac:dyDescent="0.35">
      <c r="J6" s="404"/>
      <c r="K6" s="405"/>
      <c r="L6" s="405"/>
      <c r="M6" s="405"/>
      <c r="N6" s="405"/>
      <c r="O6" s="405"/>
      <c r="P6" s="405"/>
      <c r="Q6" s="406"/>
      <c r="R6" s="6">
        <v>0.9</v>
      </c>
      <c r="S6" s="5">
        <f>+S5*R6</f>
        <v>0</v>
      </c>
    </row>
    <row r="7" spans="1:19" x14ac:dyDescent="0.35">
      <c r="J7" s="404"/>
      <c r="K7" s="405"/>
      <c r="L7" s="405"/>
      <c r="M7" s="405"/>
      <c r="N7" s="405"/>
      <c r="O7" s="405"/>
      <c r="P7" s="405"/>
      <c r="Q7" s="406"/>
    </row>
    <row r="8" spans="1:19" ht="15" thickBot="1" x14ac:dyDescent="0.4">
      <c r="J8" s="407"/>
      <c r="K8" s="408"/>
      <c r="L8" s="408"/>
      <c r="M8" s="408"/>
      <c r="N8" s="408"/>
      <c r="O8" s="408"/>
      <c r="P8" s="408"/>
      <c r="Q8" s="409"/>
    </row>
    <row r="9" spans="1:19" ht="15" thickBot="1" x14ac:dyDescent="0.4">
      <c r="J9" s="3" t="s">
        <v>12</v>
      </c>
    </row>
    <row r="10" spans="1:19" x14ac:dyDescent="0.35">
      <c r="J10" s="401"/>
      <c r="K10" s="402"/>
      <c r="L10" s="402"/>
      <c r="M10" s="402"/>
      <c r="N10" s="402"/>
      <c r="O10" s="402"/>
      <c r="P10" s="402"/>
      <c r="Q10" s="403"/>
    </row>
    <row r="11" spans="1:19" x14ac:dyDescent="0.35">
      <c r="J11" s="404"/>
      <c r="K11" s="405"/>
      <c r="L11" s="405"/>
      <c r="M11" s="405"/>
      <c r="N11" s="405"/>
      <c r="O11" s="405"/>
      <c r="P11" s="405"/>
      <c r="Q11" s="406"/>
    </row>
    <row r="12" spans="1:19" x14ac:dyDescent="0.35">
      <c r="J12" s="404"/>
      <c r="K12" s="405"/>
      <c r="L12" s="405"/>
      <c r="M12" s="405"/>
      <c r="N12" s="405"/>
      <c r="O12" s="405"/>
      <c r="P12" s="405"/>
      <c r="Q12" s="406"/>
    </row>
    <row r="13" spans="1:19" x14ac:dyDescent="0.35">
      <c r="J13" s="404"/>
      <c r="K13" s="405"/>
      <c r="L13" s="405"/>
      <c r="M13" s="405"/>
      <c r="N13" s="405"/>
      <c r="O13" s="405"/>
      <c r="P13" s="405"/>
      <c r="Q13" s="406"/>
    </row>
    <row r="14" spans="1:19" x14ac:dyDescent="0.35">
      <c r="J14" s="404"/>
      <c r="K14" s="405"/>
      <c r="L14" s="405"/>
      <c r="M14" s="405"/>
      <c r="N14" s="405"/>
      <c r="O14" s="405"/>
      <c r="P14" s="405"/>
      <c r="Q14" s="406"/>
    </row>
    <row r="15" spans="1:19" ht="15" thickBot="1" x14ac:dyDescent="0.4">
      <c r="J15" s="407"/>
      <c r="K15" s="408"/>
      <c r="L15" s="408"/>
      <c r="M15" s="408"/>
      <c r="N15" s="408"/>
      <c r="O15" s="408"/>
      <c r="P15" s="408"/>
      <c r="Q15" s="409"/>
    </row>
    <row r="18" spans="3:17" x14ac:dyDescent="0.35">
      <c r="C18" s="7" t="s">
        <v>8</v>
      </c>
      <c r="E18" s="11">
        <f>'KPI 1'!E18</f>
        <v>45839</v>
      </c>
      <c r="F18" s="11">
        <f>'KPI 1'!F18</f>
        <v>45870</v>
      </c>
      <c r="G18" s="11">
        <f>'KPI 1'!G18</f>
        <v>45901</v>
      </c>
      <c r="H18" s="11">
        <f>'KPI 1'!H18</f>
        <v>45931</v>
      </c>
      <c r="I18" s="11">
        <f>'KPI 1'!I18</f>
        <v>45962</v>
      </c>
      <c r="J18" s="11">
        <f>'KPI 1'!J18</f>
        <v>45992</v>
      </c>
      <c r="K18" s="11">
        <f>'KPI 1'!K18</f>
        <v>46023</v>
      </c>
      <c r="L18" s="11">
        <f>'KPI 1'!L18</f>
        <v>46054</v>
      </c>
      <c r="M18" s="11">
        <f>'KPI 1'!M18</f>
        <v>46082</v>
      </c>
      <c r="N18" s="11">
        <f>'KPI 1'!N18</f>
        <v>46113</v>
      </c>
      <c r="O18" s="11">
        <f>'KPI 1'!O18</f>
        <v>46143</v>
      </c>
      <c r="P18" s="11">
        <f>'KPI 1'!P18</f>
        <v>46174</v>
      </c>
      <c r="Q18" s="8" t="s">
        <v>0</v>
      </c>
    </row>
    <row r="19" spans="3:17" x14ac:dyDescent="0.35">
      <c r="D19" s="3" t="str">
        <f>'KPI 1'!D19</f>
        <v>Budget 2025-26</v>
      </c>
      <c r="E19" s="5">
        <f>'budget 2025-26'!D33</f>
        <v>0</v>
      </c>
      <c r="F19" s="5">
        <f>'budget 2025-26'!E33</f>
        <v>0</v>
      </c>
      <c r="G19" s="5">
        <f>'budget 2025-26'!F33</f>
        <v>0</v>
      </c>
      <c r="H19" s="5">
        <f>'budget 2025-26'!G33</f>
        <v>0</v>
      </c>
      <c r="I19" s="5">
        <f>'budget 2025-26'!H33</f>
        <v>0</v>
      </c>
      <c r="J19" s="5">
        <f>'budget 2025-26'!I33</f>
        <v>0</v>
      </c>
      <c r="K19" s="5">
        <f>'budget 2025-26'!J33</f>
        <v>0</v>
      </c>
      <c r="L19" s="5">
        <f>'budget 2025-26'!K33</f>
        <v>0</v>
      </c>
      <c r="M19" s="5">
        <f>'budget 2025-26'!L33</f>
        <v>0</v>
      </c>
      <c r="N19" s="5">
        <f>'budget 2025-26'!M33</f>
        <v>0</v>
      </c>
      <c r="O19" s="5">
        <f>'budget 2025-26'!N33</f>
        <v>0</v>
      </c>
      <c r="P19" s="5">
        <f>'budget 2025-26'!O33</f>
        <v>0</v>
      </c>
      <c r="Q19" s="5">
        <f>SUM(E19:P19)</f>
        <v>0</v>
      </c>
    </row>
    <row r="20" spans="3:17" x14ac:dyDescent="0.35">
      <c r="D20" s="3" t="str">
        <f>'KPI 1'!D20</f>
        <v>Actual 2025-26</v>
      </c>
      <c r="E20" s="5">
        <f>'Input Actual2025-26'!E34</f>
        <v>0</v>
      </c>
      <c r="F20" s="5">
        <f>'Input Actual2025-26'!F34</f>
        <v>0</v>
      </c>
      <c r="G20" s="5">
        <f>'Input Actual2025-26'!G34</f>
        <v>0</v>
      </c>
      <c r="H20" s="5">
        <f>'Input Actual2025-26'!H34</f>
        <v>0</v>
      </c>
      <c r="I20" s="5">
        <f>'Input Actual2025-26'!I34</f>
        <v>0</v>
      </c>
      <c r="J20" s="5">
        <f>'Input Actual2025-26'!J34</f>
        <v>0</v>
      </c>
      <c r="K20" s="5">
        <f>'Input Actual2025-26'!K34</f>
        <v>0</v>
      </c>
      <c r="L20" s="5">
        <f>'Input Actual2025-26'!L34</f>
        <v>0</v>
      </c>
      <c r="M20" s="5">
        <f>'Input Actual2025-26'!M34</f>
        <v>0</v>
      </c>
      <c r="N20" s="5">
        <f>'Input Actual2025-26'!N34</f>
        <v>0</v>
      </c>
      <c r="O20" s="5">
        <f>'Input Actual2025-26'!O34</f>
        <v>0</v>
      </c>
      <c r="P20" s="5">
        <f>'Input Actual2025-26'!P34</f>
        <v>0</v>
      </c>
      <c r="Q20" s="5">
        <f t="shared" ref="Q20:Q22" si="0">SUM(E20:P20)</f>
        <v>0</v>
      </c>
    </row>
    <row r="21" spans="3:17" x14ac:dyDescent="0.35">
      <c r="D21" s="3" t="s">
        <v>424</v>
      </c>
      <c r="E21" s="5">
        <f>'Input Actual2024-25'!E32</f>
        <v>0</v>
      </c>
      <c r="F21" s="5">
        <f>'Input Actual2024-25'!F32</f>
        <v>0</v>
      </c>
      <c r="G21" s="5">
        <f>'Input Actual2024-25'!G32</f>
        <v>0</v>
      </c>
      <c r="H21" s="5">
        <f>'Input Actual2024-25'!H32</f>
        <v>0</v>
      </c>
      <c r="I21" s="5">
        <f>'Input Actual2024-25'!I32</f>
        <v>0</v>
      </c>
      <c r="J21" s="5">
        <f>'Input Actual2024-25'!J32</f>
        <v>0</v>
      </c>
      <c r="K21" s="5">
        <f>'Input Actual2024-25'!K32</f>
        <v>0</v>
      </c>
      <c r="L21" s="5">
        <f>'Input Actual2024-25'!L32</f>
        <v>0</v>
      </c>
      <c r="M21" s="5">
        <f>'Input Actual2024-25'!M32</f>
        <v>0</v>
      </c>
      <c r="N21" s="5">
        <f>'Input Actual2024-25'!N32</f>
        <v>0</v>
      </c>
      <c r="O21" s="5">
        <f>'Input Actual2024-25'!O32</f>
        <v>0</v>
      </c>
      <c r="P21" s="5">
        <f>'Input Actual2024-25'!P32</f>
        <v>0</v>
      </c>
      <c r="Q21" s="5">
        <f t="shared" si="0"/>
        <v>0</v>
      </c>
    </row>
    <row r="22" spans="3:17" x14ac:dyDescent="0.35">
      <c r="D22" s="3" t="s">
        <v>7</v>
      </c>
      <c r="E22" s="5">
        <f t="shared" ref="E22:P22" si="1">IF(E20=0,0,E20-E19)</f>
        <v>0</v>
      </c>
      <c r="F22" s="5">
        <f t="shared" si="1"/>
        <v>0</v>
      </c>
      <c r="G22" s="5">
        <f t="shared" si="1"/>
        <v>0</v>
      </c>
      <c r="H22" s="5">
        <f t="shared" si="1"/>
        <v>0</v>
      </c>
      <c r="I22" s="5">
        <f t="shared" si="1"/>
        <v>0</v>
      </c>
      <c r="J22" s="5">
        <f t="shared" si="1"/>
        <v>0</v>
      </c>
      <c r="K22" s="5">
        <f t="shared" si="1"/>
        <v>0</v>
      </c>
      <c r="L22" s="5">
        <f t="shared" si="1"/>
        <v>0</v>
      </c>
      <c r="M22" s="5">
        <f t="shared" si="1"/>
        <v>0</v>
      </c>
      <c r="N22" s="5">
        <f t="shared" si="1"/>
        <v>0</v>
      </c>
      <c r="O22" s="5">
        <f t="shared" si="1"/>
        <v>0</v>
      </c>
      <c r="P22" s="5">
        <f t="shared" si="1"/>
        <v>0</v>
      </c>
      <c r="Q22" s="5">
        <f t="shared" si="0"/>
        <v>0</v>
      </c>
    </row>
    <row r="23" spans="3:17" x14ac:dyDescent="0.35">
      <c r="D23" s="3" t="s">
        <v>43</v>
      </c>
      <c r="E23" s="9" t="e">
        <f>E21/E19</f>
        <v>#DIV/0!</v>
      </c>
      <c r="F23" s="9" t="e">
        <f t="shared" ref="F23:P23" si="2">F20/F19</f>
        <v>#DIV/0!</v>
      </c>
      <c r="G23" s="9" t="e">
        <f t="shared" si="2"/>
        <v>#DIV/0!</v>
      </c>
      <c r="H23" s="9" t="e">
        <f t="shared" si="2"/>
        <v>#DIV/0!</v>
      </c>
      <c r="I23" s="9" t="e">
        <f t="shared" si="2"/>
        <v>#DIV/0!</v>
      </c>
      <c r="J23" s="9" t="e">
        <f t="shared" si="2"/>
        <v>#DIV/0!</v>
      </c>
      <c r="K23" s="9" t="e">
        <f t="shared" si="2"/>
        <v>#DIV/0!</v>
      </c>
      <c r="L23" s="9" t="e">
        <f t="shared" si="2"/>
        <v>#DIV/0!</v>
      </c>
      <c r="M23" s="9" t="e">
        <f t="shared" si="2"/>
        <v>#DIV/0!</v>
      </c>
      <c r="N23" s="9" t="e">
        <f t="shared" si="2"/>
        <v>#DIV/0!</v>
      </c>
      <c r="O23" s="9" t="e">
        <f t="shared" si="2"/>
        <v>#DIV/0!</v>
      </c>
      <c r="P23" s="9" t="e">
        <f t="shared" si="2"/>
        <v>#DIV/0!</v>
      </c>
    </row>
    <row r="25" spans="3:17" x14ac:dyDescent="0.35">
      <c r="C25" s="7" t="s">
        <v>3</v>
      </c>
      <c r="E25" s="11">
        <f>E18</f>
        <v>45839</v>
      </c>
      <c r="F25" s="11">
        <f t="shared" ref="F25:P25" si="3">F18</f>
        <v>45870</v>
      </c>
      <c r="G25" s="11">
        <f t="shared" si="3"/>
        <v>45901</v>
      </c>
      <c r="H25" s="11">
        <f t="shared" si="3"/>
        <v>45931</v>
      </c>
      <c r="I25" s="11">
        <f t="shared" si="3"/>
        <v>45962</v>
      </c>
      <c r="J25" s="11">
        <f t="shared" si="3"/>
        <v>45992</v>
      </c>
      <c r="K25" s="11">
        <f t="shared" si="3"/>
        <v>46023</v>
      </c>
      <c r="L25" s="11">
        <f t="shared" si="3"/>
        <v>46054</v>
      </c>
      <c r="M25" s="11">
        <f t="shared" si="3"/>
        <v>46082</v>
      </c>
      <c r="N25" s="11">
        <f t="shared" si="3"/>
        <v>46113</v>
      </c>
      <c r="O25" s="11">
        <f t="shared" si="3"/>
        <v>46143</v>
      </c>
      <c r="P25" s="11">
        <f t="shared" si="3"/>
        <v>46174</v>
      </c>
    </row>
    <row r="26" spans="3:17" x14ac:dyDescent="0.35">
      <c r="D26" s="3" t="str">
        <f>D19</f>
        <v>Budget 2025-26</v>
      </c>
      <c r="E26" s="5">
        <f>SUM($E19:E19)</f>
        <v>0</v>
      </c>
      <c r="F26" s="5">
        <f>SUM($E19:F19)</f>
        <v>0</v>
      </c>
      <c r="G26" s="5">
        <f>SUM($E19:G19)</f>
        <v>0</v>
      </c>
      <c r="H26" s="5">
        <f>SUM($E19:H19)</f>
        <v>0</v>
      </c>
      <c r="I26" s="5">
        <f>SUM($E19:I19)</f>
        <v>0</v>
      </c>
      <c r="J26" s="5">
        <f>SUM($E19:J19)</f>
        <v>0</v>
      </c>
      <c r="K26" s="5">
        <f>SUM($E19:K19)</f>
        <v>0</v>
      </c>
      <c r="L26" s="5">
        <f>SUM($E19:L19)</f>
        <v>0</v>
      </c>
      <c r="M26" s="5">
        <f>SUM($E19:M19)</f>
        <v>0</v>
      </c>
      <c r="N26" s="5">
        <f>SUM($E19:N19)</f>
        <v>0</v>
      </c>
      <c r="O26" s="5">
        <f>SUM($E19:O19)</f>
        <v>0</v>
      </c>
      <c r="P26" s="5">
        <f>SUM($E19:P19)</f>
        <v>0</v>
      </c>
    </row>
    <row r="27" spans="3:17" x14ac:dyDescent="0.35">
      <c r="D27" s="3" t="str">
        <f t="shared" ref="D27:D30" si="4">D20</f>
        <v>Actual 2025-26</v>
      </c>
      <c r="E27" s="5">
        <f>SUM($E20:E20)</f>
        <v>0</v>
      </c>
      <c r="F27" s="5">
        <f>SUM($E20:F20)</f>
        <v>0</v>
      </c>
      <c r="G27" s="5">
        <f>SUM($E20:G20)</f>
        <v>0</v>
      </c>
      <c r="H27" s="5">
        <f>SUM($E20:H20)</f>
        <v>0</v>
      </c>
      <c r="I27" s="5">
        <f>SUM($E20:I20)</f>
        <v>0</v>
      </c>
      <c r="J27" s="5">
        <f>SUM($E20:J20)</f>
        <v>0</v>
      </c>
      <c r="K27" s="5">
        <f>SUM($E20:K20)</f>
        <v>0</v>
      </c>
      <c r="L27" s="5">
        <f>SUM($E20:L20)</f>
        <v>0</v>
      </c>
      <c r="M27" s="5">
        <f>SUM($E20:M20)</f>
        <v>0</v>
      </c>
      <c r="N27" s="5">
        <f>SUM($E20:N20)</f>
        <v>0</v>
      </c>
      <c r="O27" s="5">
        <f>SUM($E20:O20)</f>
        <v>0</v>
      </c>
      <c r="P27" s="5">
        <f>SUM($E20:P20)</f>
        <v>0</v>
      </c>
    </row>
    <row r="28" spans="3:17" x14ac:dyDescent="0.35">
      <c r="D28" s="3" t="str">
        <f t="shared" si="4"/>
        <v>Actual 2024-25</v>
      </c>
      <c r="E28" s="5">
        <f>SUM($E21:E21)</f>
        <v>0</v>
      </c>
      <c r="F28" s="5">
        <f>SUM($E21:F21)</f>
        <v>0</v>
      </c>
      <c r="G28" s="5">
        <f>SUM($E21:G21)</f>
        <v>0</v>
      </c>
      <c r="H28" s="5">
        <f>SUM($E21:H21)</f>
        <v>0</v>
      </c>
      <c r="I28" s="5">
        <f>SUM($E21:I21)</f>
        <v>0</v>
      </c>
      <c r="J28" s="5">
        <f>SUM($E21:J21)</f>
        <v>0</v>
      </c>
      <c r="K28" s="5">
        <f>SUM($E21:K21)</f>
        <v>0</v>
      </c>
      <c r="L28" s="5">
        <f>SUM($E21:L21)</f>
        <v>0</v>
      </c>
      <c r="M28" s="5">
        <f>SUM($E21:M21)</f>
        <v>0</v>
      </c>
      <c r="N28" s="5">
        <f>SUM($E21:N21)</f>
        <v>0</v>
      </c>
      <c r="O28" s="5">
        <f>SUM($E21:O21)</f>
        <v>0</v>
      </c>
      <c r="P28" s="5">
        <f>SUM($E21:P21)</f>
        <v>0</v>
      </c>
    </row>
    <row r="29" spans="3:17" x14ac:dyDescent="0.35">
      <c r="D29" s="3" t="str">
        <f t="shared" si="4"/>
        <v>Difference</v>
      </c>
      <c r="E29" s="5">
        <f>SUM($E22:E22)</f>
        <v>0</v>
      </c>
      <c r="F29" s="5">
        <f>SUM($E22:F22)</f>
        <v>0</v>
      </c>
      <c r="G29" s="5">
        <f>SUM($E22:G22)</f>
        <v>0</v>
      </c>
      <c r="H29" s="5">
        <f>SUM($E22:H22)</f>
        <v>0</v>
      </c>
      <c r="I29" s="5">
        <f>SUM($E22:I22)</f>
        <v>0</v>
      </c>
      <c r="J29" s="5">
        <f>SUM($E22:J22)</f>
        <v>0</v>
      </c>
      <c r="K29" s="5">
        <f>SUM($E22:K22)</f>
        <v>0</v>
      </c>
      <c r="L29" s="5">
        <f>SUM($E22:L22)</f>
        <v>0</v>
      </c>
      <c r="M29" s="5">
        <f>SUM($E22:M22)</f>
        <v>0</v>
      </c>
      <c r="N29" s="5">
        <f>SUM($E22:N22)</f>
        <v>0</v>
      </c>
      <c r="O29" s="5">
        <f>SUM($E22:O22)</f>
        <v>0</v>
      </c>
      <c r="P29" s="5">
        <f>SUM($E22:P22)</f>
        <v>0</v>
      </c>
    </row>
    <row r="30" spans="3:17" x14ac:dyDescent="0.35">
      <c r="D30" s="3" t="str">
        <f t="shared" si="4"/>
        <v>Realisation</v>
      </c>
      <c r="E30" s="9" t="e">
        <f>E28/E26</f>
        <v>#DIV/0!</v>
      </c>
      <c r="F30" s="9" t="e">
        <f t="shared" ref="F30:P30" si="5">F27/F26</f>
        <v>#DIV/0!</v>
      </c>
      <c r="G30" s="9" t="e">
        <f t="shared" si="5"/>
        <v>#DIV/0!</v>
      </c>
      <c r="H30" s="9" t="e">
        <f t="shared" si="5"/>
        <v>#DIV/0!</v>
      </c>
      <c r="I30" s="9" t="e">
        <f t="shared" si="5"/>
        <v>#DIV/0!</v>
      </c>
      <c r="J30" s="9" t="e">
        <f t="shared" si="5"/>
        <v>#DIV/0!</v>
      </c>
      <c r="K30" s="9" t="e">
        <f t="shared" si="5"/>
        <v>#DIV/0!</v>
      </c>
      <c r="L30" s="9" t="e">
        <f t="shared" si="5"/>
        <v>#DIV/0!</v>
      </c>
      <c r="M30" s="9" t="e">
        <f t="shared" si="5"/>
        <v>#DIV/0!</v>
      </c>
      <c r="N30" s="9" t="e">
        <f t="shared" si="5"/>
        <v>#DIV/0!</v>
      </c>
      <c r="O30" s="9" t="e">
        <f t="shared" si="5"/>
        <v>#DIV/0!</v>
      </c>
      <c r="P30" s="9" t="e">
        <f t="shared" si="5"/>
        <v>#DIV/0!</v>
      </c>
    </row>
  </sheetData>
  <mergeCells count="2">
    <mergeCell ref="J4:Q8"/>
    <mergeCell ref="J10:Q15"/>
  </mergeCells>
  <conditionalFormatting sqref="C3">
    <cfRule type="expression" dxfId="482" priority="2">
      <formula>S4&lt;S6</formula>
    </cfRule>
  </conditionalFormatting>
  <conditionalFormatting sqref="C5">
    <cfRule type="expression" dxfId="481" priority="3">
      <formula>S4&gt;=S5</formula>
    </cfRule>
  </conditionalFormatting>
  <conditionalFormatting sqref="C4">
    <cfRule type="expression" dxfId="480" priority="1">
      <formula>AND(S4&gt;=S6,S4&lt;S5)</formula>
    </cfRule>
  </conditionalFormatting>
  <hyperlinks>
    <hyperlink ref="L1" location="Dashboard!A1" display="Dashboard"/>
  </hyperlinks>
  <pageMargins left="0.7" right="0.7" top="0.75" bottom="0.75" header="0.3" footer="0.3"/>
  <pageSetup orientation="portrait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958465" r:id="rId4" name="Spinner 1">
              <controlPr defaultSize="0" autoPict="0">
                <anchor moveWithCells="1" sizeWithCells="1">
                  <from>
                    <xdr:col>9</xdr:col>
                    <xdr:colOff>19050</xdr:colOff>
                    <xdr:row>0</xdr:row>
                    <xdr:rowOff>38100</xdr:rowOff>
                  </from>
                  <to>
                    <xdr:col>9</xdr:col>
                    <xdr:colOff>400050</xdr:colOff>
                    <xdr:row>1</xdr:row>
                    <xdr:rowOff>152400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3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28"/>
  <dimension ref="A1:S30"/>
  <sheetViews>
    <sheetView zoomScale="90" zoomScaleNormal="90" workbookViewId="0">
      <selection activeCell="L1" sqref="L1"/>
    </sheetView>
  </sheetViews>
  <sheetFormatPr defaultColWidth="9.1796875" defaultRowHeight="14.5" x14ac:dyDescent="0.35"/>
  <cols>
    <col min="1" max="1" width="9.1796875" style="3"/>
    <col min="2" max="2" width="5.1796875" style="3" customWidth="1"/>
    <col min="3" max="3" width="6.26953125" style="3" customWidth="1"/>
    <col min="4" max="4" width="21.26953125" style="3" bestFit="1" customWidth="1"/>
    <col min="5" max="16" width="11.1796875" style="3" customWidth="1"/>
    <col min="17" max="17" width="12" style="3" bestFit="1" customWidth="1"/>
    <col min="18" max="18" width="9.1796875" style="3" customWidth="1"/>
    <col min="19" max="16384" width="9.1796875" style="3"/>
  </cols>
  <sheetData>
    <row r="1" spans="1:19" ht="21" x14ac:dyDescent="0.5">
      <c r="A1" s="4" t="s">
        <v>4</v>
      </c>
      <c r="B1" s="4">
        <f>Dashboard!A35</f>
        <v>0</v>
      </c>
      <c r="C1" s="4" t="str">
        <f>Dashboard!B35</f>
        <v>TOTAL NEW S CONNECTION SOUTHERN REGION</v>
      </c>
      <c r="G1" s="3" t="s">
        <v>9</v>
      </c>
      <c r="I1" s="12">
        <f>INDEX($E$18:$P$18,Actual_month)</f>
        <v>46054</v>
      </c>
      <c r="L1" s="16" t="s">
        <v>19</v>
      </c>
      <c r="R1" s="5"/>
    </row>
    <row r="2" spans="1:19" x14ac:dyDescent="0.35">
      <c r="A2" s="3" t="s">
        <v>13</v>
      </c>
      <c r="C2" s="3" t="s">
        <v>27</v>
      </c>
      <c r="R2" s="6"/>
    </row>
    <row r="3" spans="1:19" ht="25.5" customHeight="1" thickBot="1" x14ac:dyDescent="0.4">
      <c r="C3" s="1" t="s">
        <v>5</v>
      </c>
      <c r="E3" s="10"/>
      <c r="F3" s="10"/>
      <c r="G3" s="10"/>
      <c r="H3" s="10"/>
      <c r="I3" s="10"/>
      <c r="J3" s="3" t="s">
        <v>6</v>
      </c>
      <c r="K3" s="10"/>
      <c r="M3" s="10"/>
      <c r="N3" s="10"/>
      <c r="O3" s="10"/>
      <c r="P3" s="10"/>
    </row>
    <row r="4" spans="1:19" ht="25.5" customHeight="1" x14ac:dyDescent="0.35">
      <c r="C4" s="1" t="s">
        <v>5</v>
      </c>
      <c r="E4" s="10"/>
      <c r="F4" s="10"/>
      <c r="G4" s="10"/>
      <c r="H4" s="10"/>
      <c r="I4" s="10"/>
      <c r="J4" s="401"/>
      <c r="K4" s="402"/>
      <c r="L4" s="402"/>
      <c r="M4" s="402"/>
      <c r="N4" s="402"/>
      <c r="O4" s="402"/>
      <c r="P4" s="402"/>
      <c r="Q4" s="403"/>
      <c r="R4" s="3" t="s">
        <v>22</v>
      </c>
      <c r="S4" s="5">
        <f>INDEX(E27:P27,Actual_month)</f>
        <v>0</v>
      </c>
    </row>
    <row r="5" spans="1:19" ht="25.5" customHeight="1" x14ac:dyDescent="0.35">
      <c r="C5" s="1" t="s">
        <v>5</v>
      </c>
      <c r="E5" s="10"/>
      <c r="F5" s="10"/>
      <c r="G5" s="10"/>
      <c r="H5" s="10"/>
      <c r="I5" s="10"/>
      <c r="J5" s="404"/>
      <c r="K5" s="405"/>
      <c r="L5" s="405"/>
      <c r="M5" s="405"/>
      <c r="N5" s="405"/>
      <c r="O5" s="405"/>
      <c r="P5" s="405"/>
      <c r="Q5" s="406"/>
      <c r="R5" s="3" t="s">
        <v>23</v>
      </c>
      <c r="S5" s="5">
        <f>INDEX(E26:P26,Actual_month)</f>
        <v>0</v>
      </c>
    </row>
    <row r="6" spans="1:19" x14ac:dyDescent="0.35">
      <c r="J6" s="404"/>
      <c r="K6" s="405"/>
      <c r="L6" s="405"/>
      <c r="M6" s="405"/>
      <c r="N6" s="405"/>
      <c r="O6" s="405"/>
      <c r="P6" s="405"/>
      <c r="Q6" s="406"/>
      <c r="R6" s="6">
        <v>0.9</v>
      </c>
      <c r="S6" s="5">
        <f>+S5*R6</f>
        <v>0</v>
      </c>
    </row>
    <row r="7" spans="1:19" x14ac:dyDescent="0.35">
      <c r="J7" s="404"/>
      <c r="K7" s="405"/>
      <c r="L7" s="405"/>
      <c r="M7" s="405"/>
      <c r="N7" s="405"/>
      <c r="O7" s="405"/>
      <c r="P7" s="405"/>
      <c r="Q7" s="406"/>
    </row>
    <row r="8" spans="1:19" ht="15" thickBot="1" x14ac:dyDescent="0.4">
      <c r="J8" s="407"/>
      <c r="K8" s="408"/>
      <c r="L8" s="408"/>
      <c r="M8" s="408"/>
      <c r="N8" s="408"/>
      <c r="O8" s="408"/>
      <c r="P8" s="408"/>
      <c r="Q8" s="409"/>
    </row>
    <row r="9" spans="1:19" ht="15" thickBot="1" x14ac:dyDescent="0.4">
      <c r="J9" s="3" t="s">
        <v>12</v>
      </c>
    </row>
    <row r="10" spans="1:19" x14ac:dyDescent="0.35">
      <c r="J10" s="401"/>
      <c r="K10" s="402"/>
      <c r="L10" s="402"/>
      <c r="M10" s="402"/>
      <c r="N10" s="402"/>
      <c r="O10" s="402"/>
      <c r="P10" s="402"/>
      <c r="Q10" s="403"/>
    </row>
    <row r="11" spans="1:19" x14ac:dyDescent="0.35">
      <c r="J11" s="404"/>
      <c r="K11" s="405"/>
      <c r="L11" s="405"/>
      <c r="M11" s="405"/>
      <c r="N11" s="405"/>
      <c r="O11" s="405"/>
      <c r="P11" s="405"/>
      <c r="Q11" s="406"/>
    </row>
    <row r="12" spans="1:19" x14ac:dyDescent="0.35">
      <c r="J12" s="404"/>
      <c r="K12" s="405"/>
      <c r="L12" s="405"/>
      <c r="M12" s="405"/>
      <c r="N12" s="405"/>
      <c r="O12" s="405"/>
      <c r="P12" s="405"/>
      <c r="Q12" s="406"/>
    </row>
    <row r="13" spans="1:19" x14ac:dyDescent="0.35">
      <c r="J13" s="404"/>
      <c r="K13" s="405"/>
      <c r="L13" s="405"/>
      <c r="M13" s="405"/>
      <c r="N13" s="405"/>
      <c r="O13" s="405"/>
      <c r="P13" s="405"/>
      <c r="Q13" s="406"/>
    </row>
    <row r="14" spans="1:19" x14ac:dyDescent="0.35">
      <c r="J14" s="404"/>
      <c r="K14" s="405"/>
      <c r="L14" s="405"/>
      <c r="M14" s="405"/>
      <c r="N14" s="405"/>
      <c r="O14" s="405"/>
      <c r="P14" s="405"/>
      <c r="Q14" s="406"/>
    </row>
    <row r="15" spans="1:19" ht="15" thickBot="1" x14ac:dyDescent="0.4">
      <c r="J15" s="407"/>
      <c r="K15" s="408"/>
      <c r="L15" s="408"/>
      <c r="M15" s="408"/>
      <c r="N15" s="408"/>
      <c r="O15" s="408"/>
      <c r="P15" s="408"/>
      <c r="Q15" s="409"/>
    </row>
    <row r="18" spans="3:17" x14ac:dyDescent="0.35">
      <c r="C18" s="7" t="s">
        <v>8</v>
      </c>
      <c r="E18" s="11">
        <f>'KPI 1'!E18</f>
        <v>45839</v>
      </c>
      <c r="F18" s="11">
        <f>'KPI 1'!F18</f>
        <v>45870</v>
      </c>
      <c r="G18" s="11">
        <f>'KPI 1'!G18</f>
        <v>45901</v>
      </c>
      <c r="H18" s="11">
        <f>'KPI 1'!H18</f>
        <v>45931</v>
      </c>
      <c r="I18" s="11">
        <f>'KPI 1'!I18</f>
        <v>45962</v>
      </c>
      <c r="J18" s="11">
        <f>'KPI 1'!J18</f>
        <v>45992</v>
      </c>
      <c r="K18" s="11">
        <f>'KPI 1'!K18</f>
        <v>46023</v>
      </c>
      <c r="L18" s="11">
        <f>'KPI 1'!L18</f>
        <v>46054</v>
      </c>
      <c r="M18" s="11">
        <f>'KPI 1'!M18</f>
        <v>46082</v>
      </c>
      <c r="N18" s="11">
        <f>'KPI 1'!N18</f>
        <v>46113</v>
      </c>
      <c r="O18" s="11">
        <f>'KPI 1'!O18</f>
        <v>46143</v>
      </c>
      <c r="P18" s="11">
        <f>'KPI 1'!P18</f>
        <v>46174</v>
      </c>
      <c r="Q18" s="8" t="s">
        <v>0</v>
      </c>
    </row>
    <row r="19" spans="3:17" x14ac:dyDescent="0.35">
      <c r="D19" s="3" t="str">
        <f>'KPI 1'!D19</f>
        <v>Budget 2025-26</v>
      </c>
      <c r="E19" s="5">
        <f>'budget 2025-26'!D34</f>
        <v>0</v>
      </c>
      <c r="F19" s="5">
        <f>'budget 2025-26'!E34</f>
        <v>0</v>
      </c>
      <c r="G19" s="5">
        <f>'budget 2025-26'!F34</f>
        <v>0</v>
      </c>
      <c r="H19" s="5">
        <f>'budget 2025-26'!G34</f>
        <v>0</v>
      </c>
      <c r="I19" s="5">
        <f>'budget 2025-26'!H34</f>
        <v>0</v>
      </c>
      <c r="J19" s="5">
        <f>'budget 2025-26'!I34</f>
        <v>0</v>
      </c>
      <c r="K19" s="5">
        <f>'budget 2025-26'!J34</f>
        <v>0</v>
      </c>
      <c r="L19" s="5">
        <f>'budget 2025-26'!K34</f>
        <v>0</v>
      </c>
      <c r="M19" s="5">
        <f>'budget 2025-26'!L34</f>
        <v>0</v>
      </c>
      <c r="N19" s="5">
        <f>'budget 2025-26'!M34</f>
        <v>0</v>
      </c>
      <c r="O19" s="5">
        <f>'budget 2025-26'!N34</f>
        <v>0</v>
      </c>
      <c r="P19" s="5">
        <f>'budget 2025-26'!O34</f>
        <v>0</v>
      </c>
      <c r="Q19" s="5">
        <f>SUM(E19:P19)</f>
        <v>0</v>
      </c>
    </row>
    <row r="20" spans="3:17" x14ac:dyDescent="0.35">
      <c r="D20" s="3" t="str">
        <f>'KPI 1'!D20</f>
        <v>Actual 2025-26</v>
      </c>
      <c r="E20" s="5">
        <f>'Input Actual2025-26'!E35</f>
        <v>0</v>
      </c>
      <c r="F20" s="5">
        <f>'Input Actual2025-26'!F35</f>
        <v>0</v>
      </c>
      <c r="G20" s="5">
        <f>'Input Actual2025-26'!G35</f>
        <v>0</v>
      </c>
      <c r="H20" s="5">
        <f>'Input Actual2025-26'!H35</f>
        <v>0</v>
      </c>
      <c r="I20" s="5">
        <f>'Input Actual2025-26'!I35</f>
        <v>0</v>
      </c>
      <c r="J20" s="5">
        <f>'Input Actual2025-26'!J35</f>
        <v>0</v>
      </c>
      <c r="K20" s="5">
        <f>'Input Actual2025-26'!K35</f>
        <v>0</v>
      </c>
      <c r="L20" s="5">
        <f>'Input Actual2025-26'!L35</f>
        <v>0</v>
      </c>
      <c r="M20" s="5">
        <f>'Input Actual2025-26'!M35</f>
        <v>0</v>
      </c>
      <c r="N20" s="5">
        <f>'Input Actual2025-26'!N35</f>
        <v>0</v>
      </c>
      <c r="O20" s="5">
        <f>'Input Actual2025-26'!O35</f>
        <v>0</v>
      </c>
      <c r="P20" s="5">
        <f>'Input Actual2025-26'!P35</f>
        <v>0</v>
      </c>
      <c r="Q20" s="5">
        <f t="shared" ref="Q20:Q22" si="0">SUM(E20:P20)</f>
        <v>0</v>
      </c>
    </row>
    <row r="21" spans="3:17" x14ac:dyDescent="0.35">
      <c r="D21" s="3" t="s">
        <v>424</v>
      </c>
      <c r="E21" s="5">
        <f>'Input Actual2024-25'!E33</f>
        <v>0</v>
      </c>
      <c r="F21" s="5">
        <f>'Input Actual2024-25'!F33</f>
        <v>0</v>
      </c>
      <c r="G21" s="5">
        <f>'Input Actual2024-25'!G33</f>
        <v>0</v>
      </c>
      <c r="H21" s="5">
        <f>'Input Actual2024-25'!H33</f>
        <v>0</v>
      </c>
      <c r="I21" s="5">
        <f>'Input Actual2024-25'!I33</f>
        <v>0</v>
      </c>
      <c r="J21" s="5">
        <f>'Input Actual2024-25'!J33</f>
        <v>0</v>
      </c>
      <c r="K21" s="5">
        <f>'Input Actual2024-25'!K33</f>
        <v>0</v>
      </c>
      <c r="L21" s="5">
        <f>'Input Actual2024-25'!L33</f>
        <v>0</v>
      </c>
      <c r="M21" s="5">
        <f>'Input Actual2024-25'!M33</f>
        <v>0</v>
      </c>
      <c r="N21" s="5">
        <f>'Input Actual2024-25'!N33</f>
        <v>0</v>
      </c>
      <c r="O21" s="5">
        <f>'Input Actual2024-25'!O33</f>
        <v>0</v>
      </c>
      <c r="P21" s="5">
        <f>'Input Actual2024-25'!P33</f>
        <v>0</v>
      </c>
      <c r="Q21" s="5">
        <f t="shared" si="0"/>
        <v>0</v>
      </c>
    </row>
    <row r="22" spans="3:17" x14ac:dyDescent="0.35">
      <c r="D22" s="3" t="s">
        <v>7</v>
      </c>
      <c r="E22" s="5">
        <f t="shared" ref="E22:P22" si="1">IF(E20=0,0,E20-E19)</f>
        <v>0</v>
      </c>
      <c r="F22" s="5">
        <f t="shared" si="1"/>
        <v>0</v>
      </c>
      <c r="G22" s="5">
        <f t="shared" si="1"/>
        <v>0</v>
      </c>
      <c r="H22" s="5">
        <f t="shared" si="1"/>
        <v>0</v>
      </c>
      <c r="I22" s="5">
        <f t="shared" si="1"/>
        <v>0</v>
      </c>
      <c r="J22" s="5">
        <f t="shared" si="1"/>
        <v>0</v>
      </c>
      <c r="K22" s="5">
        <f t="shared" si="1"/>
        <v>0</v>
      </c>
      <c r="L22" s="5">
        <f t="shared" si="1"/>
        <v>0</v>
      </c>
      <c r="M22" s="5">
        <f t="shared" si="1"/>
        <v>0</v>
      </c>
      <c r="N22" s="5">
        <f t="shared" si="1"/>
        <v>0</v>
      </c>
      <c r="O22" s="5">
        <f t="shared" si="1"/>
        <v>0</v>
      </c>
      <c r="P22" s="5">
        <f t="shared" si="1"/>
        <v>0</v>
      </c>
      <c r="Q22" s="5">
        <f t="shared" si="0"/>
        <v>0</v>
      </c>
    </row>
    <row r="23" spans="3:17" x14ac:dyDescent="0.35">
      <c r="D23" s="3" t="s">
        <v>43</v>
      </c>
      <c r="E23" s="9" t="e">
        <f>E21/E19</f>
        <v>#DIV/0!</v>
      </c>
      <c r="F23" s="9" t="e">
        <f t="shared" ref="F23:P23" si="2">F20/F19</f>
        <v>#DIV/0!</v>
      </c>
      <c r="G23" s="9" t="e">
        <f t="shared" si="2"/>
        <v>#DIV/0!</v>
      </c>
      <c r="H23" s="9" t="e">
        <f t="shared" si="2"/>
        <v>#DIV/0!</v>
      </c>
      <c r="I23" s="9" t="e">
        <f t="shared" si="2"/>
        <v>#DIV/0!</v>
      </c>
      <c r="J23" s="9" t="e">
        <f t="shared" si="2"/>
        <v>#DIV/0!</v>
      </c>
      <c r="K23" s="9" t="e">
        <f t="shared" si="2"/>
        <v>#DIV/0!</v>
      </c>
      <c r="L23" s="9" t="e">
        <f t="shared" si="2"/>
        <v>#DIV/0!</v>
      </c>
      <c r="M23" s="9" t="e">
        <f t="shared" si="2"/>
        <v>#DIV/0!</v>
      </c>
      <c r="N23" s="9" t="e">
        <f t="shared" si="2"/>
        <v>#DIV/0!</v>
      </c>
      <c r="O23" s="9" t="e">
        <f t="shared" si="2"/>
        <v>#DIV/0!</v>
      </c>
      <c r="P23" s="9" t="e">
        <f t="shared" si="2"/>
        <v>#DIV/0!</v>
      </c>
    </row>
    <row r="25" spans="3:17" x14ac:dyDescent="0.35">
      <c r="C25" s="7" t="s">
        <v>3</v>
      </c>
      <c r="E25" s="11">
        <f>E18</f>
        <v>45839</v>
      </c>
      <c r="F25" s="11">
        <f t="shared" ref="F25:P25" si="3">F18</f>
        <v>45870</v>
      </c>
      <c r="G25" s="11">
        <f t="shared" si="3"/>
        <v>45901</v>
      </c>
      <c r="H25" s="11">
        <f t="shared" si="3"/>
        <v>45931</v>
      </c>
      <c r="I25" s="11">
        <f t="shared" si="3"/>
        <v>45962</v>
      </c>
      <c r="J25" s="11">
        <f t="shared" si="3"/>
        <v>45992</v>
      </c>
      <c r="K25" s="11">
        <f t="shared" si="3"/>
        <v>46023</v>
      </c>
      <c r="L25" s="11">
        <f t="shared" si="3"/>
        <v>46054</v>
      </c>
      <c r="M25" s="11">
        <f t="shared" si="3"/>
        <v>46082</v>
      </c>
      <c r="N25" s="11">
        <f t="shared" si="3"/>
        <v>46113</v>
      </c>
      <c r="O25" s="11">
        <f t="shared" si="3"/>
        <v>46143</v>
      </c>
      <c r="P25" s="11">
        <f t="shared" si="3"/>
        <v>46174</v>
      </c>
    </row>
    <row r="26" spans="3:17" x14ac:dyDescent="0.35">
      <c r="D26" s="3" t="str">
        <f>D19</f>
        <v>Budget 2025-26</v>
      </c>
      <c r="E26" s="5">
        <f>SUM($E19:E19)</f>
        <v>0</v>
      </c>
      <c r="F26" s="5">
        <f>SUM($E19:F19)</f>
        <v>0</v>
      </c>
      <c r="G26" s="5">
        <f>SUM($E19:G19)</f>
        <v>0</v>
      </c>
      <c r="H26" s="5">
        <f>SUM($E19:H19)</f>
        <v>0</v>
      </c>
      <c r="I26" s="5">
        <f>SUM($E19:I19)</f>
        <v>0</v>
      </c>
      <c r="J26" s="5">
        <f>SUM($E19:J19)</f>
        <v>0</v>
      </c>
      <c r="K26" s="5">
        <f>SUM($E19:K19)</f>
        <v>0</v>
      </c>
      <c r="L26" s="5">
        <f>SUM($E19:L19)</f>
        <v>0</v>
      </c>
      <c r="M26" s="5">
        <f>SUM($E19:M19)</f>
        <v>0</v>
      </c>
      <c r="N26" s="5">
        <f>SUM($E19:N19)</f>
        <v>0</v>
      </c>
      <c r="O26" s="5">
        <f>SUM($E19:O19)</f>
        <v>0</v>
      </c>
      <c r="P26" s="5">
        <f>SUM($E19:P19)</f>
        <v>0</v>
      </c>
    </row>
    <row r="27" spans="3:17" x14ac:dyDescent="0.35">
      <c r="D27" s="3" t="str">
        <f t="shared" ref="D27:D30" si="4">D20</f>
        <v>Actual 2025-26</v>
      </c>
      <c r="E27" s="5">
        <f>SUM($E20:E20)</f>
        <v>0</v>
      </c>
      <c r="F27" s="5">
        <f>SUM($E20:F20)</f>
        <v>0</v>
      </c>
      <c r="G27" s="5">
        <f>SUM($E20:G20)</f>
        <v>0</v>
      </c>
      <c r="H27" s="5">
        <f>SUM($E20:H20)</f>
        <v>0</v>
      </c>
      <c r="I27" s="5">
        <f>SUM($E20:I20)</f>
        <v>0</v>
      </c>
      <c r="J27" s="5">
        <f>SUM($E20:J20)</f>
        <v>0</v>
      </c>
      <c r="K27" s="5">
        <f>SUM($E20:K20)</f>
        <v>0</v>
      </c>
      <c r="L27" s="5">
        <f>SUM($E20:L20)</f>
        <v>0</v>
      </c>
      <c r="M27" s="5">
        <f>SUM($E20:M20)</f>
        <v>0</v>
      </c>
      <c r="N27" s="5">
        <f>SUM($E20:N20)</f>
        <v>0</v>
      </c>
      <c r="O27" s="5">
        <f>SUM($E20:O20)</f>
        <v>0</v>
      </c>
      <c r="P27" s="5">
        <f>SUM($E20:P20)</f>
        <v>0</v>
      </c>
    </row>
    <row r="28" spans="3:17" x14ac:dyDescent="0.35">
      <c r="D28" s="3" t="str">
        <f t="shared" si="4"/>
        <v>Actual 2024-25</v>
      </c>
      <c r="E28" s="5">
        <f>SUM($E21:E21)</f>
        <v>0</v>
      </c>
      <c r="F28" s="5">
        <f>SUM($E21:F21)</f>
        <v>0</v>
      </c>
      <c r="G28" s="5">
        <f>SUM($E21:G21)</f>
        <v>0</v>
      </c>
      <c r="H28" s="5">
        <f>SUM($E21:H21)</f>
        <v>0</v>
      </c>
      <c r="I28" s="5">
        <f>SUM($E21:I21)</f>
        <v>0</v>
      </c>
      <c r="J28" s="5">
        <f>SUM($E21:J21)</f>
        <v>0</v>
      </c>
      <c r="K28" s="5">
        <f>SUM($E21:K21)</f>
        <v>0</v>
      </c>
      <c r="L28" s="5">
        <f>SUM($E21:L21)</f>
        <v>0</v>
      </c>
      <c r="M28" s="5">
        <f>SUM($E21:M21)</f>
        <v>0</v>
      </c>
      <c r="N28" s="5">
        <f>SUM($E21:N21)</f>
        <v>0</v>
      </c>
      <c r="O28" s="5">
        <f>SUM($E21:O21)</f>
        <v>0</v>
      </c>
      <c r="P28" s="5">
        <f>SUM($E21:P21)</f>
        <v>0</v>
      </c>
    </row>
    <row r="29" spans="3:17" x14ac:dyDescent="0.35">
      <c r="D29" s="3" t="str">
        <f t="shared" si="4"/>
        <v>Difference</v>
      </c>
      <c r="E29" s="5">
        <f>SUM($E22:E22)</f>
        <v>0</v>
      </c>
      <c r="F29" s="5">
        <f>SUM($E22:F22)</f>
        <v>0</v>
      </c>
      <c r="G29" s="5">
        <f>SUM($E22:G22)</f>
        <v>0</v>
      </c>
      <c r="H29" s="5">
        <f>SUM($E22:H22)</f>
        <v>0</v>
      </c>
      <c r="I29" s="5">
        <f>SUM($E22:I22)</f>
        <v>0</v>
      </c>
      <c r="J29" s="5">
        <f>SUM($E22:J22)</f>
        <v>0</v>
      </c>
      <c r="K29" s="5">
        <f>SUM($E22:K22)</f>
        <v>0</v>
      </c>
      <c r="L29" s="5">
        <f>SUM($E22:L22)</f>
        <v>0</v>
      </c>
      <c r="M29" s="5">
        <f>SUM($E22:M22)</f>
        <v>0</v>
      </c>
      <c r="N29" s="5">
        <f>SUM($E22:N22)</f>
        <v>0</v>
      </c>
      <c r="O29" s="5">
        <f>SUM($E22:O22)</f>
        <v>0</v>
      </c>
      <c r="P29" s="5">
        <f>SUM($E22:P22)</f>
        <v>0</v>
      </c>
    </row>
    <row r="30" spans="3:17" x14ac:dyDescent="0.35">
      <c r="D30" s="3" t="str">
        <f t="shared" si="4"/>
        <v>Realisation</v>
      </c>
      <c r="E30" s="9" t="e">
        <f>E28/E26</f>
        <v>#DIV/0!</v>
      </c>
      <c r="F30" s="9" t="e">
        <f t="shared" ref="F30:P30" si="5">F27/F26</f>
        <v>#DIV/0!</v>
      </c>
      <c r="G30" s="9" t="e">
        <f t="shared" si="5"/>
        <v>#DIV/0!</v>
      </c>
      <c r="H30" s="9" t="e">
        <f t="shared" si="5"/>
        <v>#DIV/0!</v>
      </c>
      <c r="I30" s="9" t="e">
        <f t="shared" si="5"/>
        <v>#DIV/0!</v>
      </c>
      <c r="J30" s="9" t="e">
        <f t="shared" si="5"/>
        <v>#DIV/0!</v>
      </c>
      <c r="K30" s="9" t="e">
        <f t="shared" si="5"/>
        <v>#DIV/0!</v>
      </c>
      <c r="L30" s="9" t="e">
        <f t="shared" si="5"/>
        <v>#DIV/0!</v>
      </c>
      <c r="M30" s="9" t="e">
        <f t="shared" si="5"/>
        <v>#DIV/0!</v>
      </c>
      <c r="N30" s="9" t="e">
        <f t="shared" si="5"/>
        <v>#DIV/0!</v>
      </c>
      <c r="O30" s="9" t="e">
        <f t="shared" si="5"/>
        <v>#DIV/0!</v>
      </c>
      <c r="P30" s="9" t="e">
        <f t="shared" si="5"/>
        <v>#DIV/0!</v>
      </c>
    </row>
  </sheetData>
  <mergeCells count="2">
    <mergeCell ref="J4:Q8"/>
    <mergeCell ref="J10:Q15"/>
  </mergeCells>
  <conditionalFormatting sqref="C3">
    <cfRule type="expression" dxfId="479" priority="2">
      <formula>S4&lt;S6</formula>
    </cfRule>
  </conditionalFormatting>
  <conditionalFormatting sqref="C5">
    <cfRule type="expression" dxfId="478" priority="3">
      <formula>S4&gt;=S5</formula>
    </cfRule>
  </conditionalFormatting>
  <conditionalFormatting sqref="C4">
    <cfRule type="expression" dxfId="477" priority="1">
      <formula>AND(S4&gt;=S6,S4&lt;S5)</formula>
    </cfRule>
  </conditionalFormatting>
  <hyperlinks>
    <hyperlink ref="L1" location="Dashboard!A1" display="Dashboard"/>
  </hyperlinks>
  <pageMargins left="0.7" right="0.7" top="0.75" bottom="0.75" header="0.3" footer="0.3"/>
  <pageSetup orientation="portrait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959489" r:id="rId4" name="Spinner 1">
              <controlPr defaultSize="0" autoPict="0">
                <anchor moveWithCells="1" sizeWithCells="1">
                  <from>
                    <xdr:col>9</xdr:col>
                    <xdr:colOff>19050</xdr:colOff>
                    <xdr:row>0</xdr:row>
                    <xdr:rowOff>38100</xdr:rowOff>
                  </from>
                  <to>
                    <xdr:col>9</xdr:col>
                    <xdr:colOff>400050</xdr:colOff>
                    <xdr:row>1</xdr:row>
                    <xdr:rowOff>152400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4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29">
    <tabColor rgb="FFFFC000"/>
  </sheetPr>
  <dimension ref="A1:S30"/>
  <sheetViews>
    <sheetView zoomScale="90" zoomScaleNormal="90" workbookViewId="0">
      <selection activeCell="L1" sqref="L1"/>
    </sheetView>
  </sheetViews>
  <sheetFormatPr defaultColWidth="9.1796875" defaultRowHeight="14.5" x14ac:dyDescent="0.35"/>
  <cols>
    <col min="1" max="1" width="9.1796875" style="3"/>
    <col min="2" max="2" width="5.1796875" style="3" customWidth="1"/>
    <col min="3" max="3" width="6.26953125" style="3" customWidth="1"/>
    <col min="4" max="4" width="21.26953125" style="3" bestFit="1" customWidth="1"/>
    <col min="5" max="16" width="11.1796875" style="3" customWidth="1"/>
    <col min="17" max="17" width="12" style="3" bestFit="1" customWidth="1"/>
    <col min="18" max="18" width="9.1796875" style="3" customWidth="1"/>
    <col min="19" max="16384" width="9.1796875" style="3"/>
  </cols>
  <sheetData>
    <row r="1" spans="1:19" ht="21" x14ac:dyDescent="0.5">
      <c r="A1" s="4" t="s">
        <v>4</v>
      </c>
      <c r="B1" s="4">
        <f>Dashboard!A39</f>
        <v>1</v>
      </c>
      <c r="C1" s="4" t="str">
        <f>Dashboard!B39</f>
        <v>CBD-  WATER</v>
      </c>
      <c r="G1" s="3" t="s">
        <v>9</v>
      </c>
      <c r="I1" s="12">
        <f>INDEX($E$18:$P$18,Actual_month)</f>
        <v>46054</v>
      </c>
      <c r="L1" s="16" t="s">
        <v>19</v>
      </c>
      <c r="R1" s="5"/>
    </row>
    <row r="2" spans="1:19" x14ac:dyDescent="0.35">
      <c r="A2" s="3" t="s">
        <v>13</v>
      </c>
      <c r="C2" s="3" t="s">
        <v>27</v>
      </c>
      <c r="R2" s="6"/>
    </row>
    <row r="3" spans="1:19" ht="25.5" customHeight="1" thickBot="1" x14ac:dyDescent="0.4">
      <c r="C3" s="1" t="s">
        <v>5</v>
      </c>
      <c r="E3" s="10"/>
      <c r="F3" s="10"/>
      <c r="G3" s="10"/>
      <c r="H3" s="10"/>
      <c r="I3" s="10"/>
      <c r="J3" s="3" t="s">
        <v>6</v>
      </c>
      <c r="K3" s="10"/>
      <c r="M3" s="10"/>
      <c r="N3" s="10"/>
      <c r="O3" s="10"/>
      <c r="P3" s="10"/>
    </row>
    <row r="4" spans="1:19" ht="25.5" customHeight="1" x14ac:dyDescent="0.35">
      <c r="C4" s="1" t="s">
        <v>5</v>
      </c>
      <c r="E4" s="10"/>
      <c r="F4" s="10"/>
      <c r="G4" s="10"/>
      <c r="H4" s="10"/>
      <c r="I4" s="10"/>
      <c r="J4" s="401"/>
      <c r="K4" s="402"/>
      <c r="L4" s="402"/>
      <c r="M4" s="402"/>
      <c r="N4" s="402"/>
      <c r="O4" s="402"/>
      <c r="P4" s="402"/>
      <c r="Q4" s="403"/>
      <c r="R4" s="3" t="s">
        <v>22</v>
      </c>
      <c r="S4" s="5">
        <f>INDEX(E27:P27,Actual_month)</f>
        <v>792</v>
      </c>
    </row>
    <row r="5" spans="1:19" ht="25.5" customHeight="1" x14ac:dyDescent="0.35">
      <c r="C5" s="1" t="s">
        <v>5</v>
      </c>
      <c r="E5" s="10"/>
      <c r="F5" s="10"/>
      <c r="G5" s="10"/>
      <c r="H5" s="10"/>
      <c r="I5" s="10"/>
      <c r="J5" s="404"/>
      <c r="K5" s="405"/>
      <c r="L5" s="405"/>
      <c r="M5" s="405"/>
      <c r="N5" s="405"/>
      <c r="O5" s="405"/>
      <c r="P5" s="405"/>
      <c r="Q5" s="406"/>
      <c r="R5" s="3" t="s">
        <v>23</v>
      </c>
      <c r="S5" s="5">
        <f>INDEX(E26:P26,Actual_month)</f>
        <v>798</v>
      </c>
    </row>
    <row r="6" spans="1:19" x14ac:dyDescent="0.35">
      <c r="J6" s="404"/>
      <c r="K6" s="405"/>
      <c r="L6" s="405"/>
      <c r="M6" s="405"/>
      <c r="N6" s="405"/>
      <c r="O6" s="405"/>
      <c r="P6" s="405"/>
      <c r="Q6" s="406"/>
      <c r="R6" s="6">
        <v>0.9</v>
      </c>
      <c r="S6" s="5">
        <f>+S5*R6</f>
        <v>718.2</v>
      </c>
    </row>
    <row r="7" spans="1:19" x14ac:dyDescent="0.35">
      <c r="J7" s="404"/>
      <c r="K7" s="405"/>
      <c r="L7" s="405"/>
      <c r="M7" s="405"/>
      <c r="N7" s="405"/>
      <c r="O7" s="405"/>
      <c r="P7" s="405"/>
      <c r="Q7" s="406"/>
    </row>
    <row r="8" spans="1:19" ht="15" thickBot="1" x14ac:dyDescent="0.4">
      <c r="J8" s="407"/>
      <c r="K8" s="408"/>
      <c r="L8" s="408"/>
      <c r="M8" s="408"/>
      <c r="N8" s="408"/>
      <c r="O8" s="408"/>
      <c r="P8" s="408"/>
      <c r="Q8" s="409"/>
    </row>
    <row r="9" spans="1:19" ht="15" thickBot="1" x14ac:dyDescent="0.4">
      <c r="J9" s="3" t="s">
        <v>12</v>
      </c>
    </row>
    <row r="10" spans="1:19" x14ac:dyDescent="0.35">
      <c r="J10" s="401"/>
      <c r="K10" s="402"/>
      <c r="L10" s="402"/>
      <c r="M10" s="402"/>
      <c r="N10" s="402"/>
      <c r="O10" s="402"/>
      <c r="P10" s="402"/>
      <c r="Q10" s="403"/>
    </row>
    <row r="11" spans="1:19" x14ac:dyDescent="0.35">
      <c r="J11" s="404"/>
      <c r="K11" s="405"/>
      <c r="L11" s="405"/>
      <c r="M11" s="405"/>
      <c r="N11" s="405"/>
      <c r="O11" s="405"/>
      <c r="P11" s="405"/>
      <c r="Q11" s="406"/>
    </row>
    <row r="12" spans="1:19" x14ac:dyDescent="0.35">
      <c r="J12" s="404"/>
      <c r="K12" s="405"/>
      <c r="L12" s="405"/>
      <c r="M12" s="405"/>
      <c r="N12" s="405"/>
      <c r="O12" s="405"/>
      <c r="P12" s="405"/>
      <c r="Q12" s="406"/>
    </row>
    <row r="13" spans="1:19" x14ac:dyDescent="0.35">
      <c r="J13" s="404"/>
      <c r="K13" s="405"/>
      <c r="L13" s="405"/>
      <c r="M13" s="405"/>
      <c r="N13" s="405"/>
      <c r="O13" s="405"/>
      <c r="P13" s="405"/>
      <c r="Q13" s="406"/>
    </row>
    <row r="14" spans="1:19" x14ac:dyDescent="0.35">
      <c r="J14" s="404"/>
      <c r="K14" s="405"/>
      <c r="L14" s="405"/>
      <c r="M14" s="405"/>
      <c r="N14" s="405"/>
      <c r="O14" s="405"/>
      <c r="P14" s="405"/>
      <c r="Q14" s="406"/>
    </row>
    <row r="15" spans="1:19" ht="15" thickBot="1" x14ac:dyDescent="0.4">
      <c r="J15" s="407"/>
      <c r="K15" s="408"/>
      <c r="L15" s="408"/>
      <c r="M15" s="408"/>
      <c r="N15" s="408"/>
      <c r="O15" s="408"/>
      <c r="P15" s="408"/>
      <c r="Q15" s="409"/>
    </row>
    <row r="18" spans="3:17" x14ac:dyDescent="0.35">
      <c r="C18" s="7" t="s">
        <v>8</v>
      </c>
      <c r="E18" s="11">
        <f>'KPI 1'!E18</f>
        <v>45839</v>
      </c>
      <c r="F18" s="11">
        <f>'KPI 1'!F18</f>
        <v>45870</v>
      </c>
      <c r="G18" s="11">
        <f>'KPI 1'!G18</f>
        <v>45901</v>
      </c>
      <c r="H18" s="11">
        <f>'KPI 1'!H18</f>
        <v>45931</v>
      </c>
      <c r="I18" s="11">
        <f>'KPI 1'!I18</f>
        <v>45962</v>
      </c>
      <c r="J18" s="11">
        <f>'KPI 1'!J18</f>
        <v>45992</v>
      </c>
      <c r="K18" s="11">
        <f>'KPI 1'!K18</f>
        <v>46023</v>
      </c>
      <c r="L18" s="11">
        <f>'KPI 1'!L18</f>
        <v>46054</v>
      </c>
      <c r="M18" s="11">
        <f>'KPI 1'!M18</f>
        <v>46082</v>
      </c>
      <c r="N18" s="11">
        <f>'KPI 1'!N18</f>
        <v>46113</v>
      </c>
      <c r="O18" s="11">
        <f>'KPI 1'!O18</f>
        <v>46143</v>
      </c>
      <c r="P18" s="11">
        <f>'KPI 1'!P18</f>
        <v>46174</v>
      </c>
      <c r="Q18" s="8" t="s">
        <v>0</v>
      </c>
    </row>
    <row r="19" spans="3:17" x14ac:dyDescent="0.35">
      <c r="D19" s="3" t="str">
        <f>'KPI 1'!D19</f>
        <v>Budget 2025-26</v>
      </c>
      <c r="E19" s="5">
        <f>'budget 2025-26'!D37</f>
        <v>791</v>
      </c>
      <c r="F19" s="5">
        <f>'budget 2025-26'!E37</f>
        <v>792</v>
      </c>
      <c r="G19" s="5">
        <f>'budget 2025-26'!F37</f>
        <v>793</v>
      </c>
      <c r="H19" s="5">
        <f>'budget 2025-26'!G37</f>
        <v>794</v>
      </c>
      <c r="I19" s="5">
        <f>'budget 2025-26'!H37</f>
        <v>795</v>
      </c>
      <c r="J19" s="5">
        <f>'budget 2025-26'!I37</f>
        <v>796</v>
      </c>
      <c r="K19" s="5">
        <f>'budget 2025-26'!J37</f>
        <v>797</v>
      </c>
      <c r="L19" s="5">
        <f>'budget 2025-26'!K37</f>
        <v>798</v>
      </c>
      <c r="M19" s="5">
        <f>'budget 2025-26'!L37</f>
        <v>799</v>
      </c>
      <c r="N19" s="5">
        <f>'budget 2025-26'!M37</f>
        <v>800</v>
      </c>
      <c r="O19" s="5">
        <f>'budget 2025-26'!N37</f>
        <v>801</v>
      </c>
      <c r="P19" s="5">
        <f>'budget 2025-26'!O37</f>
        <v>802</v>
      </c>
      <c r="Q19" s="5">
        <f>SUM(E19:P19)</f>
        <v>9558</v>
      </c>
    </row>
    <row r="20" spans="3:17" x14ac:dyDescent="0.35">
      <c r="D20" s="3" t="str">
        <f>'KPI 1'!D20</f>
        <v>Actual 2025-26</v>
      </c>
      <c r="E20" s="5">
        <f>'Input Actual2025-26'!E39</f>
        <v>790</v>
      </c>
      <c r="F20" s="5">
        <f>'Input Actual2025-26'!F39</f>
        <v>791</v>
      </c>
      <c r="G20" s="5">
        <f>'Input Actual2025-26'!G39</f>
        <v>791</v>
      </c>
      <c r="H20" s="5">
        <f>'Input Actual2025-26'!H39</f>
        <v>793</v>
      </c>
      <c r="I20" s="5">
        <f>'Input Actual2025-26'!I39</f>
        <v>793</v>
      </c>
      <c r="J20" s="5">
        <f>'Input Actual2025-26'!J39</f>
        <v>793</v>
      </c>
      <c r="K20" s="5">
        <f>'Input Actual2025-26'!K39</f>
        <v>792</v>
      </c>
      <c r="L20" s="5">
        <f>'Input Actual2025-26'!L39</f>
        <v>792</v>
      </c>
      <c r="M20" s="5">
        <f>'Input Actual2025-26'!M39</f>
        <v>0</v>
      </c>
      <c r="N20" s="5">
        <f>'Input Actual2025-26'!N39</f>
        <v>0</v>
      </c>
      <c r="O20" s="5">
        <f>'Input Actual2025-26'!O39</f>
        <v>0</v>
      </c>
      <c r="P20" s="5">
        <f>'Input Actual2025-26'!P39</f>
        <v>0</v>
      </c>
      <c r="Q20" s="5">
        <f t="shared" ref="Q20:Q22" si="0">SUM(E20:P20)</f>
        <v>6335</v>
      </c>
    </row>
    <row r="21" spans="3:17" x14ac:dyDescent="0.35">
      <c r="D21" s="3" t="s">
        <v>424</v>
      </c>
      <c r="E21" s="5">
        <f>'Input Actual2024-25'!E37</f>
        <v>782</v>
      </c>
      <c r="F21" s="5">
        <f>'Input Actual2024-25'!F37</f>
        <v>783</v>
      </c>
      <c r="G21" s="5">
        <f>'Input Actual2024-25'!G37</f>
        <v>785</v>
      </c>
      <c r="H21" s="5">
        <f>'Input Actual2024-25'!H37</f>
        <v>786</v>
      </c>
      <c r="I21" s="5">
        <f>'Input Actual2024-25'!I37</f>
        <v>785</v>
      </c>
      <c r="J21" s="5">
        <f>'Input Actual2024-25'!J37</f>
        <v>786</v>
      </c>
      <c r="K21" s="5">
        <f>'Input Actual2024-25'!K37</f>
        <v>785</v>
      </c>
      <c r="L21" s="5">
        <f>'Input Actual2024-25'!L37</f>
        <v>785</v>
      </c>
      <c r="M21" s="5">
        <f>'Input Actual2024-25'!M37</f>
        <v>785</v>
      </c>
      <c r="N21" s="5">
        <f>'Input Actual2024-25'!N37</f>
        <v>786</v>
      </c>
      <c r="O21" s="5">
        <f>'Input Actual2024-25'!O37</f>
        <v>788</v>
      </c>
      <c r="P21" s="5">
        <f>'Input Actual2024-25'!P37</f>
        <v>790</v>
      </c>
      <c r="Q21" s="5">
        <f t="shared" si="0"/>
        <v>9426</v>
      </c>
    </row>
    <row r="22" spans="3:17" x14ac:dyDescent="0.35">
      <c r="D22" s="3" t="s">
        <v>7</v>
      </c>
      <c r="E22" s="5">
        <f t="shared" ref="E22:P22" si="1">IF(E20=0,0,E20-E19)</f>
        <v>-1</v>
      </c>
      <c r="F22" s="5">
        <f t="shared" si="1"/>
        <v>-1</v>
      </c>
      <c r="G22" s="5">
        <f t="shared" si="1"/>
        <v>-2</v>
      </c>
      <c r="H22" s="5">
        <f t="shared" si="1"/>
        <v>-1</v>
      </c>
      <c r="I22" s="5">
        <f t="shared" si="1"/>
        <v>-2</v>
      </c>
      <c r="J22" s="5">
        <f t="shared" si="1"/>
        <v>-3</v>
      </c>
      <c r="K22" s="5">
        <f t="shared" si="1"/>
        <v>-5</v>
      </c>
      <c r="L22" s="5">
        <f t="shared" si="1"/>
        <v>-6</v>
      </c>
      <c r="M22" s="5">
        <f t="shared" si="1"/>
        <v>0</v>
      </c>
      <c r="N22" s="5">
        <f t="shared" si="1"/>
        <v>0</v>
      </c>
      <c r="O22" s="5">
        <f t="shared" si="1"/>
        <v>0</v>
      </c>
      <c r="P22" s="5">
        <f t="shared" si="1"/>
        <v>0</v>
      </c>
      <c r="Q22" s="5">
        <f t="shared" si="0"/>
        <v>-21</v>
      </c>
    </row>
    <row r="23" spans="3:17" x14ac:dyDescent="0.35">
      <c r="D23" s="3" t="s">
        <v>43</v>
      </c>
      <c r="E23" s="9">
        <f>E21/E19</f>
        <v>0.98862199747155499</v>
      </c>
      <c r="F23" s="9">
        <f t="shared" ref="F23:P23" si="2">F20/F19</f>
        <v>0.9987373737373737</v>
      </c>
      <c r="G23" s="9">
        <f t="shared" si="2"/>
        <v>0.99747793190416145</v>
      </c>
      <c r="H23" s="9">
        <f t="shared" si="2"/>
        <v>0.99874055415617125</v>
      </c>
      <c r="I23" s="9">
        <f t="shared" si="2"/>
        <v>0.99748427672955975</v>
      </c>
      <c r="J23" s="9">
        <f t="shared" si="2"/>
        <v>0.99623115577889443</v>
      </c>
      <c r="K23" s="9">
        <f t="shared" si="2"/>
        <v>0.99372647427854455</v>
      </c>
      <c r="L23" s="9">
        <f t="shared" si="2"/>
        <v>0.99248120300751874</v>
      </c>
      <c r="M23" s="9">
        <f t="shared" si="2"/>
        <v>0</v>
      </c>
      <c r="N23" s="9">
        <f t="shared" si="2"/>
        <v>0</v>
      </c>
      <c r="O23" s="9">
        <f t="shared" si="2"/>
        <v>0</v>
      </c>
      <c r="P23" s="9">
        <f t="shared" si="2"/>
        <v>0</v>
      </c>
    </row>
    <row r="25" spans="3:17" x14ac:dyDescent="0.35">
      <c r="C25" s="7" t="s">
        <v>3</v>
      </c>
      <c r="E25" s="11">
        <f>E18</f>
        <v>45839</v>
      </c>
      <c r="F25" s="11">
        <f t="shared" ref="F25:P25" si="3">F18</f>
        <v>45870</v>
      </c>
      <c r="G25" s="11">
        <f t="shared" si="3"/>
        <v>45901</v>
      </c>
      <c r="H25" s="11">
        <f t="shared" si="3"/>
        <v>45931</v>
      </c>
      <c r="I25" s="11">
        <f t="shared" si="3"/>
        <v>45962</v>
      </c>
      <c r="J25" s="11">
        <f t="shared" si="3"/>
        <v>45992</v>
      </c>
      <c r="K25" s="11">
        <f t="shared" si="3"/>
        <v>46023</v>
      </c>
      <c r="L25" s="11">
        <f t="shared" si="3"/>
        <v>46054</v>
      </c>
      <c r="M25" s="11">
        <f t="shared" si="3"/>
        <v>46082</v>
      </c>
      <c r="N25" s="11">
        <f t="shared" si="3"/>
        <v>46113</v>
      </c>
      <c r="O25" s="11">
        <f t="shared" si="3"/>
        <v>46143</v>
      </c>
      <c r="P25" s="11">
        <f t="shared" si="3"/>
        <v>46174</v>
      </c>
    </row>
    <row r="26" spans="3:17" x14ac:dyDescent="0.35">
      <c r="D26" s="3" t="str">
        <f>D19</f>
        <v>Budget 2025-26</v>
      </c>
      <c r="E26" s="5">
        <f>E19</f>
        <v>791</v>
      </c>
      <c r="F26" s="5">
        <f t="shared" ref="F26:P26" si="4">F19</f>
        <v>792</v>
      </c>
      <c r="G26" s="5">
        <f t="shared" si="4"/>
        <v>793</v>
      </c>
      <c r="H26" s="5">
        <f t="shared" si="4"/>
        <v>794</v>
      </c>
      <c r="I26" s="5">
        <f t="shared" si="4"/>
        <v>795</v>
      </c>
      <c r="J26" s="5">
        <f t="shared" si="4"/>
        <v>796</v>
      </c>
      <c r="K26" s="5">
        <f t="shared" si="4"/>
        <v>797</v>
      </c>
      <c r="L26" s="5">
        <f t="shared" si="4"/>
        <v>798</v>
      </c>
      <c r="M26" s="5">
        <f t="shared" si="4"/>
        <v>799</v>
      </c>
      <c r="N26" s="5">
        <f t="shared" si="4"/>
        <v>800</v>
      </c>
      <c r="O26" s="5">
        <f t="shared" si="4"/>
        <v>801</v>
      </c>
      <c r="P26" s="5">
        <f t="shared" si="4"/>
        <v>802</v>
      </c>
    </row>
    <row r="27" spans="3:17" x14ac:dyDescent="0.35">
      <c r="D27" s="3" t="str">
        <f t="shared" ref="D27:E30" si="5">D20</f>
        <v>Actual 2025-26</v>
      </c>
      <c r="E27" s="5">
        <f t="shared" si="5"/>
        <v>790</v>
      </c>
      <c r="F27" s="5">
        <f t="shared" ref="F27:P27" si="6">F20</f>
        <v>791</v>
      </c>
      <c r="G27" s="5">
        <f t="shared" si="6"/>
        <v>791</v>
      </c>
      <c r="H27" s="5">
        <f t="shared" si="6"/>
        <v>793</v>
      </c>
      <c r="I27" s="5">
        <f t="shared" si="6"/>
        <v>793</v>
      </c>
      <c r="J27" s="5">
        <f t="shared" si="6"/>
        <v>793</v>
      </c>
      <c r="K27" s="5">
        <f t="shared" si="6"/>
        <v>792</v>
      </c>
      <c r="L27" s="5">
        <f t="shared" si="6"/>
        <v>792</v>
      </c>
      <c r="M27" s="5">
        <f t="shared" si="6"/>
        <v>0</v>
      </c>
      <c r="N27" s="5">
        <f t="shared" si="6"/>
        <v>0</v>
      </c>
      <c r="O27" s="5">
        <f t="shared" si="6"/>
        <v>0</v>
      </c>
      <c r="P27" s="5">
        <f t="shared" si="6"/>
        <v>0</v>
      </c>
    </row>
    <row r="28" spans="3:17" x14ac:dyDescent="0.35">
      <c r="D28" s="3" t="str">
        <f t="shared" si="5"/>
        <v>Actual 2024-25</v>
      </c>
      <c r="E28" s="5">
        <f t="shared" si="5"/>
        <v>782</v>
      </c>
      <c r="F28" s="5">
        <f t="shared" ref="F28:P28" si="7">F21</f>
        <v>783</v>
      </c>
      <c r="G28" s="5">
        <f t="shared" si="7"/>
        <v>785</v>
      </c>
      <c r="H28" s="5">
        <f t="shared" si="7"/>
        <v>786</v>
      </c>
      <c r="I28" s="5">
        <f t="shared" si="7"/>
        <v>785</v>
      </c>
      <c r="J28" s="5">
        <f t="shared" si="7"/>
        <v>786</v>
      </c>
      <c r="K28" s="5">
        <f t="shared" si="7"/>
        <v>785</v>
      </c>
      <c r="L28" s="5">
        <f t="shared" si="7"/>
        <v>785</v>
      </c>
      <c r="M28" s="5">
        <f t="shared" si="7"/>
        <v>785</v>
      </c>
      <c r="N28" s="5">
        <f t="shared" si="7"/>
        <v>786</v>
      </c>
      <c r="O28" s="5">
        <f t="shared" si="7"/>
        <v>788</v>
      </c>
      <c r="P28" s="5">
        <f t="shared" si="7"/>
        <v>790</v>
      </c>
    </row>
    <row r="29" spans="3:17" x14ac:dyDescent="0.35">
      <c r="D29" s="3" t="str">
        <f t="shared" si="5"/>
        <v>Difference</v>
      </c>
      <c r="E29" s="5">
        <f>SUM($E22:E22)</f>
        <v>-1</v>
      </c>
      <c r="F29" s="5">
        <f>SUM($E22:F22)</f>
        <v>-2</v>
      </c>
      <c r="G29" s="5">
        <f>SUM($E22:G22)</f>
        <v>-4</v>
      </c>
      <c r="H29" s="5">
        <f>SUM($E22:H22)</f>
        <v>-5</v>
      </c>
      <c r="I29" s="5">
        <f>SUM($E22:I22)</f>
        <v>-7</v>
      </c>
      <c r="J29" s="5">
        <f>SUM($E22:J22)</f>
        <v>-10</v>
      </c>
      <c r="K29" s="5">
        <f>SUM($E22:K22)</f>
        <v>-15</v>
      </c>
      <c r="L29" s="5">
        <f>SUM($E22:L22)</f>
        <v>-21</v>
      </c>
      <c r="M29" s="5">
        <f>SUM($E22:M22)</f>
        <v>-21</v>
      </c>
      <c r="N29" s="5">
        <f>SUM($E22:N22)</f>
        <v>-21</v>
      </c>
      <c r="O29" s="5">
        <f>SUM($E22:O22)</f>
        <v>-21</v>
      </c>
      <c r="P29" s="5">
        <f>SUM($E22:P22)</f>
        <v>-21</v>
      </c>
    </row>
    <row r="30" spans="3:17" x14ac:dyDescent="0.35">
      <c r="D30" s="3" t="str">
        <f t="shared" si="5"/>
        <v>Realisation</v>
      </c>
      <c r="E30" s="9">
        <f>E28/E26</f>
        <v>0.98862199747155499</v>
      </c>
      <c r="F30" s="9">
        <f t="shared" ref="F30:P30" si="8">F27/F26</f>
        <v>0.9987373737373737</v>
      </c>
      <c r="G30" s="9">
        <f t="shared" si="8"/>
        <v>0.99747793190416145</v>
      </c>
      <c r="H30" s="9">
        <f t="shared" si="8"/>
        <v>0.99874055415617125</v>
      </c>
      <c r="I30" s="9">
        <f t="shared" si="8"/>
        <v>0.99748427672955975</v>
      </c>
      <c r="J30" s="9">
        <f t="shared" si="8"/>
        <v>0.99623115577889443</v>
      </c>
      <c r="K30" s="9">
        <f t="shared" si="8"/>
        <v>0.99372647427854455</v>
      </c>
      <c r="L30" s="9">
        <f t="shared" si="8"/>
        <v>0.99248120300751874</v>
      </c>
      <c r="M30" s="9">
        <f t="shared" si="8"/>
        <v>0</v>
      </c>
      <c r="N30" s="9">
        <f t="shared" si="8"/>
        <v>0</v>
      </c>
      <c r="O30" s="9">
        <f t="shared" si="8"/>
        <v>0</v>
      </c>
      <c r="P30" s="9">
        <f t="shared" si="8"/>
        <v>0</v>
      </c>
    </row>
  </sheetData>
  <mergeCells count="2">
    <mergeCell ref="J4:Q8"/>
    <mergeCell ref="J10:Q15"/>
  </mergeCells>
  <conditionalFormatting sqref="C3">
    <cfRule type="expression" dxfId="476" priority="2">
      <formula>S4&lt;S6</formula>
    </cfRule>
  </conditionalFormatting>
  <conditionalFormatting sqref="C5">
    <cfRule type="expression" dxfId="475" priority="3">
      <formula>S4&gt;=S5</formula>
    </cfRule>
  </conditionalFormatting>
  <conditionalFormatting sqref="C4">
    <cfRule type="expression" dxfId="474" priority="1">
      <formula>AND(S4&gt;=S6,S4&lt;S5)</formula>
    </cfRule>
  </conditionalFormatting>
  <hyperlinks>
    <hyperlink ref="L1" location="Dashboard!A1" display="Dashboard"/>
  </hyperlinks>
  <pageMargins left="0.7" right="0.7" top="0.75" bottom="0.75" header="0.3" footer="0.3"/>
  <pageSetup orientation="portrait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960513" r:id="rId4" name="Spinner 1">
              <controlPr defaultSize="0" autoPict="0">
                <anchor moveWithCells="1" sizeWithCells="1">
                  <from>
                    <xdr:col>9</xdr:col>
                    <xdr:colOff>19050</xdr:colOff>
                    <xdr:row>0</xdr:row>
                    <xdr:rowOff>38100</xdr:rowOff>
                  </from>
                  <to>
                    <xdr:col>9</xdr:col>
                    <xdr:colOff>400050</xdr:colOff>
                    <xdr:row>1</xdr:row>
                    <xdr:rowOff>152400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4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30"/>
  <dimension ref="A1:S30"/>
  <sheetViews>
    <sheetView zoomScale="90" zoomScaleNormal="90" workbookViewId="0">
      <selection activeCell="L1" sqref="L1"/>
    </sheetView>
  </sheetViews>
  <sheetFormatPr defaultColWidth="9.1796875" defaultRowHeight="14.5" x14ac:dyDescent="0.35"/>
  <cols>
    <col min="1" max="1" width="9.1796875" style="3"/>
    <col min="2" max="2" width="5.1796875" style="3" customWidth="1"/>
    <col min="3" max="3" width="6.26953125" style="3" customWidth="1"/>
    <col min="4" max="4" width="21.26953125" style="3" bestFit="1" customWidth="1"/>
    <col min="5" max="16" width="11.1796875" style="3" customWidth="1"/>
    <col min="17" max="17" width="12" style="3" bestFit="1" customWidth="1"/>
    <col min="18" max="18" width="9.1796875" style="3" customWidth="1"/>
    <col min="19" max="16384" width="9.1796875" style="3"/>
  </cols>
  <sheetData>
    <row r="1" spans="1:19" ht="21" x14ac:dyDescent="0.5">
      <c r="A1" s="4" t="s">
        <v>4</v>
      </c>
      <c r="B1" s="4">
        <f>Dashboard!A40</f>
        <v>2</v>
      </c>
      <c r="C1" s="4" t="str">
        <f>Dashboard!B40</f>
        <v>CCCR-  WATER</v>
      </c>
      <c r="G1" s="3" t="s">
        <v>9</v>
      </c>
      <c r="I1" s="12">
        <f>INDEX($E$18:$P$18,Actual_month)</f>
        <v>46054</v>
      </c>
      <c r="L1" s="16" t="s">
        <v>19</v>
      </c>
      <c r="R1" s="5"/>
    </row>
    <row r="2" spans="1:19" x14ac:dyDescent="0.35">
      <c r="A2" s="3" t="s">
        <v>13</v>
      </c>
      <c r="C2" s="3" t="s">
        <v>27</v>
      </c>
      <c r="R2" s="6"/>
    </row>
    <row r="3" spans="1:19" ht="25.5" customHeight="1" thickBot="1" x14ac:dyDescent="0.4">
      <c r="C3" s="1" t="s">
        <v>5</v>
      </c>
      <c r="E3" s="10"/>
      <c r="F3" s="10"/>
      <c r="G3" s="10"/>
      <c r="H3" s="10"/>
      <c r="I3" s="10"/>
      <c r="J3" s="3" t="s">
        <v>6</v>
      </c>
      <c r="K3" s="10"/>
      <c r="M3" s="10"/>
      <c r="N3" s="10"/>
      <c r="O3" s="10"/>
      <c r="P3" s="10"/>
    </row>
    <row r="4" spans="1:19" ht="25.5" customHeight="1" x14ac:dyDescent="0.35">
      <c r="C4" s="1" t="s">
        <v>5</v>
      </c>
      <c r="E4" s="10"/>
      <c r="F4" s="10"/>
      <c r="G4" s="10"/>
      <c r="H4" s="10"/>
      <c r="I4" s="10"/>
      <c r="J4" s="401"/>
      <c r="K4" s="402"/>
      <c r="L4" s="402"/>
      <c r="M4" s="402"/>
      <c r="N4" s="402"/>
      <c r="O4" s="402"/>
      <c r="P4" s="402"/>
      <c r="Q4" s="403"/>
      <c r="R4" s="3" t="s">
        <v>22</v>
      </c>
      <c r="S4" s="5">
        <f>INDEX(E27:P27,Actual_month)</f>
        <v>898</v>
      </c>
    </row>
    <row r="5" spans="1:19" ht="25.5" customHeight="1" x14ac:dyDescent="0.35">
      <c r="C5" s="1" t="s">
        <v>5</v>
      </c>
      <c r="E5" s="10"/>
      <c r="F5" s="10"/>
      <c r="G5" s="10"/>
      <c r="H5" s="10"/>
      <c r="I5" s="10"/>
      <c r="J5" s="404"/>
      <c r="K5" s="405"/>
      <c r="L5" s="405"/>
      <c r="M5" s="405"/>
      <c r="N5" s="405"/>
      <c r="O5" s="405"/>
      <c r="P5" s="405"/>
      <c r="Q5" s="406"/>
      <c r="R5" s="3" t="s">
        <v>23</v>
      </c>
      <c r="S5" s="5">
        <f>INDEX(E26:P26,Actual_month)</f>
        <v>959</v>
      </c>
    </row>
    <row r="6" spans="1:19" x14ac:dyDescent="0.35">
      <c r="J6" s="404"/>
      <c r="K6" s="405"/>
      <c r="L6" s="405"/>
      <c r="M6" s="405"/>
      <c r="N6" s="405"/>
      <c r="O6" s="405"/>
      <c r="P6" s="405"/>
      <c r="Q6" s="406"/>
      <c r="R6" s="6">
        <v>0.9</v>
      </c>
      <c r="S6" s="5">
        <f>+S5*R6</f>
        <v>863.1</v>
      </c>
    </row>
    <row r="7" spans="1:19" x14ac:dyDescent="0.35">
      <c r="J7" s="404"/>
      <c r="K7" s="405"/>
      <c r="L7" s="405"/>
      <c r="M7" s="405"/>
      <c r="N7" s="405"/>
      <c r="O7" s="405"/>
      <c r="P7" s="405"/>
      <c r="Q7" s="406"/>
    </row>
    <row r="8" spans="1:19" ht="15" thickBot="1" x14ac:dyDescent="0.4">
      <c r="J8" s="407"/>
      <c r="K8" s="408"/>
      <c r="L8" s="408"/>
      <c r="M8" s="408"/>
      <c r="N8" s="408"/>
      <c r="O8" s="408"/>
      <c r="P8" s="408"/>
      <c r="Q8" s="409"/>
    </row>
    <row r="9" spans="1:19" ht="15" thickBot="1" x14ac:dyDescent="0.4">
      <c r="J9" s="3" t="s">
        <v>12</v>
      </c>
    </row>
    <row r="10" spans="1:19" x14ac:dyDescent="0.35">
      <c r="J10" s="401"/>
      <c r="K10" s="402"/>
      <c r="L10" s="402"/>
      <c r="M10" s="402"/>
      <c r="N10" s="402"/>
      <c r="O10" s="402"/>
      <c r="P10" s="402"/>
      <c r="Q10" s="403"/>
    </row>
    <row r="11" spans="1:19" x14ac:dyDescent="0.35">
      <c r="J11" s="404"/>
      <c r="K11" s="405"/>
      <c r="L11" s="405"/>
      <c r="M11" s="405"/>
      <c r="N11" s="405"/>
      <c r="O11" s="405"/>
      <c r="P11" s="405"/>
      <c r="Q11" s="406"/>
    </row>
    <row r="12" spans="1:19" x14ac:dyDescent="0.35">
      <c r="J12" s="404"/>
      <c r="K12" s="405"/>
      <c r="L12" s="405"/>
      <c r="M12" s="405"/>
      <c r="N12" s="405"/>
      <c r="O12" s="405"/>
      <c r="P12" s="405"/>
      <c r="Q12" s="406"/>
    </row>
    <row r="13" spans="1:19" x14ac:dyDescent="0.35">
      <c r="J13" s="404"/>
      <c r="K13" s="405"/>
      <c r="L13" s="405"/>
      <c r="M13" s="405"/>
      <c r="N13" s="405"/>
      <c r="O13" s="405"/>
      <c r="P13" s="405"/>
      <c r="Q13" s="406"/>
    </row>
    <row r="14" spans="1:19" x14ac:dyDescent="0.35">
      <c r="J14" s="404"/>
      <c r="K14" s="405"/>
      <c r="L14" s="405"/>
      <c r="M14" s="405"/>
      <c r="N14" s="405"/>
      <c r="O14" s="405"/>
      <c r="P14" s="405"/>
      <c r="Q14" s="406"/>
    </row>
    <row r="15" spans="1:19" ht="15" thickBot="1" x14ac:dyDescent="0.4">
      <c r="J15" s="407"/>
      <c r="K15" s="408"/>
      <c r="L15" s="408"/>
      <c r="M15" s="408"/>
      <c r="N15" s="408"/>
      <c r="O15" s="408"/>
      <c r="P15" s="408"/>
      <c r="Q15" s="409"/>
    </row>
    <row r="18" spans="3:17" x14ac:dyDescent="0.35">
      <c r="C18" s="7" t="s">
        <v>8</v>
      </c>
      <c r="E18" s="11">
        <f>'KPI 1'!E18</f>
        <v>45839</v>
      </c>
      <c r="F18" s="11">
        <f>'KPI 1'!F18</f>
        <v>45870</v>
      </c>
      <c r="G18" s="11">
        <f>'KPI 1'!G18</f>
        <v>45901</v>
      </c>
      <c r="H18" s="11">
        <f>'KPI 1'!H18</f>
        <v>45931</v>
      </c>
      <c r="I18" s="11">
        <f>'KPI 1'!I18</f>
        <v>45962</v>
      </c>
      <c r="J18" s="11">
        <f>'KPI 1'!J18</f>
        <v>45992</v>
      </c>
      <c r="K18" s="11">
        <f>'KPI 1'!K18</f>
        <v>46023</v>
      </c>
      <c r="L18" s="11">
        <f>'KPI 1'!L18</f>
        <v>46054</v>
      </c>
      <c r="M18" s="11">
        <f>'KPI 1'!M18</f>
        <v>46082</v>
      </c>
      <c r="N18" s="11">
        <f>'KPI 1'!N18</f>
        <v>46113</v>
      </c>
      <c r="O18" s="11">
        <f>'KPI 1'!O18</f>
        <v>46143</v>
      </c>
      <c r="P18" s="11">
        <f>'KPI 1'!P18</f>
        <v>46174</v>
      </c>
      <c r="Q18" s="8" t="s">
        <v>0</v>
      </c>
    </row>
    <row r="19" spans="3:17" x14ac:dyDescent="0.35">
      <c r="D19" s="3" t="str">
        <f>'KPI 1'!D19</f>
        <v>Budget 2025-26</v>
      </c>
      <c r="E19" s="5">
        <f>'budget 2025-26'!D38</f>
        <v>889</v>
      </c>
      <c r="F19" s="5">
        <f>'budget 2025-26'!E38</f>
        <v>899</v>
      </c>
      <c r="G19" s="5">
        <f>'budget 2025-26'!F38</f>
        <v>909</v>
      </c>
      <c r="H19" s="5">
        <f>'budget 2025-26'!G38</f>
        <v>919</v>
      </c>
      <c r="I19" s="5">
        <f>'budget 2025-26'!H38</f>
        <v>929</v>
      </c>
      <c r="J19" s="5">
        <f>'budget 2025-26'!I38</f>
        <v>939</v>
      </c>
      <c r="K19" s="5">
        <f>'budget 2025-26'!J38</f>
        <v>949</v>
      </c>
      <c r="L19" s="5">
        <f>'budget 2025-26'!K38</f>
        <v>959</v>
      </c>
      <c r="M19" s="5">
        <f>'budget 2025-26'!L38</f>
        <v>969</v>
      </c>
      <c r="N19" s="5">
        <f>'budget 2025-26'!M38</f>
        <v>979</v>
      </c>
      <c r="O19" s="5">
        <f>'budget 2025-26'!N38</f>
        <v>989</v>
      </c>
      <c r="P19" s="5">
        <f>'budget 2025-26'!O38</f>
        <v>999</v>
      </c>
      <c r="Q19" s="5">
        <f>SUM(E19:P19)</f>
        <v>11328</v>
      </c>
    </row>
    <row r="20" spans="3:17" x14ac:dyDescent="0.35">
      <c r="D20" s="3" t="str">
        <f>'KPI 1'!D20</f>
        <v>Actual 2025-26</v>
      </c>
      <c r="E20" s="5">
        <f>'Input Actual2025-26'!E40</f>
        <v>880</v>
      </c>
      <c r="F20" s="5">
        <f>'Input Actual2025-26'!F40</f>
        <v>883</v>
      </c>
      <c r="G20" s="5">
        <f>'Input Actual2025-26'!G40</f>
        <v>885</v>
      </c>
      <c r="H20" s="5">
        <f>'Input Actual2025-26'!H40</f>
        <v>886</v>
      </c>
      <c r="I20" s="5">
        <f>'Input Actual2025-26'!I40</f>
        <v>889</v>
      </c>
      <c r="J20" s="5">
        <f>'Input Actual2025-26'!J40</f>
        <v>890</v>
      </c>
      <c r="K20" s="5">
        <f>'Input Actual2025-26'!K40</f>
        <v>895</v>
      </c>
      <c r="L20" s="5">
        <f>'Input Actual2025-26'!L40</f>
        <v>898</v>
      </c>
      <c r="M20" s="5">
        <f>'Input Actual2025-26'!M40</f>
        <v>0</v>
      </c>
      <c r="N20" s="5">
        <f>'Input Actual2025-26'!N40</f>
        <v>0</v>
      </c>
      <c r="O20" s="5">
        <f>'Input Actual2025-26'!O40</f>
        <v>0</v>
      </c>
      <c r="P20" s="5">
        <f>'Input Actual2025-26'!P40</f>
        <v>0</v>
      </c>
      <c r="Q20" s="5">
        <f t="shared" ref="Q20:Q22" si="0">SUM(E20:P20)</f>
        <v>7106</v>
      </c>
    </row>
    <row r="21" spans="3:17" x14ac:dyDescent="0.35">
      <c r="D21" s="3" t="s">
        <v>424</v>
      </c>
      <c r="E21" s="5">
        <f>'Input Actual2024-25'!E38</f>
        <v>857</v>
      </c>
      <c r="F21" s="5">
        <f>'Input Actual2024-25'!F38</f>
        <v>858</v>
      </c>
      <c r="G21" s="5">
        <f>'Input Actual2024-25'!G38</f>
        <v>861</v>
      </c>
      <c r="H21" s="5">
        <f>'Input Actual2024-25'!H38</f>
        <v>859</v>
      </c>
      <c r="I21" s="5">
        <f>'Input Actual2024-25'!I38</f>
        <v>861</v>
      </c>
      <c r="J21" s="5">
        <f>'Input Actual2024-25'!J38</f>
        <v>861</v>
      </c>
      <c r="K21" s="5">
        <f>'Input Actual2024-25'!K38</f>
        <v>869</v>
      </c>
      <c r="L21" s="5">
        <f>'Input Actual2024-25'!L38</f>
        <v>872</v>
      </c>
      <c r="M21" s="5">
        <f>'Input Actual2024-25'!M38</f>
        <v>873</v>
      </c>
      <c r="N21" s="5">
        <f>'Input Actual2024-25'!N38</f>
        <v>875</v>
      </c>
      <c r="O21" s="5">
        <f>'Input Actual2024-25'!O38</f>
        <v>876</v>
      </c>
      <c r="P21" s="5">
        <f>'Input Actual2024-25'!P38</f>
        <v>880</v>
      </c>
      <c r="Q21" s="5">
        <f t="shared" si="0"/>
        <v>10402</v>
      </c>
    </row>
    <row r="22" spans="3:17" x14ac:dyDescent="0.35">
      <c r="D22" s="3" t="s">
        <v>7</v>
      </c>
      <c r="E22" s="5">
        <f t="shared" ref="E22:P22" si="1">IF(E20=0,0,E20-E19)</f>
        <v>-9</v>
      </c>
      <c r="F22" s="5">
        <f t="shared" si="1"/>
        <v>-16</v>
      </c>
      <c r="G22" s="5">
        <f t="shared" si="1"/>
        <v>-24</v>
      </c>
      <c r="H22" s="5">
        <f t="shared" si="1"/>
        <v>-33</v>
      </c>
      <c r="I22" s="5">
        <f t="shared" si="1"/>
        <v>-40</v>
      </c>
      <c r="J22" s="5">
        <f t="shared" si="1"/>
        <v>-49</v>
      </c>
      <c r="K22" s="5">
        <f t="shared" si="1"/>
        <v>-54</v>
      </c>
      <c r="L22" s="5">
        <f t="shared" si="1"/>
        <v>-61</v>
      </c>
      <c r="M22" s="5">
        <f t="shared" si="1"/>
        <v>0</v>
      </c>
      <c r="N22" s="5">
        <f t="shared" si="1"/>
        <v>0</v>
      </c>
      <c r="O22" s="5">
        <f t="shared" si="1"/>
        <v>0</v>
      </c>
      <c r="P22" s="5">
        <f t="shared" si="1"/>
        <v>0</v>
      </c>
      <c r="Q22" s="5">
        <f t="shared" si="0"/>
        <v>-286</v>
      </c>
    </row>
    <row r="23" spans="3:17" x14ac:dyDescent="0.35">
      <c r="D23" s="3" t="s">
        <v>43</v>
      </c>
      <c r="E23" s="9">
        <f>E21/E19</f>
        <v>0.96400449943757027</v>
      </c>
      <c r="F23" s="9">
        <f t="shared" ref="F23:P23" si="2">F20/F19</f>
        <v>0.98220244716351501</v>
      </c>
      <c r="G23" s="9">
        <f t="shared" si="2"/>
        <v>0.97359735973597361</v>
      </c>
      <c r="H23" s="9">
        <f t="shared" si="2"/>
        <v>0.96409140369967361</v>
      </c>
      <c r="I23" s="9">
        <f t="shared" si="2"/>
        <v>0.95694294940796554</v>
      </c>
      <c r="J23" s="9">
        <f t="shared" si="2"/>
        <v>0.94781682641107556</v>
      </c>
      <c r="K23" s="9">
        <f t="shared" si="2"/>
        <v>0.94309799789251847</v>
      </c>
      <c r="L23" s="9">
        <f t="shared" si="2"/>
        <v>0.93639207507820643</v>
      </c>
      <c r="M23" s="9">
        <f t="shared" si="2"/>
        <v>0</v>
      </c>
      <c r="N23" s="9">
        <f t="shared" si="2"/>
        <v>0</v>
      </c>
      <c r="O23" s="9">
        <f t="shared" si="2"/>
        <v>0</v>
      </c>
      <c r="P23" s="9">
        <f t="shared" si="2"/>
        <v>0</v>
      </c>
    </row>
    <row r="25" spans="3:17" x14ac:dyDescent="0.35">
      <c r="C25" s="7" t="s">
        <v>3</v>
      </c>
      <c r="E25" s="11">
        <f>E18</f>
        <v>45839</v>
      </c>
      <c r="F25" s="11">
        <f t="shared" ref="F25:P28" si="3">F18</f>
        <v>45870</v>
      </c>
      <c r="G25" s="11">
        <f t="shared" si="3"/>
        <v>45901</v>
      </c>
      <c r="H25" s="11">
        <f t="shared" si="3"/>
        <v>45931</v>
      </c>
      <c r="I25" s="11">
        <f t="shared" si="3"/>
        <v>45962</v>
      </c>
      <c r="J25" s="11">
        <f t="shared" si="3"/>
        <v>45992</v>
      </c>
      <c r="K25" s="11">
        <f t="shared" si="3"/>
        <v>46023</v>
      </c>
      <c r="L25" s="11">
        <f t="shared" si="3"/>
        <v>46054</v>
      </c>
      <c r="M25" s="11">
        <f t="shared" si="3"/>
        <v>46082</v>
      </c>
      <c r="N25" s="11">
        <f t="shared" si="3"/>
        <v>46113</v>
      </c>
      <c r="O25" s="11">
        <f t="shared" si="3"/>
        <v>46143</v>
      </c>
      <c r="P25" s="11">
        <f t="shared" si="3"/>
        <v>46174</v>
      </c>
    </row>
    <row r="26" spans="3:17" x14ac:dyDescent="0.35">
      <c r="D26" s="3" t="str">
        <f>D19</f>
        <v>Budget 2025-26</v>
      </c>
      <c r="E26" s="5">
        <f>E19</f>
        <v>889</v>
      </c>
      <c r="F26" s="5">
        <f t="shared" si="3"/>
        <v>899</v>
      </c>
      <c r="G26" s="5">
        <f t="shared" si="3"/>
        <v>909</v>
      </c>
      <c r="H26" s="5">
        <f t="shared" si="3"/>
        <v>919</v>
      </c>
      <c r="I26" s="5">
        <f t="shared" si="3"/>
        <v>929</v>
      </c>
      <c r="J26" s="5">
        <f t="shared" si="3"/>
        <v>939</v>
      </c>
      <c r="K26" s="5">
        <f t="shared" si="3"/>
        <v>949</v>
      </c>
      <c r="L26" s="5">
        <f t="shared" si="3"/>
        <v>959</v>
      </c>
      <c r="M26" s="5">
        <f t="shared" si="3"/>
        <v>969</v>
      </c>
      <c r="N26" s="5">
        <f t="shared" si="3"/>
        <v>979</v>
      </c>
      <c r="O26" s="5">
        <f t="shared" si="3"/>
        <v>989</v>
      </c>
      <c r="P26" s="5">
        <f t="shared" si="3"/>
        <v>999</v>
      </c>
    </row>
    <row r="27" spans="3:17" x14ac:dyDescent="0.35">
      <c r="D27" s="3" t="str">
        <f t="shared" ref="D27:E30" si="4">D20</f>
        <v>Actual 2025-26</v>
      </c>
      <c r="E27" s="5">
        <f t="shared" si="4"/>
        <v>880</v>
      </c>
      <c r="F27" s="5">
        <f t="shared" si="3"/>
        <v>883</v>
      </c>
      <c r="G27" s="5">
        <f t="shared" si="3"/>
        <v>885</v>
      </c>
      <c r="H27" s="5">
        <f t="shared" si="3"/>
        <v>886</v>
      </c>
      <c r="I27" s="5">
        <f t="shared" si="3"/>
        <v>889</v>
      </c>
      <c r="J27" s="5">
        <f t="shared" si="3"/>
        <v>890</v>
      </c>
      <c r="K27" s="5">
        <f t="shared" si="3"/>
        <v>895</v>
      </c>
      <c r="L27" s="5">
        <f t="shared" si="3"/>
        <v>898</v>
      </c>
      <c r="M27" s="5">
        <f t="shared" si="3"/>
        <v>0</v>
      </c>
      <c r="N27" s="5">
        <f t="shared" si="3"/>
        <v>0</v>
      </c>
      <c r="O27" s="5">
        <f t="shared" si="3"/>
        <v>0</v>
      </c>
      <c r="P27" s="5">
        <f t="shared" si="3"/>
        <v>0</v>
      </c>
    </row>
    <row r="28" spans="3:17" x14ac:dyDescent="0.35">
      <c r="D28" s="3" t="str">
        <f t="shared" si="4"/>
        <v>Actual 2024-25</v>
      </c>
      <c r="E28" s="5">
        <f t="shared" si="4"/>
        <v>857</v>
      </c>
      <c r="F28" s="5">
        <f t="shared" si="3"/>
        <v>858</v>
      </c>
      <c r="G28" s="5">
        <f t="shared" si="3"/>
        <v>861</v>
      </c>
      <c r="H28" s="5">
        <f t="shared" si="3"/>
        <v>859</v>
      </c>
      <c r="I28" s="5">
        <f t="shared" si="3"/>
        <v>861</v>
      </c>
      <c r="J28" s="5">
        <f t="shared" si="3"/>
        <v>861</v>
      </c>
      <c r="K28" s="5">
        <f t="shared" si="3"/>
        <v>869</v>
      </c>
      <c r="L28" s="5">
        <f t="shared" si="3"/>
        <v>872</v>
      </c>
      <c r="M28" s="5">
        <f t="shared" si="3"/>
        <v>873</v>
      </c>
      <c r="N28" s="5">
        <f t="shared" si="3"/>
        <v>875</v>
      </c>
      <c r="O28" s="5">
        <f t="shared" si="3"/>
        <v>876</v>
      </c>
      <c r="P28" s="5">
        <f t="shared" si="3"/>
        <v>880</v>
      </c>
    </row>
    <row r="29" spans="3:17" x14ac:dyDescent="0.35">
      <c r="D29" s="3" t="str">
        <f t="shared" si="4"/>
        <v>Difference</v>
      </c>
      <c r="E29" s="5">
        <f>SUM($E22:E22)</f>
        <v>-9</v>
      </c>
      <c r="F29" s="5">
        <f>SUM($E22:F22)</f>
        <v>-25</v>
      </c>
      <c r="G29" s="5">
        <f>SUM($E22:G22)</f>
        <v>-49</v>
      </c>
      <c r="H29" s="5">
        <f>SUM($E22:H22)</f>
        <v>-82</v>
      </c>
      <c r="I29" s="5">
        <f>SUM($E22:I22)</f>
        <v>-122</v>
      </c>
      <c r="J29" s="5">
        <f>SUM($E22:J22)</f>
        <v>-171</v>
      </c>
      <c r="K29" s="5">
        <f>SUM($E22:K22)</f>
        <v>-225</v>
      </c>
      <c r="L29" s="5">
        <f>SUM($E22:L22)</f>
        <v>-286</v>
      </c>
      <c r="M29" s="5">
        <f>SUM($E22:M22)</f>
        <v>-286</v>
      </c>
      <c r="N29" s="5">
        <f>SUM($E22:N22)</f>
        <v>-286</v>
      </c>
      <c r="O29" s="5">
        <f>SUM($E22:O22)</f>
        <v>-286</v>
      </c>
      <c r="P29" s="5">
        <f>SUM($E22:P22)</f>
        <v>-286</v>
      </c>
    </row>
    <row r="30" spans="3:17" x14ac:dyDescent="0.35">
      <c r="D30" s="3" t="str">
        <f t="shared" si="4"/>
        <v>Realisation</v>
      </c>
      <c r="E30" s="9">
        <f>E28/E26</f>
        <v>0.96400449943757027</v>
      </c>
      <c r="F30" s="9">
        <f t="shared" ref="F30:P30" si="5">F27/F26</f>
        <v>0.98220244716351501</v>
      </c>
      <c r="G30" s="9">
        <f t="shared" si="5"/>
        <v>0.97359735973597361</v>
      </c>
      <c r="H30" s="9">
        <f t="shared" si="5"/>
        <v>0.96409140369967361</v>
      </c>
      <c r="I30" s="9">
        <f t="shared" si="5"/>
        <v>0.95694294940796554</v>
      </c>
      <c r="J30" s="9">
        <f t="shared" si="5"/>
        <v>0.94781682641107556</v>
      </c>
      <c r="K30" s="9">
        <f t="shared" si="5"/>
        <v>0.94309799789251847</v>
      </c>
      <c r="L30" s="9">
        <f t="shared" si="5"/>
        <v>0.93639207507820643</v>
      </c>
      <c r="M30" s="9">
        <f t="shared" si="5"/>
        <v>0</v>
      </c>
      <c r="N30" s="9">
        <f t="shared" si="5"/>
        <v>0</v>
      </c>
      <c r="O30" s="9">
        <f t="shared" si="5"/>
        <v>0</v>
      </c>
      <c r="P30" s="9">
        <f t="shared" si="5"/>
        <v>0</v>
      </c>
    </row>
  </sheetData>
  <mergeCells count="2">
    <mergeCell ref="J4:Q8"/>
    <mergeCell ref="J10:Q15"/>
  </mergeCells>
  <conditionalFormatting sqref="C3">
    <cfRule type="expression" dxfId="473" priority="2">
      <formula>S4&lt;S6</formula>
    </cfRule>
  </conditionalFormatting>
  <conditionalFormatting sqref="C5">
    <cfRule type="expression" dxfId="472" priority="3">
      <formula>S4&gt;=S5</formula>
    </cfRule>
  </conditionalFormatting>
  <conditionalFormatting sqref="C4">
    <cfRule type="expression" dxfId="471" priority="1">
      <formula>AND(S4&gt;=S6,S4&lt;S5)</formula>
    </cfRule>
  </conditionalFormatting>
  <hyperlinks>
    <hyperlink ref="L1" location="Dashboard!A1" display="Dashboard"/>
  </hyperlinks>
  <pageMargins left="0.7" right="0.7" top="0.75" bottom="0.75" header="0.3" footer="0.3"/>
  <pageSetup orientation="portrait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961537" r:id="rId4" name="Spinner 1">
              <controlPr defaultSize="0" autoPict="0">
                <anchor moveWithCells="1" sizeWithCells="1">
                  <from>
                    <xdr:col>9</xdr:col>
                    <xdr:colOff>19050</xdr:colOff>
                    <xdr:row>0</xdr:row>
                    <xdr:rowOff>38100</xdr:rowOff>
                  </from>
                  <to>
                    <xdr:col>9</xdr:col>
                    <xdr:colOff>400050</xdr:colOff>
                    <xdr:row>1</xdr:row>
                    <xdr:rowOff>152400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4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31">
    <tabColor rgb="FFFFC000"/>
  </sheetPr>
  <dimension ref="A1:S30"/>
  <sheetViews>
    <sheetView zoomScale="90" zoomScaleNormal="90" workbookViewId="0">
      <selection activeCell="L1" sqref="L1"/>
    </sheetView>
  </sheetViews>
  <sheetFormatPr defaultColWidth="9.1796875" defaultRowHeight="14.5" x14ac:dyDescent="0.35"/>
  <cols>
    <col min="1" max="1" width="9.1796875" style="3"/>
    <col min="2" max="2" width="5.1796875" style="3" customWidth="1"/>
    <col min="3" max="3" width="6.26953125" style="3" customWidth="1"/>
    <col min="4" max="4" width="21.26953125" style="3" bestFit="1" customWidth="1"/>
    <col min="5" max="16" width="11.1796875" style="3" customWidth="1"/>
    <col min="17" max="17" width="12" style="3" bestFit="1" customWidth="1"/>
    <col min="18" max="18" width="9.1796875" style="3" customWidth="1"/>
    <col min="19" max="16384" width="9.1796875" style="3"/>
  </cols>
  <sheetData>
    <row r="1" spans="1:19" ht="21" x14ac:dyDescent="0.5">
      <c r="A1" s="4" t="s">
        <v>4</v>
      </c>
      <c r="B1" s="4">
        <f>Dashboard!A41</f>
        <v>3</v>
      </c>
      <c r="C1" s="4" t="str">
        <f>Dashboard!B41</f>
        <v>KABATI- WATER</v>
      </c>
      <c r="G1" s="3" t="s">
        <v>9</v>
      </c>
      <c r="I1" s="12">
        <f>INDEX($E$18:$P$18,Actual_month)</f>
        <v>46054</v>
      </c>
      <c r="L1" s="16" t="s">
        <v>19</v>
      </c>
      <c r="R1" s="5"/>
    </row>
    <row r="2" spans="1:19" x14ac:dyDescent="0.35">
      <c r="A2" s="3" t="s">
        <v>13</v>
      </c>
      <c r="C2" s="3" t="s">
        <v>27</v>
      </c>
      <c r="R2" s="6"/>
    </row>
    <row r="3" spans="1:19" ht="25.5" customHeight="1" thickBot="1" x14ac:dyDescent="0.4">
      <c r="C3" s="1" t="s">
        <v>5</v>
      </c>
      <c r="E3" s="10"/>
      <c r="F3" s="10"/>
      <c r="G3" s="10"/>
      <c r="H3" s="10"/>
      <c r="I3" s="10"/>
      <c r="J3" s="3" t="s">
        <v>6</v>
      </c>
      <c r="K3" s="10"/>
      <c r="M3" s="10"/>
      <c r="N3" s="10"/>
      <c r="O3" s="10"/>
      <c r="P3" s="10"/>
    </row>
    <row r="4" spans="1:19" ht="25.5" customHeight="1" x14ac:dyDescent="0.35">
      <c r="C4" s="1" t="s">
        <v>5</v>
      </c>
      <c r="E4" s="10"/>
      <c r="F4" s="10"/>
      <c r="G4" s="10"/>
      <c r="H4" s="10"/>
      <c r="I4" s="10"/>
      <c r="J4" s="401"/>
      <c r="K4" s="402"/>
      <c r="L4" s="402"/>
      <c r="M4" s="402"/>
      <c r="N4" s="402"/>
      <c r="O4" s="402"/>
      <c r="P4" s="402"/>
      <c r="Q4" s="403"/>
      <c r="R4" s="3" t="s">
        <v>22</v>
      </c>
      <c r="S4" s="5">
        <f>INDEX(E27:P27,Actual_month)</f>
        <v>959</v>
      </c>
    </row>
    <row r="5" spans="1:19" ht="25.5" customHeight="1" x14ac:dyDescent="0.35">
      <c r="C5" s="1" t="s">
        <v>5</v>
      </c>
      <c r="E5" s="10"/>
      <c r="F5" s="10"/>
      <c r="G5" s="10"/>
      <c r="H5" s="10"/>
      <c r="I5" s="10"/>
      <c r="J5" s="404"/>
      <c r="K5" s="405"/>
      <c r="L5" s="405"/>
      <c r="M5" s="405"/>
      <c r="N5" s="405"/>
      <c r="O5" s="405"/>
      <c r="P5" s="405"/>
      <c r="Q5" s="406"/>
      <c r="R5" s="3" t="s">
        <v>23</v>
      </c>
      <c r="S5" s="5">
        <f>INDEX(E26:P26,Actual_month)</f>
        <v>985</v>
      </c>
    </row>
    <row r="6" spans="1:19" x14ac:dyDescent="0.35">
      <c r="J6" s="404"/>
      <c r="K6" s="405"/>
      <c r="L6" s="405"/>
      <c r="M6" s="405"/>
      <c r="N6" s="405"/>
      <c r="O6" s="405"/>
      <c r="P6" s="405"/>
      <c r="Q6" s="406"/>
      <c r="R6" s="6">
        <v>0.9</v>
      </c>
      <c r="S6" s="5">
        <f>+S5*R6</f>
        <v>886.5</v>
      </c>
    </row>
    <row r="7" spans="1:19" x14ac:dyDescent="0.35">
      <c r="J7" s="404"/>
      <c r="K7" s="405"/>
      <c r="L7" s="405"/>
      <c r="M7" s="405"/>
      <c r="N7" s="405"/>
      <c r="O7" s="405"/>
      <c r="P7" s="405"/>
      <c r="Q7" s="406"/>
    </row>
    <row r="8" spans="1:19" ht="15" thickBot="1" x14ac:dyDescent="0.4">
      <c r="J8" s="407"/>
      <c r="K8" s="408"/>
      <c r="L8" s="408"/>
      <c r="M8" s="408"/>
      <c r="N8" s="408"/>
      <c r="O8" s="408"/>
      <c r="P8" s="408"/>
      <c r="Q8" s="409"/>
    </row>
    <row r="9" spans="1:19" ht="15" thickBot="1" x14ac:dyDescent="0.4">
      <c r="J9" s="3" t="s">
        <v>12</v>
      </c>
    </row>
    <row r="10" spans="1:19" x14ac:dyDescent="0.35">
      <c r="J10" s="401"/>
      <c r="K10" s="402"/>
      <c r="L10" s="402"/>
      <c r="M10" s="402"/>
      <c r="N10" s="402"/>
      <c r="O10" s="402"/>
      <c r="P10" s="402"/>
      <c r="Q10" s="403"/>
    </row>
    <row r="11" spans="1:19" x14ac:dyDescent="0.35">
      <c r="J11" s="404"/>
      <c r="K11" s="405"/>
      <c r="L11" s="405"/>
      <c r="M11" s="405"/>
      <c r="N11" s="405"/>
      <c r="O11" s="405"/>
      <c r="P11" s="405"/>
      <c r="Q11" s="406"/>
    </row>
    <row r="12" spans="1:19" x14ac:dyDescent="0.35">
      <c r="J12" s="404"/>
      <c r="K12" s="405"/>
      <c r="L12" s="405"/>
      <c r="M12" s="405"/>
      <c r="N12" s="405"/>
      <c r="O12" s="405"/>
      <c r="P12" s="405"/>
      <c r="Q12" s="406"/>
    </row>
    <row r="13" spans="1:19" x14ac:dyDescent="0.35">
      <c r="J13" s="404"/>
      <c r="K13" s="405"/>
      <c r="L13" s="405"/>
      <c r="M13" s="405"/>
      <c r="N13" s="405"/>
      <c r="O13" s="405"/>
      <c r="P13" s="405"/>
      <c r="Q13" s="406"/>
    </row>
    <row r="14" spans="1:19" x14ac:dyDescent="0.35">
      <c r="J14" s="404"/>
      <c r="K14" s="405"/>
      <c r="L14" s="405"/>
      <c r="M14" s="405"/>
      <c r="N14" s="405"/>
      <c r="O14" s="405"/>
      <c r="P14" s="405"/>
      <c r="Q14" s="406"/>
    </row>
    <row r="15" spans="1:19" ht="15" thickBot="1" x14ac:dyDescent="0.4">
      <c r="J15" s="407"/>
      <c r="K15" s="408"/>
      <c r="L15" s="408"/>
      <c r="M15" s="408"/>
      <c r="N15" s="408"/>
      <c r="O15" s="408"/>
      <c r="P15" s="408"/>
      <c r="Q15" s="409"/>
    </row>
    <row r="18" spans="3:17" x14ac:dyDescent="0.35">
      <c r="C18" s="7" t="s">
        <v>8</v>
      </c>
      <c r="E18" s="11">
        <f>'KPI 1'!E18</f>
        <v>45839</v>
      </c>
      <c r="F18" s="11">
        <f>'KPI 1'!F18</f>
        <v>45870</v>
      </c>
      <c r="G18" s="11">
        <f>'KPI 1'!G18</f>
        <v>45901</v>
      </c>
      <c r="H18" s="11">
        <f>'KPI 1'!H18</f>
        <v>45931</v>
      </c>
      <c r="I18" s="11">
        <f>'KPI 1'!I18</f>
        <v>45962</v>
      </c>
      <c r="J18" s="11">
        <f>'KPI 1'!J18</f>
        <v>45992</v>
      </c>
      <c r="K18" s="11">
        <f>'KPI 1'!K18</f>
        <v>46023</v>
      </c>
      <c r="L18" s="11">
        <f>'KPI 1'!L18</f>
        <v>46054</v>
      </c>
      <c r="M18" s="11">
        <f>'KPI 1'!M18</f>
        <v>46082</v>
      </c>
      <c r="N18" s="11">
        <f>'KPI 1'!N18</f>
        <v>46113</v>
      </c>
      <c r="O18" s="11">
        <f>'KPI 1'!O18</f>
        <v>46143</v>
      </c>
      <c r="P18" s="11">
        <f>'KPI 1'!P18</f>
        <v>46174</v>
      </c>
      <c r="Q18" s="8" t="s">
        <v>0</v>
      </c>
    </row>
    <row r="19" spans="3:17" x14ac:dyDescent="0.35">
      <c r="D19" s="3" t="str">
        <f>'KPI 1'!D19</f>
        <v>Budget 2025-26</v>
      </c>
      <c r="E19" s="5">
        <f>'budget 2025-26'!D39</f>
        <v>957</v>
      </c>
      <c r="F19" s="5">
        <f>'budget 2025-26'!E39</f>
        <v>961</v>
      </c>
      <c r="G19" s="5">
        <f>'budget 2025-26'!F39</f>
        <v>965</v>
      </c>
      <c r="H19" s="5">
        <f>'budget 2025-26'!G39</f>
        <v>969</v>
      </c>
      <c r="I19" s="5">
        <f>'budget 2025-26'!H39</f>
        <v>973</v>
      </c>
      <c r="J19" s="5">
        <f>'budget 2025-26'!I39</f>
        <v>977</v>
      </c>
      <c r="K19" s="5">
        <f>'budget 2025-26'!J39</f>
        <v>981</v>
      </c>
      <c r="L19" s="5">
        <f>'budget 2025-26'!K39</f>
        <v>985</v>
      </c>
      <c r="M19" s="5">
        <f>'budget 2025-26'!L39</f>
        <v>989</v>
      </c>
      <c r="N19" s="5">
        <f>'budget 2025-26'!M39</f>
        <v>993</v>
      </c>
      <c r="O19" s="5">
        <f>'budget 2025-26'!N39</f>
        <v>997</v>
      </c>
      <c r="P19" s="5">
        <f>'budget 2025-26'!O39</f>
        <v>1001</v>
      </c>
      <c r="Q19" s="5">
        <f>SUM(E19:P19)</f>
        <v>11748</v>
      </c>
    </row>
    <row r="20" spans="3:17" x14ac:dyDescent="0.35">
      <c r="D20" s="3" t="str">
        <f>'KPI 1'!D20</f>
        <v>Actual 2025-26</v>
      </c>
      <c r="E20" s="5">
        <f>'Input Actual2025-26'!E41</f>
        <v>953</v>
      </c>
      <c r="F20" s="5">
        <f>'Input Actual2025-26'!F41</f>
        <v>952</v>
      </c>
      <c r="G20" s="5">
        <f>'Input Actual2025-26'!G41</f>
        <v>956</v>
      </c>
      <c r="H20" s="5">
        <f>'Input Actual2025-26'!H41</f>
        <v>956</v>
      </c>
      <c r="I20" s="5">
        <f>'Input Actual2025-26'!I41</f>
        <v>957</v>
      </c>
      <c r="J20" s="5">
        <f>'Input Actual2025-26'!J41</f>
        <v>957</v>
      </c>
      <c r="K20" s="5">
        <f>'Input Actual2025-26'!K41</f>
        <v>959</v>
      </c>
      <c r="L20" s="5">
        <f>'Input Actual2025-26'!L41</f>
        <v>959</v>
      </c>
      <c r="M20" s="5">
        <f>'Input Actual2025-26'!M41</f>
        <v>0</v>
      </c>
      <c r="N20" s="5">
        <f>'Input Actual2025-26'!N41</f>
        <v>0</v>
      </c>
      <c r="O20" s="5">
        <f>'Input Actual2025-26'!O41</f>
        <v>0</v>
      </c>
      <c r="P20" s="5">
        <f>'Input Actual2025-26'!P41</f>
        <v>0</v>
      </c>
      <c r="Q20" s="5">
        <f t="shared" ref="Q20:Q22" si="0">SUM(E20:P20)</f>
        <v>7649</v>
      </c>
    </row>
    <row r="21" spans="3:17" x14ac:dyDescent="0.35">
      <c r="D21" s="3" t="s">
        <v>424</v>
      </c>
      <c r="E21" s="5">
        <f>'Input Actual2024-25'!E39</f>
        <v>935</v>
      </c>
      <c r="F21" s="5">
        <f>'Input Actual2024-25'!F39</f>
        <v>939</v>
      </c>
      <c r="G21" s="5">
        <f>'Input Actual2024-25'!G39</f>
        <v>944</v>
      </c>
      <c r="H21" s="5">
        <f>'Input Actual2024-25'!H39</f>
        <v>944</v>
      </c>
      <c r="I21" s="5">
        <f>'Input Actual2024-25'!I39</f>
        <v>946</v>
      </c>
      <c r="J21" s="5">
        <f>'Input Actual2024-25'!J39</f>
        <v>945</v>
      </c>
      <c r="K21" s="5">
        <f>'Input Actual2024-25'!K39</f>
        <v>946</v>
      </c>
      <c r="L21" s="5">
        <f>'Input Actual2024-25'!L39</f>
        <v>950</v>
      </c>
      <c r="M21" s="5">
        <f>'Input Actual2024-25'!M39</f>
        <v>950</v>
      </c>
      <c r="N21" s="5">
        <f>'Input Actual2024-25'!N39</f>
        <v>951</v>
      </c>
      <c r="O21" s="5">
        <f>'Input Actual2024-25'!O39</f>
        <v>953</v>
      </c>
      <c r="P21" s="5">
        <f>'Input Actual2024-25'!P39</f>
        <v>953</v>
      </c>
      <c r="Q21" s="5">
        <f t="shared" si="0"/>
        <v>11356</v>
      </c>
    </row>
    <row r="22" spans="3:17" x14ac:dyDescent="0.35">
      <c r="D22" s="3" t="s">
        <v>7</v>
      </c>
      <c r="E22" s="5">
        <f t="shared" ref="E22:P22" si="1">IF(E20=0,0,E20-E19)</f>
        <v>-4</v>
      </c>
      <c r="F22" s="5">
        <f t="shared" si="1"/>
        <v>-9</v>
      </c>
      <c r="G22" s="5">
        <f t="shared" si="1"/>
        <v>-9</v>
      </c>
      <c r="H22" s="5">
        <f t="shared" si="1"/>
        <v>-13</v>
      </c>
      <c r="I22" s="5">
        <f t="shared" si="1"/>
        <v>-16</v>
      </c>
      <c r="J22" s="5">
        <f t="shared" si="1"/>
        <v>-20</v>
      </c>
      <c r="K22" s="5">
        <f t="shared" si="1"/>
        <v>-22</v>
      </c>
      <c r="L22" s="5">
        <f t="shared" si="1"/>
        <v>-26</v>
      </c>
      <c r="M22" s="5">
        <f t="shared" si="1"/>
        <v>0</v>
      </c>
      <c r="N22" s="5">
        <f t="shared" si="1"/>
        <v>0</v>
      </c>
      <c r="O22" s="5">
        <f t="shared" si="1"/>
        <v>0</v>
      </c>
      <c r="P22" s="5">
        <f t="shared" si="1"/>
        <v>0</v>
      </c>
      <c r="Q22" s="5">
        <f t="shared" si="0"/>
        <v>-119</v>
      </c>
    </row>
    <row r="23" spans="3:17" x14ac:dyDescent="0.35">
      <c r="D23" s="3" t="s">
        <v>43</v>
      </c>
      <c r="E23" s="9">
        <f>E21/E19</f>
        <v>0.97701149425287359</v>
      </c>
      <c r="F23" s="9">
        <f t="shared" ref="F23:P23" si="2">F20/F19</f>
        <v>0.99063475546305935</v>
      </c>
      <c r="G23" s="9">
        <f t="shared" si="2"/>
        <v>0.99067357512953369</v>
      </c>
      <c r="H23" s="9">
        <f t="shared" si="2"/>
        <v>0.98658410732714141</v>
      </c>
      <c r="I23" s="9">
        <f t="shared" si="2"/>
        <v>0.98355601233299073</v>
      </c>
      <c r="J23" s="9">
        <f t="shared" si="2"/>
        <v>0.97952917093142278</v>
      </c>
      <c r="K23" s="9">
        <f t="shared" si="2"/>
        <v>0.97757390417940881</v>
      </c>
      <c r="L23" s="9">
        <f t="shared" si="2"/>
        <v>0.97360406091370555</v>
      </c>
      <c r="M23" s="9">
        <f t="shared" si="2"/>
        <v>0</v>
      </c>
      <c r="N23" s="9">
        <f t="shared" si="2"/>
        <v>0</v>
      </c>
      <c r="O23" s="9">
        <f t="shared" si="2"/>
        <v>0</v>
      </c>
      <c r="P23" s="9">
        <f t="shared" si="2"/>
        <v>0</v>
      </c>
    </row>
    <row r="25" spans="3:17" x14ac:dyDescent="0.35">
      <c r="C25" s="7" t="s">
        <v>3</v>
      </c>
      <c r="E25" s="11">
        <f>E18</f>
        <v>45839</v>
      </c>
      <c r="F25" s="11">
        <f t="shared" ref="F25:P28" si="3">F18</f>
        <v>45870</v>
      </c>
      <c r="G25" s="11">
        <f t="shared" si="3"/>
        <v>45901</v>
      </c>
      <c r="H25" s="11">
        <f t="shared" si="3"/>
        <v>45931</v>
      </c>
      <c r="I25" s="11">
        <f t="shared" si="3"/>
        <v>45962</v>
      </c>
      <c r="J25" s="11">
        <f t="shared" si="3"/>
        <v>45992</v>
      </c>
      <c r="K25" s="11">
        <f t="shared" si="3"/>
        <v>46023</v>
      </c>
      <c r="L25" s="11">
        <f t="shared" si="3"/>
        <v>46054</v>
      </c>
      <c r="M25" s="11">
        <f t="shared" si="3"/>
        <v>46082</v>
      </c>
      <c r="N25" s="11">
        <f t="shared" si="3"/>
        <v>46113</v>
      </c>
      <c r="O25" s="11">
        <f t="shared" si="3"/>
        <v>46143</v>
      </c>
      <c r="P25" s="11">
        <f t="shared" si="3"/>
        <v>46174</v>
      </c>
    </row>
    <row r="26" spans="3:17" x14ac:dyDescent="0.35">
      <c r="D26" s="3" t="str">
        <f>D19</f>
        <v>Budget 2025-26</v>
      </c>
      <c r="E26" s="5">
        <f>E19</f>
        <v>957</v>
      </c>
      <c r="F26" s="5">
        <f t="shared" si="3"/>
        <v>961</v>
      </c>
      <c r="G26" s="5">
        <f t="shared" si="3"/>
        <v>965</v>
      </c>
      <c r="H26" s="5">
        <f t="shared" si="3"/>
        <v>969</v>
      </c>
      <c r="I26" s="5">
        <f t="shared" si="3"/>
        <v>973</v>
      </c>
      <c r="J26" s="5">
        <f t="shared" si="3"/>
        <v>977</v>
      </c>
      <c r="K26" s="5">
        <f t="shared" si="3"/>
        <v>981</v>
      </c>
      <c r="L26" s="5">
        <f t="shared" si="3"/>
        <v>985</v>
      </c>
      <c r="M26" s="5">
        <f t="shared" si="3"/>
        <v>989</v>
      </c>
      <c r="N26" s="5">
        <f t="shared" si="3"/>
        <v>993</v>
      </c>
      <c r="O26" s="5">
        <f t="shared" si="3"/>
        <v>997</v>
      </c>
      <c r="P26" s="5">
        <f t="shared" si="3"/>
        <v>1001</v>
      </c>
    </row>
    <row r="27" spans="3:17" x14ac:dyDescent="0.35">
      <c r="D27" s="3" t="str">
        <f t="shared" ref="D27:E30" si="4">D20</f>
        <v>Actual 2025-26</v>
      </c>
      <c r="E27" s="5">
        <f t="shared" si="4"/>
        <v>953</v>
      </c>
      <c r="F27" s="5">
        <f t="shared" si="3"/>
        <v>952</v>
      </c>
      <c r="G27" s="5">
        <f t="shared" si="3"/>
        <v>956</v>
      </c>
      <c r="H27" s="5">
        <f t="shared" si="3"/>
        <v>956</v>
      </c>
      <c r="I27" s="5">
        <f t="shared" si="3"/>
        <v>957</v>
      </c>
      <c r="J27" s="5">
        <f t="shared" si="3"/>
        <v>957</v>
      </c>
      <c r="K27" s="5">
        <f t="shared" si="3"/>
        <v>959</v>
      </c>
      <c r="L27" s="5">
        <f t="shared" si="3"/>
        <v>959</v>
      </c>
      <c r="M27" s="5">
        <f t="shared" si="3"/>
        <v>0</v>
      </c>
      <c r="N27" s="5">
        <f t="shared" si="3"/>
        <v>0</v>
      </c>
      <c r="O27" s="5">
        <f t="shared" si="3"/>
        <v>0</v>
      </c>
      <c r="P27" s="5">
        <f t="shared" si="3"/>
        <v>0</v>
      </c>
    </row>
    <row r="28" spans="3:17" x14ac:dyDescent="0.35">
      <c r="D28" s="3" t="str">
        <f t="shared" si="4"/>
        <v>Actual 2024-25</v>
      </c>
      <c r="E28" s="5">
        <f t="shared" si="4"/>
        <v>935</v>
      </c>
      <c r="F28" s="5">
        <f t="shared" si="3"/>
        <v>939</v>
      </c>
      <c r="G28" s="5">
        <f t="shared" si="3"/>
        <v>944</v>
      </c>
      <c r="H28" s="5">
        <f t="shared" si="3"/>
        <v>944</v>
      </c>
      <c r="I28" s="5">
        <f t="shared" si="3"/>
        <v>946</v>
      </c>
      <c r="J28" s="5">
        <f t="shared" si="3"/>
        <v>945</v>
      </c>
      <c r="K28" s="5">
        <f t="shared" si="3"/>
        <v>946</v>
      </c>
      <c r="L28" s="5">
        <f t="shared" si="3"/>
        <v>950</v>
      </c>
      <c r="M28" s="5">
        <f t="shared" si="3"/>
        <v>950</v>
      </c>
      <c r="N28" s="5">
        <f t="shared" si="3"/>
        <v>951</v>
      </c>
      <c r="O28" s="5">
        <f t="shared" si="3"/>
        <v>953</v>
      </c>
      <c r="P28" s="5">
        <f t="shared" si="3"/>
        <v>953</v>
      </c>
    </row>
    <row r="29" spans="3:17" x14ac:dyDescent="0.35">
      <c r="D29" s="3" t="str">
        <f t="shared" si="4"/>
        <v>Difference</v>
      </c>
      <c r="E29" s="5">
        <f>SUM($E22:E22)</f>
        <v>-4</v>
      </c>
      <c r="F29" s="5">
        <f>SUM($E22:F22)</f>
        <v>-13</v>
      </c>
      <c r="G29" s="5">
        <f>SUM($E22:G22)</f>
        <v>-22</v>
      </c>
      <c r="H29" s="5">
        <f>SUM($E22:H22)</f>
        <v>-35</v>
      </c>
      <c r="I29" s="5">
        <f>SUM($E22:I22)</f>
        <v>-51</v>
      </c>
      <c r="J29" s="5">
        <f>SUM($E22:J22)</f>
        <v>-71</v>
      </c>
      <c r="K29" s="5">
        <f>SUM($E22:K22)</f>
        <v>-93</v>
      </c>
      <c r="L29" s="5">
        <f>SUM($E22:L22)</f>
        <v>-119</v>
      </c>
      <c r="M29" s="5">
        <f>SUM($E22:M22)</f>
        <v>-119</v>
      </c>
      <c r="N29" s="5">
        <f>SUM($E22:N22)</f>
        <v>-119</v>
      </c>
      <c r="O29" s="5">
        <f>SUM($E22:O22)</f>
        <v>-119</v>
      </c>
      <c r="P29" s="5">
        <f>SUM($E22:P22)</f>
        <v>-119</v>
      </c>
    </row>
    <row r="30" spans="3:17" x14ac:dyDescent="0.35">
      <c r="D30" s="3" t="str">
        <f t="shared" si="4"/>
        <v>Realisation</v>
      </c>
      <c r="E30" s="9">
        <f>E28/E26</f>
        <v>0.97701149425287359</v>
      </c>
      <c r="F30" s="9">
        <f t="shared" ref="F30:P30" si="5">F27/F26</f>
        <v>0.99063475546305935</v>
      </c>
      <c r="G30" s="9">
        <f t="shared" si="5"/>
        <v>0.99067357512953369</v>
      </c>
      <c r="H30" s="9">
        <f t="shared" si="5"/>
        <v>0.98658410732714141</v>
      </c>
      <c r="I30" s="9">
        <f t="shared" si="5"/>
        <v>0.98355601233299073</v>
      </c>
      <c r="J30" s="9">
        <f t="shared" si="5"/>
        <v>0.97952917093142278</v>
      </c>
      <c r="K30" s="9">
        <f t="shared" si="5"/>
        <v>0.97757390417940881</v>
      </c>
      <c r="L30" s="9">
        <f t="shared" si="5"/>
        <v>0.97360406091370555</v>
      </c>
      <c r="M30" s="9">
        <f t="shared" si="5"/>
        <v>0</v>
      </c>
      <c r="N30" s="9">
        <f t="shared" si="5"/>
        <v>0</v>
      </c>
      <c r="O30" s="9">
        <f t="shared" si="5"/>
        <v>0</v>
      </c>
      <c r="P30" s="9">
        <f t="shared" si="5"/>
        <v>0</v>
      </c>
    </row>
  </sheetData>
  <mergeCells count="2">
    <mergeCell ref="J4:Q8"/>
    <mergeCell ref="J10:Q15"/>
  </mergeCells>
  <conditionalFormatting sqref="C3">
    <cfRule type="expression" dxfId="470" priority="2">
      <formula>S4&lt;S6</formula>
    </cfRule>
  </conditionalFormatting>
  <conditionalFormatting sqref="C5">
    <cfRule type="expression" dxfId="469" priority="3">
      <formula>S4&gt;=S5</formula>
    </cfRule>
  </conditionalFormatting>
  <conditionalFormatting sqref="C4">
    <cfRule type="expression" dxfId="468" priority="1">
      <formula>AND(S4&gt;=S6,S4&lt;S5)</formula>
    </cfRule>
  </conditionalFormatting>
  <hyperlinks>
    <hyperlink ref="L1" location="Dashboard!A1" display="Dashboard"/>
  </hyperlinks>
  <pageMargins left="0.7" right="0.7" top="0.75" bottom="0.75" header="0.3" footer="0.3"/>
  <pageSetup orientation="portrait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966657" r:id="rId4" name="Spinner 1">
              <controlPr defaultSize="0" autoPict="0">
                <anchor moveWithCells="1" sizeWithCells="1">
                  <from>
                    <xdr:col>9</xdr:col>
                    <xdr:colOff>19050</xdr:colOff>
                    <xdr:row>0</xdr:row>
                    <xdr:rowOff>38100</xdr:rowOff>
                  </from>
                  <to>
                    <xdr:col>9</xdr:col>
                    <xdr:colOff>400050</xdr:colOff>
                    <xdr:row>1</xdr:row>
                    <xdr:rowOff>152400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4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32">
    <tabColor rgb="FFFFC000"/>
  </sheetPr>
  <dimension ref="A1:S30"/>
  <sheetViews>
    <sheetView zoomScale="90" zoomScaleNormal="90" workbookViewId="0">
      <selection activeCell="L1" sqref="L1"/>
    </sheetView>
  </sheetViews>
  <sheetFormatPr defaultColWidth="9.1796875" defaultRowHeight="14.5" x14ac:dyDescent="0.35"/>
  <cols>
    <col min="1" max="1" width="9.1796875" style="3"/>
    <col min="2" max="2" width="5.1796875" style="3" customWidth="1"/>
    <col min="3" max="3" width="6.26953125" style="3" customWidth="1"/>
    <col min="4" max="4" width="21.26953125" style="3" bestFit="1" customWidth="1"/>
    <col min="5" max="16" width="11.1796875" style="3" customWidth="1"/>
    <col min="17" max="17" width="12" style="3" bestFit="1" customWidth="1"/>
    <col min="18" max="18" width="9.1796875" style="3" customWidth="1"/>
    <col min="19" max="16384" width="9.1796875" style="3"/>
  </cols>
  <sheetData>
    <row r="1" spans="1:19" ht="21" x14ac:dyDescent="0.5">
      <c r="A1" s="4" t="s">
        <v>4</v>
      </c>
      <c r="B1" s="4">
        <f>Dashboard!A42</f>
        <v>4</v>
      </c>
      <c r="C1" s="4" t="str">
        <f>Dashboard!B42</f>
        <v>SITE- WATER</v>
      </c>
      <c r="G1" s="3" t="s">
        <v>9</v>
      </c>
      <c r="I1" s="12">
        <f>INDEX($E$18:$P$18,Actual_month)</f>
        <v>46054</v>
      </c>
      <c r="L1" s="16" t="s">
        <v>19</v>
      </c>
      <c r="R1" s="5"/>
    </row>
    <row r="2" spans="1:19" x14ac:dyDescent="0.35">
      <c r="A2" s="3" t="s">
        <v>13</v>
      </c>
      <c r="C2" s="3" t="s">
        <v>27</v>
      </c>
      <c r="R2" s="6"/>
    </row>
    <row r="3" spans="1:19" ht="25.5" customHeight="1" thickBot="1" x14ac:dyDescent="0.4">
      <c r="C3" s="1" t="s">
        <v>5</v>
      </c>
      <c r="E3" s="10"/>
      <c r="F3" s="10"/>
      <c r="G3" s="10"/>
      <c r="H3" s="10"/>
      <c r="I3" s="10"/>
      <c r="J3" s="3" t="s">
        <v>6</v>
      </c>
      <c r="K3" s="10"/>
      <c r="M3" s="10"/>
      <c r="N3" s="10"/>
      <c r="O3" s="10"/>
      <c r="P3" s="10"/>
    </row>
    <row r="4" spans="1:19" ht="25.5" customHeight="1" x14ac:dyDescent="0.35">
      <c r="C4" s="1" t="s">
        <v>5</v>
      </c>
      <c r="E4" s="10"/>
      <c r="F4" s="10"/>
      <c r="G4" s="10"/>
      <c r="H4" s="10"/>
      <c r="I4" s="10"/>
      <c r="J4" s="401"/>
      <c r="K4" s="402"/>
      <c r="L4" s="402"/>
      <c r="M4" s="402"/>
      <c r="N4" s="402"/>
      <c r="O4" s="402"/>
      <c r="P4" s="402"/>
      <c r="Q4" s="403"/>
      <c r="R4" s="3" t="s">
        <v>22</v>
      </c>
      <c r="S4" s="5">
        <f>INDEX(E27:P27,Actual_month)</f>
        <v>944</v>
      </c>
    </row>
    <row r="5" spans="1:19" ht="25.5" customHeight="1" x14ac:dyDescent="0.35">
      <c r="C5" s="1" t="s">
        <v>5</v>
      </c>
      <c r="E5" s="10"/>
      <c r="F5" s="10"/>
      <c r="G5" s="10"/>
      <c r="H5" s="10"/>
      <c r="I5" s="10"/>
      <c r="J5" s="404"/>
      <c r="K5" s="405"/>
      <c r="L5" s="405"/>
      <c r="M5" s="405"/>
      <c r="N5" s="405"/>
      <c r="O5" s="405"/>
      <c r="P5" s="405"/>
      <c r="Q5" s="406"/>
      <c r="R5" s="3" t="s">
        <v>23</v>
      </c>
      <c r="S5" s="5">
        <f>INDEX(E26:P26,Actual_month)</f>
        <v>947</v>
      </c>
    </row>
    <row r="6" spans="1:19" x14ac:dyDescent="0.35">
      <c r="J6" s="404"/>
      <c r="K6" s="405"/>
      <c r="L6" s="405"/>
      <c r="M6" s="405"/>
      <c r="N6" s="405"/>
      <c r="O6" s="405"/>
      <c r="P6" s="405"/>
      <c r="Q6" s="406"/>
      <c r="R6" s="6">
        <v>0.9</v>
      </c>
      <c r="S6" s="5">
        <f>+S5*R6</f>
        <v>852.30000000000007</v>
      </c>
    </row>
    <row r="7" spans="1:19" x14ac:dyDescent="0.35">
      <c r="J7" s="404"/>
      <c r="K7" s="405"/>
      <c r="L7" s="405"/>
      <c r="M7" s="405"/>
      <c r="N7" s="405"/>
      <c r="O7" s="405"/>
      <c r="P7" s="405"/>
      <c r="Q7" s="406"/>
    </row>
    <row r="8" spans="1:19" ht="15" thickBot="1" x14ac:dyDescent="0.4">
      <c r="J8" s="407"/>
      <c r="K8" s="408"/>
      <c r="L8" s="408"/>
      <c r="M8" s="408"/>
      <c r="N8" s="408"/>
      <c r="O8" s="408"/>
      <c r="P8" s="408"/>
      <c r="Q8" s="409"/>
    </row>
    <row r="9" spans="1:19" ht="15" thickBot="1" x14ac:dyDescent="0.4">
      <c r="J9" s="3" t="s">
        <v>12</v>
      </c>
    </row>
    <row r="10" spans="1:19" x14ac:dyDescent="0.35">
      <c r="J10" s="401"/>
      <c r="K10" s="402"/>
      <c r="L10" s="402"/>
      <c r="M10" s="402"/>
      <c r="N10" s="402"/>
      <c r="O10" s="402"/>
      <c r="P10" s="402"/>
      <c r="Q10" s="403"/>
    </row>
    <row r="11" spans="1:19" x14ac:dyDescent="0.35">
      <c r="J11" s="404"/>
      <c r="K11" s="405"/>
      <c r="L11" s="405"/>
      <c r="M11" s="405"/>
      <c r="N11" s="405"/>
      <c r="O11" s="405"/>
      <c r="P11" s="405"/>
      <c r="Q11" s="406"/>
    </row>
    <row r="12" spans="1:19" x14ac:dyDescent="0.35">
      <c r="J12" s="404"/>
      <c r="K12" s="405"/>
      <c r="L12" s="405"/>
      <c r="M12" s="405"/>
      <c r="N12" s="405"/>
      <c r="O12" s="405"/>
      <c r="P12" s="405"/>
      <c r="Q12" s="406"/>
    </row>
    <row r="13" spans="1:19" x14ac:dyDescent="0.35">
      <c r="J13" s="404"/>
      <c r="K13" s="405"/>
      <c r="L13" s="405"/>
      <c r="M13" s="405"/>
      <c r="N13" s="405"/>
      <c r="O13" s="405"/>
      <c r="P13" s="405"/>
      <c r="Q13" s="406"/>
    </row>
    <row r="14" spans="1:19" x14ac:dyDescent="0.35">
      <c r="J14" s="404"/>
      <c r="K14" s="405"/>
      <c r="L14" s="405"/>
      <c r="M14" s="405"/>
      <c r="N14" s="405"/>
      <c r="O14" s="405"/>
      <c r="P14" s="405"/>
      <c r="Q14" s="406"/>
    </row>
    <row r="15" spans="1:19" ht="15" thickBot="1" x14ac:dyDescent="0.4">
      <c r="J15" s="407"/>
      <c r="K15" s="408"/>
      <c r="L15" s="408"/>
      <c r="M15" s="408"/>
      <c r="N15" s="408"/>
      <c r="O15" s="408"/>
      <c r="P15" s="408"/>
      <c r="Q15" s="409"/>
    </row>
    <row r="18" spans="3:17" x14ac:dyDescent="0.35">
      <c r="C18" s="7" t="s">
        <v>8</v>
      </c>
      <c r="E18" s="11">
        <f>'KPI 1'!E18</f>
        <v>45839</v>
      </c>
      <c r="F18" s="11">
        <f>'KPI 1'!F18</f>
        <v>45870</v>
      </c>
      <c r="G18" s="11">
        <f>'KPI 1'!G18</f>
        <v>45901</v>
      </c>
      <c r="H18" s="11">
        <f>'KPI 1'!H18</f>
        <v>45931</v>
      </c>
      <c r="I18" s="11">
        <f>'KPI 1'!I18</f>
        <v>45962</v>
      </c>
      <c r="J18" s="11">
        <f>'KPI 1'!J18</f>
        <v>45992</v>
      </c>
      <c r="K18" s="11">
        <f>'KPI 1'!K18</f>
        <v>46023</v>
      </c>
      <c r="L18" s="11">
        <f>'KPI 1'!L18</f>
        <v>46054</v>
      </c>
      <c r="M18" s="11">
        <f>'KPI 1'!M18</f>
        <v>46082</v>
      </c>
      <c r="N18" s="11">
        <f>'KPI 1'!N18</f>
        <v>46113</v>
      </c>
      <c r="O18" s="11">
        <f>'KPI 1'!O18</f>
        <v>46143</v>
      </c>
      <c r="P18" s="11">
        <f>'KPI 1'!P18</f>
        <v>46174</v>
      </c>
      <c r="Q18" s="8" t="s">
        <v>0</v>
      </c>
    </row>
    <row r="19" spans="3:17" x14ac:dyDescent="0.35">
      <c r="D19" s="3" t="str">
        <f>'KPI 1'!D19</f>
        <v>Budget 2025-26</v>
      </c>
      <c r="E19" s="5">
        <f>'budget 2025-26'!D40</f>
        <v>940</v>
      </c>
      <c r="F19" s="5">
        <f>'budget 2025-26'!E40</f>
        <v>941</v>
      </c>
      <c r="G19" s="5">
        <f>'budget 2025-26'!F40</f>
        <v>942</v>
      </c>
      <c r="H19" s="5">
        <f>'budget 2025-26'!G40</f>
        <v>943</v>
      </c>
      <c r="I19" s="5">
        <f>'budget 2025-26'!H40</f>
        <v>944</v>
      </c>
      <c r="J19" s="5">
        <f>'budget 2025-26'!I40</f>
        <v>945</v>
      </c>
      <c r="K19" s="5">
        <f>'budget 2025-26'!J40</f>
        <v>946</v>
      </c>
      <c r="L19" s="5">
        <f>'budget 2025-26'!K40</f>
        <v>947</v>
      </c>
      <c r="M19" s="5">
        <f>'budget 2025-26'!L40</f>
        <v>948</v>
      </c>
      <c r="N19" s="5">
        <f>'budget 2025-26'!M40</f>
        <v>949</v>
      </c>
      <c r="O19" s="5">
        <f>'budget 2025-26'!N40</f>
        <v>950</v>
      </c>
      <c r="P19" s="5">
        <f>'budget 2025-26'!O40</f>
        <v>951</v>
      </c>
      <c r="Q19" s="5">
        <f>SUM(E19:P19)</f>
        <v>11346</v>
      </c>
    </row>
    <row r="20" spans="3:17" x14ac:dyDescent="0.35">
      <c r="D20" s="3" t="str">
        <f>'KPI 1'!D20</f>
        <v>Actual 2025-26</v>
      </c>
      <c r="E20" s="5">
        <f>'Input Actual2025-26'!E42</f>
        <v>939</v>
      </c>
      <c r="F20" s="5">
        <f>'Input Actual2025-26'!F42</f>
        <v>940</v>
      </c>
      <c r="G20" s="5">
        <f>'Input Actual2025-26'!G42</f>
        <v>940</v>
      </c>
      <c r="H20" s="5">
        <f>'Input Actual2025-26'!H42</f>
        <v>943</v>
      </c>
      <c r="I20" s="5">
        <f>'Input Actual2025-26'!I42</f>
        <v>943</v>
      </c>
      <c r="J20" s="5">
        <f>'Input Actual2025-26'!J42</f>
        <v>942</v>
      </c>
      <c r="K20" s="5">
        <f>'Input Actual2025-26'!K42</f>
        <v>944</v>
      </c>
      <c r="L20" s="5">
        <f>'Input Actual2025-26'!L42</f>
        <v>944</v>
      </c>
      <c r="M20" s="5">
        <f>'Input Actual2025-26'!M42</f>
        <v>0</v>
      </c>
      <c r="N20" s="5">
        <f>'Input Actual2025-26'!N42</f>
        <v>0</v>
      </c>
      <c r="O20" s="5">
        <f>'Input Actual2025-26'!O42</f>
        <v>0</v>
      </c>
      <c r="P20" s="5">
        <f>'Input Actual2025-26'!P42</f>
        <v>0</v>
      </c>
      <c r="Q20" s="5">
        <f t="shared" ref="Q20:Q22" si="0">SUM(E20:P20)</f>
        <v>7535</v>
      </c>
    </row>
    <row r="21" spans="3:17" x14ac:dyDescent="0.35">
      <c r="D21" s="3" t="s">
        <v>424</v>
      </c>
      <c r="E21" s="5">
        <f>'Input Actual2024-25'!E40</f>
        <v>935</v>
      </c>
      <c r="F21" s="5">
        <f>'Input Actual2024-25'!F40</f>
        <v>935</v>
      </c>
      <c r="G21" s="5">
        <f>'Input Actual2024-25'!G40</f>
        <v>935</v>
      </c>
      <c r="H21" s="5">
        <f>'Input Actual2024-25'!H40</f>
        <v>935</v>
      </c>
      <c r="I21" s="5">
        <f>'Input Actual2024-25'!I40</f>
        <v>935</v>
      </c>
      <c r="J21" s="5">
        <f>'Input Actual2024-25'!J40</f>
        <v>935</v>
      </c>
      <c r="K21" s="5">
        <f>'Input Actual2024-25'!K40</f>
        <v>936</v>
      </c>
      <c r="L21" s="5">
        <f>'Input Actual2024-25'!L40</f>
        <v>937</v>
      </c>
      <c r="M21" s="5">
        <f>'Input Actual2024-25'!M40</f>
        <v>937</v>
      </c>
      <c r="N21" s="5">
        <f>'Input Actual2024-25'!N40</f>
        <v>937</v>
      </c>
      <c r="O21" s="5">
        <f>'Input Actual2024-25'!O40</f>
        <v>937</v>
      </c>
      <c r="P21" s="5">
        <f>'Input Actual2024-25'!P40</f>
        <v>939</v>
      </c>
      <c r="Q21" s="5">
        <f t="shared" si="0"/>
        <v>11233</v>
      </c>
    </row>
    <row r="22" spans="3:17" x14ac:dyDescent="0.35">
      <c r="D22" s="3" t="s">
        <v>7</v>
      </c>
      <c r="E22" s="5">
        <f t="shared" ref="E22:P22" si="1">IF(E20=0,0,E20-E19)</f>
        <v>-1</v>
      </c>
      <c r="F22" s="5">
        <f t="shared" si="1"/>
        <v>-1</v>
      </c>
      <c r="G22" s="5">
        <f t="shared" si="1"/>
        <v>-2</v>
      </c>
      <c r="H22" s="5">
        <f t="shared" si="1"/>
        <v>0</v>
      </c>
      <c r="I22" s="5">
        <f t="shared" si="1"/>
        <v>-1</v>
      </c>
      <c r="J22" s="5">
        <f t="shared" si="1"/>
        <v>-3</v>
      </c>
      <c r="K22" s="5">
        <f t="shared" si="1"/>
        <v>-2</v>
      </c>
      <c r="L22" s="5">
        <f t="shared" si="1"/>
        <v>-3</v>
      </c>
      <c r="M22" s="5">
        <f t="shared" si="1"/>
        <v>0</v>
      </c>
      <c r="N22" s="5">
        <f t="shared" si="1"/>
        <v>0</v>
      </c>
      <c r="O22" s="5">
        <f t="shared" si="1"/>
        <v>0</v>
      </c>
      <c r="P22" s="5">
        <f t="shared" si="1"/>
        <v>0</v>
      </c>
      <c r="Q22" s="5">
        <f t="shared" si="0"/>
        <v>-13</v>
      </c>
    </row>
    <row r="23" spans="3:17" x14ac:dyDescent="0.35">
      <c r="D23" s="3" t="s">
        <v>43</v>
      </c>
      <c r="E23" s="9">
        <f>E21/E19</f>
        <v>0.99468085106382975</v>
      </c>
      <c r="F23" s="9">
        <f t="shared" ref="F23:P23" si="2">F20/F19</f>
        <v>0.99893730074388953</v>
      </c>
      <c r="G23" s="9">
        <f t="shared" si="2"/>
        <v>0.99787685774946921</v>
      </c>
      <c r="H23" s="9">
        <f t="shared" si="2"/>
        <v>1</v>
      </c>
      <c r="I23" s="9">
        <f t="shared" si="2"/>
        <v>0.99894067796610164</v>
      </c>
      <c r="J23" s="9">
        <f t="shared" si="2"/>
        <v>0.99682539682539684</v>
      </c>
      <c r="K23" s="9">
        <f t="shared" si="2"/>
        <v>0.9978858350951374</v>
      </c>
      <c r="L23" s="9">
        <f t="shared" si="2"/>
        <v>0.99683210137275602</v>
      </c>
      <c r="M23" s="9">
        <f t="shared" si="2"/>
        <v>0</v>
      </c>
      <c r="N23" s="9">
        <f t="shared" si="2"/>
        <v>0</v>
      </c>
      <c r="O23" s="9">
        <f t="shared" si="2"/>
        <v>0</v>
      </c>
      <c r="P23" s="9">
        <f t="shared" si="2"/>
        <v>0</v>
      </c>
    </row>
    <row r="25" spans="3:17" x14ac:dyDescent="0.35">
      <c r="C25" s="7" t="s">
        <v>3</v>
      </c>
      <c r="E25" s="11">
        <f>E18</f>
        <v>45839</v>
      </c>
      <c r="F25" s="11">
        <f t="shared" ref="F25:P28" si="3">F18</f>
        <v>45870</v>
      </c>
      <c r="G25" s="11">
        <f t="shared" si="3"/>
        <v>45901</v>
      </c>
      <c r="H25" s="11">
        <f t="shared" si="3"/>
        <v>45931</v>
      </c>
      <c r="I25" s="11">
        <f t="shared" si="3"/>
        <v>45962</v>
      </c>
      <c r="J25" s="11">
        <f t="shared" si="3"/>
        <v>45992</v>
      </c>
      <c r="K25" s="11">
        <f t="shared" si="3"/>
        <v>46023</v>
      </c>
      <c r="L25" s="11">
        <f t="shared" si="3"/>
        <v>46054</v>
      </c>
      <c r="M25" s="11">
        <f t="shared" si="3"/>
        <v>46082</v>
      </c>
      <c r="N25" s="11">
        <f t="shared" si="3"/>
        <v>46113</v>
      </c>
      <c r="O25" s="11">
        <f t="shared" si="3"/>
        <v>46143</v>
      </c>
      <c r="P25" s="11">
        <f t="shared" si="3"/>
        <v>46174</v>
      </c>
    </row>
    <row r="26" spans="3:17" x14ac:dyDescent="0.35">
      <c r="D26" s="3" t="str">
        <f>D19</f>
        <v>Budget 2025-26</v>
      </c>
      <c r="E26" s="5">
        <f>E19</f>
        <v>940</v>
      </c>
      <c r="F26" s="5">
        <f t="shared" si="3"/>
        <v>941</v>
      </c>
      <c r="G26" s="5">
        <f t="shared" si="3"/>
        <v>942</v>
      </c>
      <c r="H26" s="5">
        <f t="shared" si="3"/>
        <v>943</v>
      </c>
      <c r="I26" s="5">
        <f t="shared" si="3"/>
        <v>944</v>
      </c>
      <c r="J26" s="5">
        <f t="shared" si="3"/>
        <v>945</v>
      </c>
      <c r="K26" s="5">
        <f t="shared" si="3"/>
        <v>946</v>
      </c>
      <c r="L26" s="5">
        <f t="shared" si="3"/>
        <v>947</v>
      </c>
      <c r="M26" s="5">
        <f t="shared" si="3"/>
        <v>948</v>
      </c>
      <c r="N26" s="5">
        <f t="shared" si="3"/>
        <v>949</v>
      </c>
      <c r="O26" s="5">
        <f t="shared" si="3"/>
        <v>950</v>
      </c>
      <c r="P26" s="5">
        <f t="shared" si="3"/>
        <v>951</v>
      </c>
    </row>
    <row r="27" spans="3:17" x14ac:dyDescent="0.35">
      <c r="D27" s="3" t="str">
        <f t="shared" ref="D27:E30" si="4">D20</f>
        <v>Actual 2025-26</v>
      </c>
      <c r="E27" s="5">
        <f t="shared" si="4"/>
        <v>939</v>
      </c>
      <c r="F27" s="5">
        <f t="shared" si="3"/>
        <v>940</v>
      </c>
      <c r="G27" s="5">
        <f t="shared" si="3"/>
        <v>940</v>
      </c>
      <c r="H27" s="5">
        <f t="shared" si="3"/>
        <v>943</v>
      </c>
      <c r="I27" s="5">
        <f t="shared" si="3"/>
        <v>943</v>
      </c>
      <c r="J27" s="5">
        <f t="shared" si="3"/>
        <v>942</v>
      </c>
      <c r="K27" s="5">
        <f t="shared" si="3"/>
        <v>944</v>
      </c>
      <c r="L27" s="5">
        <f t="shared" si="3"/>
        <v>944</v>
      </c>
      <c r="M27" s="5">
        <f t="shared" si="3"/>
        <v>0</v>
      </c>
      <c r="N27" s="5">
        <f t="shared" si="3"/>
        <v>0</v>
      </c>
      <c r="O27" s="5">
        <f t="shared" si="3"/>
        <v>0</v>
      </c>
      <c r="P27" s="5">
        <f t="shared" si="3"/>
        <v>0</v>
      </c>
    </row>
    <row r="28" spans="3:17" x14ac:dyDescent="0.35">
      <c r="D28" s="3" t="str">
        <f t="shared" si="4"/>
        <v>Actual 2024-25</v>
      </c>
      <c r="E28" s="5">
        <f t="shared" si="4"/>
        <v>935</v>
      </c>
      <c r="F28" s="5">
        <f t="shared" si="3"/>
        <v>935</v>
      </c>
      <c r="G28" s="5">
        <f t="shared" si="3"/>
        <v>935</v>
      </c>
      <c r="H28" s="5">
        <f t="shared" si="3"/>
        <v>935</v>
      </c>
      <c r="I28" s="5">
        <f t="shared" si="3"/>
        <v>935</v>
      </c>
      <c r="J28" s="5">
        <f t="shared" si="3"/>
        <v>935</v>
      </c>
      <c r="K28" s="5">
        <f t="shared" si="3"/>
        <v>936</v>
      </c>
      <c r="L28" s="5">
        <f t="shared" si="3"/>
        <v>937</v>
      </c>
      <c r="M28" s="5">
        <f t="shared" si="3"/>
        <v>937</v>
      </c>
      <c r="N28" s="5">
        <f t="shared" si="3"/>
        <v>937</v>
      </c>
      <c r="O28" s="5">
        <f t="shared" si="3"/>
        <v>937</v>
      </c>
      <c r="P28" s="5">
        <f t="shared" si="3"/>
        <v>939</v>
      </c>
    </row>
    <row r="29" spans="3:17" x14ac:dyDescent="0.35">
      <c r="D29" s="3" t="str">
        <f t="shared" si="4"/>
        <v>Difference</v>
      </c>
      <c r="E29" s="5">
        <f>SUM($E22:E22)</f>
        <v>-1</v>
      </c>
      <c r="F29" s="5">
        <f>SUM($E22:F22)</f>
        <v>-2</v>
      </c>
      <c r="G29" s="5">
        <f>SUM($E22:G22)</f>
        <v>-4</v>
      </c>
      <c r="H29" s="5">
        <f>SUM($E22:H22)</f>
        <v>-4</v>
      </c>
      <c r="I29" s="5">
        <f>SUM($E22:I22)</f>
        <v>-5</v>
      </c>
      <c r="J29" s="5">
        <f>SUM($E22:J22)</f>
        <v>-8</v>
      </c>
      <c r="K29" s="5">
        <f>SUM($E22:K22)</f>
        <v>-10</v>
      </c>
      <c r="L29" s="5">
        <f>SUM($E22:L22)</f>
        <v>-13</v>
      </c>
      <c r="M29" s="5">
        <f>SUM($E22:M22)</f>
        <v>-13</v>
      </c>
      <c r="N29" s="5">
        <f>SUM($E22:N22)</f>
        <v>-13</v>
      </c>
      <c r="O29" s="5">
        <f>SUM($E22:O22)</f>
        <v>-13</v>
      </c>
      <c r="P29" s="5">
        <f>SUM($E22:P22)</f>
        <v>-13</v>
      </c>
    </row>
    <row r="30" spans="3:17" x14ac:dyDescent="0.35">
      <c r="D30" s="3" t="str">
        <f t="shared" si="4"/>
        <v>Realisation</v>
      </c>
      <c r="E30" s="9">
        <f>E28/E26</f>
        <v>0.99468085106382975</v>
      </c>
      <c r="F30" s="9">
        <f t="shared" ref="F30:P30" si="5">F27/F26</f>
        <v>0.99893730074388953</v>
      </c>
      <c r="G30" s="9">
        <f t="shared" si="5"/>
        <v>0.99787685774946921</v>
      </c>
      <c r="H30" s="9">
        <f t="shared" si="5"/>
        <v>1</v>
      </c>
      <c r="I30" s="9">
        <f t="shared" si="5"/>
        <v>0.99894067796610164</v>
      </c>
      <c r="J30" s="9">
        <f t="shared" si="5"/>
        <v>0.99682539682539684</v>
      </c>
      <c r="K30" s="9">
        <f t="shared" si="5"/>
        <v>0.9978858350951374</v>
      </c>
      <c r="L30" s="9">
        <f t="shared" si="5"/>
        <v>0.99683210137275602</v>
      </c>
      <c r="M30" s="9">
        <f t="shared" si="5"/>
        <v>0</v>
      </c>
      <c r="N30" s="9">
        <f t="shared" si="5"/>
        <v>0</v>
      </c>
      <c r="O30" s="9">
        <f t="shared" si="5"/>
        <v>0</v>
      </c>
      <c r="P30" s="9">
        <f t="shared" si="5"/>
        <v>0</v>
      </c>
    </row>
  </sheetData>
  <mergeCells count="2">
    <mergeCell ref="J4:Q8"/>
    <mergeCell ref="J10:Q15"/>
  </mergeCells>
  <conditionalFormatting sqref="C3">
    <cfRule type="expression" dxfId="467" priority="2">
      <formula>S4&lt;S6</formula>
    </cfRule>
  </conditionalFormatting>
  <conditionalFormatting sqref="C5">
    <cfRule type="expression" dxfId="466" priority="3">
      <formula>S4&gt;=S5</formula>
    </cfRule>
  </conditionalFormatting>
  <conditionalFormatting sqref="C4">
    <cfRule type="expression" dxfId="465" priority="1">
      <formula>AND(S4&gt;=S6,S4&lt;S5)</formula>
    </cfRule>
  </conditionalFormatting>
  <hyperlinks>
    <hyperlink ref="L1" location="Dashboard!A1" display="Dashboard"/>
  </hyperlinks>
  <pageMargins left="0.7" right="0.7" top="0.75" bottom="0.75" header="0.3" footer="0.3"/>
  <pageSetup orientation="portrait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967681" r:id="rId4" name="Spinner 1">
              <controlPr defaultSize="0" autoPict="0">
                <anchor moveWithCells="1" sizeWithCells="1">
                  <from>
                    <xdr:col>9</xdr:col>
                    <xdr:colOff>19050</xdr:colOff>
                    <xdr:row>0</xdr:row>
                    <xdr:rowOff>38100</xdr:rowOff>
                  </from>
                  <to>
                    <xdr:col>9</xdr:col>
                    <xdr:colOff>400050</xdr:colOff>
                    <xdr:row>1</xdr:row>
                    <xdr:rowOff>152400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4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33">
    <tabColor rgb="FFFFC000"/>
  </sheetPr>
  <dimension ref="A1:S30"/>
  <sheetViews>
    <sheetView zoomScale="90" zoomScaleNormal="90" workbookViewId="0">
      <selection activeCell="L1" sqref="L1"/>
    </sheetView>
  </sheetViews>
  <sheetFormatPr defaultColWidth="9.1796875" defaultRowHeight="14.5" x14ac:dyDescent="0.35"/>
  <cols>
    <col min="1" max="1" width="9.1796875" style="3"/>
    <col min="2" max="2" width="5.1796875" style="3" customWidth="1"/>
    <col min="3" max="3" width="6.26953125" style="3" customWidth="1"/>
    <col min="4" max="4" width="21.26953125" style="3" bestFit="1" customWidth="1"/>
    <col min="5" max="16" width="11.1796875" style="3" customWidth="1"/>
    <col min="17" max="17" width="12" style="3" bestFit="1" customWidth="1"/>
    <col min="18" max="18" width="9.1796875" style="3" customWidth="1"/>
    <col min="19" max="16384" width="9.1796875" style="3"/>
  </cols>
  <sheetData>
    <row r="1" spans="1:19" ht="21" x14ac:dyDescent="0.5">
      <c r="A1" s="4" t="s">
        <v>4</v>
      </c>
      <c r="B1" s="4">
        <f>Dashboard!A43</f>
        <v>5</v>
      </c>
      <c r="C1" s="4" t="str">
        <f>Dashboard!B43</f>
        <v>KIHOTO- WATER</v>
      </c>
      <c r="G1" s="3" t="s">
        <v>9</v>
      </c>
      <c r="I1" s="12">
        <f>INDEX($E$18:$P$18,Actual_month)</f>
        <v>46054</v>
      </c>
      <c r="L1" s="16" t="s">
        <v>19</v>
      </c>
      <c r="R1" s="5"/>
    </row>
    <row r="2" spans="1:19" x14ac:dyDescent="0.35">
      <c r="A2" s="3" t="s">
        <v>13</v>
      </c>
      <c r="C2" s="3" t="s">
        <v>27</v>
      </c>
      <c r="R2" s="6"/>
    </row>
    <row r="3" spans="1:19" ht="25.5" customHeight="1" thickBot="1" x14ac:dyDescent="0.4">
      <c r="C3" s="1" t="s">
        <v>5</v>
      </c>
      <c r="E3" s="10"/>
      <c r="F3" s="10"/>
      <c r="G3" s="10"/>
      <c r="H3" s="10"/>
      <c r="I3" s="10"/>
      <c r="J3" s="3" t="s">
        <v>6</v>
      </c>
      <c r="K3" s="10"/>
      <c r="M3" s="10"/>
      <c r="N3" s="10"/>
      <c r="O3" s="10"/>
      <c r="P3" s="10"/>
    </row>
    <row r="4" spans="1:19" ht="25.5" customHeight="1" x14ac:dyDescent="0.35">
      <c r="C4" s="1" t="s">
        <v>5</v>
      </c>
      <c r="E4" s="10"/>
      <c r="F4" s="10"/>
      <c r="G4" s="10"/>
      <c r="H4" s="10"/>
      <c r="I4" s="10"/>
      <c r="J4" s="401"/>
      <c r="K4" s="402"/>
      <c r="L4" s="402"/>
      <c r="M4" s="402"/>
      <c r="N4" s="402"/>
      <c r="O4" s="402"/>
      <c r="P4" s="402"/>
      <c r="Q4" s="403"/>
      <c r="R4" s="3" t="s">
        <v>22</v>
      </c>
      <c r="S4" s="5">
        <f>INDEX(E27:P27,Actual_month)</f>
        <v>222</v>
      </c>
    </row>
    <row r="5" spans="1:19" ht="25.5" customHeight="1" x14ac:dyDescent="0.35">
      <c r="C5" s="1" t="s">
        <v>5</v>
      </c>
      <c r="E5" s="10"/>
      <c r="F5" s="10"/>
      <c r="G5" s="10"/>
      <c r="H5" s="10"/>
      <c r="I5" s="10"/>
      <c r="J5" s="404"/>
      <c r="K5" s="405"/>
      <c r="L5" s="405"/>
      <c r="M5" s="405"/>
      <c r="N5" s="405"/>
      <c r="O5" s="405"/>
      <c r="P5" s="405"/>
      <c r="Q5" s="406"/>
      <c r="R5" s="3" t="s">
        <v>23</v>
      </c>
      <c r="S5" s="5">
        <f>INDEX(E26:P26,Actual_month)</f>
        <v>227</v>
      </c>
    </row>
    <row r="6" spans="1:19" x14ac:dyDescent="0.35">
      <c r="J6" s="404"/>
      <c r="K6" s="405"/>
      <c r="L6" s="405"/>
      <c r="M6" s="405"/>
      <c r="N6" s="405"/>
      <c r="O6" s="405"/>
      <c r="P6" s="405"/>
      <c r="Q6" s="406"/>
      <c r="R6" s="6">
        <v>0.9</v>
      </c>
      <c r="S6" s="5">
        <f>+S5*R6</f>
        <v>204.3</v>
      </c>
    </row>
    <row r="7" spans="1:19" x14ac:dyDescent="0.35">
      <c r="J7" s="404"/>
      <c r="K7" s="405"/>
      <c r="L7" s="405"/>
      <c r="M7" s="405"/>
      <c r="N7" s="405"/>
      <c r="O7" s="405"/>
      <c r="P7" s="405"/>
      <c r="Q7" s="406"/>
    </row>
    <row r="8" spans="1:19" ht="15" thickBot="1" x14ac:dyDescent="0.4">
      <c r="J8" s="407"/>
      <c r="K8" s="408"/>
      <c r="L8" s="408"/>
      <c r="M8" s="408"/>
      <c r="N8" s="408"/>
      <c r="O8" s="408"/>
      <c r="P8" s="408"/>
      <c r="Q8" s="409"/>
    </row>
    <row r="9" spans="1:19" ht="15" thickBot="1" x14ac:dyDescent="0.4">
      <c r="J9" s="3" t="s">
        <v>12</v>
      </c>
    </row>
    <row r="10" spans="1:19" x14ac:dyDescent="0.35">
      <c r="J10" s="401"/>
      <c r="K10" s="402"/>
      <c r="L10" s="402"/>
      <c r="M10" s="402"/>
      <c r="N10" s="402"/>
      <c r="O10" s="402"/>
      <c r="P10" s="402"/>
      <c r="Q10" s="403"/>
    </row>
    <row r="11" spans="1:19" x14ac:dyDescent="0.35">
      <c r="J11" s="404"/>
      <c r="K11" s="405"/>
      <c r="L11" s="405"/>
      <c r="M11" s="405"/>
      <c r="N11" s="405"/>
      <c r="O11" s="405"/>
      <c r="P11" s="405"/>
      <c r="Q11" s="406"/>
    </row>
    <row r="12" spans="1:19" x14ac:dyDescent="0.35">
      <c r="J12" s="404"/>
      <c r="K12" s="405"/>
      <c r="L12" s="405"/>
      <c r="M12" s="405"/>
      <c r="N12" s="405"/>
      <c r="O12" s="405"/>
      <c r="P12" s="405"/>
      <c r="Q12" s="406"/>
    </row>
    <row r="13" spans="1:19" x14ac:dyDescent="0.35">
      <c r="J13" s="404"/>
      <c r="K13" s="405"/>
      <c r="L13" s="405"/>
      <c r="M13" s="405"/>
      <c r="N13" s="405"/>
      <c r="O13" s="405"/>
      <c r="P13" s="405"/>
      <c r="Q13" s="406"/>
    </row>
    <row r="14" spans="1:19" x14ac:dyDescent="0.35">
      <c r="J14" s="404"/>
      <c r="K14" s="405"/>
      <c r="L14" s="405"/>
      <c r="M14" s="405"/>
      <c r="N14" s="405"/>
      <c r="O14" s="405"/>
      <c r="P14" s="405"/>
      <c r="Q14" s="406"/>
    </row>
    <row r="15" spans="1:19" ht="15" thickBot="1" x14ac:dyDescent="0.4">
      <c r="J15" s="407"/>
      <c r="K15" s="408"/>
      <c r="L15" s="408"/>
      <c r="M15" s="408"/>
      <c r="N15" s="408"/>
      <c r="O15" s="408"/>
      <c r="P15" s="408"/>
      <c r="Q15" s="409"/>
    </row>
    <row r="18" spans="3:17" x14ac:dyDescent="0.35">
      <c r="C18" s="7" t="s">
        <v>8</v>
      </c>
      <c r="E18" s="11">
        <f>'KPI 1'!E18</f>
        <v>45839</v>
      </c>
      <c r="F18" s="11">
        <f>'KPI 1'!F18</f>
        <v>45870</v>
      </c>
      <c r="G18" s="11">
        <f>'KPI 1'!G18</f>
        <v>45901</v>
      </c>
      <c r="H18" s="11">
        <f>'KPI 1'!H18</f>
        <v>45931</v>
      </c>
      <c r="I18" s="11">
        <f>'KPI 1'!I18</f>
        <v>45962</v>
      </c>
      <c r="J18" s="11">
        <f>'KPI 1'!J18</f>
        <v>45992</v>
      </c>
      <c r="K18" s="11">
        <f>'KPI 1'!K18</f>
        <v>46023</v>
      </c>
      <c r="L18" s="11">
        <f>'KPI 1'!L18</f>
        <v>46054</v>
      </c>
      <c r="M18" s="11">
        <f>'KPI 1'!M18</f>
        <v>46082</v>
      </c>
      <c r="N18" s="11">
        <f>'KPI 1'!N18</f>
        <v>46113</v>
      </c>
      <c r="O18" s="11">
        <f>'KPI 1'!O18</f>
        <v>46143</v>
      </c>
      <c r="P18" s="11">
        <f>'KPI 1'!P18</f>
        <v>46174</v>
      </c>
      <c r="Q18" s="8" t="s">
        <v>0</v>
      </c>
    </row>
    <row r="19" spans="3:17" x14ac:dyDescent="0.35">
      <c r="D19" s="3" t="str">
        <f>'KPI 1'!D19</f>
        <v>Budget 2025-26</v>
      </c>
      <c r="E19" s="5">
        <f>'budget 2025-26'!D41</f>
        <v>220</v>
      </c>
      <c r="F19" s="5">
        <f>'budget 2025-26'!E41</f>
        <v>221</v>
      </c>
      <c r="G19" s="5">
        <f>'budget 2025-26'!F41</f>
        <v>222</v>
      </c>
      <c r="H19" s="5">
        <f>'budget 2025-26'!G41</f>
        <v>223</v>
      </c>
      <c r="I19" s="5">
        <f>'budget 2025-26'!H41</f>
        <v>224</v>
      </c>
      <c r="J19" s="5">
        <f>'budget 2025-26'!I41</f>
        <v>225</v>
      </c>
      <c r="K19" s="5">
        <f>'budget 2025-26'!J41</f>
        <v>226</v>
      </c>
      <c r="L19" s="5">
        <f>'budget 2025-26'!K41</f>
        <v>227</v>
      </c>
      <c r="M19" s="5">
        <f>'budget 2025-26'!L41</f>
        <v>228</v>
      </c>
      <c r="N19" s="5">
        <f>'budget 2025-26'!M41</f>
        <v>229</v>
      </c>
      <c r="O19" s="5">
        <f>'budget 2025-26'!N41</f>
        <v>230</v>
      </c>
      <c r="P19" s="5">
        <f>'budget 2025-26'!O41</f>
        <v>231</v>
      </c>
      <c r="Q19" s="5">
        <f>SUM(E19:P19)</f>
        <v>2706</v>
      </c>
    </row>
    <row r="20" spans="3:17" x14ac:dyDescent="0.35">
      <c r="D20" s="3" t="str">
        <f>'KPI 1'!D20</f>
        <v>Actual 2025-26</v>
      </c>
      <c r="E20" s="5">
        <f>'Input Actual2025-26'!E43</f>
        <v>221</v>
      </c>
      <c r="F20" s="5">
        <f>'Input Actual2025-26'!F43</f>
        <v>221</v>
      </c>
      <c r="G20" s="5">
        <f>'Input Actual2025-26'!G43</f>
        <v>221</v>
      </c>
      <c r="H20" s="5">
        <f>'Input Actual2025-26'!H43</f>
        <v>221</v>
      </c>
      <c r="I20" s="5">
        <f>'Input Actual2025-26'!I43</f>
        <v>221</v>
      </c>
      <c r="J20" s="5">
        <f>'Input Actual2025-26'!J43</f>
        <v>221</v>
      </c>
      <c r="K20" s="5">
        <f>'Input Actual2025-26'!K43</f>
        <v>221</v>
      </c>
      <c r="L20" s="5">
        <f>'Input Actual2025-26'!L43</f>
        <v>222</v>
      </c>
      <c r="M20" s="5">
        <f>'Input Actual2025-26'!M43</f>
        <v>0</v>
      </c>
      <c r="N20" s="5">
        <f>'Input Actual2025-26'!N43</f>
        <v>0</v>
      </c>
      <c r="O20" s="5">
        <f>'Input Actual2025-26'!O43</f>
        <v>0</v>
      </c>
      <c r="P20" s="5">
        <f>'Input Actual2025-26'!P43</f>
        <v>0</v>
      </c>
      <c r="Q20" s="5">
        <f t="shared" ref="Q20:Q22" si="0">SUM(E20:P20)</f>
        <v>1769</v>
      </c>
    </row>
    <row r="21" spans="3:17" x14ac:dyDescent="0.35">
      <c r="D21" s="3" t="s">
        <v>424</v>
      </c>
      <c r="E21" s="5">
        <f>'Input Actual2024-25'!E41</f>
        <v>217</v>
      </c>
      <c r="F21" s="5">
        <f>'Input Actual2024-25'!F41</f>
        <v>217</v>
      </c>
      <c r="G21" s="5">
        <f>'Input Actual2024-25'!G41</f>
        <v>217</v>
      </c>
      <c r="H21" s="5">
        <f>'Input Actual2024-25'!H41</f>
        <v>217</v>
      </c>
      <c r="I21" s="5">
        <f>'Input Actual2024-25'!I41</f>
        <v>217</v>
      </c>
      <c r="J21" s="5">
        <f>'Input Actual2024-25'!J41</f>
        <v>217</v>
      </c>
      <c r="K21" s="5">
        <f>'Input Actual2024-25'!K41</f>
        <v>218</v>
      </c>
      <c r="L21" s="5">
        <f>'Input Actual2024-25'!L41</f>
        <v>218</v>
      </c>
      <c r="M21" s="5">
        <f>'Input Actual2024-25'!M41</f>
        <v>218</v>
      </c>
      <c r="N21" s="5">
        <f>'Input Actual2024-25'!N41</f>
        <v>218</v>
      </c>
      <c r="O21" s="5">
        <f>'Input Actual2024-25'!O41</f>
        <v>218</v>
      </c>
      <c r="P21" s="5">
        <f>'Input Actual2024-25'!P41</f>
        <v>219</v>
      </c>
      <c r="Q21" s="5">
        <f t="shared" si="0"/>
        <v>2611</v>
      </c>
    </row>
    <row r="22" spans="3:17" x14ac:dyDescent="0.35">
      <c r="D22" s="3" t="s">
        <v>7</v>
      </c>
      <c r="E22" s="5">
        <f t="shared" ref="E22:P22" si="1">IF(E20=0,0,E20-E19)</f>
        <v>1</v>
      </c>
      <c r="F22" s="5">
        <f t="shared" si="1"/>
        <v>0</v>
      </c>
      <c r="G22" s="5">
        <f t="shared" si="1"/>
        <v>-1</v>
      </c>
      <c r="H22" s="5">
        <f t="shared" si="1"/>
        <v>-2</v>
      </c>
      <c r="I22" s="5">
        <f t="shared" si="1"/>
        <v>-3</v>
      </c>
      <c r="J22" s="5">
        <f t="shared" si="1"/>
        <v>-4</v>
      </c>
      <c r="K22" s="5">
        <f t="shared" si="1"/>
        <v>-5</v>
      </c>
      <c r="L22" s="5">
        <f t="shared" si="1"/>
        <v>-5</v>
      </c>
      <c r="M22" s="5">
        <f t="shared" si="1"/>
        <v>0</v>
      </c>
      <c r="N22" s="5">
        <f t="shared" si="1"/>
        <v>0</v>
      </c>
      <c r="O22" s="5">
        <f t="shared" si="1"/>
        <v>0</v>
      </c>
      <c r="P22" s="5">
        <f t="shared" si="1"/>
        <v>0</v>
      </c>
      <c r="Q22" s="5">
        <f t="shared" si="0"/>
        <v>-19</v>
      </c>
    </row>
    <row r="23" spans="3:17" x14ac:dyDescent="0.35">
      <c r="D23" s="3" t="s">
        <v>43</v>
      </c>
      <c r="E23" s="9">
        <f>E21/E19</f>
        <v>0.98636363636363633</v>
      </c>
      <c r="F23" s="9">
        <f t="shared" ref="F23:P23" si="2">F20/F19</f>
        <v>1</v>
      </c>
      <c r="G23" s="9">
        <f t="shared" si="2"/>
        <v>0.99549549549549554</v>
      </c>
      <c r="H23" s="9">
        <f t="shared" si="2"/>
        <v>0.99103139013452912</v>
      </c>
      <c r="I23" s="9">
        <f t="shared" si="2"/>
        <v>0.9866071428571429</v>
      </c>
      <c r="J23" s="9">
        <f t="shared" si="2"/>
        <v>0.98222222222222222</v>
      </c>
      <c r="K23" s="9">
        <f t="shared" si="2"/>
        <v>0.97787610619469023</v>
      </c>
      <c r="L23" s="9">
        <f t="shared" si="2"/>
        <v>0.97797356828193838</v>
      </c>
      <c r="M23" s="9">
        <f t="shared" si="2"/>
        <v>0</v>
      </c>
      <c r="N23" s="9">
        <f t="shared" si="2"/>
        <v>0</v>
      </c>
      <c r="O23" s="9">
        <f t="shared" si="2"/>
        <v>0</v>
      </c>
      <c r="P23" s="9">
        <f t="shared" si="2"/>
        <v>0</v>
      </c>
    </row>
    <row r="25" spans="3:17" x14ac:dyDescent="0.35">
      <c r="C25" s="7" t="s">
        <v>3</v>
      </c>
      <c r="E25" s="11">
        <f>E18</f>
        <v>45839</v>
      </c>
      <c r="F25" s="11">
        <f t="shared" ref="F25:P28" si="3">F18</f>
        <v>45870</v>
      </c>
      <c r="G25" s="11">
        <f t="shared" si="3"/>
        <v>45901</v>
      </c>
      <c r="H25" s="11">
        <f t="shared" si="3"/>
        <v>45931</v>
      </c>
      <c r="I25" s="11">
        <f t="shared" si="3"/>
        <v>45962</v>
      </c>
      <c r="J25" s="11">
        <f t="shared" si="3"/>
        <v>45992</v>
      </c>
      <c r="K25" s="11">
        <f t="shared" si="3"/>
        <v>46023</v>
      </c>
      <c r="L25" s="11">
        <f t="shared" si="3"/>
        <v>46054</v>
      </c>
      <c r="M25" s="11">
        <f t="shared" si="3"/>
        <v>46082</v>
      </c>
      <c r="N25" s="11">
        <f t="shared" si="3"/>
        <v>46113</v>
      </c>
      <c r="O25" s="11">
        <f t="shared" si="3"/>
        <v>46143</v>
      </c>
      <c r="P25" s="11">
        <f t="shared" si="3"/>
        <v>46174</v>
      </c>
    </row>
    <row r="26" spans="3:17" x14ac:dyDescent="0.35">
      <c r="D26" s="3" t="str">
        <f>D19</f>
        <v>Budget 2025-26</v>
      </c>
      <c r="E26" s="5">
        <f>E19</f>
        <v>220</v>
      </c>
      <c r="F26" s="5">
        <f t="shared" si="3"/>
        <v>221</v>
      </c>
      <c r="G26" s="5">
        <f t="shared" si="3"/>
        <v>222</v>
      </c>
      <c r="H26" s="5">
        <f t="shared" si="3"/>
        <v>223</v>
      </c>
      <c r="I26" s="5">
        <f t="shared" si="3"/>
        <v>224</v>
      </c>
      <c r="J26" s="5">
        <f t="shared" si="3"/>
        <v>225</v>
      </c>
      <c r="K26" s="5">
        <f t="shared" si="3"/>
        <v>226</v>
      </c>
      <c r="L26" s="5">
        <f t="shared" si="3"/>
        <v>227</v>
      </c>
      <c r="M26" s="5">
        <f t="shared" si="3"/>
        <v>228</v>
      </c>
      <c r="N26" s="5">
        <f t="shared" si="3"/>
        <v>229</v>
      </c>
      <c r="O26" s="5">
        <f t="shared" si="3"/>
        <v>230</v>
      </c>
      <c r="P26" s="5">
        <f t="shared" si="3"/>
        <v>231</v>
      </c>
    </row>
    <row r="27" spans="3:17" x14ac:dyDescent="0.35">
      <c r="D27" s="3" t="str">
        <f t="shared" ref="D27:E30" si="4">D20</f>
        <v>Actual 2025-26</v>
      </c>
      <c r="E27" s="5">
        <f t="shared" si="4"/>
        <v>221</v>
      </c>
      <c r="F27" s="5">
        <f t="shared" si="3"/>
        <v>221</v>
      </c>
      <c r="G27" s="5">
        <f t="shared" si="3"/>
        <v>221</v>
      </c>
      <c r="H27" s="5">
        <f t="shared" si="3"/>
        <v>221</v>
      </c>
      <c r="I27" s="5">
        <f t="shared" si="3"/>
        <v>221</v>
      </c>
      <c r="J27" s="5">
        <f t="shared" si="3"/>
        <v>221</v>
      </c>
      <c r="K27" s="5">
        <f t="shared" si="3"/>
        <v>221</v>
      </c>
      <c r="L27" s="5">
        <f t="shared" si="3"/>
        <v>222</v>
      </c>
      <c r="M27" s="5">
        <f t="shared" si="3"/>
        <v>0</v>
      </c>
      <c r="N27" s="5">
        <f t="shared" si="3"/>
        <v>0</v>
      </c>
      <c r="O27" s="5">
        <f t="shared" si="3"/>
        <v>0</v>
      </c>
      <c r="P27" s="5">
        <f t="shared" si="3"/>
        <v>0</v>
      </c>
    </row>
    <row r="28" spans="3:17" x14ac:dyDescent="0.35">
      <c r="D28" s="3" t="str">
        <f t="shared" si="4"/>
        <v>Actual 2024-25</v>
      </c>
      <c r="E28" s="5">
        <f t="shared" si="4"/>
        <v>217</v>
      </c>
      <c r="F28" s="5">
        <f t="shared" si="3"/>
        <v>217</v>
      </c>
      <c r="G28" s="5">
        <f t="shared" si="3"/>
        <v>217</v>
      </c>
      <c r="H28" s="5">
        <f t="shared" si="3"/>
        <v>217</v>
      </c>
      <c r="I28" s="5">
        <f t="shared" si="3"/>
        <v>217</v>
      </c>
      <c r="J28" s="5">
        <f t="shared" si="3"/>
        <v>217</v>
      </c>
      <c r="K28" s="5">
        <f t="shared" si="3"/>
        <v>218</v>
      </c>
      <c r="L28" s="5">
        <f t="shared" si="3"/>
        <v>218</v>
      </c>
      <c r="M28" s="5">
        <f t="shared" si="3"/>
        <v>218</v>
      </c>
      <c r="N28" s="5">
        <f t="shared" si="3"/>
        <v>218</v>
      </c>
      <c r="O28" s="5">
        <f t="shared" si="3"/>
        <v>218</v>
      </c>
      <c r="P28" s="5">
        <f t="shared" si="3"/>
        <v>219</v>
      </c>
    </row>
    <row r="29" spans="3:17" x14ac:dyDescent="0.35">
      <c r="D29" s="3" t="str">
        <f t="shared" si="4"/>
        <v>Difference</v>
      </c>
      <c r="E29" s="5">
        <f>SUM($E22:E22)</f>
        <v>1</v>
      </c>
      <c r="F29" s="5">
        <f>SUM($E22:F22)</f>
        <v>1</v>
      </c>
      <c r="G29" s="5">
        <f>SUM($E22:G22)</f>
        <v>0</v>
      </c>
      <c r="H29" s="5">
        <f>SUM($E22:H22)</f>
        <v>-2</v>
      </c>
      <c r="I29" s="5">
        <f>SUM($E22:I22)</f>
        <v>-5</v>
      </c>
      <c r="J29" s="5">
        <f>SUM($E22:J22)</f>
        <v>-9</v>
      </c>
      <c r="K29" s="5">
        <f>SUM($E22:K22)</f>
        <v>-14</v>
      </c>
      <c r="L29" s="5">
        <f>SUM($E22:L22)</f>
        <v>-19</v>
      </c>
      <c r="M29" s="5">
        <f>SUM($E22:M22)</f>
        <v>-19</v>
      </c>
      <c r="N29" s="5">
        <f>SUM($E22:N22)</f>
        <v>-19</v>
      </c>
      <c r="O29" s="5">
        <f>SUM($E22:O22)</f>
        <v>-19</v>
      </c>
      <c r="P29" s="5">
        <f>SUM($E22:P22)</f>
        <v>-19</v>
      </c>
    </row>
    <row r="30" spans="3:17" x14ac:dyDescent="0.35">
      <c r="D30" s="3" t="str">
        <f t="shared" si="4"/>
        <v>Realisation</v>
      </c>
      <c r="E30" s="9">
        <f>E28/E26</f>
        <v>0.98636363636363633</v>
      </c>
      <c r="F30" s="9">
        <f t="shared" ref="F30:P30" si="5">F27/F26</f>
        <v>1</v>
      </c>
      <c r="G30" s="9">
        <f t="shared" si="5"/>
        <v>0.99549549549549554</v>
      </c>
      <c r="H30" s="9">
        <f t="shared" si="5"/>
        <v>0.99103139013452912</v>
      </c>
      <c r="I30" s="9">
        <f t="shared" si="5"/>
        <v>0.9866071428571429</v>
      </c>
      <c r="J30" s="9">
        <f t="shared" si="5"/>
        <v>0.98222222222222222</v>
      </c>
      <c r="K30" s="9">
        <f t="shared" si="5"/>
        <v>0.97787610619469023</v>
      </c>
      <c r="L30" s="9">
        <f t="shared" si="5"/>
        <v>0.97797356828193838</v>
      </c>
      <c r="M30" s="9">
        <f t="shared" si="5"/>
        <v>0</v>
      </c>
      <c r="N30" s="9">
        <f t="shared" si="5"/>
        <v>0</v>
      </c>
      <c r="O30" s="9">
        <f t="shared" si="5"/>
        <v>0</v>
      </c>
      <c r="P30" s="9">
        <f t="shared" si="5"/>
        <v>0</v>
      </c>
    </row>
  </sheetData>
  <mergeCells count="2">
    <mergeCell ref="J4:Q8"/>
    <mergeCell ref="J10:Q15"/>
  </mergeCells>
  <conditionalFormatting sqref="C3">
    <cfRule type="expression" dxfId="464" priority="2">
      <formula>S4&lt;S6</formula>
    </cfRule>
  </conditionalFormatting>
  <conditionalFormatting sqref="C5">
    <cfRule type="expression" dxfId="463" priority="3">
      <formula>S4&gt;=S5</formula>
    </cfRule>
  </conditionalFormatting>
  <conditionalFormatting sqref="C4">
    <cfRule type="expression" dxfId="462" priority="1">
      <formula>AND(S4&gt;=S6,S4&lt;S5)</formula>
    </cfRule>
  </conditionalFormatting>
  <hyperlinks>
    <hyperlink ref="L1" location="Dashboard!A1" display="Dashboard"/>
  </hyperlinks>
  <pageMargins left="0.7" right="0.7" top="0.75" bottom="0.75" header="0.3" footer="0.3"/>
  <pageSetup orientation="portrait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968705" r:id="rId4" name="Spinner 1">
              <controlPr defaultSize="0" autoPict="0">
                <anchor moveWithCells="1" sizeWithCells="1">
                  <from>
                    <xdr:col>9</xdr:col>
                    <xdr:colOff>19050</xdr:colOff>
                    <xdr:row>0</xdr:row>
                    <xdr:rowOff>38100</xdr:rowOff>
                  </from>
                  <to>
                    <xdr:col>9</xdr:col>
                    <xdr:colOff>400050</xdr:colOff>
                    <xdr:row>1</xdr:row>
                    <xdr:rowOff>152400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4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34">
    <tabColor rgb="FFFFC000"/>
  </sheetPr>
  <dimension ref="A1:S30"/>
  <sheetViews>
    <sheetView zoomScale="90" zoomScaleNormal="90" workbookViewId="0">
      <selection activeCell="L1" sqref="L1"/>
    </sheetView>
  </sheetViews>
  <sheetFormatPr defaultColWidth="9.1796875" defaultRowHeight="14.5" x14ac:dyDescent="0.35"/>
  <cols>
    <col min="1" max="1" width="9.1796875" style="3"/>
    <col min="2" max="2" width="5.1796875" style="3" customWidth="1"/>
    <col min="3" max="3" width="6.26953125" style="3" customWidth="1"/>
    <col min="4" max="4" width="21.26953125" style="3" bestFit="1" customWidth="1"/>
    <col min="5" max="16" width="11.1796875" style="3" customWidth="1"/>
    <col min="17" max="17" width="12" style="3" bestFit="1" customWidth="1"/>
    <col min="18" max="18" width="9.1796875" style="3" customWidth="1"/>
    <col min="19" max="16384" width="9.1796875" style="3"/>
  </cols>
  <sheetData>
    <row r="1" spans="1:19" ht="21" x14ac:dyDescent="0.5">
      <c r="A1" s="4" t="s">
        <v>4</v>
      </c>
      <c r="B1" s="4">
        <f>Dashboard!A46</f>
        <v>0</v>
      </c>
      <c r="C1" s="4" t="str">
        <f>Dashboard!B46</f>
        <v>TOTALWATER CONNECTION CENTRAL REGION</v>
      </c>
      <c r="G1" s="3" t="s">
        <v>9</v>
      </c>
      <c r="I1" s="12">
        <f>INDEX($E$18:$P$18,Actual_month)</f>
        <v>46054</v>
      </c>
      <c r="L1" s="16" t="s">
        <v>19</v>
      </c>
      <c r="R1" s="5"/>
    </row>
    <row r="2" spans="1:19" x14ac:dyDescent="0.35">
      <c r="A2" s="3" t="s">
        <v>13</v>
      </c>
      <c r="C2" s="3" t="s">
        <v>27</v>
      </c>
      <c r="R2" s="6"/>
    </row>
    <row r="3" spans="1:19" ht="25.5" customHeight="1" thickBot="1" x14ac:dyDescent="0.4">
      <c r="C3" s="1" t="s">
        <v>5</v>
      </c>
      <c r="E3" s="10"/>
      <c r="F3" s="10"/>
      <c r="G3" s="10"/>
      <c r="H3" s="10"/>
      <c r="I3" s="10"/>
      <c r="J3" s="3" t="s">
        <v>6</v>
      </c>
      <c r="K3" s="10"/>
      <c r="M3" s="10"/>
      <c r="N3" s="10"/>
      <c r="O3" s="10"/>
      <c r="P3" s="10"/>
    </row>
    <row r="4" spans="1:19" ht="25.5" customHeight="1" x14ac:dyDescent="0.35">
      <c r="C4" s="1" t="s">
        <v>5</v>
      </c>
      <c r="E4" s="10"/>
      <c r="F4" s="10"/>
      <c r="G4" s="10"/>
      <c r="H4" s="10"/>
      <c r="I4" s="10"/>
      <c r="J4" s="401"/>
      <c r="K4" s="402"/>
      <c r="L4" s="402"/>
      <c r="M4" s="402"/>
      <c r="N4" s="402"/>
      <c r="O4" s="402"/>
      <c r="P4" s="402"/>
      <c r="Q4" s="403"/>
      <c r="R4" s="3" t="s">
        <v>22</v>
      </c>
      <c r="S4" s="5">
        <f>INDEX(E27:P27,Actual_month)</f>
        <v>5401</v>
      </c>
    </row>
    <row r="5" spans="1:19" ht="25.5" customHeight="1" x14ac:dyDescent="0.35">
      <c r="C5" s="1" t="s">
        <v>5</v>
      </c>
      <c r="E5" s="10"/>
      <c r="F5" s="10"/>
      <c r="G5" s="10"/>
      <c r="H5" s="10"/>
      <c r="I5" s="10"/>
      <c r="J5" s="404"/>
      <c r="K5" s="405"/>
      <c r="L5" s="405"/>
      <c r="M5" s="405"/>
      <c r="N5" s="405"/>
      <c r="O5" s="405"/>
      <c r="P5" s="405"/>
      <c r="Q5" s="406"/>
      <c r="R5" s="3" t="s">
        <v>23</v>
      </c>
      <c r="S5" s="5">
        <f>INDEX(E26:P26,Actual_month)</f>
        <v>5465</v>
      </c>
    </row>
    <row r="6" spans="1:19" x14ac:dyDescent="0.35">
      <c r="J6" s="404"/>
      <c r="K6" s="405"/>
      <c r="L6" s="405"/>
      <c r="M6" s="405"/>
      <c r="N6" s="405"/>
      <c r="O6" s="405"/>
      <c r="P6" s="405"/>
      <c r="Q6" s="406"/>
      <c r="R6" s="6">
        <v>0.9</v>
      </c>
      <c r="S6" s="5">
        <f>+S5*R6</f>
        <v>4918.5</v>
      </c>
    </row>
    <row r="7" spans="1:19" x14ac:dyDescent="0.35">
      <c r="J7" s="404"/>
      <c r="K7" s="405"/>
      <c r="L7" s="405"/>
      <c r="M7" s="405"/>
      <c r="N7" s="405"/>
      <c r="O7" s="405"/>
      <c r="P7" s="405"/>
      <c r="Q7" s="406"/>
    </row>
    <row r="8" spans="1:19" ht="15" thickBot="1" x14ac:dyDescent="0.4">
      <c r="J8" s="407"/>
      <c r="K8" s="408"/>
      <c r="L8" s="408"/>
      <c r="M8" s="408"/>
      <c r="N8" s="408"/>
      <c r="O8" s="408"/>
      <c r="P8" s="408"/>
      <c r="Q8" s="409"/>
    </row>
    <row r="9" spans="1:19" ht="15" thickBot="1" x14ac:dyDescent="0.4">
      <c r="J9" s="3" t="s">
        <v>12</v>
      </c>
    </row>
    <row r="10" spans="1:19" x14ac:dyDescent="0.35">
      <c r="J10" s="401"/>
      <c r="K10" s="402"/>
      <c r="L10" s="402"/>
      <c r="M10" s="402"/>
      <c r="N10" s="402"/>
      <c r="O10" s="402"/>
      <c r="P10" s="402"/>
      <c r="Q10" s="403"/>
    </row>
    <row r="11" spans="1:19" x14ac:dyDescent="0.35">
      <c r="J11" s="404"/>
      <c r="K11" s="405"/>
      <c r="L11" s="405"/>
      <c r="M11" s="405"/>
      <c r="N11" s="405"/>
      <c r="O11" s="405"/>
      <c r="P11" s="405"/>
      <c r="Q11" s="406"/>
    </row>
    <row r="12" spans="1:19" x14ac:dyDescent="0.35">
      <c r="J12" s="404"/>
      <c r="K12" s="405"/>
      <c r="L12" s="405"/>
      <c r="M12" s="405"/>
      <c r="N12" s="405"/>
      <c r="O12" s="405"/>
      <c r="P12" s="405"/>
      <c r="Q12" s="406"/>
    </row>
    <row r="13" spans="1:19" x14ac:dyDescent="0.35">
      <c r="J13" s="404"/>
      <c r="K13" s="405"/>
      <c r="L13" s="405"/>
      <c r="M13" s="405"/>
      <c r="N13" s="405"/>
      <c r="O13" s="405"/>
      <c r="P13" s="405"/>
      <c r="Q13" s="406"/>
    </row>
    <row r="14" spans="1:19" x14ac:dyDescent="0.35">
      <c r="J14" s="404"/>
      <c r="K14" s="405"/>
      <c r="L14" s="405"/>
      <c r="M14" s="405"/>
      <c r="N14" s="405"/>
      <c r="O14" s="405"/>
      <c r="P14" s="405"/>
      <c r="Q14" s="406"/>
    </row>
    <row r="15" spans="1:19" ht="15" thickBot="1" x14ac:dyDescent="0.4">
      <c r="J15" s="407"/>
      <c r="K15" s="408"/>
      <c r="L15" s="408"/>
      <c r="M15" s="408"/>
      <c r="N15" s="408"/>
      <c r="O15" s="408"/>
      <c r="P15" s="408"/>
      <c r="Q15" s="409"/>
    </row>
    <row r="18" spans="3:17" x14ac:dyDescent="0.35">
      <c r="C18" s="7" t="s">
        <v>8</v>
      </c>
      <c r="E18" s="11">
        <f>'KPI 1'!E18</f>
        <v>45839</v>
      </c>
      <c r="F18" s="11">
        <f>'KPI 1'!F18</f>
        <v>45870</v>
      </c>
      <c r="G18" s="11">
        <f>'KPI 1'!G18</f>
        <v>45901</v>
      </c>
      <c r="H18" s="11">
        <f>'KPI 1'!H18</f>
        <v>45931</v>
      </c>
      <c r="I18" s="11">
        <f>'KPI 1'!I18</f>
        <v>45962</v>
      </c>
      <c r="J18" s="11">
        <f>'KPI 1'!J18</f>
        <v>45992</v>
      </c>
      <c r="K18" s="11">
        <f>'KPI 1'!K18</f>
        <v>46023</v>
      </c>
      <c r="L18" s="11">
        <f>'KPI 1'!L18</f>
        <v>46054</v>
      </c>
      <c r="M18" s="11">
        <f>'KPI 1'!M18</f>
        <v>46082</v>
      </c>
      <c r="N18" s="11">
        <f>'KPI 1'!N18</f>
        <v>46113</v>
      </c>
      <c r="O18" s="11">
        <f>'KPI 1'!O18</f>
        <v>46143</v>
      </c>
      <c r="P18" s="11">
        <f>'KPI 1'!P18</f>
        <v>46174</v>
      </c>
      <c r="Q18" s="8" t="s">
        <v>0</v>
      </c>
    </row>
    <row r="19" spans="3:17" x14ac:dyDescent="0.35">
      <c r="D19" s="3" t="str">
        <f>'KPI 1'!D19</f>
        <v>Budget 2025-26</v>
      </c>
      <c r="E19" s="5">
        <f>'budget 2025-26'!D44</f>
        <v>5318</v>
      </c>
      <c r="F19" s="5">
        <f>'budget 2025-26'!E44</f>
        <v>5339</v>
      </c>
      <c r="G19" s="5">
        <f>'budget 2025-26'!F44</f>
        <v>5360</v>
      </c>
      <c r="H19" s="5">
        <f>'budget 2025-26'!G44</f>
        <v>5381</v>
      </c>
      <c r="I19" s="5">
        <f>'budget 2025-26'!H44</f>
        <v>5402</v>
      </c>
      <c r="J19" s="5">
        <f>'budget 2025-26'!I44</f>
        <v>5423</v>
      </c>
      <c r="K19" s="5">
        <f>'budget 2025-26'!J44</f>
        <v>5444</v>
      </c>
      <c r="L19" s="5">
        <f>'budget 2025-26'!K44</f>
        <v>5465</v>
      </c>
      <c r="M19" s="5">
        <f>'budget 2025-26'!L44</f>
        <v>5486</v>
      </c>
      <c r="N19" s="5">
        <f>'budget 2025-26'!M44</f>
        <v>5507</v>
      </c>
      <c r="O19" s="5">
        <f>'budget 2025-26'!N44</f>
        <v>5528</v>
      </c>
      <c r="P19" s="5">
        <f>'budget 2025-26'!O44</f>
        <v>5549</v>
      </c>
      <c r="Q19" s="5">
        <f>SUM(E19:P19)</f>
        <v>65202</v>
      </c>
    </row>
    <row r="20" spans="3:17" x14ac:dyDescent="0.35">
      <c r="D20" s="3" t="str">
        <f>'KPI 1'!D20</f>
        <v>Actual 2025-26</v>
      </c>
      <c r="E20" s="5">
        <f>'Input Actual2025-26'!E46</f>
        <v>5303</v>
      </c>
      <c r="F20" s="5">
        <f>'Input Actual2025-26'!F46</f>
        <v>5315</v>
      </c>
      <c r="G20" s="5">
        <f>'Input Actual2025-26'!G46</f>
        <v>5322</v>
      </c>
      <c r="H20" s="5">
        <f>'Input Actual2025-26'!H46</f>
        <v>5344</v>
      </c>
      <c r="I20" s="5">
        <f>'Input Actual2025-26'!I46</f>
        <v>5350</v>
      </c>
      <c r="J20" s="5">
        <f>'Input Actual2025-26'!J46</f>
        <v>5362</v>
      </c>
      <c r="K20" s="5">
        <f>'Input Actual2025-26'!K46</f>
        <v>5394</v>
      </c>
      <c r="L20" s="5">
        <f>'Input Actual2025-26'!L46</f>
        <v>5401</v>
      </c>
      <c r="M20" s="5">
        <f>'Input Actual2025-26'!M46</f>
        <v>0</v>
      </c>
      <c r="N20" s="5">
        <f>'Input Actual2025-26'!N46</f>
        <v>0</v>
      </c>
      <c r="O20" s="5">
        <f>'Input Actual2025-26'!O46</f>
        <v>0</v>
      </c>
      <c r="P20" s="5">
        <f>'Input Actual2025-26'!P46</f>
        <v>0</v>
      </c>
      <c r="Q20" s="5">
        <f t="shared" ref="Q20:Q21" si="0">SUM(E20:P20)</f>
        <v>42791</v>
      </c>
    </row>
    <row r="21" spans="3:17" x14ac:dyDescent="0.35">
      <c r="D21" s="3" t="s">
        <v>424</v>
      </c>
      <c r="E21" s="5">
        <f>'Input Actual2024-25'!E44</f>
        <v>5217</v>
      </c>
      <c r="F21" s="5">
        <f>'Input Actual2024-25'!F44</f>
        <v>5228</v>
      </c>
      <c r="G21" s="5">
        <f>'Input Actual2024-25'!G44</f>
        <v>5238</v>
      </c>
      <c r="H21" s="5">
        <f>'Input Actual2024-25'!H44</f>
        <v>5238</v>
      </c>
      <c r="I21" s="5">
        <f>'Input Actual2024-25'!I44</f>
        <v>5242</v>
      </c>
      <c r="J21" s="5">
        <f>'Input Actual2024-25'!J44</f>
        <v>5243</v>
      </c>
      <c r="K21" s="5">
        <f>'Input Actual2024-25'!K44</f>
        <v>5258</v>
      </c>
      <c r="L21" s="5">
        <f>'Input Actual2024-25'!L44</f>
        <v>5268</v>
      </c>
      <c r="M21" s="5">
        <f>'Input Actual2024-25'!M44</f>
        <v>5272</v>
      </c>
      <c r="N21" s="5">
        <f>'Input Actual2024-25'!N44</f>
        <v>5277</v>
      </c>
      <c r="O21" s="5">
        <f>'Input Actual2024-25'!O44</f>
        <v>5286</v>
      </c>
      <c r="P21" s="5">
        <f>'Input Actual2024-25'!P44</f>
        <v>5298</v>
      </c>
      <c r="Q21" s="5">
        <f t="shared" si="0"/>
        <v>63065</v>
      </c>
    </row>
    <row r="22" spans="3:17" x14ac:dyDescent="0.35">
      <c r="D22" s="3" t="s">
        <v>7</v>
      </c>
      <c r="E22" s="5">
        <f t="shared" ref="E22:P22" si="1">IF(E20=0,0,E20-E19)</f>
        <v>-15</v>
      </c>
      <c r="F22" s="5">
        <f t="shared" si="1"/>
        <v>-24</v>
      </c>
      <c r="G22" s="5">
        <f t="shared" si="1"/>
        <v>-38</v>
      </c>
      <c r="H22" s="5">
        <f t="shared" si="1"/>
        <v>-37</v>
      </c>
      <c r="I22" s="5">
        <f t="shared" si="1"/>
        <v>-52</v>
      </c>
      <c r="J22" s="5">
        <f t="shared" si="1"/>
        <v>-61</v>
      </c>
      <c r="K22" s="5">
        <f t="shared" si="1"/>
        <v>-50</v>
      </c>
      <c r="L22" s="5">
        <f t="shared" si="1"/>
        <v>-64</v>
      </c>
      <c r="M22" s="5">
        <f t="shared" si="1"/>
        <v>0</v>
      </c>
      <c r="N22" s="5">
        <f t="shared" si="1"/>
        <v>0</v>
      </c>
      <c r="O22" s="5">
        <f t="shared" si="1"/>
        <v>0</v>
      </c>
      <c r="P22" s="5">
        <f t="shared" si="1"/>
        <v>0</v>
      </c>
      <c r="Q22" s="5">
        <f t="shared" ref="Q22" si="2">SUM(E22:P22)</f>
        <v>-341</v>
      </c>
    </row>
    <row r="23" spans="3:17" x14ac:dyDescent="0.35">
      <c r="D23" s="3" t="s">
        <v>43</v>
      </c>
      <c r="E23" s="9">
        <f>E21/E19</f>
        <v>0.98100789770590446</v>
      </c>
      <c r="F23" s="9">
        <f t="shared" ref="F23:P23" si="3">F20/F19</f>
        <v>0.99550477617531374</v>
      </c>
      <c r="G23" s="9">
        <f t="shared" si="3"/>
        <v>0.99291044776119408</v>
      </c>
      <c r="H23" s="9">
        <f t="shared" si="3"/>
        <v>0.99312395465526859</v>
      </c>
      <c r="I23" s="9">
        <f t="shared" si="3"/>
        <v>0.990373935579415</v>
      </c>
      <c r="J23" s="9">
        <f t="shared" si="3"/>
        <v>0.98875161349806384</v>
      </c>
      <c r="K23" s="9">
        <f t="shared" si="3"/>
        <v>0.99081557678177812</v>
      </c>
      <c r="L23" s="9">
        <f t="shared" si="3"/>
        <v>0.98828911253430929</v>
      </c>
      <c r="M23" s="9">
        <f t="shared" si="3"/>
        <v>0</v>
      </c>
      <c r="N23" s="9">
        <f t="shared" si="3"/>
        <v>0</v>
      </c>
      <c r="O23" s="9">
        <f t="shared" si="3"/>
        <v>0</v>
      </c>
      <c r="P23" s="9">
        <f t="shared" si="3"/>
        <v>0</v>
      </c>
    </row>
    <row r="25" spans="3:17" x14ac:dyDescent="0.35">
      <c r="C25" s="7" t="s">
        <v>3</v>
      </c>
      <c r="E25" s="11">
        <f>E18</f>
        <v>45839</v>
      </c>
      <c r="F25" s="11">
        <f t="shared" ref="F25:P28" si="4">F18</f>
        <v>45870</v>
      </c>
      <c r="G25" s="11">
        <f t="shared" si="4"/>
        <v>45901</v>
      </c>
      <c r="H25" s="11">
        <f t="shared" si="4"/>
        <v>45931</v>
      </c>
      <c r="I25" s="11">
        <f t="shared" si="4"/>
        <v>45962</v>
      </c>
      <c r="J25" s="11">
        <f t="shared" si="4"/>
        <v>45992</v>
      </c>
      <c r="K25" s="11">
        <f t="shared" si="4"/>
        <v>46023</v>
      </c>
      <c r="L25" s="11">
        <f t="shared" si="4"/>
        <v>46054</v>
      </c>
      <c r="M25" s="11">
        <f t="shared" si="4"/>
        <v>46082</v>
      </c>
      <c r="N25" s="11">
        <f t="shared" si="4"/>
        <v>46113</v>
      </c>
      <c r="O25" s="11">
        <f t="shared" si="4"/>
        <v>46143</v>
      </c>
      <c r="P25" s="11">
        <f t="shared" si="4"/>
        <v>46174</v>
      </c>
    </row>
    <row r="26" spans="3:17" x14ac:dyDescent="0.35">
      <c r="D26" s="3" t="str">
        <f>D19</f>
        <v>Budget 2025-26</v>
      </c>
      <c r="E26" s="5">
        <f>E19</f>
        <v>5318</v>
      </c>
      <c r="F26" s="5">
        <f t="shared" si="4"/>
        <v>5339</v>
      </c>
      <c r="G26" s="5">
        <f t="shared" si="4"/>
        <v>5360</v>
      </c>
      <c r="H26" s="5">
        <f t="shared" si="4"/>
        <v>5381</v>
      </c>
      <c r="I26" s="5">
        <f t="shared" si="4"/>
        <v>5402</v>
      </c>
      <c r="J26" s="5">
        <f t="shared" si="4"/>
        <v>5423</v>
      </c>
      <c r="K26" s="5">
        <f t="shared" si="4"/>
        <v>5444</v>
      </c>
      <c r="L26" s="5">
        <f t="shared" si="4"/>
        <v>5465</v>
      </c>
      <c r="M26" s="5">
        <f t="shared" si="4"/>
        <v>5486</v>
      </c>
      <c r="N26" s="5">
        <f t="shared" si="4"/>
        <v>5507</v>
      </c>
      <c r="O26" s="5">
        <f t="shared" si="4"/>
        <v>5528</v>
      </c>
      <c r="P26" s="5">
        <f t="shared" si="4"/>
        <v>5549</v>
      </c>
    </row>
    <row r="27" spans="3:17" x14ac:dyDescent="0.35">
      <c r="D27" s="3" t="str">
        <f t="shared" ref="D27:E30" si="5">D20</f>
        <v>Actual 2025-26</v>
      </c>
      <c r="E27" s="5">
        <f t="shared" si="5"/>
        <v>5303</v>
      </c>
      <c r="F27" s="5">
        <f t="shared" si="4"/>
        <v>5315</v>
      </c>
      <c r="G27" s="5">
        <f t="shared" si="4"/>
        <v>5322</v>
      </c>
      <c r="H27" s="5">
        <f t="shared" si="4"/>
        <v>5344</v>
      </c>
      <c r="I27" s="5">
        <f t="shared" si="4"/>
        <v>5350</v>
      </c>
      <c r="J27" s="5">
        <f t="shared" si="4"/>
        <v>5362</v>
      </c>
      <c r="K27" s="5">
        <f t="shared" si="4"/>
        <v>5394</v>
      </c>
      <c r="L27" s="5">
        <f t="shared" si="4"/>
        <v>5401</v>
      </c>
      <c r="M27" s="5">
        <f t="shared" si="4"/>
        <v>0</v>
      </c>
      <c r="N27" s="5">
        <f t="shared" si="4"/>
        <v>0</v>
      </c>
      <c r="O27" s="5">
        <f t="shared" si="4"/>
        <v>0</v>
      </c>
      <c r="P27" s="5">
        <f t="shared" si="4"/>
        <v>0</v>
      </c>
    </row>
    <row r="28" spans="3:17" x14ac:dyDescent="0.35">
      <c r="D28" s="3" t="str">
        <f t="shared" si="5"/>
        <v>Actual 2024-25</v>
      </c>
      <c r="E28" s="5">
        <f t="shared" si="5"/>
        <v>5217</v>
      </c>
      <c r="F28" s="5">
        <f t="shared" si="4"/>
        <v>5228</v>
      </c>
      <c r="G28" s="5">
        <f t="shared" si="4"/>
        <v>5238</v>
      </c>
      <c r="H28" s="5">
        <f t="shared" si="4"/>
        <v>5238</v>
      </c>
      <c r="I28" s="5">
        <f t="shared" si="4"/>
        <v>5242</v>
      </c>
      <c r="J28" s="5">
        <f t="shared" si="4"/>
        <v>5243</v>
      </c>
      <c r="K28" s="5">
        <f t="shared" si="4"/>
        <v>5258</v>
      </c>
      <c r="L28" s="5">
        <f t="shared" si="4"/>
        <v>5268</v>
      </c>
      <c r="M28" s="5">
        <f t="shared" si="4"/>
        <v>5272</v>
      </c>
      <c r="N28" s="5">
        <f t="shared" si="4"/>
        <v>5277</v>
      </c>
      <c r="O28" s="5">
        <f t="shared" si="4"/>
        <v>5286</v>
      </c>
      <c r="P28" s="5">
        <f t="shared" si="4"/>
        <v>5298</v>
      </c>
    </row>
    <row r="29" spans="3:17" x14ac:dyDescent="0.35">
      <c r="D29" s="3" t="str">
        <f t="shared" si="5"/>
        <v>Difference</v>
      </c>
      <c r="E29" s="5">
        <f>SUM($E22:E22)</f>
        <v>-15</v>
      </c>
      <c r="F29" s="5">
        <f>SUM($E22:F22)</f>
        <v>-39</v>
      </c>
      <c r="G29" s="5">
        <f>SUM($E22:G22)</f>
        <v>-77</v>
      </c>
      <c r="H29" s="5">
        <f>SUM($E22:H22)</f>
        <v>-114</v>
      </c>
      <c r="I29" s="5">
        <f>SUM($E22:I22)</f>
        <v>-166</v>
      </c>
      <c r="J29" s="5">
        <f>SUM($E22:J22)</f>
        <v>-227</v>
      </c>
      <c r="K29" s="5">
        <f>SUM($E22:K22)</f>
        <v>-277</v>
      </c>
      <c r="L29" s="5">
        <f>SUM($E22:L22)</f>
        <v>-341</v>
      </c>
      <c r="M29" s="5">
        <f>SUM($E22:M22)</f>
        <v>-341</v>
      </c>
      <c r="N29" s="5">
        <f>SUM($E22:N22)</f>
        <v>-341</v>
      </c>
      <c r="O29" s="5">
        <f>SUM($E22:O22)</f>
        <v>-341</v>
      </c>
      <c r="P29" s="5">
        <f>SUM($E22:P22)</f>
        <v>-341</v>
      </c>
    </row>
    <row r="30" spans="3:17" x14ac:dyDescent="0.35">
      <c r="D30" s="3" t="str">
        <f t="shared" si="5"/>
        <v>Realisation</v>
      </c>
      <c r="E30" s="9">
        <f>E28/E26</f>
        <v>0.98100789770590446</v>
      </c>
      <c r="F30" s="9">
        <f t="shared" ref="F30:P30" si="6">F27/F26</f>
        <v>0.99550477617531374</v>
      </c>
      <c r="G30" s="9">
        <f t="shared" si="6"/>
        <v>0.99291044776119408</v>
      </c>
      <c r="H30" s="9">
        <f t="shared" si="6"/>
        <v>0.99312395465526859</v>
      </c>
      <c r="I30" s="9">
        <f t="shared" si="6"/>
        <v>0.990373935579415</v>
      </c>
      <c r="J30" s="9">
        <f t="shared" si="6"/>
        <v>0.98875161349806384</v>
      </c>
      <c r="K30" s="9">
        <f t="shared" si="6"/>
        <v>0.99081557678177812</v>
      </c>
      <c r="L30" s="9">
        <f t="shared" si="6"/>
        <v>0.98828911253430929</v>
      </c>
      <c r="M30" s="9">
        <f t="shared" si="6"/>
        <v>0</v>
      </c>
      <c r="N30" s="9">
        <f t="shared" si="6"/>
        <v>0</v>
      </c>
      <c r="O30" s="9">
        <f t="shared" si="6"/>
        <v>0</v>
      </c>
      <c r="P30" s="9">
        <f t="shared" si="6"/>
        <v>0</v>
      </c>
    </row>
  </sheetData>
  <mergeCells count="2">
    <mergeCell ref="J4:Q8"/>
    <mergeCell ref="J10:Q15"/>
  </mergeCells>
  <conditionalFormatting sqref="C3">
    <cfRule type="expression" dxfId="461" priority="2">
      <formula>S4&lt;S6</formula>
    </cfRule>
  </conditionalFormatting>
  <conditionalFormatting sqref="C5">
    <cfRule type="expression" dxfId="460" priority="3">
      <formula>S4&gt;=S5</formula>
    </cfRule>
  </conditionalFormatting>
  <conditionalFormatting sqref="C4">
    <cfRule type="expression" dxfId="459" priority="1">
      <formula>AND(S4&gt;=S6,S4&lt;S5)</formula>
    </cfRule>
  </conditionalFormatting>
  <hyperlinks>
    <hyperlink ref="L1" location="Dashboard!A1" display="Dashboard"/>
  </hyperlinks>
  <pageMargins left="0.7" right="0.7" top="0.75" bottom="0.75" header="0.3" footer="0.3"/>
  <pageSetup orientation="portrait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969729" r:id="rId4" name="Spinner 1">
              <controlPr defaultSize="0" autoPict="0">
                <anchor moveWithCells="1" sizeWithCells="1">
                  <from>
                    <xdr:col>9</xdr:col>
                    <xdr:colOff>19050</xdr:colOff>
                    <xdr:row>0</xdr:row>
                    <xdr:rowOff>38100</xdr:rowOff>
                  </from>
                  <to>
                    <xdr:col>9</xdr:col>
                    <xdr:colOff>400050</xdr:colOff>
                    <xdr:row>1</xdr:row>
                    <xdr:rowOff>152400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4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35">
    <tabColor rgb="FFFFC000"/>
  </sheetPr>
  <dimension ref="A1:S30"/>
  <sheetViews>
    <sheetView zoomScale="90" zoomScaleNormal="90" workbookViewId="0">
      <selection activeCell="L1" sqref="L1"/>
    </sheetView>
  </sheetViews>
  <sheetFormatPr defaultColWidth="9.1796875" defaultRowHeight="14.5" x14ac:dyDescent="0.35"/>
  <cols>
    <col min="1" max="1" width="9.1796875" style="3"/>
    <col min="2" max="2" width="5.1796875" style="3" customWidth="1"/>
    <col min="3" max="3" width="6.26953125" style="3" customWidth="1"/>
    <col min="4" max="4" width="21.26953125" style="3" bestFit="1" customWidth="1"/>
    <col min="5" max="16" width="11.1796875" style="3" customWidth="1"/>
    <col min="17" max="17" width="12" style="3" bestFit="1" customWidth="1"/>
    <col min="18" max="18" width="9.1796875" style="3" customWidth="1"/>
    <col min="19" max="16384" width="9.1796875" style="3"/>
  </cols>
  <sheetData>
    <row r="1" spans="1:19" ht="21" x14ac:dyDescent="0.5">
      <c r="A1" s="4" t="s">
        <v>4</v>
      </c>
      <c r="B1" s="4">
        <f>Dashboard!A47</f>
        <v>1</v>
      </c>
      <c r="C1" s="4" t="str">
        <f>Dashboard!B47</f>
        <v>HELLSGATE-  WATER</v>
      </c>
      <c r="G1" s="3" t="s">
        <v>9</v>
      </c>
      <c r="I1" s="12">
        <f>INDEX($E$18:$P$18,Actual_month)</f>
        <v>46054</v>
      </c>
      <c r="L1" s="16" t="s">
        <v>19</v>
      </c>
      <c r="R1" s="5"/>
    </row>
    <row r="2" spans="1:19" x14ac:dyDescent="0.35">
      <c r="A2" s="3" t="s">
        <v>13</v>
      </c>
      <c r="C2" s="3" t="s">
        <v>27</v>
      </c>
      <c r="R2" s="6"/>
    </row>
    <row r="3" spans="1:19" ht="25.5" customHeight="1" thickBot="1" x14ac:dyDescent="0.4">
      <c r="C3" s="1" t="s">
        <v>5</v>
      </c>
      <c r="E3" s="10"/>
      <c r="F3" s="10"/>
      <c r="G3" s="10"/>
      <c r="H3" s="10"/>
      <c r="I3" s="10"/>
      <c r="J3" s="3" t="s">
        <v>6</v>
      </c>
      <c r="K3" s="10"/>
      <c r="M3" s="10"/>
      <c r="N3" s="10"/>
      <c r="O3" s="10"/>
      <c r="P3" s="10"/>
    </row>
    <row r="4" spans="1:19" ht="25.5" customHeight="1" x14ac:dyDescent="0.35">
      <c r="C4" s="1" t="s">
        <v>5</v>
      </c>
      <c r="E4" s="10"/>
      <c r="F4" s="10"/>
      <c r="G4" s="10"/>
      <c r="H4" s="10"/>
      <c r="I4" s="10"/>
      <c r="J4" s="401"/>
      <c r="K4" s="402"/>
      <c r="L4" s="402"/>
      <c r="M4" s="402"/>
      <c r="N4" s="402"/>
      <c r="O4" s="402"/>
      <c r="P4" s="402"/>
      <c r="Q4" s="403"/>
      <c r="R4" s="3" t="s">
        <v>22</v>
      </c>
      <c r="S4" s="5">
        <f>INDEX(E27:P27,Actual_month)</f>
        <v>1975</v>
      </c>
    </row>
    <row r="5" spans="1:19" ht="25.5" customHeight="1" x14ac:dyDescent="0.35">
      <c r="C5" s="1" t="s">
        <v>5</v>
      </c>
      <c r="E5" s="10"/>
      <c r="F5" s="10"/>
      <c r="G5" s="10"/>
      <c r="H5" s="10"/>
      <c r="I5" s="10"/>
      <c r="J5" s="404"/>
      <c r="K5" s="405"/>
      <c r="L5" s="405"/>
      <c r="M5" s="405"/>
      <c r="N5" s="405"/>
      <c r="O5" s="405"/>
      <c r="P5" s="405"/>
      <c r="Q5" s="406"/>
      <c r="R5" s="3" t="s">
        <v>23</v>
      </c>
      <c r="S5" s="5">
        <f>INDEX(E26:P26,Actual_month)</f>
        <v>2111</v>
      </c>
    </row>
    <row r="6" spans="1:19" x14ac:dyDescent="0.35">
      <c r="J6" s="404"/>
      <c r="K6" s="405"/>
      <c r="L6" s="405"/>
      <c r="M6" s="405"/>
      <c r="N6" s="405"/>
      <c r="O6" s="405"/>
      <c r="P6" s="405"/>
      <c r="Q6" s="406"/>
      <c r="R6" s="6">
        <v>0.9</v>
      </c>
      <c r="S6" s="5">
        <f>+S5*R6</f>
        <v>1899.9</v>
      </c>
    </row>
    <row r="7" spans="1:19" x14ac:dyDescent="0.35">
      <c r="J7" s="404"/>
      <c r="K7" s="405"/>
      <c r="L7" s="405"/>
      <c r="M7" s="405"/>
      <c r="N7" s="405"/>
      <c r="O7" s="405"/>
      <c r="P7" s="405"/>
      <c r="Q7" s="406"/>
    </row>
    <row r="8" spans="1:19" ht="15" thickBot="1" x14ac:dyDescent="0.4">
      <c r="J8" s="407"/>
      <c r="K8" s="408"/>
      <c r="L8" s="408"/>
      <c r="M8" s="408"/>
      <c r="N8" s="408"/>
      <c r="O8" s="408"/>
      <c r="P8" s="408"/>
      <c r="Q8" s="409"/>
    </row>
    <row r="9" spans="1:19" ht="15" thickBot="1" x14ac:dyDescent="0.4">
      <c r="J9" s="3" t="s">
        <v>12</v>
      </c>
    </row>
    <row r="10" spans="1:19" x14ac:dyDescent="0.35">
      <c r="J10" s="401"/>
      <c r="K10" s="402"/>
      <c r="L10" s="402"/>
      <c r="M10" s="402"/>
      <c r="N10" s="402"/>
      <c r="O10" s="402"/>
      <c r="P10" s="402"/>
      <c r="Q10" s="403"/>
    </row>
    <row r="11" spans="1:19" x14ac:dyDescent="0.35">
      <c r="J11" s="404"/>
      <c r="K11" s="405"/>
      <c r="L11" s="405"/>
      <c r="M11" s="405"/>
      <c r="N11" s="405"/>
      <c r="O11" s="405"/>
      <c r="P11" s="405"/>
      <c r="Q11" s="406"/>
    </row>
    <row r="12" spans="1:19" x14ac:dyDescent="0.35">
      <c r="J12" s="404"/>
      <c r="K12" s="405"/>
      <c r="L12" s="405"/>
      <c r="M12" s="405"/>
      <c r="N12" s="405"/>
      <c r="O12" s="405"/>
      <c r="P12" s="405"/>
      <c r="Q12" s="406"/>
    </row>
    <row r="13" spans="1:19" x14ac:dyDescent="0.35">
      <c r="J13" s="404"/>
      <c r="K13" s="405"/>
      <c r="L13" s="405"/>
      <c r="M13" s="405"/>
      <c r="N13" s="405"/>
      <c r="O13" s="405"/>
      <c r="P13" s="405"/>
      <c r="Q13" s="406"/>
    </row>
    <row r="14" spans="1:19" x14ac:dyDescent="0.35">
      <c r="J14" s="404"/>
      <c r="K14" s="405"/>
      <c r="L14" s="405"/>
      <c r="M14" s="405"/>
      <c r="N14" s="405"/>
      <c r="O14" s="405"/>
      <c r="P14" s="405"/>
      <c r="Q14" s="406"/>
    </row>
    <row r="15" spans="1:19" ht="15" thickBot="1" x14ac:dyDescent="0.4">
      <c r="J15" s="407"/>
      <c r="K15" s="408"/>
      <c r="L15" s="408"/>
      <c r="M15" s="408"/>
      <c r="N15" s="408"/>
      <c r="O15" s="408"/>
      <c r="P15" s="408"/>
      <c r="Q15" s="409"/>
    </row>
    <row r="18" spans="3:17" x14ac:dyDescent="0.35">
      <c r="C18" s="7" t="s">
        <v>8</v>
      </c>
      <c r="E18" s="11">
        <f>'KPI 1'!E18</f>
        <v>45839</v>
      </c>
      <c r="F18" s="11">
        <f>'KPI 1'!F18</f>
        <v>45870</v>
      </c>
      <c r="G18" s="11">
        <f>'KPI 1'!G18</f>
        <v>45901</v>
      </c>
      <c r="H18" s="11">
        <f>'KPI 1'!H18</f>
        <v>45931</v>
      </c>
      <c r="I18" s="11">
        <f>'KPI 1'!I18</f>
        <v>45962</v>
      </c>
      <c r="J18" s="11">
        <f>'KPI 1'!J18</f>
        <v>45992</v>
      </c>
      <c r="K18" s="11">
        <f>'KPI 1'!K18</f>
        <v>46023</v>
      </c>
      <c r="L18" s="11">
        <f>'KPI 1'!L18</f>
        <v>46054</v>
      </c>
      <c r="M18" s="11">
        <f>'KPI 1'!M18</f>
        <v>46082</v>
      </c>
      <c r="N18" s="11">
        <f>'KPI 1'!N18</f>
        <v>46113</v>
      </c>
      <c r="O18" s="11">
        <f>'KPI 1'!O18</f>
        <v>46143</v>
      </c>
      <c r="P18" s="11">
        <f>'KPI 1'!P18</f>
        <v>46174</v>
      </c>
      <c r="Q18" s="8" t="s">
        <v>0</v>
      </c>
    </row>
    <row r="19" spans="3:17" x14ac:dyDescent="0.35">
      <c r="D19" s="3" t="str">
        <f>'KPI 1'!D19</f>
        <v>Budget 2025-26</v>
      </c>
      <c r="E19" s="5">
        <f>'budget 2025-26'!D45</f>
        <v>1843</v>
      </c>
      <c r="F19" s="5">
        <f>'budget 2025-26'!E45</f>
        <v>1851</v>
      </c>
      <c r="G19" s="5">
        <f>'budget 2025-26'!F45</f>
        <v>1871</v>
      </c>
      <c r="H19" s="5">
        <f>'budget 2025-26'!G45</f>
        <v>1921</v>
      </c>
      <c r="I19" s="5">
        <f>'budget 2025-26'!H45</f>
        <v>1971</v>
      </c>
      <c r="J19" s="5">
        <f>'budget 2025-26'!I45</f>
        <v>2021</v>
      </c>
      <c r="K19" s="5">
        <f>'budget 2025-26'!J45</f>
        <v>2066</v>
      </c>
      <c r="L19" s="5">
        <f>'budget 2025-26'!K45</f>
        <v>2111</v>
      </c>
      <c r="M19" s="5">
        <f>'budget 2025-26'!L45</f>
        <v>2146</v>
      </c>
      <c r="N19" s="5">
        <f>'budget 2025-26'!M45</f>
        <v>2176</v>
      </c>
      <c r="O19" s="5">
        <f>'budget 2025-26'!N45</f>
        <v>2206</v>
      </c>
      <c r="P19" s="5">
        <f>'budget 2025-26'!O45</f>
        <v>2234</v>
      </c>
      <c r="Q19" s="5">
        <f>SUM(E19:P19)</f>
        <v>24417</v>
      </c>
    </row>
    <row r="20" spans="3:17" x14ac:dyDescent="0.35">
      <c r="D20" s="3" t="str">
        <f>'KPI 1'!D20</f>
        <v>Actual 2025-26</v>
      </c>
      <c r="E20" s="5">
        <f>'Input Actual2025-26'!E47</f>
        <v>1872</v>
      </c>
      <c r="F20" s="5">
        <f>'Input Actual2025-26'!F47</f>
        <v>1889</v>
      </c>
      <c r="G20" s="5">
        <f>'Input Actual2025-26'!G47</f>
        <v>1901</v>
      </c>
      <c r="H20" s="5">
        <f>'Input Actual2025-26'!H47</f>
        <v>1910</v>
      </c>
      <c r="I20" s="5">
        <f>'Input Actual2025-26'!I47</f>
        <v>1919</v>
      </c>
      <c r="J20" s="5">
        <f>'Input Actual2025-26'!J47</f>
        <v>1929</v>
      </c>
      <c r="K20" s="5">
        <f>'Input Actual2025-26'!K47</f>
        <v>1962</v>
      </c>
      <c r="L20" s="5">
        <f>'Input Actual2025-26'!L47</f>
        <v>1975</v>
      </c>
      <c r="M20" s="5">
        <f>'Input Actual2025-26'!M47</f>
        <v>0</v>
      </c>
      <c r="N20" s="5">
        <f>'Input Actual2025-26'!N47</f>
        <v>0</v>
      </c>
      <c r="O20" s="5">
        <f>'Input Actual2025-26'!O47</f>
        <v>0</v>
      </c>
      <c r="P20" s="5">
        <f>'Input Actual2025-26'!P47</f>
        <v>0</v>
      </c>
      <c r="Q20" s="5">
        <f t="shared" ref="Q20:Q22" si="0">SUM(E20:P20)</f>
        <v>15357</v>
      </c>
    </row>
    <row r="21" spans="3:17" x14ac:dyDescent="0.35">
      <c r="D21" s="3" t="s">
        <v>424</v>
      </c>
      <c r="E21" s="5">
        <f>'Input Actual2024-25'!E45</f>
        <v>1740</v>
      </c>
      <c r="F21" s="5">
        <f>'Input Actual2024-25'!F45</f>
        <v>1748</v>
      </c>
      <c r="G21" s="5">
        <f>'Input Actual2024-25'!G45</f>
        <v>1747</v>
      </c>
      <c r="H21" s="5">
        <f>'Input Actual2024-25'!H45</f>
        <v>1748</v>
      </c>
      <c r="I21" s="5">
        <f>'Input Actual2024-25'!I45</f>
        <v>1749</v>
      </c>
      <c r="J21" s="5">
        <f>'Input Actual2024-25'!J45</f>
        <v>1749</v>
      </c>
      <c r="K21" s="5">
        <f>'Input Actual2024-25'!K45</f>
        <v>1762</v>
      </c>
      <c r="L21" s="5">
        <f>'Input Actual2024-25'!L45</f>
        <v>1774</v>
      </c>
      <c r="M21" s="5">
        <f>'Input Actual2024-25'!M45</f>
        <v>1789</v>
      </c>
      <c r="N21" s="5">
        <f>'Input Actual2024-25'!N45</f>
        <v>1804</v>
      </c>
      <c r="O21" s="5">
        <f>'Input Actual2024-25'!O45</f>
        <v>1821</v>
      </c>
      <c r="P21" s="5">
        <f>'Input Actual2024-25'!P45</f>
        <v>1835</v>
      </c>
      <c r="Q21" s="5">
        <f t="shared" si="0"/>
        <v>21266</v>
      </c>
    </row>
    <row r="22" spans="3:17" x14ac:dyDescent="0.35">
      <c r="D22" s="3" t="s">
        <v>7</v>
      </c>
      <c r="E22" s="5">
        <f t="shared" ref="E22:P22" si="1">IF(E20=0,0,E20-E19)</f>
        <v>29</v>
      </c>
      <c r="F22" s="5">
        <f t="shared" si="1"/>
        <v>38</v>
      </c>
      <c r="G22" s="5">
        <f t="shared" si="1"/>
        <v>30</v>
      </c>
      <c r="H22" s="5">
        <f t="shared" si="1"/>
        <v>-11</v>
      </c>
      <c r="I22" s="5">
        <f t="shared" si="1"/>
        <v>-52</v>
      </c>
      <c r="J22" s="5">
        <f t="shared" si="1"/>
        <v>-92</v>
      </c>
      <c r="K22" s="5">
        <f t="shared" si="1"/>
        <v>-104</v>
      </c>
      <c r="L22" s="5">
        <f t="shared" si="1"/>
        <v>-136</v>
      </c>
      <c r="M22" s="5">
        <f t="shared" si="1"/>
        <v>0</v>
      </c>
      <c r="N22" s="5">
        <f t="shared" si="1"/>
        <v>0</v>
      </c>
      <c r="O22" s="5">
        <f t="shared" si="1"/>
        <v>0</v>
      </c>
      <c r="P22" s="5">
        <f t="shared" si="1"/>
        <v>0</v>
      </c>
      <c r="Q22" s="5">
        <f t="shared" si="0"/>
        <v>-298</v>
      </c>
    </row>
    <row r="23" spans="3:17" x14ac:dyDescent="0.35">
      <c r="D23" s="3" t="s">
        <v>43</v>
      </c>
      <c r="E23" s="9">
        <f>E21/E19</f>
        <v>0.94411285946825829</v>
      </c>
      <c r="F23" s="9">
        <f t="shared" ref="F23:P23" si="2">F20/F19</f>
        <v>1.0205294435440302</v>
      </c>
      <c r="G23" s="9">
        <f t="shared" si="2"/>
        <v>1.0160342063067878</v>
      </c>
      <c r="H23" s="9">
        <f t="shared" si="2"/>
        <v>0.99427381572097862</v>
      </c>
      <c r="I23" s="9">
        <f t="shared" si="2"/>
        <v>0.97361745306950787</v>
      </c>
      <c r="J23" s="9">
        <f t="shared" si="2"/>
        <v>0.95447798119742699</v>
      </c>
      <c r="K23" s="9">
        <f t="shared" si="2"/>
        <v>0.9496611810261375</v>
      </c>
      <c r="L23" s="9">
        <f t="shared" si="2"/>
        <v>0.93557555660824254</v>
      </c>
      <c r="M23" s="9">
        <f t="shared" si="2"/>
        <v>0</v>
      </c>
      <c r="N23" s="9">
        <f t="shared" si="2"/>
        <v>0</v>
      </c>
      <c r="O23" s="9">
        <f t="shared" si="2"/>
        <v>0</v>
      </c>
      <c r="P23" s="9">
        <f t="shared" si="2"/>
        <v>0</v>
      </c>
    </row>
    <row r="25" spans="3:17" x14ac:dyDescent="0.35">
      <c r="C25" s="7" t="s">
        <v>3</v>
      </c>
      <c r="E25" s="11">
        <f>E18</f>
        <v>45839</v>
      </c>
      <c r="F25" s="11">
        <f t="shared" ref="F25:P28" si="3">F18</f>
        <v>45870</v>
      </c>
      <c r="G25" s="11">
        <f t="shared" si="3"/>
        <v>45901</v>
      </c>
      <c r="H25" s="11">
        <f t="shared" si="3"/>
        <v>45931</v>
      </c>
      <c r="I25" s="11">
        <f t="shared" si="3"/>
        <v>45962</v>
      </c>
      <c r="J25" s="11">
        <f t="shared" si="3"/>
        <v>45992</v>
      </c>
      <c r="K25" s="11">
        <f t="shared" si="3"/>
        <v>46023</v>
      </c>
      <c r="L25" s="11">
        <f t="shared" si="3"/>
        <v>46054</v>
      </c>
      <c r="M25" s="11">
        <f t="shared" si="3"/>
        <v>46082</v>
      </c>
      <c r="N25" s="11">
        <f t="shared" si="3"/>
        <v>46113</v>
      </c>
      <c r="O25" s="11">
        <f t="shared" si="3"/>
        <v>46143</v>
      </c>
      <c r="P25" s="11">
        <f t="shared" si="3"/>
        <v>46174</v>
      </c>
    </row>
    <row r="26" spans="3:17" x14ac:dyDescent="0.35">
      <c r="D26" s="3" t="str">
        <f>D19</f>
        <v>Budget 2025-26</v>
      </c>
      <c r="E26" s="5">
        <f>E19</f>
        <v>1843</v>
      </c>
      <c r="F26" s="5">
        <f t="shared" si="3"/>
        <v>1851</v>
      </c>
      <c r="G26" s="5">
        <f t="shared" si="3"/>
        <v>1871</v>
      </c>
      <c r="H26" s="5">
        <f t="shared" si="3"/>
        <v>1921</v>
      </c>
      <c r="I26" s="5">
        <f t="shared" si="3"/>
        <v>1971</v>
      </c>
      <c r="J26" s="5">
        <f t="shared" si="3"/>
        <v>2021</v>
      </c>
      <c r="K26" s="5">
        <f t="shared" si="3"/>
        <v>2066</v>
      </c>
      <c r="L26" s="5">
        <f t="shared" si="3"/>
        <v>2111</v>
      </c>
      <c r="M26" s="5">
        <f t="shared" si="3"/>
        <v>2146</v>
      </c>
      <c r="N26" s="5">
        <f t="shared" si="3"/>
        <v>2176</v>
      </c>
      <c r="O26" s="5">
        <f t="shared" si="3"/>
        <v>2206</v>
      </c>
      <c r="P26" s="5">
        <f t="shared" si="3"/>
        <v>2234</v>
      </c>
    </row>
    <row r="27" spans="3:17" x14ac:dyDescent="0.35">
      <c r="D27" s="3" t="str">
        <f t="shared" ref="D27:E30" si="4">D20</f>
        <v>Actual 2025-26</v>
      </c>
      <c r="E27" s="5">
        <f t="shared" si="4"/>
        <v>1872</v>
      </c>
      <c r="F27" s="5">
        <f t="shared" si="3"/>
        <v>1889</v>
      </c>
      <c r="G27" s="5">
        <f t="shared" si="3"/>
        <v>1901</v>
      </c>
      <c r="H27" s="5">
        <f t="shared" si="3"/>
        <v>1910</v>
      </c>
      <c r="I27" s="5">
        <f t="shared" si="3"/>
        <v>1919</v>
      </c>
      <c r="J27" s="5">
        <f t="shared" si="3"/>
        <v>1929</v>
      </c>
      <c r="K27" s="5">
        <f t="shared" si="3"/>
        <v>1962</v>
      </c>
      <c r="L27" s="5">
        <f t="shared" si="3"/>
        <v>1975</v>
      </c>
      <c r="M27" s="5">
        <f t="shared" si="3"/>
        <v>0</v>
      </c>
      <c r="N27" s="5">
        <f t="shared" si="3"/>
        <v>0</v>
      </c>
      <c r="O27" s="5">
        <f t="shared" si="3"/>
        <v>0</v>
      </c>
      <c r="P27" s="5">
        <f t="shared" si="3"/>
        <v>0</v>
      </c>
    </row>
    <row r="28" spans="3:17" x14ac:dyDescent="0.35">
      <c r="D28" s="3" t="str">
        <f t="shared" si="4"/>
        <v>Actual 2024-25</v>
      </c>
      <c r="E28" s="5">
        <f t="shared" si="4"/>
        <v>1740</v>
      </c>
      <c r="F28" s="5">
        <f t="shared" si="3"/>
        <v>1748</v>
      </c>
      <c r="G28" s="5">
        <f t="shared" si="3"/>
        <v>1747</v>
      </c>
      <c r="H28" s="5">
        <f t="shared" si="3"/>
        <v>1748</v>
      </c>
      <c r="I28" s="5">
        <f t="shared" si="3"/>
        <v>1749</v>
      </c>
      <c r="J28" s="5">
        <f t="shared" si="3"/>
        <v>1749</v>
      </c>
      <c r="K28" s="5">
        <f t="shared" si="3"/>
        <v>1762</v>
      </c>
      <c r="L28" s="5">
        <f t="shared" si="3"/>
        <v>1774</v>
      </c>
      <c r="M28" s="5">
        <f t="shared" si="3"/>
        <v>1789</v>
      </c>
      <c r="N28" s="5">
        <f t="shared" si="3"/>
        <v>1804</v>
      </c>
      <c r="O28" s="5">
        <f t="shared" si="3"/>
        <v>1821</v>
      </c>
      <c r="P28" s="5">
        <f t="shared" si="3"/>
        <v>1835</v>
      </c>
    </row>
    <row r="29" spans="3:17" x14ac:dyDescent="0.35">
      <c r="D29" s="3" t="str">
        <f t="shared" si="4"/>
        <v>Difference</v>
      </c>
      <c r="E29" s="5">
        <f>SUM($E22:E22)</f>
        <v>29</v>
      </c>
      <c r="F29" s="5">
        <f>SUM($E22:F22)</f>
        <v>67</v>
      </c>
      <c r="G29" s="5">
        <f>SUM($E22:G22)</f>
        <v>97</v>
      </c>
      <c r="H29" s="5">
        <f>SUM($E22:H22)</f>
        <v>86</v>
      </c>
      <c r="I29" s="5">
        <f>SUM($E22:I22)</f>
        <v>34</v>
      </c>
      <c r="J29" s="5">
        <f>SUM($E22:J22)</f>
        <v>-58</v>
      </c>
      <c r="K29" s="5">
        <f>SUM($E22:K22)</f>
        <v>-162</v>
      </c>
      <c r="L29" s="5">
        <f>SUM($E22:L22)</f>
        <v>-298</v>
      </c>
      <c r="M29" s="5">
        <f>SUM($E22:M22)</f>
        <v>-298</v>
      </c>
      <c r="N29" s="5">
        <f>SUM($E22:N22)</f>
        <v>-298</v>
      </c>
      <c r="O29" s="5">
        <f>SUM($E22:O22)</f>
        <v>-298</v>
      </c>
      <c r="P29" s="5">
        <f>SUM($E22:P22)</f>
        <v>-298</v>
      </c>
    </row>
    <row r="30" spans="3:17" x14ac:dyDescent="0.35">
      <c r="D30" s="3" t="str">
        <f t="shared" si="4"/>
        <v>Realisation</v>
      </c>
      <c r="E30" s="9">
        <f>E28/E26</f>
        <v>0.94411285946825829</v>
      </c>
      <c r="F30" s="9">
        <f t="shared" ref="F30:P30" si="5">F27/F26</f>
        <v>1.0205294435440302</v>
      </c>
      <c r="G30" s="9">
        <f t="shared" si="5"/>
        <v>1.0160342063067878</v>
      </c>
      <c r="H30" s="9">
        <f t="shared" si="5"/>
        <v>0.99427381572097862</v>
      </c>
      <c r="I30" s="9">
        <f t="shared" si="5"/>
        <v>0.97361745306950787</v>
      </c>
      <c r="J30" s="9">
        <f t="shared" si="5"/>
        <v>0.95447798119742699</v>
      </c>
      <c r="K30" s="9">
        <f t="shared" si="5"/>
        <v>0.9496611810261375</v>
      </c>
      <c r="L30" s="9">
        <f t="shared" si="5"/>
        <v>0.93557555660824254</v>
      </c>
      <c r="M30" s="9">
        <f t="shared" si="5"/>
        <v>0</v>
      </c>
      <c r="N30" s="9">
        <f t="shared" si="5"/>
        <v>0</v>
      </c>
      <c r="O30" s="9">
        <f t="shared" si="5"/>
        <v>0</v>
      </c>
      <c r="P30" s="9">
        <f t="shared" si="5"/>
        <v>0</v>
      </c>
    </row>
  </sheetData>
  <mergeCells count="2">
    <mergeCell ref="J4:Q8"/>
    <mergeCell ref="J10:Q15"/>
  </mergeCells>
  <conditionalFormatting sqref="C3">
    <cfRule type="expression" dxfId="458" priority="2">
      <formula>S4&lt;S6</formula>
    </cfRule>
  </conditionalFormatting>
  <conditionalFormatting sqref="C5">
    <cfRule type="expression" dxfId="457" priority="3">
      <formula>S4&gt;=S5</formula>
    </cfRule>
  </conditionalFormatting>
  <conditionalFormatting sqref="C4">
    <cfRule type="expression" dxfId="456" priority="1">
      <formula>AND(S4&gt;=S6,S4&lt;S5)</formula>
    </cfRule>
  </conditionalFormatting>
  <hyperlinks>
    <hyperlink ref="L1" location="Dashboard!A1" display="Dashboard"/>
  </hyperlinks>
  <pageMargins left="0.7" right="0.7" top="0.75" bottom="0.75" header="0.3" footer="0.3"/>
  <pageSetup orientation="portrait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970753" r:id="rId4" name="Spinner 1">
              <controlPr defaultSize="0" autoPict="0">
                <anchor moveWithCells="1" sizeWithCells="1">
                  <from>
                    <xdr:col>9</xdr:col>
                    <xdr:colOff>19050</xdr:colOff>
                    <xdr:row>0</xdr:row>
                    <xdr:rowOff>38100</xdr:rowOff>
                  </from>
                  <to>
                    <xdr:col>9</xdr:col>
                    <xdr:colOff>400050</xdr:colOff>
                    <xdr:row>1</xdr:row>
                    <xdr:rowOff>152400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4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36">
    <tabColor rgb="FFFFC000"/>
  </sheetPr>
  <dimension ref="A1:S30"/>
  <sheetViews>
    <sheetView zoomScale="90" zoomScaleNormal="90" workbookViewId="0">
      <selection activeCell="L1" sqref="L1"/>
    </sheetView>
  </sheetViews>
  <sheetFormatPr defaultColWidth="9.1796875" defaultRowHeight="14.5" x14ac:dyDescent="0.35"/>
  <cols>
    <col min="1" max="1" width="9.1796875" style="3"/>
    <col min="2" max="2" width="5.1796875" style="3" customWidth="1"/>
    <col min="3" max="3" width="6.26953125" style="3" customWidth="1"/>
    <col min="4" max="4" width="21.26953125" style="3" bestFit="1" customWidth="1"/>
    <col min="5" max="16" width="11.1796875" style="3" customWidth="1"/>
    <col min="17" max="17" width="12" style="3" bestFit="1" customWidth="1"/>
    <col min="18" max="18" width="9.1796875" style="3" customWidth="1"/>
    <col min="19" max="16384" width="9.1796875" style="3"/>
  </cols>
  <sheetData>
    <row r="1" spans="1:19" ht="21" x14ac:dyDescent="0.5">
      <c r="A1" s="4" t="s">
        <v>4</v>
      </c>
      <c r="B1" s="4">
        <f>Dashboard!A48</f>
        <v>2</v>
      </c>
      <c r="C1" s="4" t="str">
        <f>Dashboard!B48</f>
        <v>KAMERE- WATER</v>
      </c>
      <c r="G1" s="3" t="s">
        <v>9</v>
      </c>
      <c r="I1" s="12">
        <f>INDEX($E$18:$P$18,Actual_month)</f>
        <v>46054</v>
      </c>
      <c r="L1" s="16" t="s">
        <v>19</v>
      </c>
      <c r="R1" s="5"/>
    </row>
    <row r="2" spans="1:19" x14ac:dyDescent="0.35">
      <c r="A2" s="3" t="s">
        <v>13</v>
      </c>
      <c r="C2" s="3" t="s">
        <v>27</v>
      </c>
      <c r="R2" s="6"/>
    </row>
    <row r="3" spans="1:19" ht="25.5" customHeight="1" thickBot="1" x14ac:dyDescent="0.4">
      <c r="C3" s="1" t="s">
        <v>5</v>
      </c>
      <c r="E3" s="10"/>
      <c r="F3" s="10"/>
      <c r="G3" s="10"/>
      <c r="H3" s="10"/>
      <c r="I3" s="10"/>
      <c r="J3" s="3" t="s">
        <v>6</v>
      </c>
      <c r="K3" s="10"/>
      <c r="M3" s="10"/>
      <c r="N3" s="10"/>
      <c r="O3" s="10"/>
      <c r="P3" s="10"/>
    </row>
    <row r="4" spans="1:19" ht="25.5" customHeight="1" x14ac:dyDescent="0.35">
      <c r="C4" s="1" t="s">
        <v>5</v>
      </c>
      <c r="E4" s="10"/>
      <c r="F4" s="10"/>
      <c r="G4" s="10"/>
      <c r="H4" s="10"/>
      <c r="I4" s="10"/>
      <c r="J4" s="401"/>
      <c r="K4" s="402"/>
      <c r="L4" s="402"/>
      <c r="M4" s="402"/>
      <c r="N4" s="402"/>
      <c r="O4" s="402"/>
      <c r="P4" s="402"/>
      <c r="Q4" s="403"/>
      <c r="R4" s="3" t="s">
        <v>22</v>
      </c>
      <c r="S4" s="5">
        <f>INDEX(E27:P27,Actual_month)</f>
        <v>407</v>
      </c>
    </row>
    <row r="5" spans="1:19" ht="25.5" customHeight="1" x14ac:dyDescent="0.35">
      <c r="C5" s="1" t="s">
        <v>5</v>
      </c>
      <c r="E5" s="10"/>
      <c r="F5" s="10"/>
      <c r="G5" s="10"/>
      <c r="H5" s="10"/>
      <c r="I5" s="10"/>
      <c r="J5" s="404"/>
      <c r="K5" s="405"/>
      <c r="L5" s="405"/>
      <c r="M5" s="405"/>
      <c r="N5" s="405"/>
      <c r="O5" s="405"/>
      <c r="P5" s="405"/>
      <c r="Q5" s="406"/>
      <c r="R5" s="3" t="s">
        <v>23</v>
      </c>
      <c r="S5" s="5">
        <f>INDEX(E26:P26,Actual_month)</f>
        <v>433</v>
      </c>
    </row>
    <row r="6" spans="1:19" x14ac:dyDescent="0.35">
      <c r="J6" s="404"/>
      <c r="K6" s="405"/>
      <c r="L6" s="405"/>
      <c r="M6" s="405"/>
      <c r="N6" s="405"/>
      <c r="O6" s="405"/>
      <c r="P6" s="405"/>
      <c r="Q6" s="406"/>
      <c r="R6" s="6">
        <v>0.9</v>
      </c>
      <c r="S6" s="5">
        <f>+S5*R6</f>
        <v>389.7</v>
      </c>
    </row>
    <row r="7" spans="1:19" x14ac:dyDescent="0.35">
      <c r="J7" s="404"/>
      <c r="K7" s="405"/>
      <c r="L7" s="405"/>
      <c r="M7" s="405"/>
      <c r="N7" s="405"/>
      <c r="O7" s="405"/>
      <c r="P7" s="405"/>
      <c r="Q7" s="406"/>
    </row>
    <row r="8" spans="1:19" ht="15" thickBot="1" x14ac:dyDescent="0.4">
      <c r="J8" s="407"/>
      <c r="K8" s="408"/>
      <c r="L8" s="408"/>
      <c r="M8" s="408"/>
      <c r="N8" s="408"/>
      <c r="O8" s="408"/>
      <c r="P8" s="408"/>
      <c r="Q8" s="409"/>
    </row>
    <row r="9" spans="1:19" ht="15" thickBot="1" x14ac:dyDescent="0.4">
      <c r="J9" s="3" t="s">
        <v>12</v>
      </c>
    </row>
    <row r="10" spans="1:19" x14ac:dyDescent="0.35">
      <c r="J10" s="401"/>
      <c r="K10" s="402"/>
      <c r="L10" s="402"/>
      <c r="M10" s="402"/>
      <c r="N10" s="402"/>
      <c r="O10" s="402"/>
      <c r="P10" s="402"/>
      <c r="Q10" s="403"/>
    </row>
    <row r="11" spans="1:19" x14ac:dyDescent="0.35">
      <c r="J11" s="404"/>
      <c r="K11" s="405"/>
      <c r="L11" s="405"/>
      <c r="M11" s="405"/>
      <c r="N11" s="405"/>
      <c r="O11" s="405"/>
      <c r="P11" s="405"/>
      <c r="Q11" s="406"/>
    </row>
    <row r="12" spans="1:19" x14ac:dyDescent="0.35">
      <c r="J12" s="404"/>
      <c r="K12" s="405"/>
      <c r="L12" s="405"/>
      <c r="M12" s="405"/>
      <c r="N12" s="405"/>
      <c r="O12" s="405"/>
      <c r="P12" s="405"/>
      <c r="Q12" s="406"/>
    </row>
    <row r="13" spans="1:19" x14ac:dyDescent="0.35">
      <c r="J13" s="404"/>
      <c r="K13" s="405"/>
      <c r="L13" s="405"/>
      <c r="M13" s="405"/>
      <c r="N13" s="405"/>
      <c r="O13" s="405"/>
      <c r="P13" s="405"/>
      <c r="Q13" s="406"/>
    </row>
    <row r="14" spans="1:19" x14ac:dyDescent="0.35">
      <c r="J14" s="404"/>
      <c r="K14" s="405"/>
      <c r="L14" s="405"/>
      <c r="M14" s="405"/>
      <c r="N14" s="405"/>
      <c r="O14" s="405"/>
      <c r="P14" s="405"/>
      <c r="Q14" s="406"/>
    </row>
    <row r="15" spans="1:19" ht="15" thickBot="1" x14ac:dyDescent="0.4">
      <c r="J15" s="407"/>
      <c r="K15" s="408"/>
      <c r="L15" s="408"/>
      <c r="M15" s="408"/>
      <c r="N15" s="408"/>
      <c r="O15" s="408"/>
      <c r="P15" s="408"/>
      <c r="Q15" s="409"/>
    </row>
    <row r="18" spans="3:17" x14ac:dyDescent="0.35">
      <c r="C18" s="7" t="s">
        <v>8</v>
      </c>
      <c r="E18" s="11">
        <f>'KPI 1'!E18</f>
        <v>45839</v>
      </c>
      <c r="F18" s="11">
        <f>'KPI 1'!F18</f>
        <v>45870</v>
      </c>
      <c r="G18" s="11">
        <f>'KPI 1'!G18</f>
        <v>45901</v>
      </c>
      <c r="H18" s="11">
        <f>'KPI 1'!H18</f>
        <v>45931</v>
      </c>
      <c r="I18" s="11">
        <f>'KPI 1'!I18</f>
        <v>45962</v>
      </c>
      <c r="J18" s="11">
        <f>'KPI 1'!J18</f>
        <v>45992</v>
      </c>
      <c r="K18" s="11">
        <f>'KPI 1'!K18</f>
        <v>46023</v>
      </c>
      <c r="L18" s="11">
        <f>'KPI 1'!L18</f>
        <v>46054</v>
      </c>
      <c r="M18" s="11">
        <f>'KPI 1'!M18</f>
        <v>46082</v>
      </c>
      <c r="N18" s="11">
        <f>'KPI 1'!N18</f>
        <v>46113</v>
      </c>
      <c r="O18" s="11">
        <f>'KPI 1'!O18</f>
        <v>46143</v>
      </c>
      <c r="P18" s="11">
        <f>'KPI 1'!P18</f>
        <v>46174</v>
      </c>
      <c r="Q18" s="8" t="s">
        <v>0</v>
      </c>
    </row>
    <row r="19" spans="3:17" x14ac:dyDescent="0.35">
      <c r="D19" s="3" t="str">
        <f>'KPI 1'!D19</f>
        <v>Budget 2025-26</v>
      </c>
      <c r="E19" s="5">
        <f>'budget 2025-26'!D46</f>
        <v>366</v>
      </c>
      <c r="F19" s="5">
        <f>'budget 2025-26'!E46</f>
        <v>367</v>
      </c>
      <c r="G19" s="5">
        <f>'budget 2025-26'!F46</f>
        <v>368</v>
      </c>
      <c r="H19" s="5">
        <f>'budget 2025-26'!G46</f>
        <v>389</v>
      </c>
      <c r="I19" s="5">
        <f>'budget 2025-26'!H46</f>
        <v>400</v>
      </c>
      <c r="J19" s="5">
        <f>'budget 2025-26'!I46</f>
        <v>411</v>
      </c>
      <c r="K19" s="5">
        <f>'budget 2025-26'!J46</f>
        <v>422</v>
      </c>
      <c r="L19" s="5">
        <f>'budget 2025-26'!K46</f>
        <v>433</v>
      </c>
      <c r="M19" s="5">
        <f>'budget 2025-26'!L46</f>
        <v>444</v>
      </c>
      <c r="N19" s="5">
        <f>'budget 2025-26'!M46</f>
        <v>455</v>
      </c>
      <c r="O19" s="5">
        <f>'budget 2025-26'!N46</f>
        <v>466</v>
      </c>
      <c r="P19" s="5">
        <f>'budget 2025-26'!O46</f>
        <v>477</v>
      </c>
      <c r="Q19" s="5">
        <f>SUM(E19:P19)</f>
        <v>4998</v>
      </c>
    </row>
    <row r="20" spans="3:17" x14ac:dyDescent="0.35">
      <c r="D20" s="3" t="str">
        <f>'KPI 1'!D20</f>
        <v>Actual 2025-26</v>
      </c>
      <c r="E20" s="5">
        <f>'Input Actual2025-26'!E48</f>
        <v>365</v>
      </c>
      <c r="F20" s="5">
        <f>'Input Actual2025-26'!F48</f>
        <v>368</v>
      </c>
      <c r="G20" s="5">
        <f>'Input Actual2025-26'!G48</f>
        <v>382</v>
      </c>
      <c r="H20" s="5">
        <f>'Input Actual2025-26'!H48</f>
        <v>382</v>
      </c>
      <c r="I20" s="5">
        <f>'Input Actual2025-26'!I48</f>
        <v>397</v>
      </c>
      <c r="J20" s="5">
        <f>'Input Actual2025-26'!J48</f>
        <v>401</v>
      </c>
      <c r="K20" s="5">
        <f>'Input Actual2025-26'!K48</f>
        <v>405</v>
      </c>
      <c r="L20" s="5">
        <f>'Input Actual2025-26'!L48</f>
        <v>407</v>
      </c>
      <c r="M20" s="5">
        <f>'Input Actual2025-26'!M48</f>
        <v>0</v>
      </c>
      <c r="N20" s="5">
        <f>'Input Actual2025-26'!N48</f>
        <v>0</v>
      </c>
      <c r="O20" s="5">
        <f>'Input Actual2025-26'!O48</f>
        <v>0</v>
      </c>
      <c r="P20" s="5">
        <f>'Input Actual2025-26'!P48</f>
        <v>0</v>
      </c>
      <c r="Q20" s="5">
        <f t="shared" ref="Q20:Q22" si="0">SUM(E20:P20)</f>
        <v>3107</v>
      </c>
    </row>
    <row r="21" spans="3:17" x14ac:dyDescent="0.35">
      <c r="D21" s="3" t="s">
        <v>424</v>
      </c>
      <c r="E21" s="5">
        <f>'Input Actual2024-25'!E46</f>
        <v>356</v>
      </c>
      <c r="F21" s="5">
        <f>'Input Actual2024-25'!F46</f>
        <v>357</v>
      </c>
      <c r="G21" s="5">
        <f>'Input Actual2024-25'!G46</f>
        <v>357</v>
      </c>
      <c r="H21" s="5">
        <f>'Input Actual2024-25'!H46</f>
        <v>358</v>
      </c>
      <c r="I21" s="5">
        <f>'Input Actual2024-25'!I46</f>
        <v>358</v>
      </c>
      <c r="J21" s="5">
        <f>'Input Actual2024-25'!J46</f>
        <v>359</v>
      </c>
      <c r="K21" s="5">
        <f>'Input Actual2024-25'!K46</f>
        <v>360</v>
      </c>
      <c r="L21" s="5">
        <f>'Input Actual2024-25'!L46</f>
        <v>364</v>
      </c>
      <c r="M21" s="5">
        <f>'Input Actual2024-25'!M46</f>
        <v>364</v>
      </c>
      <c r="N21" s="5">
        <f>'Input Actual2024-25'!N46</f>
        <v>364</v>
      </c>
      <c r="O21" s="5">
        <f>'Input Actual2024-25'!O46</f>
        <v>365</v>
      </c>
      <c r="P21" s="5">
        <f>'Input Actual2024-25'!P46</f>
        <v>365</v>
      </c>
      <c r="Q21" s="5">
        <f t="shared" si="0"/>
        <v>4327</v>
      </c>
    </row>
    <row r="22" spans="3:17" x14ac:dyDescent="0.35">
      <c r="D22" s="3" t="s">
        <v>7</v>
      </c>
      <c r="E22" s="5">
        <f t="shared" ref="E22:P22" si="1">IF(E20=0,0,E20-E19)</f>
        <v>-1</v>
      </c>
      <c r="F22" s="5">
        <f t="shared" si="1"/>
        <v>1</v>
      </c>
      <c r="G22" s="5">
        <f t="shared" si="1"/>
        <v>14</v>
      </c>
      <c r="H22" s="5">
        <f t="shared" si="1"/>
        <v>-7</v>
      </c>
      <c r="I22" s="5">
        <f t="shared" si="1"/>
        <v>-3</v>
      </c>
      <c r="J22" s="5">
        <f t="shared" si="1"/>
        <v>-10</v>
      </c>
      <c r="K22" s="5">
        <f t="shared" si="1"/>
        <v>-17</v>
      </c>
      <c r="L22" s="5">
        <f t="shared" si="1"/>
        <v>-26</v>
      </c>
      <c r="M22" s="5">
        <f t="shared" si="1"/>
        <v>0</v>
      </c>
      <c r="N22" s="5">
        <f t="shared" si="1"/>
        <v>0</v>
      </c>
      <c r="O22" s="5">
        <f t="shared" si="1"/>
        <v>0</v>
      </c>
      <c r="P22" s="5">
        <f t="shared" si="1"/>
        <v>0</v>
      </c>
      <c r="Q22" s="5">
        <f t="shared" si="0"/>
        <v>-49</v>
      </c>
    </row>
    <row r="23" spans="3:17" x14ac:dyDescent="0.35">
      <c r="D23" s="3" t="s">
        <v>43</v>
      </c>
      <c r="E23" s="9">
        <f>E21/E19</f>
        <v>0.97267759562841527</v>
      </c>
      <c r="F23" s="9">
        <f t="shared" ref="F23:P23" si="2">F20/F19</f>
        <v>1.0027247956403269</v>
      </c>
      <c r="G23" s="9">
        <f t="shared" si="2"/>
        <v>1.0380434782608696</v>
      </c>
      <c r="H23" s="9">
        <f t="shared" si="2"/>
        <v>0.98200514138817485</v>
      </c>
      <c r="I23" s="9">
        <f t="shared" si="2"/>
        <v>0.99250000000000005</v>
      </c>
      <c r="J23" s="9">
        <f t="shared" si="2"/>
        <v>0.97566909975669103</v>
      </c>
      <c r="K23" s="9">
        <f t="shared" si="2"/>
        <v>0.95971563981042651</v>
      </c>
      <c r="L23" s="9">
        <f t="shared" si="2"/>
        <v>0.93995381062355654</v>
      </c>
      <c r="M23" s="9">
        <f t="shared" si="2"/>
        <v>0</v>
      </c>
      <c r="N23" s="9">
        <f t="shared" si="2"/>
        <v>0</v>
      </c>
      <c r="O23" s="9">
        <f t="shared" si="2"/>
        <v>0</v>
      </c>
      <c r="P23" s="9">
        <f t="shared" si="2"/>
        <v>0</v>
      </c>
    </row>
    <row r="25" spans="3:17" x14ac:dyDescent="0.35">
      <c r="C25" s="7" t="s">
        <v>3</v>
      </c>
      <c r="E25" s="11">
        <f>E18</f>
        <v>45839</v>
      </c>
      <c r="F25" s="11">
        <f t="shared" ref="F25:P28" si="3">F18</f>
        <v>45870</v>
      </c>
      <c r="G25" s="11">
        <f t="shared" si="3"/>
        <v>45901</v>
      </c>
      <c r="H25" s="11">
        <f t="shared" si="3"/>
        <v>45931</v>
      </c>
      <c r="I25" s="11">
        <f t="shared" si="3"/>
        <v>45962</v>
      </c>
      <c r="J25" s="11">
        <f t="shared" si="3"/>
        <v>45992</v>
      </c>
      <c r="K25" s="11">
        <f t="shared" si="3"/>
        <v>46023</v>
      </c>
      <c r="L25" s="11">
        <f t="shared" si="3"/>
        <v>46054</v>
      </c>
      <c r="M25" s="11">
        <f t="shared" si="3"/>
        <v>46082</v>
      </c>
      <c r="N25" s="11">
        <f t="shared" si="3"/>
        <v>46113</v>
      </c>
      <c r="O25" s="11">
        <f t="shared" si="3"/>
        <v>46143</v>
      </c>
      <c r="P25" s="11">
        <f t="shared" si="3"/>
        <v>46174</v>
      </c>
    </row>
    <row r="26" spans="3:17" x14ac:dyDescent="0.35">
      <c r="D26" s="3" t="str">
        <f>D19</f>
        <v>Budget 2025-26</v>
      </c>
      <c r="E26" s="5">
        <f>E19</f>
        <v>366</v>
      </c>
      <c r="F26" s="5">
        <f t="shared" si="3"/>
        <v>367</v>
      </c>
      <c r="G26" s="5">
        <f t="shared" si="3"/>
        <v>368</v>
      </c>
      <c r="H26" s="5">
        <f t="shared" si="3"/>
        <v>389</v>
      </c>
      <c r="I26" s="5">
        <f t="shared" si="3"/>
        <v>400</v>
      </c>
      <c r="J26" s="5">
        <f t="shared" si="3"/>
        <v>411</v>
      </c>
      <c r="K26" s="5">
        <f t="shared" si="3"/>
        <v>422</v>
      </c>
      <c r="L26" s="5">
        <f t="shared" si="3"/>
        <v>433</v>
      </c>
      <c r="M26" s="5">
        <f t="shared" si="3"/>
        <v>444</v>
      </c>
      <c r="N26" s="5">
        <f t="shared" si="3"/>
        <v>455</v>
      </c>
      <c r="O26" s="5">
        <f t="shared" si="3"/>
        <v>466</v>
      </c>
      <c r="P26" s="5">
        <f t="shared" si="3"/>
        <v>477</v>
      </c>
    </row>
    <row r="27" spans="3:17" x14ac:dyDescent="0.35">
      <c r="D27" s="3" t="str">
        <f t="shared" ref="D27:E30" si="4">D20</f>
        <v>Actual 2025-26</v>
      </c>
      <c r="E27" s="5">
        <f t="shared" si="4"/>
        <v>365</v>
      </c>
      <c r="F27" s="5">
        <f t="shared" si="3"/>
        <v>368</v>
      </c>
      <c r="G27" s="5">
        <f t="shared" si="3"/>
        <v>382</v>
      </c>
      <c r="H27" s="5">
        <f t="shared" si="3"/>
        <v>382</v>
      </c>
      <c r="I27" s="5">
        <f t="shared" si="3"/>
        <v>397</v>
      </c>
      <c r="J27" s="5">
        <f t="shared" si="3"/>
        <v>401</v>
      </c>
      <c r="K27" s="5">
        <f t="shared" si="3"/>
        <v>405</v>
      </c>
      <c r="L27" s="5">
        <f t="shared" si="3"/>
        <v>407</v>
      </c>
      <c r="M27" s="5">
        <f t="shared" si="3"/>
        <v>0</v>
      </c>
      <c r="N27" s="5">
        <f t="shared" si="3"/>
        <v>0</v>
      </c>
      <c r="O27" s="5">
        <f t="shared" si="3"/>
        <v>0</v>
      </c>
      <c r="P27" s="5">
        <f t="shared" si="3"/>
        <v>0</v>
      </c>
    </row>
    <row r="28" spans="3:17" x14ac:dyDescent="0.35">
      <c r="D28" s="3" t="str">
        <f t="shared" si="4"/>
        <v>Actual 2024-25</v>
      </c>
      <c r="E28" s="5">
        <f t="shared" si="4"/>
        <v>356</v>
      </c>
      <c r="F28" s="5">
        <f t="shared" si="3"/>
        <v>357</v>
      </c>
      <c r="G28" s="5">
        <f t="shared" si="3"/>
        <v>357</v>
      </c>
      <c r="H28" s="5">
        <f t="shared" si="3"/>
        <v>358</v>
      </c>
      <c r="I28" s="5">
        <f t="shared" si="3"/>
        <v>358</v>
      </c>
      <c r="J28" s="5">
        <f t="shared" si="3"/>
        <v>359</v>
      </c>
      <c r="K28" s="5">
        <f t="shared" si="3"/>
        <v>360</v>
      </c>
      <c r="L28" s="5">
        <f t="shared" si="3"/>
        <v>364</v>
      </c>
      <c r="M28" s="5">
        <f t="shared" si="3"/>
        <v>364</v>
      </c>
      <c r="N28" s="5">
        <f t="shared" si="3"/>
        <v>364</v>
      </c>
      <c r="O28" s="5">
        <f t="shared" si="3"/>
        <v>365</v>
      </c>
      <c r="P28" s="5">
        <f t="shared" si="3"/>
        <v>365</v>
      </c>
    </row>
    <row r="29" spans="3:17" x14ac:dyDescent="0.35">
      <c r="D29" s="3" t="str">
        <f t="shared" si="4"/>
        <v>Difference</v>
      </c>
      <c r="E29" s="5">
        <f>SUM($E22:E22)</f>
        <v>-1</v>
      </c>
      <c r="F29" s="5">
        <f>SUM($E22:F22)</f>
        <v>0</v>
      </c>
      <c r="G29" s="5">
        <f>SUM($E22:G22)</f>
        <v>14</v>
      </c>
      <c r="H29" s="5">
        <f>SUM($E22:H22)</f>
        <v>7</v>
      </c>
      <c r="I29" s="5">
        <f>SUM($E22:I22)</f>
        <v>4</v>
      </c>
      <c r="J29" s="5">
        <f>SUM($E22:J22)</f>
        <v>-6</v>
      </c>
      <c r="K29" s="5">
        <f>SUM($E22:K22)</f>
        <v>-23</v>
      </c>
      <c r="L29" s="5">
        <f>SUM($E22:L22)</f>
        <v>-49</v>
      </c>
      <c r="M29" s="5">
        <f>SUM($E22:M22)</f>
        <v>-49</v>
      </c>
      <c r="N29" s="5">
        <f>SUM($E22:N22)</f>
        <v>-49</v>
      </c>
      <c r="O29" s="5">
        <f>SUM($E22:O22)</f>
        <v>-49</v>
      </c>
      <c r="P29" s="5">
        <f>SUM($E22:P22)</f>
        <v>-49</v>
      </c>
    </row>
    <row r="30" spans="3:17" x14ac:dyDescent="0.35">
      <c r="D30" s="3" t="str">
        <f t="shared" si="4"/>
        <v>Realisation</v>
      </c>
      <c r="E30" s="9">
        <f>E28/E26</f>
        <v>0.97267759562841527</v>
      </c>
      <c r="F30" s="9">
        <f t="shared" ref="F30:P30" si="5">F27/F26</f>
        <v>1.0027247956403269</v>
      </c>
      <c r="G30" s="9">
        <f t="shared" si="5"/>
        <v>1.0380434782608696</v>
      </c>
      <c r="H30" s="9">
        <f t="shared" si="5"/>
        <v>0.98200514138817485</v>
      </c>
      <c r="I30" s="9">
        <f t="shared" si="5"/>
        <v>0.99250000000000005</v>
      </c>
      <c r="J30" s="9">
        <f t="shared" si="5"/>
        <v>0.97566909975669103</v>
      </c>
      <c r="K30" s="9">
        <f t="shared" si="5"/>
        <v>0.95971563981042651</v>
      </c>
      <c r="L30" s="9">
        <f t="shared" si="5"/>
        <v>0.93995381062355654</v>
      </c>
      <c r="M30" s="9">
        <f t="shared" si="5"/>
        <v>0</v>
      </c>
      <c r="N30" s="9">
        <f t="shared" si="5"/>
        <v>0</v>
      </c>
      <c r="O30" s="9">
        <f t="shared" si="5"/>
        <v>0</v>
      </c>
      <c r="P30" s="9">
        <f t="shared" si="5"/>
        <v>0</v>
      </c>
    </row>
  </sheetData>
  <mergeCells count="2">
    <mergeCell ref="J4:Q8"/>
    <mergeCell ref="J10:Q15"/>
  </mergeCells>
  <conditionalFormatting sqref="C3">
    <cfRule type="expression" dxfId="455" priority="2">
      <formula>S4&lt;S6</formula>
    </cfRule>
  </conditionalFormatting>
  <conditionalFormatting sqref="C5">
    <cfRule type="expression" dxfId="454" priority="3">
      <formula>S4&gt;=S5</formula>
    </cfRule>
  </conditionalFormatting>
  <conditionalFormatting sqref="C4">
    <cfRule type="expression" dxfId="453" priority="1">
      <formula>AND(S4&gt;=S6,S4&lt;S5)</formula>
    </cfRule>
  </conditionalFormatting>
  <hyperlinks>
    <hyperlink ref="L1" location="Dashboard!A1" display="Dashboard"/>
  </hyperlinks>
  <pageMargins left="0.7" right="0.7" top="0.75" bottom="0.75" header="0.3" footer="0.3"/>
  <pageSetup orientation="portrait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971777" r:id="rId4" name="Spinner 1">
              <controlPr defaultSize="0" autoPict="0">
                <anchor moveWithCells="1" sizeWithCells="1">
                  <from>
                    <xdr:col>9</xdr:col>
                    <xdr:colOff>19050</xdr:colOff>
                    <xdr:row>0</xdr:row>
                    <xdr:rowOff>38100</xdr:rowOff>
                  </from>
                  <to>
                    <xdr:col>9</xdr:col>
                    <xdr:colOff>400050</xdr:colOff>
                    <xdr:row>1</xdr:row>
                    <xdr:rowOff>152400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4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FFC000"/>
  </sheetPr>
  <dimension ref="A1:S30"/>
  <sheetViews>
    <sheetView topLeftCell="A7" workbookViewId="0">
      <selection activeCell="E19" sqref="E19"/>
    </sheetView>
  </sheetViews>
  <sheetFormatPr defaultColWidth="9.1796875" defaultRowHeight="14.5" x14ac:dyDescent="0.35"/>
  <cols>
    <col min="1" max="1" width="9.1796875" style="3"/>
    <col min="2" max="2" width="5.1796875" style="3" customWidth="1"/>
    <col min="3" max="3" width="6.26953125" style="3" customWidth="1"/>
    <col min="4" max="4" width="21.26953125" style="3" bestFit="1" customWidth="1"/>
    <col min="5" max="16" width="11.1796875" style="3" customWidth="1"/>
    <col min="17" max="17" width="12" style="3" bestFit="1" customWidth="1"/>
    <col min="18" max="18" width="9.1796875" style="3" customWidth="1"/>
    <col min="19" max="16384" width="9.1796875" style="3"/>
  </cols>
  <sheetData>
    <row r="1" spans="1:19" ht="21" x14ac:dyDescent="0.5">
      <c r="A1" s="4" t="s">
        <v>4</v>
      </c>
      <c r="B1" s="4">
        <f>Dashboard!A53</f>
        <v>1</v>
      </c>
      <c r="C1" s="4" t="str">
        <f>Dashboard!B54</f>
        <v>IHINDU-WATER</v>
      </c>
      <c r="G1" s="3" t="s">
        <v>9</v>
      </c>
      <c r="I1" s="12">
        <f>INDEX($E$18:$P$18,Actual_month)</f>
        <v>46054</v>
      </c>
      <c r="L1" s="16" t="s">
        <v>19</v>
      </c>
      <c r="R1" s="5"/>
    </row>
    <row r="2" spans="1:19" x14ac:dyDescent="0.35">
      <c r="A2" s="3" t="s">
        <v>13</v>
      </c>
      <c r="C2" s="3" t="s">
        <v>27</v>
      </c>
      <c r="R2" s="6"/>
    </row>
    <row r="3" spans="1:19" ht="25.5" customHeight="1" thickBot="1" x14ac:dyDescent="0.4">
      <c r="C3" s="1" t="s">
        <v>5</v>
      </c>
      <c r="E3" s="10"/>
      <c r="F3" s="10"/>
      <c r="G3" s="10"/>
      <c r="H3" s="10"/>
      <c r="I3" s="10"/>
      <c r="J3" s="3" t="s">
        <v>6</v>
      </c>
      <c r="K3" s="10"/>
      <c r="M3" s="10"/>
      <c r="N3" s="10"/>
      <c r="O3" s="10"/>
      <c r="P3" s="10"/>
    </row>
    <row r="4" spans="1:19" ht="25.5" customHeight="1" x14ac:dyDescent="0.35">
      <c r="C4" s="1" t="s">
        <v>5</v>
      </c>
      <c r="E4" s="10"/>
      <c r="F4" s="10"/>
      <c r="G4" s="10"/>
      <c r="H4" s="10"/>
      <c r="I4" s="10"/>
      <c r="J4" s="401"/>
      <c r="K4" s="402"/>
      <c r="L4" s="402"/>
      <c r="M4" s="402"/>
      <c r="N4" s="402"/>
      <c r="O4" s="402"/>
      <c r="P4" s="402"/>
      <c r="Q4" s="403"/>
      <c r="R4" s="3" t="s">
        <v>22</v>
      </c>
      <c r="S4" s="5">
        <f>INDEX(E27:P27,Actual_month)</f>
        <v>60</v>
      </c>
    </row>
    <row r="5" spans="1:19" ht="25.5" customHeight="1" x14ac:dyDescent="0.35">
      <c r="C5" s="1" t="s">
        <v>5</v>
      </c>
      <c r="E5" s="10"/>
      <c r="F5" s="10"/>
      <c r="G5" s="10"/>
      <c r="H5" s="10"/>
      <c r="I5" s="10"/>
      <c r="J5" s="404"/>
      <c r="K5" s="405"/>
      <c r="L5" s="405"/>
      <c r="M5" s="405"/>
      <c r="N5" s="405"/>
      <c r="O5" s="405"/>
      <c r="P5" s="405"/>
      <c r="Q5" s="406"/>
      <c r="R5" s="3" t="s">
        <v>23</v>
      </c>
      <c r="S5" s="5">
        <f>INDEX(E26:P26,Actual_month)</f>
        <v>285</v>
      </c>
    </row>
    <row r="6" spans="1:19" x14ac:dyDescent="0.35">
      <c r="J6" s="404"/>
      <c r="K6" s="405"/>
      <c r="L6" s="405"/>
      <c r="M6" s="405"/>
      <c r="N6" s="405"/>
      <c r="O6" s="405"/>
      <c r="P6" s="405"/>
      <c r="Q6" s="406"/>
      <c r="R6" s="6">
        <v>0.9</v>
      </c>
      <c r="S6" s="5">
        <f>+S5*R6</f>
        <v>256.5</v>
      </c>
    </row>
    <row r="7" spans="1:19" x14ac:dyDescent="0.35">
      <c r="J7" s="404"/>
      <c r="K7" s="405"/>
      <c r="L7" s="405"/>
      <c r="M7" s="405"/>
      <c r="N7" s="405"/>
      <c r="O7" s="405"/>
      <c r="P7" s="405"/>
      <c r="Q7" s="406"/>
    </row>
    <row r="8" spans="1:19" ht="15" thickBot="1" x14ac:dyDescent="0.4">
      <c r="J8" s="407"/>
      <c r="K8" s="408"/>
      <c r="L8" s="408"/>
      <c r="M8" s="408"/>
      <c r="N8" s="408"/>
      <c r="O8" s="408"/>
      <c r="P8" s="408"/>
      <c r="Q8" s="409"/>
    </row>
    <row r="9" spans="1:19" ht="15" thickBot="1" x14ac:dyDescent="0.4">
      <c r="J9" s="3" t="s">
        <v>12</v>
      </c>
    </row>
    <row r="10" spans="1:19" x14ac:dyDescent="0.35">
      <c r="J10" s="401"/>
      <c r="K10" s="402"/>
      <c r="L10" s="402"/>
      <c r="M10" s="402"/>
      <c r="N10" s="402"/>
      <c r="O10" s="402"/>
      <c r="P10" s="402"/>
      <c r="Q10" s="403"/>
    </row>
    <row r="11" spans="1:19" x14ac:dyDescent="0.35">
      <c r="J11" s="404"/>
      <c r="K11" s="405"/>
      <c r="L11" s="405"/>
      <c r="M11" s="405"/>
      <c r="N11" s="405"/>
      <c r="O11" s="405"/>
      <c r="P11" s="405"/>
      <c r="Q11" s="406"/>
    </row>
    <row r="12" spans="1:19" x14ac:dyDescent="0.35">
      <c r="J12" s="404"/>
      <c r="K12" s="405"/>
      <c r="L12" s="405"/>
      <c r="M12" s="405"/>
      <c r="N12" s="405"/>
      <c r="O12" s="405"/>
      <c r="P12" s="405"/>
      <c r="Q12" s="406"/>
    </row>
    <row r="13" spans="1:19" x14ac:dyDescent="0.35">
      <c r="J13" s="404"/>
      <c r="K13" s="405"/>
      <c r="L13" s="405"/>
      <c r="M13" s="405"/>
      <c r="N13" s="405"/>
      <c r="O13" s="405"/>
      <c r="P13" s="405"/>
      <c r="Q13" s="406"/>
    </row>
    <row r="14" spans="1:19" x14ac:dyDescent="0.35">
      <c r="J14" s="404"/>
      <c r="K14" s="405"/>
      <c r="L14" s="405"/>
      <c r="M14" s="405"/>
      <c r="N14" s="405"/>
      <c r="O14" s="405"/>
      <c r="P14" s="405"/>
      <c r="Q14" s="406"/>
    </row>
    <row r="15" spans="1:19" ht="15" thickBot="1" x14ac:dyDescent="0.4">
      <c r="J15" s="407"/>
      <c r="K15" s="408"/>
      <c r="L15" s="408"/>
      <c r="M15" s="408"/>
      <c r="N15" s="408"/>
      <c r="O15" s="408"/>
      <c r="P15" s="408"/>
      <c r="Q15" s="409"/>
    </row>
    <row r="18" spans="3:17" x14ac:dyDescent="0.35">
      <c r="C18" s="7" t="s">
        <v>8</v>
      </c>
      <c r="E18" s="11">
        <f>'KPI 1'!E18</f>
        <v>45839</v>
      </c>
      <c r="F18" s="11">
        <f>'KPI 1'!F18</f>
        <v>45870</v>
      </c>
      <c r="G18" s="11">
        <f>'KPI 1'!G18</f>
        <v>45901</v>
      </c>
      <c r="H18" s="11">
        <f>'KPI 1'!H18</f>
        <v>45931</v>
      </c>
      <c r="I18" s="11">
        <f>'KPI 1'!I18</f>
        <v>45962</v>
      </c>
      <c r="J18" s="11">
        <f>'KPI 1'!J18</f>
        <v>45992</v>
      </c>
      <c r="K18" s="11">
        <f>'KPI 1'!K18</f>
        <v>46023</v>
      </c>
      <c r="L18" s="11">
        <f>'KPI 1'!L18</f>
        <v>46054</v>
      </c>
      <c r="M18" s="11">
        <f>'KPI 1'!M18</f>
        <v>46082</v>
      </c>
      <c r="N18" s="11">
        <f>'KPI 1'!N18</f>
        <v>46113</v>
      </c>
      <c r="O18" s="11">
        <f>'KPI 1'!O18</f>
        <v>46143</v>
      </c>
      <c r="P18" s="11">
        <f>'KPI 1'!P18</f>
        <v>46174</v>
      </c>
      <c r="Q18" s="8" t="s">
        <v>0</v>
      </c>
    </row>
    <row r="19" spans="3:17" x14ac:dyDescent="0.35">
      <c r="D19" s="3" t="str">
        <f>'KPI 1'!D19</f>
        <v>Budget 2025-26</v>
      </c>
      <c r="E19" s="5">
        <f>'budget 2025-26'!D51</f>
        <v>94</v>
      </c>
      <c r="F19" s="5">
        <f>'budget 2025-26'!E51</f>
        <v>132</v>
      </c>
      <c r="G19" s="5">
        <f>'budget 2025-26'!F51</f>
        <v>165</v>
      </c>
      <c r="H19" s="5">
        <f>'budget 2025-26'!G51</f>
        <v>193</v>
      </c>
      <c r="I19" s="5">
        <f>'budget 2025-26'!H51</f>
        <v>221</v>
      </c>
      <c r="J19" s="5">
        <f>'budget 2025-26'!I51</f>
        <v>244</v>
      </c>
      <c r="K19" s="5">
        <f>'budget 2025-26'!J51</f>
        <v>267</v>
      </c>
      <c r="L19" s="5">
        <f>'budget 2025-26'!K51</f>
        <v>285</v>
      </c>
      <c r="M19" s="5">
        <f>'budget 2025-26'!L51</f>
        <v>303</v>
      </c>
      <c r="N19" s="5">
        <f>'budget 2025-26'!M51</f>
        <v>321</v>
      </c>
      <c r="O19" s="5">
        <f>'budget 2025-26'!N51</f>
        <v>339</v>
      </c>
      <c r="P19" s="5">
        <f>'budget 2025-26'!O51</f>
        <v>357</v>
      </c>
      <c r="Q19" s="5">
        <f>SUM(E19:P19)</f>
        <v>2921</v>
      </c>
    </row>
    <row r="20" spans="3:17" x14ac:dyDescent="0.35">
      <c r="D20" s="3" t="str">
        <f>'KPI 1'!D20</f>
        <v>Actual 2025-26</v>
      </c>
      <c r="E20" s="5">
        <f>'Input Actual2025-26'!E53</f>
        <v>57</v>
      </c>
      <c r="F20" s="5">
        <f>'Input Actual2025-26'!F53</f>
        <v>57</v>
      </c>
      <c r="G20" s="5">
        <f>'Input Actual2025-26'!G53</f>
        <v>58</v>
      </c>
      <c r="H20" s="5">
        <f>'Input Actual2025-26'!H53</f>
        <v>58</v>
      </c>
      <c r="I20" s="5">
        <f>'Input Actual2025-26'!I53</f>
        <v>58</v>
      </c>
      <c r="J20" s="5">
        <f>'Input Actual2025-26'!J53</f>
        <v>58</v>
      </c>
      <c r="K20" s="5">
        <f>'Input Actual2025-26'!K53</f>
        <v>60</v>
      </c>
      <c r="L20" s="5">
        <f>'Input Actual2025-26'!L53</f>
        <v>60</v>
      </c>
      <c r="M20" s="5">
        <f>'Input Actual2025-26'!M53</f>
        <v>0</v>
      </c>
      <c r="N20" s="5">
        <f>'Input Actual2025-26'!N53</f>
        <v>0</v>
      </c>
      <c r="O20" s="5">
        <f>'Input Actual2025-26'!O53</f>
        <v>0</v>
      </c>
      <c r="P20" s="5">
        <f>'Input Actual2025-26'!P53</f>
        <v>0</v>
      </c>
      <c r="Q20" s="5">
        <f t="shared" ref="Q20:Q22" si="0">SUM(E20:P20)</f>
        <v>466</v>
      </c>
    </row>
    <row r="21" spans="3:17" x14ac:dyDescent="0.35">
      <c r="D21" s="3" t="s">
        <v>424</v>
      </c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>
        <f t="shared" si="0"/>
        <v>0</v>
      </c>
    </row>
    <row r="22" spans="3:17" x14ac:dyDescent="0.35">
      <c r="D22" s="3" t="s">
        <v>7</v>
      </c>
      <c r="E22" s="5">
        <f t="shared" ref="E22:P22" si="1">IF(E20=0,0,E20-E19)</f>
        <v>-37</v>
      </c>
      <c r="F22" s="5">
        <f t="shared" si="1"/>
        <v>-75</v>
      </c>
      <c r="G22" s="5">
        <f t="shared" si="1"/>
        <v>-107</v>
      </c>
      <c r="H22" s="5">
        <f t="shared" si="1"/>
        <v>-135</v>
      </c>
      <c r="I22" s="5">
        <f t="shared" si="1"/>
        <v>-163</v>
      </c>
      <c r="J22" s="5">
        <f t="shared" si="1"/>
        <v>-186</v>
      </c>
      <c r="K22" s="5">
        <f t="shared" si="1"/>
        <v>-207</v>
      </c>
      <c r="L22" s="5">
        <f t="shared" si="1"/>
        <v>-225</v>
      </c>
      <c r="M22" s="5">
        <f t="shared" si="1"/>
        <v>0</v>
      </c>
      <c r="N22" s="5">
        <f t="shared" si="1"/>
        <v>0</v>
      </c>
      <c r="O22" s="5">
        <f t="shared" si="1"/>
        <v>0</v>
      </c>
      <c r="P22" s="5">
        <f t="shared" si="1"/>
        <v>0</v>
      </c>
      <c r="Q22" s="5">
        <f t="shared" si="0"/>
        <v>-1135</v>
      </c>
    </row>
    <row r="23" spans="3:17" x14ac:dyDescent="0.35">
      <c r="D23" s="3" t="s">
        <v>43</v>
      </c>
      <c r="E23" s="9">
        <f>E21/E19</f>
        <v>0</v>
      </c>
      <c r="F23" s="9">
        <f t="shared" ref="F23:P23" si="2">F20/F19</f>
        <v>0.43181818181818182</v>
      </c>
      <c r="G23" s="9">
        <f t="shared" si="2"/>
        <v>0.3515151515151515</v>
      </c>
      <c r="H23" s="9">
        <f t="shared" si="2"/>
        <v>0.30051813471502592</v>
      </c>
      <c r="I23" s="9">
        <f t="shared" si="2"/>
        <v>0.26244343891402716</v>
      </c>
      <c r="J23" s="9">
        <f t="shared" si="2"/>
        <v>0.23770491803278687</v>
      </c>
      <c r="K23" s="9">
        <f t="shared" si="2"/>
        <v>0.2247191011235955</v>
      </c>
      <c r="L23" s="9">
        <f t="shared" si="2"/>
        <v>0.21052631578947367</v>
      </c>
      <c r="M23" s="9">
        <f t="shared" si="2"/>
        <v>0</v>
      </c>
      <c r="N23" s="9">
        <f t="shared" si="2"/>
        <v>0</v>
      </c>
      <c r="O23" s="9">
        <f t="shared" si="2"/>
        <v>0</v>
      </c>
      <c r="P23" s="9">
        <f t="shared" si="2"/>
        <v>0</v>
      </c>
    </row>
    <row r="25" spans="3:17" x14ac:dyDescent="0.35">
      <c r="C25" s="7" t="s">
        <v>3</v>
      </c>
      <c r="E25" s="11">
        <f>E18</f>
        <v>45839</v>
      </c>
      <c r="F25" s="11">
        <f t="shared" ref="F25:P28" si="3">F18</f>
        <v>45870</v>
      </c>
      <c r="G25" s="11">
        <f t="shared" si="3"/>
        <v>45901</v>
      </c>
      <c r="H25" s="11">
        <f t="shared" si="3"/>
        <v>45931</v>
      </c>
      <c r="I25" s="11">
        <f t="shared" si="3"/>
        <v>45962</v>
      </c>
      <c r="J25" s="11">
        <f t="shared" si="3"/>
        <v>45992</v>
      </c>
      <c r="K25" s="11">
        <f t="shared" si="3"/>
        <v>46023</v>
      </c>
      <c r="L25" s="11">
        <f t="shared" si="3"/>
        <v>46054</v>
      </c>
      <c r="M25" s="11">
        <f t="shared" si="3"/>
        <v>46082</v>
      </c>
      <c r="N25" s="11">
        <f t="shared" si="3"/>
        <v>46113</v>
      </c>
      <c r="O25" s="11">
        <f t="shared" si="3"/>
        <v>46143</v>
      </c>
      <c r="P25" s="11">
        <f t="shared" si="3"/>
        <v>46174</v>
      </c>
    </row>
    <row r="26" spans="3:17" x14ac:dyDescent="0.35">
      <c r="D26" s="3" t="str">
        <f>D19</f>
        <v>Budget 2025-26</v>
      </c>
      <c r="E26" s="5">
        <f>E19</f>
        <v>94</v>
      </c>
      <c r="F26" s="5">
        <f t="shared" si="3"/>
        <v>132</v>
      </c>
      <c r="G26" s="5">
        <f t="shared" si="3"/>
        <v>165</v>
      </c>
      <c r="H26" s="5">
        <f t="shared" si="3"/>
        <v>193</v>
      </c>
      <c r="I26" s="5">
        <f t="shared" si="3"/>
        <v>221</v>
      </c>
      <c r="J26" s="5">
        <f t="shared" si="3"/>
        <v>244</v>
      </c>
      <c r="K26" s="5">
        <f t="shared" si="3"/>
        <v>267</v>
      </c>
      <c r="L26" s="5">
        <f t="shared" si="3"/>
        <v>285</v>
      </c>
      <c r="M26" s="5">
        <f t="shared" si="3"/>
        <v>303</v>
      </c>
      <c r="N26" s="5">
        <f t="shared" si="3"/>
        <v>321</v>
      </c>
      <c r="O26" s="5">
        <f t="shared" si="3"/>
        <v>339</v>
      </c>
      <c r="P26" s="5">
        <f t="shared" si="3"/>
        <v>357</v>
      </c>
    </row>
    <row r="27" spans="3:17" x14ac:dyDescent="0.35">
      <c r="D27" s="3" t="str">
        <f t="shared" ref="D27:E30" si="4">D20</f>
        <v>Actual 2025-26</v>
      </c>
      <c r="E27" s="5">
        <f t="shared" si="4"/>
        <v>57</v>
      </c>
      <c r="F27" s="5">
        <f t="shared" si="3"/>
        <v>57</v>
      </c>
      <c r="G27" s="5">
        <f t="shared" si="3"/>
        <v>58</v>
      </c>
      <c r="H27" s="5">
        <f t="shared" si="3"/>
        <v>58</v>
      </c>
      <c r="I27" s="5">
        <f t="shared" si="3"/>
        <v>58</v>
      </c>
      <c r="J27" s="5">
        <f t="shared" si="3"/>
        <v>58</v>
      </c>
      <c r="K27" s="5">
        <f t="shared" si="3"/>
        <v>60</v>
      </c>
      <c r="L27" s="5">
        <f t="shared" si="3"/>
        <v>60</v>
      </c>
      <c r="M27" s="5">
        <f t="shared" si="3"/>
        <v>0</v>
      </c>
      <c r="N27" s="5">
        <f t="shared" si="3"/>
        <v>0</v>
      </c>
      <c r="O27" s="5">
        <f t="shared" si="3"/>
        <v>0</v>
      </c>
      <c r="P27" s="5">
        <f t="shared" si="3"/>
        <v>0</v>
      </c>
    </row>
    <row r="28" spans="3:17" x14ac:dyDescent="0.35">
      <c r="D28" s="3" t="str">
        <f t="shared" si="4"/>
        <v>Actual 2024-25</v>
      </c>
      <c r="E28" s="5">
        <f t="shared" si="4"/>
        <v>0</v>
      </c>
      <c r="F28" s="5">
        <f t="shared" si="3"/>
        <v>0</v>
      </c>
      <c r="G28" s="5">
        <f t="shared" si="3"/>
        <v>0</v>
      </c>
      <c r="H28" s="5">
        <f t="shared" si="3"/>
        <v>0</v>
      </c>
      <c r="I28" s="5">
        <f t="shared" si="3"/>
        <v>0</v>
      </c>
      <c r="J28" s="5">
        <f t="shared" si="3"/>
        <v>0</v>
      </c>
      <c r="K28" s="5">
        <f t="shared" si="3"/>
        <v>0</v>
      </c>
      <c r="L28" s="5">
        <f t="shared" si="3"/>
        <v>0</v>
      </c>
      <c r="M28" s="5">
        <f t="shared" si="3"/>
        <v>0</v>
      </c>
      <c r="N28" s="5">
        <f t="shared" si="3"/>
        <v>0</v>
      </c>
      <c r="O28" s="5">
        <f t="shared" si="3"/>
        <v>0</v>
      </c>
      <c r="P28" s="5">
        <f t="shared" si="3"/>
        <v>0</v>
      </c>
    </row>
    <row r="29" spans="3:17" x14ac:dyDescent="0.35">
      <c r="D29" s="3" t="str">
        <f t="shared" si="4"/>
        <v>Difference</v>
      </c>
      <c r="E29" s="5">
        <f>SUM($E22:E22)</f>
        <v>-37</v>
      </c>
      <c r="F29" s="5">
        <f>SUM($E22:F22)</f>
        <v>-112</v>
      </c>
      <c r="G29" s="5">
        <f>SUM($E22:G22)</f>
        <v>-219</v>
      </c>
      <c r="H29" s="5">
        <f>SUM($E22:H22)</f>
        <v>-354</v>
      </c>
      <c r="I29" s="5">
        <f>SUM($E22:I22)</f>
        <v>-517</v>
      </c>
      <c r="J29" s="5">
        <f>SUM($E22:J22)</f>
        <v>-703</v>
      </c>
      <c r="K29" s="5">
        <f>SUM($E22:K22)</f>
        <v>-910</v>
      </c>
      <c r="L29" s="5">
        <f>SUM($E22:L22)</f>
        <v>-1135</v>
      </c>
      <c r="M29" s="5">
        <f>SUM($E22:M22)</f>
        <v>-1135</v>
      </c>
      <c r="N29" s="5">
        <f>SUM($E22:N22)</f>
        <v>-1135</v>
      </c>
      <c r="O29" s="5">
        <f>SUM($E22:O22)</f>
        <v>-1135</v>
      </c>
      <c r="P29" s="5">
        <f>SUM($E22:P22)</f>
        <v>-1135</v>
      </c>
    </row>
    <row r="30" spans="3:17" x14ac:dyDescent="0.35">
      <c r="D30" s="3" t="str">
        <f t="shared" si="4"/>
        <v>Realisation</v>
      </c>
      <c r="E30" s="9">
        <f>E28/E26</f>
        <v>0</v>
      </c>
      <c r="F30" s="9">
        <f t="shared" ref="F30:P30" si="5">F27/F26</f>
        <v>0.43181818181818182</v>
      </c>
      <c r="G30" s="9">
        <f t="shared" si="5"/>
        <v>0.3515151515151515</v>
      </c>
      <c r="H30" s="9">
        <f t="shared" si="5"/>
        <v>0.30051813471502592</v>
      </c>
      <c r="I30" s="9">
        <f t="shared" si="5"/>
        <v>0.26244343891402716</v>
      </c>
      <c r="J30" s="9">
        <f t="shared" si="5"/>
        <v>0.23770491803278687</v>
      </c>
      <c r="K30" s="9">
        <f t="shared" si="5"/>
        <v>0.2247191011235955</v>
      </c>
      <c r="L30" s="9">
        <f t="shared" si="5"/>
        <v>0.21052631578947367</v>
      </c>
      <c r="M30" s="9">
        <f t="shared" si="5"/>
        <v>0</v>
      </c>
      <c r="N30" s="9">
        <f t="shared" si="5"/>
        <v>0</v>
      </c>
      <c r="O30" s="9">
        <f t="shared" si="5"/>
        <v>0</v>
      </c>
      <c r="P30" s="9">
        <f t="shared" si="5"/>
        <v>0</v>
      </c>
    </row>
  </sheetData>
  <mergeCells count="2">
    <mergeCell ref="J4:Q8"/>
    <mergeCell ref="J10:Q15"/>
  </mergeCells>
  <conditionalFormatting sqref="C3">
    <cfRule type="expression" dxfId="452" priority="2">
      <formula>S4&lt;S6</formula>
    </cfRule>
  </conditionalFormatting>
  <conditionalFormatting sqref="C5">
    <cfRule type="expression" dxfId="451" priority="3">
      <formula>S4&gt;=S5</formula>
    </cfRule>
  </conditionalFormatting>
  <conditionalFormatting sqref="C4">
    <cfRule type="expression" dxfId="450" priority="1">
      <formula>AND(S4&gt;=S6,S4&lt;S5)</formula>
    </cfRule>
  </conditionalFormatting>
  <hyperlinks>
    <hyperlink ref="L1" location="Dashboard!A1" display="Dashboard"/>
  </hyperlinks>
  <pageMargins left="0.7" right="0.7" top="0.75" bottom="0.75" header="0.3" footer="0.3"/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940481" r:id="rId3" name="Spinner 1">
              <controlPr defaultSize="0" autoPict="0">
                <anchor moveWithCells="1" sizeWithCells="1">
                  <from>
                    <xdr:col>9</xdr:col>
                    <xdr:colOff>19050</xdr:colOff>
                    <xdr:row>0</xdr:row>
                    <xdr:rowOff>38100</xdr:rowOff>
                  </from>
                  <to>
                    <xdr:col>9</xdr:col>
                    <xdr:colOff>400050</xdr:colOff>
                    <xdr:row>1</xdr:row>
                    <xdr:rowOff>152400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4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37">
    <tabColor rgb="FFFFC000"/>
  </sheetPr>
  <dimension ref="A1:S30"/>
  <sheetViews>
    <sheetView zoomScale="90" zoomScaleNormal="90" workbookViewId="0">
      <selection activeCell="L1" sqref="L1"/>
    </sheetView>
  </sheetViews>
  <sheetFormatPr defaultColWidth="9.1796875" defaultRowHeight="14.5" x14ac:dyDescent="0.35"/>
  <cols>
    <col min="1" max="1" width="9.1796875" style="3"/>
    <col min="2" max="2" width="5.1796875" style="3" customWidth="1"/>
    <col min="3" max="3" width="6.26953125" style="3" customWidth="1"/>
    <col min="4" max="4" width="21.26953125" style="3" bestFit="1" customWidth="1"/>
    <col min="5" max="16" width="11.1796875" style="3" customWidth="1"/>
    <col min="17" max="17" width="12" style="3" bestFit="1" customWidth="1"/>
    <col min="18" max="18" width="9.1796875" style="3" customWidth="1"/>
    <col min="19" max="16384" width="9.1796875" style="3"/>
  </cols>
  <sheetData>
    <row r="1" spans="1:19" ht="21" x14ac:dyDescent="0.5">
      <c r="A1" s="4" t="s">
        <v>4</v>
      </c>
      <c r="B1" s="4">
        <f>Dashboard!A53</f>
        <v>1</v>
      </c>
      <c r="C1" s="4" t="str">
        <f>Dashboard!B53</f>
        <v>KAYOLE-WATER</v>
      </c>
      <c r="G1" s="3" t="s">
        <v>9</v>
      </c>
      <c r="I1" s="12">
        <f>INDEX($E$18:$P$18,Actual_month)</f>
        <v>46054</v>
      </c>
      <c r="L1" s="16" t="s">
        <v>19</v>
      </c>
      <c r="R1" s="5"/>
    </row>
    <row r="2" spans="1:19" x14ac:dyDescent="0.35">
      <c r="A2" s="3" t="s">
        <v>13</v>
      </c>
      <c r="C2" s="3" t="s">
        <v>27</v>
      </c>
      <c r="R2" s="6"/>
    </row>
    <row r="3" spans="1:19" ht="25.5" customHeight="1" thickBot="1" x14ac:dyDescent="0.4">
      <c r="C3" s="1" t="s">
        <v>5</v>
      </c>
      <c r="E3" s="10"/>
      <c r="F3" s="10"/>
      <c r="G3" s="10"/>
      <c r="H3" s="10"/>
      <c r="I3" s="10"/>
      <c r="J3" s="3" t="s">
        <v>6</v>
      </c>
      <c r="K3" s="10"/>
      <c r="M3" s="10"/>
      <c r="N3" s="10"/>
      <c r="O3" s="10"/>
      <c r="P3" s="10"/>
    </row>
    <row r="4" spans="1:19" ht="25.5" customHeight="1" x14ac:dyDescent="0.35">
      <c r="C4" s="1" t="s">
        <v>5</v>
      </c>
      <c r="E4" s="10"/>
      <c r="F4" s="10"/>
      <c r="G4" s="10"/>
      <c r="H4" s="10"/>
      <c r="I4" s="10"/>
      <c r="J4" s="401"/>
      <c r="K4" s="402"/>
      <c r="L4" s="402"/>
      <c r="M4" s="402"/>
      <c r="N4" s="402"/>
      <c r="O4" s="402"/>
      <c r="P4" s="402"/>
      <c r="Q4" s="403"/>
      <c r="R4" s="3" t="s">
        <v>22</v>
      </c>
      <c r="S4" s="5">
        <f>INDEX(E27:P27,Actual_month)</f>
        <v>3131</v>
      </c>
    </row>
    <row r="5" spans="1:19" ht="25.5" customHeight="1" x14ac:dyDescent="0.35">
      <c r="C5" s="1" t="s">
        <v>5</v>
      </c>
      <c r="E5" s="10"/>
      <c r="F5" s="10"/>
      <c r="G5" s="10"/>
      <c r="H5" s="10"/>
      <c r="I5" s="10"/>
      <c r="J5" s="404"/>
      <c r="K5" s="405"/>
      <c r="L5" s="405"/>
      <c r="M5" s="405"/>
      <c r="N5" s="405"/>
      <c r="O5" s="405"/>
      <c r="P5" s="405"/>
      <c r="Q5" s="406"/>
      <c r="R5" s="3" t="s">
        <v>23</v>
      </c>
      <c r="S5" s="5">
        <f>INDEX(E26:P26,Actual_month)</f>
        <v>3047</v>
      </c>
    </row>
    <row r="6" spans="1:19" x14ac:dyDescent="0.35">
      <c r="J6" s="404"/>
      <c r="K6" s="405"/>
      <c r="L6" s="405"/>
      <c r="M6" s="405"/>
      <c r="N6" s="405"/>
      <c r="O6" s="405"/>
      <c r="P6" s="405"/>
      <c r="Q6" s="406"/>
      <c r="R6" s="6">
        <v>0.9</v>
      </c>
      <c r="S6" s="5">
        <f>+S5*R6</f>
        <v>2742.3</v>
      </c>
    </row>
    <row r="7" spans="1:19" x14ac:dyDescent="0.35">
      <c r="J7" s="404"/>
      <c r="K7" s="405"/>
      <c r="L7" s="405"/>
      <c r="M7" s="405"/>
      <c r="N7" s="405"/>
      <c r="O7" s="405"/>
      <c r="P7" s="405"/>
      <c r="Q7" s="406"/>
    </row>
    <row r="8" spans="1:19" ht="15" thickBot="1" x14ac:dyDescent="0.4">
      <c r="J8" s="407"/>
      <c r="K8" s="408"/>
      <c r="L8" s="408"/>
      <c r="M8" s="408"/>
      <c r="N8" s="408"/>
      <c r="O8" s="408"/>
      <c r="P8" s="408"/>
      <c r="Q8" s="409"/>
    </row>
    <row r="9" spans="1:19" ht="15" thickBot="1" x14ac:dyDescent="0.4">
      <c r="J9" s="3" t="s">
        <v>12</v>
      </c>
    </row>
    <row r="10" spans="1:19" x14ac:dyDescent="0.35">
      <c r="J10" s="401"/>
      <c r="K10" s="402"/>
      <c r="L10" s="402"/>
      <c r="M10" s="402"/>
      <c r="N10" s="402"/>
      <c r="O10" s="402"/>
      <c r="P10" s="402"/>
      <c r="Q10" s="403"/>
    </row>
    <row r="11" spans="1:19" x14ac:dyDescent="0.35">
      <c r="J11" s="404"/>
      <c r="K11" s="405"/>
      <c r="L11" s="405"/>
      <c r="M11" s="405"/>
      <c r="N11" s="405"/>
      <c r="O11" s="405"/>
      <c r="P11" s="405"/>
      <c r="Q11" s="406"/>
    </row>
    <row r="12" spans="1:19" x14ac:dyDescent="0.35">
      <c r="J12" s="404"/>
      <c r="K12" s="405"/>
      <c r="L12" s="405"/>
      <c r="M12" s="405"/>
      <c r="N12" s="405"/>
      <c r="O12" s="405"/>
      <c r="P12" s="405"/>
      <c r="Q12" s="406"/>
    </row>
    <row r="13" spans="1:19" x14ac:dyDescent="0.35">
      <c r="J13" s="404"/>
      <c r="K13" s="405"/>
      <c r="L13" s="405"/>
      <c r="M13" s="405"/>
      <c r="N13" s="405"/>
      <c r="O13" s="405"/>
      <c r="P13" s="405"/>
      <c r="Q13" s="406"/>
    </row>
    <row r="14" spans="1:19" x14ac:dyDescent="0.35">
      <c r="J14" s="404"/>
      <c r="K14" s="405"/>
      <c r="L14" s="405"/>
      <c r="M14" s="405"/>
      <c r="N14" s="405"/>
      <c r="O14" s="405"/>
      <c r="P14" s="405"/>
      <c r="Q14" s="406"/>
    </row>
    <row r="15" spans="1:19" ht="15" thickBot="1" x14ac:dyDescent="0.4">
      <c r="J15" s="407"/>
      <c r="K15" s="408"/>
      <c r="L15" s="408"/>
      <c r="M15" s="408"/>
      <c r="N15" s="408"/>
      <c r="O15" s="408"/>
      <c r="P15" s="408"/>
      <c r="Q15" s="409"/>
    </row>
    <row r="18" spans="3:17" x14ac:dyDescent="0.35">
      <c r="C18" s="7" t="s">
        <v>8</v>
      </c>
      <c r="E18" s="11">
        <f>'KPI 1'!E18</f>
        <v>45839</v>
      </c>
      <c r="F18" s="11">
        <f>'KPI 1'!F18</f>
        <v>45870</v>
      </c>
      <c r="G18" s="11">
        <f>'KPI 1'!G18</f>
        <v>45901</v>
      </c>
      <c r="H18" s="11">
        <f>'KPI 1'!H18</f>
        <v>45931</v>
      </c>
      <c r="I18" s="11">
        <f>'KPI 1'!I18</f>
        <v>45962</v>
      </c>
      <c r="J18" s="11">
        <f>'KPI 1'!J18</f>
        <v>45992</v>
      </c>
      <c r="K18" s="11">
        <f>'KPI 1'!K18</f>
        <v>46023</v>
      </c>
      <c r="L18" s="11">
        <f>'KPI 1'!L18</f>
        <v>46054</v>
      </c>
      <c r="M18" s="11">
        <f>'KPI 1'!M18</f>
        <v>46082</v>
      </c>
      <c r="N18" s="11">
        <f>'KPI 1'!N18</f>
        <v>46113</v>
      </c>
      <c r="O18" s="11">
        <f>'KPI 1'!O18</f>
        <v>46143</v>
      </c>
      <c r="P18" s="11">
        <f>'KPI 1'!P18</f>
        <v>46174</v>
      </c>
      <c r="Q18" s="8" t="s">
        <v>0</v>
      </c>
    </row>
    <row r="19" spans="3:17" x14ac:dyDescent="0.35">
      <c r="D19" s="3" t="str">
        <f>'KPI 1'!D19</f>
        <v>Budget 2025-26</v>
      </c>
      <c r="E19" s="5">
        <f>'budget 2025-26'!D50</f>
        <v>2901</v>
      </c>
      <c r="F19" s="5">
        <f>'budget 2025-26'!E50</f>
        <v>2919</v>
      </c>
      <c r="G19" s="5">
        <f>'budget 2025-26'!F50</f>
        <v>2937</v>
      </c>
      <c r="H19" s="5">
        <f>'budget 2025-26'!G50</f>
        <v>2955</v>
      </c>
      <c r="I19" s="5">
        <f>'budget 2025-26'!H50</f>
        <v>2973</v>
      </c>
      <c r="J19" s="5">
        <f>'budget 2025-26'!I50</f>
        <v>2991</v>
      </c>
      <c r="K19" s="5">
        <f>'budget 2025-26'!J50</f>
        <v>3024</v>
      </c>
      <c r="L19" s="5">
        <f>'budget 2025-26'!K50</f>
        <v>3047</v>
      </c>
      <c r="M19" s="5">
        <f>'budget 2025-26'!L50</f>
        <v>3070</v>
      </c>
      <c r="N19" s="5">
        <f>'budget 2025-26'!M50</f>
        <v>3088</v>
      </c>
      <c r="O19" s="5">
        <f>'budget 2025-26'!N50</f>
        <v>3106</v>
      </c>
      <c r="P19" s="5">
        <f>'budget 2025-26'!O50</f>
        <v>3124</v>
      </c>
      <c r="Q19" s="5">
        <f>SUM(E19:P19)</f>
        <v>36135</v>
      </c>
    </row>
    <row r="20" spans="3:17" x14ac:dyDescent="0.35">
      <c r="D20" s="3" t="str">
        <f>'KPI 1'!D20</f>
        <v>Actual 2025-26</v>
      </c>
      <c r="E20" s="5">
        <f>'Input Actual2025-26'!E52</f>
        <v>2880</v>
      </c>
      <c r="F20" s="5">
        <f>'Input Actual2025-26'!F52</f>
        <v>2920</v>
      </c>
      <c r="G20" s="5">
        <f>'Input Actual2025-26'!G52</f>
        <v>2975</v>
      </c>
      <c r="H20" s="5">
        <f>'Input Actual2025-26'!H52</f>
        <v>3005</v>
      </c>
      <c r="I20" s="5">
        <f>'Input Actual2025-26'!I52</f>
        <v>3035</v>
      </c>
      <c r="J20" s="5">
        <f>'Input Actual2025-26'!J52</f>
        <v>3073</v>
      </c>
      <c r="K20" s="5">
        <f>'Input Actual2025-26'!K52</f>
        <v>3115</v>
      </c>
      <c r="L20" s="5">
        <f>'Input Actual2025-26'!L52</f>
        <v>3131</v>
      </c>
      <c r="M20" s="5">
        <f>'Input Actual2025-26'!M52</f>
        <v>0</v>
      </c>
      <c r="N20" s="5">
        <f>'Input Actual2025-26'!N52</f>
        <v>0</v>
      </c>
      <c r="O20" s="5">
        <f>'Input Actual2025-26'!O52</f>
        <v>0</v>
      </c>
      <c r="P20" s="5">
        <f>'Input Actual2025-26'!P52</f>
        <v>0</v>
      </c>
      <c r="Q20" s="5">
        <f t="shared" ref="Q20:Q22" si="0">SUM(E20:P20)</f>
        <v>24134</v>
      </c>
    </row>
    <row r="21" spans="3:17" x14ac:dyDescent="0.35">
      <c r="D21" s="3" t="s">
        <v>424</v>
      </c>
      <c r="E21" s="5">
        <v>0</v>
      </c>
      <c r="F21" s="5">
        <v>0</v>
      </c>
      <c r="G21" s="5">
        <v>0</v>
      </c>
      <c r="H21" s="5">
        <v>0</v>
      </c>
      <c r="I21" s="5">
        <v>0</v>
      </c>
      <c r="J21" s="5">
        <v>0</v>
      </c>
      <c r="K21" s="5">
        <v>0</v>
      </c>
      <c r="L21" s="5">
        <v>0</v>
      </c>
      <c r="M21" s="5">
        <v>0</v>
      </c>
      <c r="N21" s="5">
        <v>0</v>
      </c>
      <c r="O21" s="5">
        <v>0</v>
      </c>
      <c r="P21" s="5">
        <v>0</v>
      </c>
      <c r="Q21" s="5">
        <f t="shared" si="0"/>
        <v>0</v>
      </c>
    </row>
    <row r="22" spans="3:17" x14ac:dyDescent="0.35">
      <c r="D22" s="3" t="s">
        <v>7</v>
      </c>
      <c r="E22" s="5">
        <f t="shared" ref="E22:P22" si="1">IF(E20=0,0,E20-E19)</f>
        <v>-21</v>
      </c>
      <c r="F22" s="5">
        <f t="shared" si="1"/>
        <v>1</v>
      </c>
      <c r="G22" s="5">
        <f t="shared" si="1"/>
        <v>38</v>
      </c>
      <c r="H22" s="5">
        <f t="shared" si="1"/>
        <v>50</v>
      </c>
      <c r="I22" s="5">
        <f t="shared" si="1"/>
        <v>62</v>
      </c>
      <c r="J22" s="5">
        <f t="shared" si="1"/>
        <v>82</v>
      </c>
      <c r="K22" s="5">
        <f t="shared" si="1"/>
        <v>91</v>
      </c>
      <c r="L22" s="5">
        <f t="shared" si="1"/>
        <v>84</v>
      </c>
      <c r="M22" s="5">
        <f t="shared" si="1"/>
        <v>0</v>
      </c>
      <c r="N22" s="5">
        <f t="shared" si="1"/>
        <v>0</v>
      </c>
      <c r="O22" s="5">
        <f t="shared" si="1"/>
        <v>0</v>
      </c>
      <c r="P22" s="5">
        <f t="shared" si="1"/>
        <v>0</v>
      </c>
      <c r="Q22" s="5">
        <f t="shared" si="0"/>
        <v>387</v>
      </c>
    </row>
    <row r="23" spans="3:17" x14ac:dyDescent="0.35">
      <c r="D23" s="3" t="s">
        <v>43</v>
      </c>
      <c r="E23" s="9">
        <f>E21/E19</f>
        <v>0</v>
      </c>
      <c r="F23" s="9">
        <f t="shared" ref="F23:P23" si="2">F20/F19</f>
        <v>1.0003425830763961</v>
      </c>
      <c r="G23" s="9">
        <f t="shared" si="2"/>
        <v>1.0129383724889343</v>
      </c>
      <c r="H23" s="9">
        <f t="shared" si="2"/>
        <v>1.0169204737732656</v>
      </c>
      <c r="I23" s="9">
        <f t="shared" si="2"/>
        <v>1.020854355869492</v>
      </c>
      <c r="J23" s="9">
        <f t="shared" si="2"/>
        <v>1.027415580073554</v>
      </c>
      <c r="K23" s="9">
        <f t="shared" si="2"/>
        <v>1.0300925925925926</v>
      </c>
      <c r="L23" s="9">
        <f t="shared" si="2"/>
        <v>1.0275680997702659</v>
      </c>
      <c r="M23" s="9">
        <f t="shared" si="2"/>
        <v>0</v>
      </c>
      <c r="N23" s="9">
        <f t="shared" si="2"/>
        <v>0</v>
      </c>
      <c r="O23" s="9">
        <f t="shared" si="2"/>
        <v>0</v>
      </c>
      <c r="P23" s="9">
        <f t="shared" si="2"/>
        <v>0</v>
      </c>
    </row>
    <row r="25" spans="3:17" x14ac:dyDescent="0.35">
      <c r="C25" s="7" t="s">
        <v>3</v>
      </c>
      <c r="E25" s="11">
        <f>E18</f>
        <v>45839</v>
      </c>
      <c r="F25" s="11">
        <f t="shared" ref="F25:P28" si="3">F18</f>
        <v>45870</v>
      </c>
      <c r="G25" s="11">
        <f t="shared" si="3"/>
        <v>45901</v>
      </c>
      <c r="H25" s="11">
        <f t="shared" si="3"/>
        <v>45931</v>
      </c>
      <c r="I25" s="11">
        <f t="shared" si="3"/>
        <v>45962</v>
      </c>
      <c r="J25" s="11">
        <f t="shared" si="3"/>
        <v>45992</v>
      </c>
      <c r="K25" s="11">
        <f t="shared" si="3"/>
        <v>46023</v>
      </c>
      <c r="L25" s="11">
        <f t="shared" si="3"/>
        <v>46054</v>
      </c>
      <c r="M25" s="11">
        <f t="shared" si="3"/>
        <v>46082</v>
      </c>
      <c r="N25" s="11">
        <f t="shared" si="3"/>
        <v>46113</v>
      </c>
      <c r="O25" s="11">
        <f t="shared" si="3"/>
        <v>46143</v>
      </c>
      <c r="P25" s="11">
        <f t="shared" si="3"/>
        <v>46174</v>
      </c>
    </row>
    <row r="26" spans="3:17" x14ac:dyDescent="0.35">
      <c r="D26" s="3" t="str">
        <f>D19</f>
        <v>Budget 2025-26</v>
      </c>
      <c r="E26" s="5">
        <f>E19</f>
        <v>2901</v>
      </c>
      <c r="F26" s="5">
        <f t="shared" si="3"/>
        <v>2919</v>
      </c>
      <c r="G26" s="5">
        <f t="shared" si="3"/>
        <v>2937</v>
      </c>
      <c r="H26" s="5">
        <f t="shared" si="3"/>
        <v>2955</v>
      </c>
      <c r="I26" s="5">
        <f t="shared" si="3"/>
        <v>2973</v>
      </c>
      <c r="J26" s="5">
        <f t="shared" si="3"/>
        <v>2991</v>
      </c>
      <c r="K26" s="5">
        <f t="shared" si="3"/>
        <v>3024</v>
      </c>
      <c r="L26" s="5">
        <f t="shared" si="3"/>
        <v>3047</v>
      </c>
      <c r="M26" s="5">
        <f t="shared" si="3"/>
        <v>3070</v>
      </c>
      <c r="N26" s="5">
        <f t="shared" si="3"/>
        <v>3088</v>
      </c>
      <c r="O26" s="5">
        <f t="shared" si="3"/>
        <v>3106</v>
      </c>
      <c r="P26" s="5">
        <f t="shared" si="3"/>
        <v>3124</v>
      </c>
    </row>
    <row r="27" spans="3:17" x14ac:dyDescent="0.35">
      <c r="D27" s="3" t="str">
        <f t="shared" ref="D27:E30" si="4">D20</f>
        <v>Actual 2025-26</v>
      </c>
      <c r="E27" s="5">
        <f t="shared" si="4"/>
        <v>2880</v>
      </c>
      <c r="F27" s="5">
        <f t="shared" si="3"/>
        <v>2920</v>
      </c>
      <c r="G27" s="5">
        <f t="shared" si="3"/>
        <v>2975</v>
      </c>
      <c r="H27" s="5">
        <f t="shared" si="3"/>
        <v>3005</v>
      </c>
      <c r="I27" s="5">
        <f t="shared" si="3"/>
        <v>3035</v>
      </c>
      <c r="J27" s="5">
        <f t="shared" si="3"/>
        <v>3073</v>
      </c>
      <c r="K27" s="5">
        <f t="shared" si="3"/>
        <v>3115</v>
      </c>
      <c r="L27" s="5">
        <f t="shared" si="3"/>
        <v>3131</v>
      </c>
      <c r="M27" s="5">
        <f t="shared" si="3"/>
        <v>0</v>
      </c>
      <c r="N27" s="5">
        <f t="shared" si="3"/>
        <v>0</v>
      </c>
      <c r="O27" s="5">
        <f t="shared" si="3"/>
        <v>0</v>
      </c>
      <c r="P27" s="5">
        <f t="shared" si="3"/>
        <v>0</v>
      </c>
    </row>
    <row r="28" spans="3:17" x14ac:dyDescent="0.35">
      <c r="D28" s="3" t="str">
        <f t="shared" si="4"/>
        <v>Actual 2024-25</v>
      </c>
      <c r="E28" s="5">
        <f t="shared" si="4"/>
        <v>0</v>
      </c>
      <c r="F28" s="5">
        <f t="shared" si="3"/>
        <v>0</v>
      </c>
      <c r="G28" s="5">
        <f t="shared" si="3"/>
        <v>0</v>
      </c>
      <c r="H28" s="5">
        <f t="shared" si="3"/>
        <v>0</v>
      </c>
      <c r="I28" s="5">
        <f t="shared" si="3"/>
        <v>0</v>
      </c>
      <c r="J28" s="5">
        <f t="shared" si="3"/>
        <v>0</v>
      </c>
      <c r="K28" s="5">
        <f t="shared" si="3"/>
        <v>0</v>
      </c>
      <c r="L28" s="5">
        <f t="shared" si="3"/>
        <v>0</v>
      </c>
      <c r="M28" s="5">
        <f t="shared" si="3"/>
        <v>0</v>
      </c>
      <c r="N28" s="5">
        <f t="shared" si="3"/>
        <v>0</v>
      </c>
      <c r="O28" s="5">
        <f t="shared" si="3"/>
        <v>0</v>
      </c>
      <c r="P28" s="5">
        <f t="shared" si="3"/>
        <v>0</v>
      </c>
    </row>
    <row r="29" spans="3:17" x14ac:dyDescent="0.35">
      <c r="D29" s="3" t="str">
        <f t="shared" si="4"/>
        <v>Difference</v>
      </c>
      <c r="E29" s="5">
        <f>SUM($E22:E22)</f>
        <v>-21</v>
      </c>
      <c r="F29" s="5">
        <f>SUM($E22:F22)</f>
        <v>-20</v>
      </c>
      <c r="G29" s="5">
        <f>SUM($E22:G22)</f>
        <v>18</v>
      </c>
      <c r="H29" s="5">
        <f>SUM($E22:H22)</f>
        <v>68</v>
      </c>
      <c r="I29" s="5">
        <f>SUM($E22:I22)</f>
        <v>130</v>
      </c>
      <c r="J29" s="5">
        <f>SUM($E22:J22)</f>
        <v>212</v>
      </c>
      <c r="K29" s="5">
        <f>SUM($E22:K22)</f>
        <v>303</v>
      </c>
      <c r="L29" s="5">
        <f>SUM($E22:L22)</f>
        <v>387</v>
      </c>
      <c r="M29" s="5">
        <f>SUM($E22:M22)</f>
        <v>387</v>
      </c>
      <c r="N29" s="5">
        <f>SUM($E22:N22)</f>
        <v>387</v>
      </c>
      <c r="O29" s="5">
        <f>SUM($E22:O22)</f>
        <v>387</v>
      </c>
      <c r="P29" s="5">
        <f>SUM($E22:P22)</f>
        <v>387</v>
      </c>
    </row>
    <row r="30" spans="3:17" x14ac:dyDescent="0.35">
      <c r="D30" s="3" t="str">
        <f t="shared" si="4"/>
        <v>Realisation</v>
      </c>
      <c r="E30" s="9">
        <f>E28/E26</f>
        <v>0</v>
      </c>
      <c r="F30" s="9">
        <f t="shared" ref="F30:P30" si="5">F27/F26</f>
        <v>1.0003425830763961</v>
      </c>
      <c r="G30" s="9">
        <f t="shared" si="5"/>
        <v>1.0129383724889343</v>
      </c>
      <c r="H30" s="9">
        <f t="shared" si="5"/>
        <v>1.0169204737732656</v>
      </c>
      <c r="I30" s="9">
        <f t="shared" si="5"/>
        <v>1.020854355869492</v>
      </c>
      <c r="J30" s="9">
        <f t="shared" si="5"/>
        <v>1.027415580073554</v>
      </c>
      <c r="K30" s="9">
        <f t="shared" si="5"/>
        <v>1.0300925925925926</v>
      </c>
      <c r="L30" s="9">
        <f t="shared" si="5"/>
        <v>1.0275680997702659</v>
      </c>
      <c r="M30" s="9">
        <f t="shared" si="5"/>
        <v>0</v>
      </c>
      <c r="N30" s="9">
        <f t="shared" si="5"/>
        <v>0</v>
      </c>
      <c r="O30" s="9">
        <f t="shared" si="5"/>
        <v>0</v>
      </c>
      <c r="P30" s="9">
        <f t="shared" si="5"/>
        <v>0</v>
      </c>
    </row>
  </sheetData>
  <mergeCells count="2">
    <mergeCell ref="J4:Q8"/>
    <mergeCell ref="J10:Q15"/>
  </mergeCells>
  <conditionalFormatting sqref="C3">
    <cfRule type="expression" dxfId="449" priority="2">
      <formula>S4&lt;S6</formula>
    </cfRule>
  </conditionalFormatting>
  <conditionalFormatting sqref="C5">
    <cfRule type="expression" dxfId="448" priority="3">
      <formula>S4&gt;=S5</formula>
    </cfRule>
  </conditionalFormatting>
  <conditionalFormatting sqref="C4">
    <cfRule type="expression" dxfId="447" priority="1">
      <formula>AND(S4&gt;=S6,S4&lt;S5)</formula>
    </cfRule>
  </conditionalFormatting>
  <hyperlinks>
    <hyperlink ref="L1" location="Dashboard!A1" display="Dashboard"/>
  </hyperlinks>
  <pageMargins left="0.7" right="0.7" top="0.75" bottom="0.75" header="0.3" footer="0.3"/>
  <pageSetup orientation="portrait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972801" r:id="rId4" name="Spinner 1">
              <controlPr defaultSize="0" autoPict="0">
                <anchor moveWithCells="1" sizeWithCells="1">
                  <from>
                    <xdr:col>9</xdr:col>
                    <xdr:colOff>19050</xdr:colOff>
                    <xdr:row>0</xdr:row>
                    <xdr:rowOff>38100</xdr:rowOff>
                  </from>
                  <to>
                    <xdr:col>9</xdr:col>
                    <xdr:colOff>400050</xdr:colOff>
                    <xdr:row>1</xdr:row>
                    <xdr:rowOff>152400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5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FFC000"/>
  </sheetPr>
  <dimension ref="A1:S30"/>
  <sheetViews>
    <sheetView workbookViewId="0">
      <selection activeCell="L1" sqref="L1"/>
    </sheetView>
  </sheetViews>
  <sheetFormatPr defaultColWidth="9.1796875" defaultRowHeight="14.5" x14ac:dyDescent="0.35"/>
  <cols>
    <col min="1" max="1" width="9.1796875" style="3"/>
    <col min="2" max="2" width="5.1796875" style="3" customWidth="1"/>
    <col min="3" max="3" width="6.26953125" style="3" customWidth="1"/>
    <col min="4" max="4" width="21.26953125" style="3" bestFit="1" customWidth="1"/>
    <col min="5" max="16" width="11.1796875" style="3" customWidth="1"/>
    <col min="17" max="17" width="12" style="3" bestFit="1" customWidth="1"/>
    <col min="18" max="18" width="9.1796875" style="3" customWidth="1"/>
    <col min="19" max="16384" width="9.1796875" style="3"/>
  </cols>
  <sheetData>
    <row r="1" spans="1:19" ht="21" x14ac:dyDescent="0.5">
      <c r="A1" s="4" t="s">
        <v>4</v>
      </c>
      <c r="B1" s="4">
        <f>Dashboard!A44</f>
        <v>6</v>
      </c>
      <c r="C1" s="4" t="str">
        <f>Dashboard!B44</f>
        <v>LAKEVIEW- WATER</v>
      </c>
      <c r="G1" s="3" t="s">
        <v>9</v>
      </c>
      <c r="I1" s="12">
        <f>INDEX($E$18:$P$18,Actual_month)</f>
        <v>46054</v>
      </c>
      <c r="L1" s="16" t="s">
        <v>19</v>
      </c>
      <c r="R1" s="5"/>
    </row>
    <row r="2" spans="1:19" x14ac:dyDescent="0.35">
      <c r="A2" s="3" t="s">
        <v>13</v>
      </c>
      <c r="C2" s="3" t="s">
        <v>27</v>
      </c>
      <c r="R2" s="6"/>
    </row>
    <row r="3" spans="1:19" ht="25.5" customHeight="1" thickBot="1" x14ac:dyDescent="0.4">
      <c r="C3" s="1" t="s">
        <v>5</v>
      </c>
      <c r="E3" s="10"/>
      <c r="F3" s="10"/>
      <c r="G3" s="10"/>
      <c r="H3" s="10"/>
      <c r="I3" s="10"/>
      <c r="J3" s="3" t="s">
        <v>6</v>
      </c>
      <c r="K3" s="10"/>
      <c r="M3" s="10"/>
      <c r="N3" s="10"/>
      <c r="O3" s="10"/>
      <c r="P3" s="10"/>
    </row>
    <row r="4" spans="1:19" ht="25.5" customHeight="1" x14ac:dyDescent="0.35">
      <c r="C4" s="1" t="s">
        <v>5</v>
      </c>
      <c r="E4" s="10"/>
      <c r="F4" s="10"/>
      <c r="G4" s="10"/>
      <c r="H4" s="10"/>
      <c r="I4" s="10"/>
      <c r="J4" s="401"/>
      <c r="K4" s="402"/>
      <c r="L4" s="402"/>
      <c r="M4" s="402"/>
      <c r="N4" s="402"/>
      <c r="O4" s="402"/>
      <c r="P4" s="402"/>
      <c r="Q4" s="403"/>
      <c r="R4" s="3" t="s">
        <v>22</v>
      </c>
      <c r="S4" s="5">
        <f>INDEX(E27:P27,Actual_month)</f>
        <v>418</v>
      </c>
    </row>
    <row r="5" spans="1:19" ht="25.5" customHeight="1" x14ac:dyDescent="0.35">
      <c r="C5" s="1" t="s">
        <v>5</v>
      </c>
      <c r="E5" s="10"/>
      <c r="F5" s="10"/>
      <c r="G5" s="10"/>
      <c r="H5" s="10"/>
      <c r="I5" s="10"/>
      <c r="J5" s="404"/>
      <c r="K5" s="405"/>
      <c r="L5" s="405"/>
      <c r="M5" s="405"/>
      <c r="N5" s="405"/>
      <c r="O5" s="405"/>
      <c r="P5" s="405"/>
      <c r="Q5" s="406"/>
      <c r="R5" s="3" t="s">
        <v>23</v>
      </c>
      <c r="S5" s="5">
        <f>INDEX(E26:P26,Actual_month)</f>
        <v>381</v>
      </c>
    </row>
    <row r="6" spans="1:19" x14ac:dyDescent="0.35">
      <c r="J6" s="404"/>
      <c r="K6" s="405"/>
      <c r="L6" s="405"/>
      <c r="M6" s="405"/>
      <c r="N6" s="405"/>
      <c r="O6" s="405"/>
      <c r="P6" s="405"/>
      <c r="Q6" s="406"/>
      <c r="R6" s="6">
        <v>0.9</v>
      </c>
      <c r="S6" s="5">
        <f>+S5*R6</f>
        <v>342.90000000000003</v>
      </c>
    </row>
    <row r="7" spans="1:19" x14ac:dyDescent="0.35">
      <c r="J7" s="404"/>
      <c r="K7" s="405"/>
      <c r="L7" s="405"/>
      <c r="M7" s="405"/>
      <c r="N7" s="405"/>
      <c r="O7" s="405"/>
      <c r="P7" s="405"/>
      <c r="Q7" s="406"/>
    </row>
    <row r="8" spans="1:19" ht="15" thickBot="1" x14ac:dyDescent="0.4">
      <c r="J8" s="407"/>
      <c r="K8" s="408"/>
      <c r="L8" s="408"/>
      <c r="M8" s="408"/>
      <c r="N8" s="408"/>
      <c r="O8" s="408"/>
      <c r="P8" s="408"/>
      <c r="Q8" s="409"/>
    </row>
    <row r="9" spans="1:19" ht="15" thickBot="1" x14ac:dyDescent="0.4">
      <c r="J9" s="3" t="s">
        <v>12</v>
      </c>
    </row>
    <row r="10" spans="1:19" x14ac:dyDescent="0.35">
      <c r="J10" s="401"/>
      <c r="K10" s="402"/>
      <c r="L10" s="402"/>
      <c r="M10" s="402"/>
      <c r="N10" s="402"/>
      <c r="O10" s="402"/>
      <c r="P10" s="402"/>
      <c r="Q10" s="403"/>
    </row>
    <row r="11" spans="1:19" x14ac:dyDescent="0.35">
      <c r="J11" s="404"/>
      <c r="K11" s="405"/>
      <c r="L11" s="405"/>
      <c r="M11" s="405"/>
      <c r="N11" s="405"/>
      <c r="O11" s="405"/>
      <c r="P11" s="405"/>
      <c r="Q11" s="406"/>
    </row>
    <row r="12" spans="1:19" x14ac:dyDescent="0.35">
      <c r="J12" s="404"/>
      <c r="K12" s="405"/>
      <c r="L12" s="405"/>
      <c r="M12" s="405"/>
      <c r="N12" s="405"/>
      <c r="O12" s="405"/>
      <c r="P12" s="405"/>
      <c r="Q12" s="406"/>
    </row>
    <row r="13" spans="1:19" x14ac:dyDescent="0.35">
      <c r="J13" s="404"/>
      <c r="K13" s="405"/>
      <c r="L13" s="405"/>
      <c r="M13" s="405"/>
      <c r="N13" s="405"/>
      <c r="O13" s="405"/>
      <c r="P13" s="405"/>
      <c r="Q13" s="406"/>
    </row>
    <row r="14" spans="1:19" x14ac:dyDescent="0.35">
      <c r="J14" s="404"/>
      <c r="K14" s="405"/>
      <c r="L14" s="405"/>
      <c r="M14" s="405"/>
      <c r="N14" s="405"/>
      <c r="O14" s="405"/>
      <c r="P14" s="405"/>
      <c r="Q14" s="406"/>
    </row>
    <row r="15" spans="1:19" ht="15" thickBot="1" x14ac:dyDescent="0.4">
      <c r="J15" s="407"/>
      <c r="K15" s="408"/>
      <c r="L15" s="408"/>
      <c r="M15" s="408"/>
      <c r="N15" s="408"/>
      <c r="O15" s="408"/>
      <c r="P15" s="408"/>
      <c r="Q15" s="409"/>
    </row>
    <row r="18" spans="3:17" x14ac:dyDescent="0.35">
      <c r="C18" s="7" t="s">
        <v>8</v>
      </c>
      <c r="E18" s="11">
        <f>'KPI 1'!E18</f>
        <v>45839</v>
      </c>
      <c r="F18" s="11">
        <f>'KPI 1'!F18</f>
        <v>45870</v>
      </c>
      <c r="G18" s="11">
        <f>'KPI 1'!G18</f>
        <v>45901</v>
      </c>
      <c r="H18" s="11">
        <f>'KPI 1'!H18</f>
        <v>45931</v>
      </c>
      <c r="I18" s="11">
        <f>'KPI 1'!I18</f>
        <v>45962</v>
      </c>
      <c r="J18" s="11">
        <f>'KPI 1'!J18</f>
        <v>45992</v>
      </c>
      <c r="K18" s="11">
        <f>'KPI 1'!K18</f>
        <v>46023</v>
      </c>
      <c r="L18" s="11">
        <f>'KPI 1'!L18</f>
        <v>46054</v>
      </c>
      <c r="M18" s="11">
        <f>'KPI 1'!M18</f>
        <v>46082</v>
      </c>
      <c r="N18" s="11">
        <f>'KPI 1'!N18</f>
        <v>46113</v>
      </c>
      <c r="O18" s="11">
        <f>'KPI 1'!O18</f>
        <v>46143</v>
      </c>
      <c r="P18" s="11">
        <f>'KPI 1'!P18</f>
        <v>46174</v>
      </c>
      <c r="Q18" s="8" t="s">
        <v>0</v>
      </c>
    </row>
    <row r="19" spans="3:17" x14ac:dyDescent="0.35">
      <c r="D19" s="3" t="str">
        <f>'KPI 1'!D19</f>
        <v>Budget 2025-26</v>
      </c>
      <c r="E19" s="5">
        <f>'budget 2025-26'!D43</f>
        <v>367</v>
      </c>
      <c r="F19" s="5">
        <f>'budget 2025-26'!E43</f>
        <v>369</v>
      </c>
      <c r="G19" s="5">
        <f>'budget 2025-26'!F43</f>
        <v>371</v>
      </c>
      <c r="H19" s="5">
        <f>'budget 2025-26'!G43</f>
        <v>373</v>
      </c>
      <c r="I19" s="5">
        <f>'budget 2025-26'!H43</f>
        <v>375</v>
      </c>
      <c r="J19" s="5">
        <f>'budget 2025-26'!I43</f>
        <v>377</v>
      </c>
      <c r="K19" s="5">
        <f>'budget 2025-26'!J43</f>
        <v>379</v>
      </c>
      <c r="L19" s="5">
        <f>'budget 2025-26'!K43</f>
        <v>381</v>
      </c>
      <c r="M19" s="5">
        <f>'budget 2025-26'!L43</f>
        <v>383</v>
      </c>
      <c r="N19" s="5">
        <f>'budget 2025-26'!M43</f>
        <v>385</v>
      </c>
      <c r="O19" s="5">
        <f>'budget 2025-26'!N43</f>
        <v>387</v>
      </c>
      <c r="P19" s="5">
        <f>'budget 2025-26'!O43</f>
        <v>389</v>
      </c>
      <c r="Q19" s="5">
        <f>SUM(E19:P19)</f>
        <v>4536</v>
      </c>
    </row>
    <row r="20" spans="3:17" x14ac:dyDescent="0.35">
      <c r="D20" s="3" t="str">
        <f>'KPI 1'!D20</f>
        <v>Actual 2025-26</v>
      </c>
      <c r="E20" s="5">
        <f>'Input Actual2025-26'!E45</f>
        <v>366</v>
      </c>
      <c r="F20" s="5">
        <f>'Input Actual2025-26'!F45</f>
        <v>366</v>
      </c>
      <c r="G20" s="5">
        <f>'Input Actual2025-26'!G45</f>
        <v>366</v>
      </c>
      <c r="H20" s="5">
        <f>'Input Actual2025-26'!H45</f>
        <v>380</v>
      </c>
      <c r="I20" s="5">
        <f>'Input Actual2025-26'!I45</f>
        <v>381</v>
      </c>
      <c r="J20" s="5">
        <f>'Input Actual2025-26'!J45</f>
        <v>393</v>
      </c>
      <c r="K20" s="5">
        <f>'Input Actual2025-26'!K45</f>
        <v>415</v>
      </c>
      <c r="L20" s="5">
        <f>'Input Actual2025-26'!L45</f>
        <v>418</v>
      </c>
      <c r="M20" s="5">
        <f>'Input Actual2025-26'!M45</f>
        <v>0</v>
      </c>
      <c r="N20" s="5">
        <f>'Input Actual2025-26'!N45</f>
        <v>0</v>
      </c>
      <c r="O20" s="5">
        <f>'Input Actual2025-26'!O45</f>
        <v>0</v>
      </c>
      <c r="P20" s="5">
        <f>'Input Actual2025-26'!P45</f>
        <v>0</v>
      </c>
      <c r="Q20" s="5">
        <f t="shared" ref="Q20:Q22" si="0">SUM(E20:P20)</f>
        <v>3085</v>
      </c>
    </row>
    <row r="21" spans="3:17" x14ac:dyDescent="0.35">
      <c r="D21" s="3" t="s">
        <v>424</v>
      </c>
      <c r="E21" s="5">
        <f>'Input Actual2024-25'!E43</f>
        <v>265</v>
      </c>
      <c r="F21" s="5">
        <f>'Input Actual2024-25'!F43</f>
        <v>265</v>
      </c>
      <c r="G21" s="5">
        <f>'Input Actual2024-25'!G43</f>
        <v>358</v>
      </c>
      <c r="H21" s="5">
        <f>'Input Actual2024-25'!H43</f>
        <v>358</v>
      </c>
      <c r="I21" s="5">
        <f>'Input Actual2024-25'!I43</f>
        <v>358</v>
      </c>
      <c r="J21" s="5">
        <f>'Input Actual2024-25'!J43</f>
        <v>358</v>
      </c>
      <c r="K21" s="5">
        <f>'Input Actual2024-25'!K43</f>
        <v>361</v>
      </c>
      <c r="L21" s="5">
        <f>'Input Actual2024-25'!L43</f>
        <v>359</v>
      </c>
      <c r="M21" s="5">
        <f>'Input Actual2024-25'!M43</f>
        <v>361</v>
      </c>
      <c r="N21" s="5">
        <f>'Input Actual2024-25'!N43</f>
        <v>361</v>
      </c>
      <c r="O21" s="5">
        <f>'Input Actual2024-25'!O43</f>
        <v>363</v>
      </c>
      <c r="P21" s="5">
        <f>'Input Actual2024-25'!P43</f>
        <v>365</v>
      </c>
      <c r="Q21" s="5">
        <f t="shared" si="0"/>
        <v>4132</v>
      </c>
    </row>
    <row r="22" spans="3:17" x14ac:dyDescent="0.35">
      <c r="D22" s="3" t="s">
        <v>7</v>
      </c>
      <c r="E22" s="5">
        <f t="shared" ref="E22:P22" si="1">IF(E20=0,0,E20-E19)</f>
        <v>-1</v>
      </c>
      <c r="F22" s="5">
        <f t="shared" si="1"/>
        <v>-3</v>
      </c>
      <c r="G22" s="5">
        <f t="shared" si="1"/>
        <v>-5</v>
      </c>
      <c r="H22" s="5">
        <f t="shared" si="1"/>
        <v>7</v>
      </c>
      <c r="I22" s="5">
        <f t="shared" si="1"/>
        <v>6</v>
      </c>
      <c r="J22" s="5">
        <f t="shared" si="1"/>
        <v>16</v>
      </c>
      <c r="K22" s="5">
        <f t="shared" si="1"/>
        <v>36</v>
      </c>
      <c r="L22" s="5">
        <f t="shared" si="1"/>
        <v>37</v>
      </c>
      <c r="M22" s="5">
        <f t="shared" si="1"/>
        <v>0</v>
      </c>
      <c r="N22" s="5">
        <f t="shared" si="1"/>
        <v>0</v>
      </c>
      <c r="O22" s="5">
        <f t="shared" si="1"/>
        <v>0</v>
      </c>
      <c r="P22" s="5">
        <f t="shared" si="1"/>
        <v>0</v>
      </c>
      <c r="Q22" s="5">
        <f t="shared" si="0"/>
        <v>93</v>
      </c>
    </row>
    <row r="23" spans="3:17" x14ac:dyDescent="0.35">
      <c r="D23" s="3" t="s">
        <v>43</v>
      </c>
      <c r="E23" s="9">
        <f>E21/E19</f>
        <v>0.72207084468664851</v>
      </c>
      <c r="F23" s="9">
        <f t="shared" ref="F23:P23" si="2">F20/F19</f>
        <v>0.99186991869918695</v>
      </c>
      <c r="G23" s="9">
        <f t="shared" si="2"/>
        <v>0.98652291105121293</v>
      </c>
      <c r="H23" s="9">
        <f t="shared" si="2"/>
        <v>1.0187667560321716</v>
      </c>
      <c r="I23" s="9">
        <f t="shared" si="2"/>
        <v>1.016</v>
      </c>
      <c r="J23" s="9">
        <f t="shared" si="2"/>
        <v>1.0424403183023874</v>
      </c>
      <c r="K23" s="9">
        <f t="shared" si="2"/>
        <v>1.0949868073878628</v>
      </c>
      <c r="L23" s="9">
        <f t="shared" si="2"/>
        <v>1.0971128608923884</v>
      </c>
      <c r="M23" s="9">
        <f t="shared" si="2"/>
        <v>0</v>
      </c>
      <c r="N23" s="9">
        <f t="shared" si="2"/>
        <v>0</v>
      </c>
      <c r="O23" s="9">
        <f t="shared" si="2"/>
        <v>0</v>
      </c>
      <c r="P23" s="9">
        <f t="shared" si="2"/>
        <v>0</v>
      </c>
    </row>
    <row r="25" spans="3:17" x14ac:dyDescent="0.35">
      <c r="C25" s="7" t="s">
        <v>3</v>
      </c>
      <c r="E25" s="11">
        <f>E18</f>
        <v>45839</v>
      </c>
      <c r="F25" s="11">
        <f t="shared" ref="F25:P28" si="3">F18</f>
        <v>45870</v>
      </c>
      <c r="G25" s="11">
        <f t="shared" si="3"/>
        <v>45901</v>
      </c>
      <c r="H25" s="11">
        <f t="shared" si="3"/>
        <v>45931</v>
      </c>
      <c r="I25" s="11">
        <f t="shared" si="3"/>
        <v>45962</v>
      </c>
      <c r="J25" s="11">
        <f t="shared" si="3"/>
        <v>45992</v>
      </c>
      <c r="K25" s="11">
        <f t="shared" si="3"/>
        <v>46023</v>
      </c>
      <c r="L25" s="11">
        <f t="shared" si="3"/>
        <v>46054</v>
      </c>
      <c r="M25" s="11">
        <f t="shared" si="3"/>
        <v>46082</v>
      </c>
      <c r="N25" s="11">
        <f t="shared" si="3"/>
        <v>46113</v>
      </c>
      <c r="O25" s="11">
        <f t="shared" si="3"/>
        <v>46143</v>
      </c>
      <c r="P25" s="11">
        <f t="shared" si="3"/>
        <v>46174</v>
      </c>
    </row>
    <row r="26" spans="3:17" x14ac:dyDescent="0.35">
      <c r="D26" s="3" t="str">
        <f>D19</f>
        <v>Budget 2025-26</v>
      </c>
      <c r="E26" s="5">
        <f>E19</f>
        <v>367</v>
      </c>
      <c r="F26" s="5">
        <f t="shared" si="3"/>
        <v>369</v>
      </c>
      <c r="G26" s="5">
        <f t="shared" si="3"/>
        <v>371</v>
      </c>
      <c r="H26" s="5">
        <f t="shared" si="3"/>
        <v>373</v>
      </c>
      <c r="I26" s="5">
        <f t="shared" si="3"/>
        <v>375</v>
      </c>
      <c r="J26" s="5">
        <f t="shared" si="3"/>
        <v>377</v>
      </c>
      <c r="K26" s="5">
        <f t="shared" si="3"/>
        <v>379</v>
      </c>
      <c r="L26" s="5">
        <f t="shared" si="3"/>
        <v>381</v>
      </c>
      <c r="M26" s="5">
        <f t="shared" si="3"/>
        <v>383</v>
      </c>
      <c r="N26" s="5">
        <f t="shared" si="3"/>
        <v>385</v>
      </c>
      <c r="O26" s="5">
        <f t="shared" si="3"/>
        <v>387</v>
      </c>
      <c r="P26" s="5">
        <f t="shared" si="3"/>
        <v>389</v>
      </c>
    </row>
    <row r="27" spans="3:17" x14ac:dyDescent="0.35">
      <c r="D27" s="3" t="str">
        <f t="shared" ref="D27:E30" si="4">D20</f>
        <v>Actual 2025-26</v>
      </c>
      <c r="E27" s="5">
        <f t="shared" si="4"/>
        <v>366</v>
      </c>
      <c r="F27" s="5">
        <f t="shared" si="3"/>
        <v>366</v>
      </c>
      <c r="G27" s="5">
        <f t="shared" si="3"/>
        <v>366</v>
      </c>
      <c r="H27" s="5">
        <f t="shared" si="3"/>
        <v>380</v>
      </c>
      <c r="I27" s="5">
        <f t="shared" si="3"/>
        <v>381</v>
      </c>
      <c r="J27" s="5">
        <f t="shared" si="3"/>
        <v>393</v>
      </c>
      <c r="K27" s="5">
        <f t="shared" si="3"/>
        <v>415</v>
      </c>
      <c r="L27" s="5">
        <f t="shared" si="3"/>
        <v>418</v>
      </c>
      <c r="M27" s="5">
        <f t="shared" si="3"/>
        <v>0</v>
      </c>
      <c r="N27" s="5">
        <f t="shared" si="3"/>
        <v>0</v>
      </c>
      <c r="O27" s="5">
        <f t="shared" si="3"/>
        <v>0</v>
      </c>
      <c r="P27" s="5">
        <f t="shared" si="3"/>
        <v>0</v>
      </c>
    </row>
    <row r="28" spans="3:17" x14ac:dyDescent="0.35">
      <c r="D28" s="3" t="str">
        <f t="shared" si="4"/>
        <v>Actual 2024-25</v>
      </c>
      <c r="E28" s="5">
        <f t="shared" si="4"/>
        <v>265</v>
      </c>
      <c r="F28" s="5">
        <f t="shared" si="3"/>
        <v>265</v>
      </c>
      <c r="G28" s="5">
        <f t="shared" si="3"/>
        <v>358</v>
      </c>
      <c r="H28" s="5">
        <f t="shared" si="3"/>
        <v>358</v>
      </c>
      <c r="I28" s="5">
        <f t="shared" si="3"/>
        <v>358</v>
      </c>
      <c r="J28" s="5">
        <f t="shared" si="3"/>
        <v>358</v>
      </c>
      <c r="K28" s="5">
        <f t="shared" si="3"/>
        <v>361</v>
      </c>
      <c r="L28" s="5">
        <f t="shared" si="3"/>
        <v>359</v>
      </c>
      <c r="M28" s="5">
        <f t="shared" si="3"/>
        <v>361</v>
      </c>
      <c r="N28" s="5">
        <f t="shared" si="3"/>
        <v>361</v>
      </c>
      <c r="O28" s="5">
        <f t="shared" si="3"/>
        <v>363</v>
      </c>
      <c r="P28" s="5">
        <f t="shared" si="3"/>
        <v>365</v>
      </c>
    </row>
    <row r="29" spans="3:17" x14ac:dyDescent="0.35">
      <c r="D29" s="3" t="str">
        <f t="shared" si="4"/>
        <v>Difference</v>
      </c>
      <c r="E29" s="5">
        <f>SUM($E22:E22)</f>
        <v>-1</v>
      </c>
      <c r="F29" s="5">
        <f>SUM($E22:F22)</f>
        <v>-4</v>
      </c>
      <c r="G29" s="5">
        <f>SUM($E22:G22)</f>
        <v>-9</v>
      </c>
      <c r="H29" s="5">
        <f>SUM($E22:H22)</f>
        <v>-2</v>
      </c>
      <c r="I29" s="5">
        <f>SUM($E22:I22)</f>
        <v>4</v>
      </c>
      <c r="J29" s="5">
        <f>SUM($E22:J22)</f>
        <v>20</v>
      </c>
      <c r="K29" s="5">
        <f>SUM($E22:K22)</f>
        <v>56</v>
      </c>
      <c r="L29" s="5">
        <f>SUM($E22:L22)</f>
        <v>93</v>
      </c>
      <c r="M29" s="5">
        <f>SUM($E22:M22)</f>
        <v>93</v>
      </c>
      <c r="N29" s="5">
        <f>SUM($E22:N22)</f>
        <v>93</v>
      </c>
      <c r="O29" s="5">
        <f>SUM($E22:O22)</f>
        <v>93</v>
      </c>
      <c r="P29" s="5">
        <f>SUM($E22:P22)</f>
        <v>93</v>
      </c>
    </row>
    <row r="30" spans="3:17" x14ac:dyDescent="0.35">
      <c r="D30" s="3" t="str">
        <f t="shared" si="4"/>
        <v>Realisation</v>
      </c>
      <c r="E30" s="9">
        <f>E28/E26</f>
        <v>0.72207084468664851</v>
      </c>
      <c r="F30" s="9">
        <f t="shared" ref="F30:P30" si="5">F27/F26</f>
        <v>0.99186991869918695</v>
      </c>
      <c r="G30" s="9">
        <f t="shared" si="5"/>
        <v>0.98652291105121293</v>
      </c>
      <c r="H30" s="9">
        <f t="shared" si="5"/>
        <v>1.0187667560321716</v>
      </c>
      <c r="I30" s="9">
        <f t="shared" si="5"/>
        <v>1.016</v>
      </c>
      <c r="J30" s="9">
        <f t="shared" si="5"/>
        <v>1.0424403183023874</v>
      </c>
      <c r="K30" s="9">
        <f t="shared" si="5"/>
        <v>1.0949868073878628</v>
      </c>
      <c r="L30" s="9">
        <f t="shared" si="5"/>
        <v>1.0971128608923884</v>
      </c>
      <c r="M30" s="9">
        <f t="shared" si="5"/>
        <v>0</v>
      </c>
      <c r="N30" s="9">
        <f t="shared" si="5"/>
        <v>0</v>
      </c>
      <c r="O30" s="9">
        <f t="shared" si="5"/>
        <v>0</v>
      </c>
      <c r="P30" s="9">
        <f t="shared" si="5"/>
        <v>0</v>
      </c>
    </row>
  </sheetData>
  <mergeCells count="2">
    <mergeCell ref="J4:Q8"/>
    <mergeCell ref="J10:Q15"/>
  </mergeCells>
  <conditionalFormatting sqref="C3">
    <cfRule type="expression" dxfId="446" priority="2">
      <formula>S4&lt;S6</formula>
    </cfRule>
  </conditionalFormatting>
  <conditionalFormatting sqref="C5">
    <cfRule type="expression" dxfId="445" priority="3">
      <formula>S4&gt;=S5</formula>
    </cfRule>
  </conditionalFormatting>
  <conditionalFormatting sqref="C4">
    <cfRule type="expression" dxfId="444" priority="1">
      <formula>AND(S4&gt;=S6,S4&lt;S5)</formula>
    </cfRule>
  </conditionalFormatting>
  <hyperlinks>
    <hyperlink ref="L1" location="Dashboard!A1" display="Dashboard"/>
  </hyperlinks>
  <pageMargins left="0.7" right="0.7" top="0.75" bottom="0.75" header="0.3" footer="0.3"/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590273" r:id="rId3" name="Spinner 1">
              <controlPr defaultSize="0" autoPict="0">
                <anchor moveWithCells="1" sizeWithCells="1">
                  <from>
                    <xdr:col>9</xdr:col>
                    <xdr:colOff>19050</xdr:colOff>
                    <xdr:row>0</xdr:row>
                    <xdr:rowOff>38100</xdr:rowOff>
                  </from>
                  <to>
                    <xdr:col>9</xdr:col>
                    <xdr:colOff>400050</xdr:colOff>
                    <xdr:row>1</xdr:row>
                    <xdr:rowOff>152400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5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38">
    <tabColor rgb="FFFFC000"/>
  </sheetPr>
  <dimension ref="A1:S30"/>
  <sheetViews>
    <sheetView zoomScale="90" zoomScaleNormal="90" workbookViewId="0">
      <selection activeCell="L1" sqref="L1"/>
    </sheetView>
  </sheetViews>
  <sheetFormatPr defaultColWidth="9.1796875" defaultRowHeight="14.5" x14ac:dyDescent="0.35"/>
  <cols>
    <col min="1" max="1" width="9.1796875" style="3"/>
    <col min="2" max="2" width="5.1796875" style="3" customWidth="1"/>
    <col min="3" max="3" width="6.26953125" style="3" customWidth="1"/>
    <col min="4" max="4" width="21.26953125" style="3" bestFit="1" customWidth="1"/>
    <col min="5" max="16" width="11.1796875" style="3" customWidth="1"/>
    <col min="17" max="17" width="12" style="3" bestFit="1" customWidth="1"/>
    <col min="18" max="18" width="9.1796875" style="3" customWidth="1"/>
    <col min="19" max="16384" width="9.1796875" style="3"/>
  </cols>
  <sheetData>
    <row r="1" spans="1:19" ht="21" x14ac:dyDescent="0.5">
      <c r="A1" s="4" t="s">
        <v>4</v>
      </c>
      <c r="B1" s="4">
        <f>Dashboard!A44</f>
        <v>6</v>
      </c>
      <c r="C1" s="4" t="str">
        <f>Dashboard!B44</f>
        <v>LAKEVIEW- WATER</v>
      </c>
      <c r="G1" s="3" t="s">
        <v>9</v>
      </c>
      <c r="I1" s="12">
        <f>INDEX($E$18:$P$18,Actual_month)</f>
        <v>46054</v>
      </c>
      <c r="L1" s="16" t="s">
        <v>19</v>
      </c>
      <c r="R1" s="5"/>
    </row>
    <row r="2" spans="1:19" x14ac:dyDescent="0.35">
      <c r="A2" s="3" t="s">
        <v>13</v>
      </c>
      <c r="C2" s="3" t="s">
        <v>27</v>
      </c>
      <c r="R2" s="6"/>
    </row>
    <row r="3" spans="1:19" ht="25.5" customHeight="1" thickBot="1" x14ac:dyDescent="0.4">
      <c r="C3" s="1" t="s">
        <v>5</v>
      </c>
      <c r="E3" s="10"/>
      <c r="F3" s="10"/>
      <c r="G3" s="10"/>
      <c r="H3" s="10"/>
      <c r="I3" s="10"/>
      <c r="J3" s="3" t="s">
        <v>6</v>
      </c>
      <c r="K3" s="10"/>
      <c r="M3" s="10"/>
      <c r="N3" s="10"/>
      <c r="O3" s="10"/>
      <c r="P3" s="10"/>
    </row>
    <row r="4" spans="1:19" ht="25.5" customHeight="1" x14ac:dyDescent="0.35">
      <c r="C4" s="1" t="s">
        <v>5</v>
      </c>
      <c r="E4" s="10"/>
      <c r="F4" s="10"/>
      <c r="G4" s="10"/>
      <c r="H4" s="10"/>
      <c r="I4" s="10"/>
      <c r="J4" s="401"/>
      <c r="K4" s="402"/>
      <c r="L4" s="402"/>
      <c r="M4" s="402"/>
      <c r="N4" s="402"/>
      <c r="O4" s="402"/>
      <c r="P4" s="402"/>
      <c r="Q4" s="403"/>
      <c r="R4" s="3" t="s">
        <v>22</v>
      </c>
      <c r="S4" s="5">
        <f>INDEX(E27:P27,Actual_month)</f>
        <v>1168</v>
      </c>
    </row>
    <row r="5" spans="1:19" ht="25.5" customHeight="1" x14ac:dyDescent="0.35">
      <c r="C5" s="1" t="s">
        <v>5</v>
      </c>
      <c r="E5" s="10"/>
      <c r="F5" s="10"/>
      <c r="G5" s="10"/>
      <c r="H5" s="10"/>
      <c r="I5" s="10"/>
      <c r="J5" s="404"/>
      <c r="K5" s="405"/>
      <c r="L5" s="405"/>
      <c r="M5" s="405"/>
      <c r="N5" s="405"/>
      <c r="O5" s="405"/>
      <c r="P5" s="405"/>
      <c r="Q5" s="406"/>
      <c r="R5" s="3" t="s">
        <v>23</v>
      </c>
      <c r="S5" s="5">
        <f>INDEX(E26:P26,Actual_month)</f>
        <v>1168</v>
      </c>
    </row>
    <row r="6" spans="1:19" x14ac:dyDescent="0.35">
      <c r="J6" s="404"/>
      <c r="K6" s="405"/>
      <c r="L6" s="405"/>
      <c r="M6" s="405"/>
      <c r="N6" s="405"/>
      <c r="O6" s="405"/>
      <c r="P6" s="405"/>
      <c r="Q6" s="406"/>
      <c r="R6" s="6">
        <v>0.9</v>
      </c>
      <c r="S6" s="5">
        <f>+S5*R6</f>
        <v>1051.2</v>
      </c>
    </row>
    <row r="7" spans="1:19" x14ac:dyDescent="0.35">
      <c r="J7" s="404"/>
      <c r="K7" s="405"/>
      <c r="L7" s="405"/>
      <c r="M7" s="405"/>
      <c r="N7" s="405"/>
      <c r="O7" s="405"/>
      <c r="P7" s="405"/>
      <c r="Q7" s="406"/>
    </row>
    <row r="8" spans="1:19" ht="15" thickBot="1" x14ac:dyDescent="0.4">
      <c r="J8" s="407"/>
      <c r="K8" s="408"/>
      <c r="L8" s="408"/>
      <c r="M8" s="408"/>
      <c r="N8" s="408"/>
      <c r="O8" s="408"/>
      <c r="P8" s="408"/>
      <c r="Q8" s="409"/>
    </row>
    <row r="9" spans="1:19" ht="15" thickBot="1" x14ac:dyDescent="0.4">
      <c r="J9" s="3" t="s">
        <v>12</v>
      </c>
    </row>
    <row r="10" spans="1:19" x14ac:dyDescent="0.35">
      <c r="J10" s="401"/>
      <c r="K10" s="402"/>
      <c r="L10" s="402"/>
      <c r="M10" s="402"/>
      <c r="N10" s="402"/>
      <c r="O10" s="402"/>
      <c r="P10" s="402"/>
      <c r="Q10" s="403"/>
    </row>
    <row r="11" spans="1:19" x14ac:dyDescent="0.35">
      <c r="J11" s="404"/>
      <c r="K11" s="405"/>
      <c r="L11" s="405"/>
      <c r="M11" s="405"/>
      <c r="N11" s="405"/>
      <c r="O11" s="405"/>
      <c r="P11" s="405"/>
      <c r="Q11" s="406"/>
    </row>
    <row r="12" spans="1:19" x14ac:dyDescent="0.35">
      <c r="J12" s="404"/>
      <c r="K12" s="405"/>
      <c r="L12" s="405"/>
      <c r="M12" s="405"/>
      <c r="N12" s="405"/>
      <c r="O12" s="405"/>
      <c r="P12" s="405"/>
      <c r="Q12" s="406"/>
    </row>
    <row r="13" spans="1:19" x14ac:dyDescent="0.35">
      <c r="J13" s="404"/>
      <c r="K13" s="405"/>
      <c r="L13" s="405"/>
      <c r="M13" s="405"/>
      <c r="N13" s="405"/>
      <c r="O13" s="405"/>
      <c r="P13" s="405"/>
      <c r="Q13" s="406"/>
    </row>
    <row r="14" spans="1:19" x14ac:dyDescent="0.35">
      <c r="J14" s="404"/>
      <c r="K14" s="405"/>
      <c r="L14" s="405"/>
      <c r="M14" s="405"/>
      <c r="N14" s="405"/>
      <c r="O14" s="405"/>
      <c r="P14" s="405"/>
      <c r="Q14" s="406"/>
    </row>
    <row r="15" spans="1:19" ht="15" thickBot="1" x14ac:dyDescent="0.4">
      <c r="J15" s="407"/>
      <c r="K15" s="408"/>
      <c r="L15" s="408"/>
      <c r="M15" s="408"/>
      <c r="N15" s="408"/>
      <c r="O15" s="408"/>
      <c r="P15" s="408"/>
      <c r="Q15" s="409"/>
    </row>
    <row r="18" spans="3:17" x14ac:dyDescent="0.35">
      <c r="C18" s="7" t="s">
        <v>8</v>
      </c>
      <c r="E18" s="11">
        <f>'KPI 1'!E18</f>
        <v>45839</v>
      </c>
      <c r="F18" s="11">
        <f>'KPI 1'!F18</f>
        <v>45870</v>
      </c>
      <c r="G18" s="11">
        <f>'KPI 1'!G18</f>
        <v>45901</v>
      </c>
      <c r="H18" s="11">
        <f>'KPI 1'!H18</f>
        <v>45931</v>
      </c>
      <c r="I18" s="11">
        <f>'KPI 1'!I18</f>
        <v>45962</v>
      </c>
      <c r="J18" s="11">
        <f>'KPI 1'!J18</f>
        <v>45992</v>
      </c>
      <c r="K18" s="11">
        <f>'KPI 1'!K18</f>
        <v>46023</v>
      </c>
      <c r="L18" s="11">
        <f>'KPI 1'!L18</f>
        <v>46054</v>
      </c>
      <c r="M18" s="11">
        <f>'KPI 1'!M18</f>
        <v>46082</v>
      </c>
      <c r="N18" s="11">
        <f>'KPI 1'!N18</f>
        <v>46113</v>
      </c>
      <c r="O18" s="11">
        <f>'KPI 1'!O18</f>
        <v>46143</v>
      </c>
      <c r="P18" s="11">
        <f>'KPI 1'!P18</f>
        <v>46174</v>
      </c>
      <c r="Q18" s="8" t="s">
        <v>0</v>
      </c>
    </row>
    <row r="19" spans="3:17" x14ac:dyDescent="0.35">
      <c r="D19" s="3" t="str">
        <f>'KPI 1'!D19</f>
        <v>Budget 2025-26</v>
      </c>
      <c r="E19" s="5">
        <f>'budget 2025-26'!D42</f>
        <v>1154</v>
      </c>
      <c r="F19" s="5">
        <f>'budget 2025-26'!E42</f>
        <v>1156</v>
      </c>
      <c r="G19" s="5">
        <f>'budget 2025-26'!F42</f>
        <v>1158</v>
      </c>
      <c r="H19" s="5">
        <f>'budget 2025-26'!G42</f>
        <v>1160</v>
      </c>
      <c r="I19" s="5">
        <f>'budget 2025-26'!H42</f>
        <v>1162</v>
      </c>
      <c r="J19" s="5">
        <f>'budget 2025-26'!I42</f>
        <v>1164</v>
      </c>
      <c r="K19" s="5">
        <f>'budget 2025-26'!J42</f>
        <v>1166</v>
      </c>
      <c r="L19" s="5">
        <f>'budget 2025-26'!K42</f>
        <v>1168</v>
      </c>
      <c r="M19" s="5">
        <f>'budget 2025-26'!L42</f>
        <v>1170</v>
      </c>
      <c r="N19" s="5">
        <f>'budget 2025-26'!M42</f>
        <v>1172</v>
      </c>
      <c r="O19" s="5">
        <f>'budget 2025-26'!N42</f>
        <v>1174</v>
      </c>
      <c r="P19" s="5">
        <f>'budget 2025-26'!O42</f>
        <v>1176</v>
      </c>
      <c r="Q19" s="5">
        <f>SUM(E19:P19)</f>
        <v>13980</v>
      </c>
    </row>
    <row r="20" spans="3:17" x14ac:dyDescent="0.35">
      <c r="D20" s="3" t="str">
        <f>'KPI 1'!D20</f>
        <v>Actual 2025-26</v>
      </c>
      <c r="E20" s="5">
        <f>'Input Actual2025-26'!E44</f>
        <v>1154</v>
      </c>
      <c r="F20" s="5">
        <f>'Input Actual2025-26'!F44</f>
        <v>1162</v>
      </c>
      <c r="G20" s="5">
        <f>'Input Actual2025-26'!G44</f>
        <v>1163</v>
      </c>
      <c r="H20" s="5">
        <f>'Input Actual2025-26'!H44</f>
        <v>1165</v>
      </c>
      <c r="I20" s="5">
        <f>'Input Actual2025-26'!I44</f>
        <v>1166</v>
      </c>
      <c r="J20" s="5">
        <f>'Input Actual2025-26'!J44</f>
        <v>1166</v>
      </c>
      <c r="K20" s="5">
        <f>'Input Actual2025-26'!K44</f>
        <v>1168</v>
      </c>
      <c r="L20" s="5">
        <f>'Input Actual2025-26'!L44</f>
        <v>1168</v>
      </c>
      <c r="M20" s="5">
        <f>'Input Actual2025-26'!M44</f>
        <v>0</v>
      </c>
      <c r="N20" s="5">
        <f>'Input Actual2025-26'!N44</f>
        <v>0</v>
      </c>
      <c r="O20" s="5">
        <f>'Input Actual2025-26'!O44</f>
        <v>0</v>
      </c>
      <c r="P20" s="5">
        <f>'Input Actual2025-26'!P44</f>
        <v>0</v>
      </c>
      <c r="Q20" s="5">
        <f t="shared" ref="Q20:Q22" si="0">SUM(E20:P20)</f>
        <v>9312</v>
      </c>
    </row>
    <row r="21" spans="3:17" x14ac:dyDescent="0.35">
      <c r="D21" s="3" t="s">
        <v>424</v>
      </c>
      <c r="E21" s="5">
        <f>'Input Actual2024-25'!E42</f>
        <v>1226</v>
      </c>
      <c r="F21" s="5">
        <f>'Input Actual2024-25'!F42</f>
        <v>1231</v>
      </c>
      <c r="G21" s="5">
        <f>'Input Actual2024-25'!G42</f>
        <v>1138</v>
      </c>
      <c r="H21" s="5">
        <f>'Input Actual2024-25'!H42</f>
        <v>1139</v>
      </c>
      <c r="I21" s="5">
        <f>'Input Actual2024-25'!I42</f>
        <v>1140</v>
      </c>
      <c r="J21" s="5">
        <f>'Input Actual2024-25'!J42</f>
        <v>1141</v>
      </c>
      <c r="K21" s="5">
        <f>'Input Actual2024-25'!K42</f>
        <v>1143</v>
      </c>
      <c r="L21" s="5">
        <f>'Input Actual2024-25'!L42</f>
        <v>1147</v>
      </c>
      <c r="M21" s="5">
        <f>'Input Actual2024-25'!M42</f>
        <v>1148</v>
      </c>
      <c r="N21" s="5">
        <f>'Input Actual2024-25'!N42</f>
        <v>1149</v>
      </c>
      <c r="O21" s="5">
        <f>'Input Actual2024-25'!O42</f>
        <v>1151</v>
      </c>
      <c r="P21" s="5">
        <f>'Input Actual2024-25'!P42</f>
        <v>1152</v>
      </c>
      <c r="Q21" s="5">
        <f t="shared" si="0"/>
        <v>13905</v>
      </c>
    </row>
    <row r="22" spans="3:17" x14ac:dyDescent="0.35">
      <c r="D22" s="3" t="s">
        <v>7</v>
      </c>
      <c r="E22" s="5">
        <f t="shared" ref="E22:P22" si="1">IF(E20=0,0,E20-E19)</f>
        <v>0</v>
      </c>
      <c r="F22" s="5">
        <f t="shared" si="1"/>
        <v>6</v>
      </c>
      <c r="G22" s="5">
        <f t="shared" si="1"/>
        <v>5</v>
      </c>
      <c r="H22" s="5">
        <f t="shared" si="1"/>
        <v>5</v>
      </c>
      <c r="I22" s="5">
        <f t="shared" si="1"/>
        <v>4</v>
      </c>
      <c r="J22" s="5">
        <f t="shared" si="1"/>
        <v>2</v>
      </c>
      <c r="K22" s="5">
        <f t="shared" si="1"/>
        <v>2</v>
      </c>
      <c r="L22" s="5">
        <f t="shared" si="1"/>
        <v>0</v>
      </c>
      <c r="M22" s="5">
        <f t="shared" si="1"/>
        <v>0</v>
      </c>
      <c r="N22" s="5">
        <f t="shared" si="1"/>
        <v>0</v>
      </c>
      <c r="O22" s="5">
        <f t="shared" si="1"/>
        <v>0</v>
      </c>
      <c r="P22" s="5">
        <f t="shared" si="1"/>
        <v>0</v>
      </c>
      <c r="Q22" s="5">
        <f t="shared" si="0"/>
        <v>24</v>
      </c>
    </row>
    <row r="23" spans="3:17" x14ac:dyDescent="0.35">
      <c r="D23" s="3" t="s">
        <v>43</v>
      </c>
      <c r="E23" s="9">
        <f>E21/E19</f>
        <v>1.0623916811091854</v>
      </c>
      <c r="F23" s="9">
        <f t="shared" ref="F23:P23" si="2">F20/F19</f>
        <v>1.0051903114186851</v>
      </c>
      <c r="G23" s="9">
        <f t="shared" si="2"/>
        <v>1.0043177892918826</v>
      </c>
      <c r="H23" s="9">
        <f t="shared" si="2"/>
        <v>1.0043103448275863</v>
      </c>
      <c r="I23" s="9">
        <f t="shared" si="2"/>
        <v>1.0034423407917383</v>
      </c>
      <c r="J23" s="9">
        <f t="shared" si="2"/>
        <v>1.0017182130584192</v>
      </c>
      <c r="K23" s="9">
        <f t="shared" si="2"/>
        <v>1.0017152658662092</v>
      </c>
      <c r="L23" s="9">
        <f t="shared" si="2"/>
        <v>1</v>
      </c>
      <c r="M23" s="9">
        <f t="shared" si="2"/>
        <v>0</v>
      </c>
      <c r="N23" s="9">
        <f t="shared" si="2"/>
        <v>0</v>
      </c>
      <c r="O23" s="9">
        <f t="shared" si="2"/>
        <v>0</v>
      </c>
      <c r="P23" s="9">
        <f t="shared" si="2"/>
        <v>0</v>
      </c>
    </row>
    <row r="25" spans="3:17" x14ac:dyDescent="0.35">
      <c r="C25" s="7" t="s">
        <v>3</v>
      </c>
      <c r="E25" s="11">
        <f>E18</f>
        <v>45839</v>
      </c>
      <c r="F25" s="11">
        <f t="shared" ref="F25:P28" si="3">F18</f>
        <v>45870</v>
      </c>
      <c r="G25" s="11">
        <f t="shared" si="3"/>
        <v>45901</v>
      </c>
      <c r="H25" s="11">
        <f t="shared" si="3"/>
        <v>45931</v>
      </c>
      <c r="I25" s="11">
        <f t="shared" si="3"/>
        <v>45962</v>
      </c>
      <c r="J25" s="11">
        <f t="shared" si="3"/>
        <v>45992</v>
      </c>
      <c r="K25" s="11">
        <f t="shared" si="3"/>
        <v>46023</v>
      </c>
      <c r="L25" s="11">
        <f t="shared" si="3"/>
        <v>46054</v>
      </c>
      <c r="M25" s="11">
        <f t="shared" si="3"/>
        <v>46082</v>
      </c>
      <c r="N25" s="11">
        <f t="shared" si="3"/>
        <v>46113</v>
      </c>
      <c r="O25" s="11">
        <f t="shared" si="3"/>
        <v>46143</v>
      </c>
      <c r="P25" s="11">
        <f t="shared" si="3"/>
        <v>46174</v>
      </c>
    </row>
    <row r="26" spans="3:17" x14ac:dyDescent="0.35">
      <c r="D26" s="3" t="str">
        <f>D19</f>
        <v>Budget 2025-26</v>
      </c>
      <c r="E26" s="5">
        <f>E19</f>
        <v>1154</v>
      </c>
      <c r="F26" s="5">
        <f t="shared" si="3"/>
        <v>1156</v>
      </c>
      <c r="G26" s="5">
        <f t="shared" si="3"/>
        <v>1158</v>
      </c>
      <c r="H26" s="5">
        <f t="shared" si="3"/>
        <v>1160</v>
      </c>
      <c r="I26" s="5">
        <f t="shared" si="3"/>
        <v>1162</v>
      </c>
      <c r="J26" s="5">
        <f t="shared" si="3"/>
        <v>1164</v>
      </c>
      <c r="K26" s="5">
        <f t="shared" si="3"/>
        <v>1166</v>
      </c>
      <c r="L26" s="5">
        <f t="shared" si="3"/>
        <v>1168</v>
      </c>
      <c r="M26" s="5">
        <f t="shared" si="3"/>
        <v>1170</v>
      </c>
      <c r="N26" s="5">
        <f t="shared" si="3"/>
        <v>1172</v>
      </c>
      <c r="O26" s="5">
        <f t="shared" si="3"/>
        <v>1174</v>
      </c>
      <c r="P26" s="5">
        <f t="shared" si="3"/>
        <v>1176</v>
      </c>
    </row>
    <row r="27" spans="3:17" x14ac:dyDescent="0.35">
      <c r="D27" s="3" t="str">
        <f t="shared" ref="D27:E30" si="4">D20</f>
        <v>Actual 2025-26</v>
      </c>
      <c r="E27" s="5">
        <f t="shared" si="4"/>
        <v>1154</v>
      </c>
      <c r="F27" s="5">
        <f t="shared" si="3"/>
        <v>1162</v>
      </c>
      <c r="G27" s="5">
        <f t="shared" si="3"/>
        <v>1163</v>
      </c>
      <c r="H27" s="5">
        <f t="shared" si="3"/>
        <v>1165</v>
      </c>
      <c r="I27" s="5">
        <f t="shared" si="3"/>
        <v>1166</v>
      </c>
      <c r="J27" s="5">
        <f t="shared" si="3"/>
        <v>1166</v>
      </c>
      <c r="K27" s="5">
        <f t="shared" si="3"/>
        <v>1168</v>
      </c>
      <c r="L27" s="5">
        <f t="shared" si="3"/>
        <v>1168</v>
      </c>
      <c r="M27" s="5">
        <f t="shared" si="3"/>
        <v>0</v>
      </c>
      <c r="N27" s="5">
        <f t="shared" si="3"/>
        <v>0</v>
      </c>
      <c r="O27" s="5">
        <f t="shared" si="3"/>
        <v>0</v>
      </c>
      <c r="P27" s="5">
        <f t="shared" si="3"/>
        <v>0</v>
      </c>
    </row>
    <row r="28" spans="3:17" x14ac:dyDescent="0.35">
      <c r="D28" s="3" t="str">
        <f t="shared" si="4"/>
        <v>Actual 2024-25</v>
      </c>
      <c r="E28" s="5">
        <f t="shared" si="4"/>
        <v>1226</v>
      </c>
      <c r="F28" s="5">
        <f t="shared" si="3"/>
        <v>1231</v>
      </c>
      <c r="G28" s="5">
        <f t="shared" si="3"/>
        <v>1138</v>
      </c>
      <c r="H28" s="5">
        <f t="shared" si="3"/>
        <v>1139</v>
      </c>
      <c r="I28" s="5">
        <f t="shared" si="3"/>
        <v>1140</v>
      </c>
      <c r="J28" s="5">
        <f t="shared" si="3"/>
        <v>1141</v>
      </c>
      <c r="K28" s="5">
        <f t="shared" si="3"/>
        <v>1143</v>
      </c>
      <c r="L28" s="5">
        <f t="shared" si="3"/>
        <v>1147</v>
      </c>
      <c r="M28" s="5">
        <f t="shared" si="3"/>
        <v>1148</v>
      </c>
      <c r="N28" s="5">
        <f t="shared" si="3"/>
        <v>1149</v>
      </c>
      <c r="O28" s="5">
        <f t="shared" si="3"/>
        <v>1151</v>
      </c>
      <c r="P28" s="5">
        <f t="shared" si="3"/>
        <v>1152</v>
      </c>
    </row>
    <row r="29" spans="3:17" x14ac:dyDescent="0.35">
      <c r="D29" s="3" t="str">
        <f t="shared" si="4"/>
        <v>Difference</v>
      </c>
      <c r="E29" s="5">
        <f>SUM($E22:E22)</f>
        <v>0</v>
      </c>
      <c r="F29" s="5">
        <f>SUM($E22:F22)</f>
        <v>6</v>
      </c>
      <c r="G29" s="5">
        <f>SUM($E22:G22)</f>
        <v>11</v>
      </c>
      <c r="H29" s="5">
        <f>SUM($E22:H22)</f>
        <v>16</v>
      </c>
      <c r="I29" s="5">
        <f>SUM($E22:I22)</f>
        <v>20</v>
      </c>
      <c r="J29" s="5">
        <f>SUM($E22:J22)</f>
        <v>22</v>
      </c>
      <c r="K29" s="5">
        <f>SUM($E22:K22)</f>
        <v>24</v>
      </c>
      <c r="L29" s="5">
        <f>SUM($E22:L22)</f>
        <v>24</v>
      </c>
      <c r="M29" s="5">
        <f>SUM($E22:M22)</f>
        <v>24</v>
      </c>
      <c r="N29" s="5">
        <f>SUM($E22:N22)</f>
        <v>24</v>
      </c>
      <c r="O29" s="5">
        <f>SUM($E22:O22)</f>
        <v>24</v>
      </c>
      <c r="P29" s="5">
        <f>SUM($E22:P22)</f>
        <v>24</v>
      </c>
    </row>
    <row r="30" spans="3:17" x14ac:dyDescent="0.35">
      <c r="D30" s="3" t="str">
        <f t="shared" si="4"/>
        <v>Realisation</v>
      </c>
      <c r="E30" s="9">
        <f>E28/E26</f>
        <v>1.0623916811091854</v>
      </c>
      <c r="F30" s="9">
        <f t="shared" ref="F30:P30" si="5">F27/F26</f>
        <v>1.0051903114186851</v>
      </c>
      <c r="G30" s="9">
        <f t="shared" si="5"/>
        <v>1.0043177892918826</v>
      </c>
      <c r="H30" s="9">
        <f t="shared" si="5"/>
        <v>1.0043103448275863</v>
      </c>
      <c r="I30" s="9">
        <f t="shared" si="5"/>
        <v>1.0034423407917383</v>
      </c>
      <c r="J30" s="9">
        <f t="shared" si="5"/>
        <v>1.0017182130584192</v>
      </c>
      <c r="K30" s="9">
        <f t="shared" si="5"/>
        <v>1.0017152658662092</v>
      </c>
      <c r="L30" s="9">
        <f t="shared" si="5"/>
        <v>1</v>
      </c>
      <c r="M30" s="9">
        <f t="shared" si="5"/>
        <v>0</v>
      </c>
      <c r="N30" s="9">
        <f t="shared" si="5"/>
        <v>0</v>
      </c>
      <c r="O30" s="9">
        <f t="shared" si="5"/>
        <v>0</v>
      </c>
      <c r="P30" s="9">
        <f t="shared" si="5"/>
        <v>0</v>
      </c>
    </row>
  </sheetData>
  <mergeCells count="2">
    <mergeCell ref="J4:Q8"/>
    <mergeCell ref="J10:Q15"/>
  </mergeCells>
  <conditionalFormatting sqref="C3">
    <cfRule type="expression" dxfId="443" priority="2">
      <formula>S4&lt;S6</formula>
    </cfRule>
  </conditionalFormatting>
  <conditionalFormatting sqref="C5">
    <cfRule type="expression" dxfId="442" priority="3">
      <formula>S4&gt;=S5</formula>
    </cfRule>
  </conditionalFormatting>
  <conditionalFormatting sqref="C4">
    <cfRule type="expression" dxfId="441" priority="1">
      <formula>AND(S4&gt;=S6,S4&lt;S5)</formula>
    </cfRule>
  </conditionalFormatting>
  <hyperlinks>
    <hyperlink ref="L1" location="Dashboard!A1" display="Dashboard"/>
  </hyperlinks>
  <pageMargins left="0.7" right="0.7" top="0.75" bottom="0.75" header="0.3" footer="0.3"/>
  <pageSetup orientation="portrait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973825" r:id="rId4" name="Spinner 1">
              <controlPr defaultSize="0" autoPict="0">
                <anchor moveWithCells="1" sizeWithCells="1">
                  <from>
                    <xdr:col>9</xdr:col>
                    <xdr:colOff>19050</xdr:colOff>
                    <xdr:row>0</xdr:row>
                    <xdr:rowOff>38100</xdr:rowOff>
                  </from>
                  <to>
                    <xdr:col>9</xdr:col>
                    <xdr:colOff>400050</xdr:colOff>
                    <xdr:row>1</xdr:row>
                    <xdr:rowOff>152400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5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FFC000"/>
  </sheetPr>
  <dimension ref="A1:S30"/>
  <sheetViews>
    <sheetView topLeftCell="E1" workbookViewId="0">
      <selection activeCell="L1" sqref="L1"/>
    </sheetView>
  </sheetViews>
  <sheetFormatPr defaultColWidth="9.1796875" defaultRowHeight="14.5" x14ac:dyDescent="0.35"/>
  <cols>
    <col min="1" max="1" width="9.1796875" style="3"/>
    <col min="2" max="2" width="5.1796875" style="3" customWidth="1"/>
    <col min="3" max="3" width="6.26953125" style="3" customWidth="1"/>
    <col min="4" max="4" width="21.26953125" style="3" bestFit="1" customWidth="1"/>
    <col min="5" max="16" width="11.1796875" style="3" customWidth="1"/>
    <col min="17" max="17" width="12" style="3" bestFit="1" customWidth="1"/>
    <col min="18" max="18" width="9.1796875" style="3" customWidth="1"/>
    <col min="19" max="16384" width="9.1796875" style="3"/>
  </cols>
  <sheetData>
    <row r="1" spans="1:19" ht="21" x14ac:dyDescent="0.5">
      <c r="A1" s="4" t="s">
        <v>4</v>
      </c>
      <c r="B1" s="4">
        <f>Dashboard!A50</f>
        <v>4</v>
      </c>
      <c r="C1" s="4" t="str">
        <f>Dashboard!B50</f>
        <v>LONGONOT- WATER</v>
      </c>
      <c r="D1" s="4" t="str">
        <f>Dashboard!C50</f>
        <v>No.</v>
      </c>
      <c r="G1" s="3" t="s">
        <v>9</v>
      </c>
      <c r="I1" s="12">
        <f>INDEX($E$18:$P$18,Actual_month)</f>
        <v>46054</v>
      </c>
      <c r="L1" s="16" t="s">
        <v>19</v>
      </c>
      <c r="R1" s="5"/>
    </row>
    <row r="2" spans="1:19" x14ac:dyDescent="0.35">
      <c r="A2" s="3" t="s">
        <v>13</v>
      </c>
      <c r="C2" s="3" t="s">
        <v>27</v>
      </c>
      <c r="R2" s="6"/>
    </row>
    <row r="3" spans="1:19" ht="25.5" customHeight="1" thickBot="1" x14ac:dyDescent="0.4">
      <c r="C3" s="1" t="s">
        <v>5</v>
      </c>
      <c r="E3" s="10"/>
      <c r="F3" s="10"/>
      <c r="G3" s="10"/>
      <c r="H3" s="10"/>
      <c r="I3" s="10"/>
      <c r="J3" s="3" t="s">
        <v>6</v>
      </c>
      <c r="K3" s="10"/>
      <c r="M3" s="10"/>
      <c r="N3" s="10"/>
      <c r="O3" s="10"/>
      <c r="P3" s="10"/>
    </row>
    <row r="4" spans="1:19" ht="25.5" customHeight="1" x14ac:dyDescent="0.35">
      <c r="C4" s="1" t="s">
        <v>5</v>
      </c>
      <c r="E4" s="10"/>
      <c r="F4" s="10"/>
      <c r="G4" s="10"/>
      <c r="H4" s="10"/>
      <c r="I4" s="10"/>
      <c r="J4" s="401"/>
      <c r="K4" s="402"/>
      <c r="L4" s="402"/>
      <c r="M4" s="402"/>
      <c r="N4" s="402"/>
      <c r="O4" s="402"/>
      <c r="P4" s="402"/>
      <c r="Q4" s="403"/>
      <c r="R4" s="3" t="s">
        <v>22</v>
      </c>
      <c r="S4" s="5">
        <f>INDEX(E27:P27,Actual_month)</f>
        <v>696</v>
      </c>
    </row>
    <row r="5" spans="1:19" ht="25.5" customHeight="1" x14ac:dyDescent="0.35">
      <c r="C5" s="1" t="s">
        <v>5</v>
      </c>
      <c r="E5" s="10"/>
      <c r="F5" s="10"/>
      <c r="G5" s="10"/>
      <c r="H5" s="10"/>
      <c r="I5" s="10"/>
      <c r="J5" s="404"/>
      <c r="K5" s="405"/>
      <c r="L5" s="405"/>
      <c r="M5" s="405"/>
      <c r="N5" s="405"/>
      <c r="O5" s="405"/>
      <c r="P5" s="405"/>
      <c r="Q5" s="406"/>
      <c r="R5" s="3" t="s">
        <v>23</v>
      </c>
      <c r="S5" s="5">
        <f>INDEX(E26:P26,Actual_month)</f>
        <v>698</v>
      </c>
    </row>
    <row r="6" spans="1:19" x14ac:dyDescent="0.35">
      <c r="J6" s="404"/>
      <c r="K6" s="405"/>
      <c r="L6" s="405"/>
      <c r="M6" s="405"/>
      <c r="N6" s="405"/>
      <c r="O6" s="405"/>
      <c r="P6" s="405"/>
      <c r="Q6" s="406"/>
      <c r="R6" s="6">
        <v>0.9</v>
      </c>
      <c r="S6" s="5">
        <f>+S5*R6</f>
        <v>628.20000000000005</v>
      </c>
    </row>
    <row r="7" spans="1:19" x14ac:dyDescent="0.35">
      <c r="J7" s="404"/>
      <c r="K7" s="405"/>
      <c r="L7" s="405"/>
      <c r="M7" s="405"/>
      <c r="N7" s="405"/>
      <c r="O7" s="405"/>
      <c r="P7" s="405"/>
      <c r="Q7" s="406"/>
    </row>
    <row r="8" spans="1:19" ht="15" thickBot="1" x14ac:dyDescent="0.4">
      <c r="J8" s="407"/>
      <c r="K8" s="408"/>
      <c r="L8" s="408"/>
      <c r="M8" s="408"/>
      <c r="N8" s="408"/>
      <c r="O8" s="408"/>
      <c r="P8" s="408"/>
      <c r="Q8" s="409"/>
    </row>
    <row r="9" spans="1:19" ht="15" thickBot="1" x14ac:dyDescent="0.4">
      <c r="J9" s="3" t="s">
        <v>12</v>
      </c>
    </row>
    <row r="10" spans="1:19" x14ac:dyDescent="0.35">
      <c r="J10" s="401"/>
      <c r="K10" s="402"/>
      <c r="L10" s="402"/>
      <c r="M10" s="402"/>
      <c r="N10" s="402"/>
      <c r="O10" s="402"/>
      <c r="P10" s="402"/>
      <c r="Q10" s="403"/>
    </row>
    <row r="11" spans="1:19" x14ac:dyDescent="0.35">
      <c r="J11" s="404"/>
      <c r="K11" s="405"/>
      <c r="L11" s="405"/>
      <c r="M11" s="405"/>
      <c r="N11" s="405"/>
      <c r="O11" s="405"/>
      <c r="P11" s="405"/>
      <c r="Q11" s="406"/>
    </row>
    <row r="12" spans="1:19" x14ac:dyDescent="0.35">
      <c r="J12" s="404"/>
      <c r="K12" s="405"/>
      <c r="L12" s="405"/>
      <c r="M12" s="405"/>
      <c r="N12" s="405"/>
      <c r="O12" s="405"/>
      <c r="P12" s="405"/>
      <c r="Q12" s="406"/>
    </row>
    <row r="13" spans="1:19" x14ac:dyDescent="0.35">
      <c r="J13" s="404"/>
      <c r="K13" s="405"/>
      <c r="L13" s="405"/>
      <c r="M13" s="405"/>
      <c r="N13" s="405"/>
      <c r="O13" s="405"/>
      <c r="P13" s="405"/>
      <c r="Q13" s="406"/>
    </row>
    <row r="14" spans="1:19" x14ac:dyDescent="0.35">
      <c r="J14" s="404"/>
      <c r="K14" s="405"/>
      <c r="L14" s="405"/>
      <c r="M14" s="405"/>
      <c r="N14" s="405"/>
      <c r="O14" s="405"/>
      <c r="P14" s="405"/>
      <c r="Q14" s="406"/>
    </row>
    <row r="15" spans="1:19" ht="15" thickBot="1" x14ac:dyDescent="0.4">
      <c r="J15" s="407"/>
      <c r="K15" s="408"/>
      <c r="L15" s="408"/>
      <c r="M15" s="408"/>
      <c r="N15" s="408"/>
      <c r="O15" s="408"/>
      <c r="P15" s="408"/>
      <c r="Q15" s="409"/>
    </row>
    <row r="18" spans="3:17" x14ac:dyDescent="0.35">
      <c r="C18" s="7" t="s">
        <v>8</v>
      </c>
      <c r="E18" s="11">
        <f>'KPI 1'!E18</f>
        <v>45839</v>
      </c>
      <c r="F18" s="11">
        <f>'KPI 1'!F18</f>
        <v>45870</v>
      </c>
      <c r="G18" s="11">
        <f>'KPI 1'!G18</f>
        <v>45901</v>
      </c>
      <c r="H18" s="11">
        <f>'KPI 1'!H18</f>
        <v>45931</v>
      </c>
      <c r="I18" s="11">
        <f>'KPI 1'!I18</f>
        <v>45962</v>
      </c>
      <c r="J18" s="11">
        <f>'KPI 1'!J18</f>
        <v>45992</v>
      </c>
      <c r="K18" s="11">
        <f>'KPI 1'!K18</f>
        <v>46023</v>
      </c>
      <c r="L18" s="11">
        <f>'KPI 1'!L18</f>
        <v>46054</v>
      </c>
      <c r="M18" s="11">
        <f>'KPI 1'!M18</f>
        <v>46082</v>
      </c>
      <c r="N18" s="11">
        <f>'KPI 1'!N18</f>
        <v>46113</v>
      </c>
      <c r="O18" s="11">
        <f>'KPI 1'!O18</f>
        <v>46143</v>
      </c>
      <c r="P18" s="11">
        <f>'KPI 1'!P18</f>
        <v>46174</v>
      </c>
      <c r="Q18" s="8" t="s">
        <v>0</v>
      </c>
    </row>
    <row r="19" spans="3:17" x14ac:dyDescent="0.35">
      <c r="D19" s="3" t="str">
        <f>'KPI 1'!D19</f>
        <v>Budget 2025-26</v>
      </c>
      <c r="E19" s="5">
        <f>'budget 2025-26'!D48</f>
        <v>628</v>
      </c>
      <c r="F19" s="5">
        <f>'budget 2025-26'!E48</f>
        <v>638</v>
      </c>
      <c r="G19" s="5">
        <f>'budget 2025-26'!F48</f>
        <v>648</v>
      </c>
      <c r="H19" s="5">
        <f>'budget 2025-26'!G48</f>
        <v>658</v>
      </c>
      <c r="I19" s="5">
        <f>'budget 2025-26'!H48</f>
        <v>668</v>
      </c>
      <c r="J19" s="5">
        <f>'budget 2025-26'!I48</f>
        <v>678</v>
      </c>
      <c r="K19" s="5">
        <f>'budget 2025-26'!J48</f>
        <v>688</v>
      </c>
      <c r="L19" s="5">
        <f>'budget 2025-26'!K48</f>
        <v>698</v>
      </c>
      <c r="M19" s="5">
        <f>'budget 2025-26'!L48</f>
        <v>708</v>
      </c>
      <c r="N19" s="5">
        <f>'budget 2025-26'!M48</f>
        <v>718</v>
      </c>
      <c r="O19" s="5">
        <f>'budget 2025-26'!N48</f>
        <v>728</v>
      </c>
      <c r="P19" s="5">
        <f>'budget 2025-26'!O48</f>
        <v>738</v>
      </c>
      <c r="Q19" s="5">
        <f>SUM(E19:P19)</f>
        <v>8196</v>
      </c>
    </row>
    <row r="20" spans="3:17" x14ac:dyDescent="0.35">
      <c r="D20" s="3" t="str">
        <f>'KPI 1'!D20</f>
        <v>Actual 2025-26</v>
      </c>
      <c r="E20" s="5">
        <f>'Input Actual2025-26'!E50</f>
        <v>629</v>
      </c>
      <c r="F20" s="5">
        <f>'Input Actual2025-26'!F50</f>
        <v>653</v>
      </c>
      <c r="G20" s="5">
        <f>'Input Actual2025-26'!G50</f>
        <v>665</v>
      </c>
      <c r="H20" s="5">
        <f>'Input Actual2025-26'!H50</f>
        <v>676</v>
      </c>
      <c r="I20" s="5">
        <f>'Input Actual2025-26'!I50</f>
        <v>684</v>
      </c>
      <c r="J20" s="5">
        <f>'Input Actual2025-26'!J50</f>
        <v>686</v>
      </c>
      <c r="K20" s="5">
        <f>'Input Actual2025-26'!K50</f>
        <v>693</v>
      </c>
      <c r="L20" s="5">
        <f>'Input Actual2025-26'!L50</f>
        <v>696</v>
      </c>
      <c r="M20" s="5">
        <f>'Input Actual2025-26'!M50</f>
        <v>0</v>
      </c>
      <c r="N20" s="5">
        <f>'Input Actual2025-26'!N50</f>
        <v>0</v>
      </c>
      <c r="O20" s="5">
        <f>'Input Actual2025-26'!O50</f>
        <v>0</v>
      </c>
      <c r="P20" s="5">
        <f>'Input Actual2025-26'!P50</f>
        <v>0</v>
      </c>
      <c r="Q20" s="5">
        <f t="shared" ref="Q20:Q22" si="0">SUM(E20:P20)</f>
        <v>5382</v>
      </c>
    </row>
    <row r="21" spans="3:17" x14ac:dyDescent="0.35">
      <c r="D21" s="3" t="s">
        <v>424</v>
      </c>
      <c r="E21" s="5">
        <f>'Input Actual2024-25'!E48</f>
        <v>562</v>
      </c>
      <c r="F21" s="5">
        <f>'Input Actual2024-25'!F48</f>
        <v>562</v>
      </c>
      <c r="G21" s="5">
        <f>'Input Actual2024-25'!G48</f>
        <v>565</v>
      </c>
      <c r="H21" s="5">
        <f>'Input Actual2024-25'!H48</f>
        <v>565</v>
      </c>
      <c r="I21" s="5">
        <f>'Input Actual2024-25'!I48</f>
        <v>568</v>
      </c>
      <c r="J21" s="5">
        <f>'Input Actual2024-25'!J48</f>
        <v>567</v>
      </c>
      <c r="K21" s="5">
        <f>'Input Actual2024-25'!K48</f>
        <v>572</v>
      </c>
      <c r="L21" s="5">
        <f>'Input Actual2024-25'!L48</f>
        <v>579</v>
      </c>
      <c r="M21" s="5">
        <f>'Input Actual2024-25'!M48</f>
        <v>588</v>
      </c>
      <c r="N21" s="5">
        <f>'Input Actual2024-25'!N48</f>
        <v>593</v>
      </c>
      <c r="O21" s="5">
        <f>'Input Actual2024-25'!O48</f>
        <v>608</v>
      </c>
      <c r="P21" s="5">
        <f>'Input Actual2024-25'!P48</f>
        <v>618</v>
      </c>
      <c r="Q21" s="5">
        <f t="shared" si="0"/>
        <v>6947</v>
      </c>
    </row>
    <row r="22" spans="3:17" x14ac:dyDescent="0.35">
      <c r="D22" s="3" t="s">
        <v>7</v>
      </c>
      <c r="E22" s="5">
        <f t="shared" ref="E22:P22" si="1">IF(E20=0,0,E20-E19)</f>
        <v>1</v>
      </c>
      <c r="F22" s="5">
        <f t="shared" si="1"/>
        <v>15</v>
      </c>
      <c r="G22" s="5">
        <f t="shared" si="1"/>
        <v>17</v>
      </c>
      <c r="H22" s="5">
        <f t="shared" si="1"/>
        <v>18</v>
      </c>
      <c r="I22" s="5">
        <f t="shared" si="1"/>
        <v>16</v>
      </c>
      <c r="J22" s="5">
        <f t="shared" si="1"/>
        <v>8</v>
      </c>
      <c r="K22" s="5">
        <f t="shared" si="1"/>
        <v>5</v>
      </c>
      <c r="L22" s="5">
        <f t="shared" si="1"/>
        <v>-2</v>
      </c>
      <c r="M22" s="5">
        <f t="shared" si="1"/>
        <v>0</v>
      </c>
      <c r="N22" s="5">
        <f t="shared" si="1"/>
        <v>0</v>
      </c>
      <c r="O22" s="5">
        <f t="shared" si="1"/>
        <v>0</v>
      </c>
      <c r="P22" s="5">
        <f t="shared" si="1"/>
        <v>0</v>
      </c>
      <c r="Q22" s="5">
        <f t="shared" si="0"/>
        <v>78</v>
      </c>
    </row>
    <row r="23" spans="3:17" x14ac:dyDescent="0.35">
      <c r="D23" s="3" t="s">
        <v>43</v>
      </c>
      <c r="E23" s="9">
        <f>E21/E19</f>
        <v>0.89490445859872614</v>
      </c>
      <c r="F23" s="9">
        <f t="shared" ref="F23:P23" si="2">F20/F19</f>
        <v>1.0235109717868338</v>
      </c>
      <c r="G23" s="9">
        <f t="shared" si="2"/>
        <v>1.0262345679012346</v>
      </c>
      <c r="H23" s="9">
        <f t="shared" si="2"/>
        <v>1.027355623100304</v>
      </c>
      <c r="I23" s="9">
        <f t="shared" si="2"/>
        <v>1.0239520958083832</v>
      </c>
      <c r="J23" s="9">
        <f t="shared" si="2"/>
        <v>1.0117994100294985</v>
      </c>
      <c r="K23" s="9">
        <f t="shared" si="2"/>
        <v>1.007267441860465</v>
      </c>
      <c r="L23" s="9">
        <f t="shared" si="2"/>
        <v>0.99713467048710602</v>
      </c>
      <c r="M23" s="9">
        <f t="shared" si="2"/>
        <v>0</v>
      </c>
      <c r="N23" s="9">
        <f t="shared" si="2"/>
        <v>0</v>
      </c>
      <c r="O23" s="9">
        <f t="shared" si="2"/>
        <v>0</v>
      </c>
      <c r="P23" s="9">
        <f t="shared" si="2"/>
        <v>0</v>
      </c>
    </row>
    <row r="25" spans="3:17" x14ac:dyDescent="0.35">
      <c r="C25" s="7" t="s">
        <v>3</v>
      </c>
      <c r="E25" s="11">
        <f>E18</f>
        <v>45839</v>
      </c>
      <c r="F25" s="11">
        <f t="shared" ref="F25:P28" si="3">F18</f>
        <v>45870</v>
      </c>
      <c r="G25" s="11">
        <f t="shared" si="3"/>
        <v>45901</v>
      </c>
      <c r="H25" s="11">
        <f t="shared" si="3"/>
        <v>45931</v>
      </c>
      <c r="I25" s="11">
        <f t="shared" si="3"/>
        <v>45962</v>
      </c>
      <c r="J25" s="11">
        <f t="shared" si="3"/>
        <v>45992</v>
      </c>
      <c r="K25" s="11">
        <f t="shared" si="3"/>
        <v>46023</v>
      </c>
      <c r="L25" s="11">
        <f t="shared" si="3"/>
        <v>46054</v>
      </c>
      <c r="M25" s="11">
        <f t="shared" si="3"/>
        <v>46082</v>
      </c>
      <c r="N25" s="11">
        <f t="shared" si="3"/>
        <v>46113</v>
      </c>
      <c r="O25" s="11">
        <f t="shared" si="3"/>
        <v>46143</v>
      </c>
      <c r="P25" s="11">
        <f t="shared" si="3"/>
        <v>46174</v>
      </c>
    </row>
    <row r="26" spans="3:17" x14ac:dyDescent="0.35">
      <c r="D26" s="3" t="str">
        <f>D19</f>
        <v>Budget 2025-26</v>
      </c>
      <c r="E26" s="5">
        <f>E19</f>
        <v>628</v>
      </c>
      <c r="F26" s="5">
        <f t="shared" si="3"/>
        <v>638</v>
      </c>
      <c r="G26" s="5">
        <f t="shared" si="3"/>
        <v>648</v>
      </c>
      <c r="H26" s="5">
        <f t="shared" si="3"/>
        <v>658</v>
      </c>
      <c r="I26" s="5">
        <f t="shared" si="3"/>
        <v>668</v>
      </c>
      <c r="J26" s="5">
        <f t="shared" si="3"/>
        <v>678</v>
      </c>
      <c r="K26" s="5">
        <f t="shared" si="3"/>
        <v>688</v>
      </c>
      <c r="L26" s="5">
        <f t="shared" si="3"/>
        <v>698</v>
      </c>
      <c r="M26" s="5">
        <f t="shared" si="3"/>
        <v>708</v>
      </c>
      <c r="N26" s="5">
        <f t="shared" si="3"/>
        <v>718</v>
      </c>
      <c r="O26" s="5">
        <f t="shared" si="3"/>
        <v>728</v>
      </c>
      <c r="P26" s="5">
        <f t="shared" si="3"/>
        <v>738</v>
      </c>
    </row>
    <row r="27" spans="3:17" x14ac:dyDescent="0.35">
      <c r="D27" s="3" t="str">
        <f t="shared" ref="D27:E30" si="4">D20</f>
        <v>Actual 2025-26</v>
      </c>
      <c r="E27" s="5">
        <f t="shared" si="4"/>
        <v>629</v>
      </c>
      <c r="F27" s="5">
        <f t="shared" si="3"/>
        <v>653</v>
      </c>
      <c r="G27" s="5">
        <f t="shared" si="3"/>
        <v>665</v>
      </c>
      <c r="H27" s="5">
        <f t="shared" si="3"/>
        <v>676</v>
      </c>
      <c r="I27" s="5">
        <f t="shared" si="3"/>
        <v>684</v>
      </c>
      <c r="J27" s="5">
        <f t="shared" si="3"/>
        <v>686</v>
      </c>
      <c r="K27" s="5">
        <f t="shared" si="3"/>
        <v>693</v>
      </c>
      <c r="L27" s="5">
        <f t="shared" si="3"/>
        <v>696</v>
      </c>
      <c r="M27" s="5">
        <f t="shared" si="3"/>
        <v>0</v>
      </c>
      <c r="N27" s="5">
        <f t="shared" si="3"/>
        <v>0</v>
      </c>
      <c r="O27" s="5">
        <f t="shared" si="3"/>
        <v>0</v>
      </c>
      <c r="P27" s="5">
        <f t="shared" si="3"/>
        <v>0</v>
      </c>
    </row>
    <row r="28" spans="3:17" x14ac:dyDescent="0.35">
      <c r="D28" s="3" t="str">
        <f t="shared" si="4"/>
        <v>Actual 2024-25</v>
      </c>
      <c r="E28" s="5">
        <f t="shared" si="4"/>
        <v>562</v>
      </c>
      <c r="F28" s="5">
        <f t="shared" si="3"/>
        <v>562</v>
      </c>
      <c r="G28" s="5">
        <f t="shared" si="3"/>
        <v>565</v>
      </c>
      <c r="H28" s="5">
        <f t="shared" si="3"/>
        <v>565</v>
      </c>
      <c r="I28" s="5">
        <f t="shared" si="3"/>
        <v>568</v>
      </c>
      <c r="J28" s="5">
        <f t="shared" si="3"/>
        <v>567</v>
      </c>
      <c r="K28" s="5">
        <f t="shared" si="3"/>
        <v>572</v>
      </c>
      <c r="L28" s="5">
        <f t="shared" si="3"/>
        <v>579</v>
      </c>
      <c r="M28" s="5">
        <f t="shared" si="3"/>
        <v>588</v>
      </c>
      <c r="N28" s="5">
        <f t="shared" si="3"/>
        <v>593</v>
      </c>
      <c r="O28" s="5">
        <f t="shared" si="3"/>
        <v>608</v>
      </c>
      <c r="P28" s="5">
        <f t="shared" si="3"/>
        <v>618</v>
      </c>
    </row>
    <row r="29" spans="3:17" x14ac:dyDescent="0.35">
      <c r="D29" s="3" t="str">
        <f t="shared" si="4"/>
        <v>Difference</v>
      </c>
      <c r="E29" s="5">
        <f>SUM($E22:E22)</f>
        <v>1</v>
      </c>
      <c r="F29" s="5">
        <f>SUM($E22:F22)</f>
        <v>16</v>
      </c>
      <c r="G29" s="5">
        <f>SUM($E22:G22)</f>
        <v>33</v>
      </c>
      <c r="H29" s="5">
        <f>SUM($E22:H22)</f>
        <v>51</v>
      </c>
      <c r="I29" s="5">
        <f>SUM($E22:I22)</f>
        <v>67</v>
      </c>
      <c r="J29" s="5">
        <f>SUM($E22:J22)</f>
        <v>75</v>
      </c>
      <c r="K29" s="5">
        <f>SUM($E22:K22)</f>
        <v>80</v>
      </c>
      <c r="L29" s="5">
        <f>SUM($E22:L22)</f>
        <v>78</v>
      </c>
      <c r="M29" s="5">
        <f>SUM($E22:M22)</f>
        <v>78</v>
      </c>
      <c r="N29" s="5">
        <f>SUM($E22:N22)</f>
        <v>78</v>
      </c>
      <c r="O29" s="5">
        <f>SUM($E22:O22)</f>
        <v>78</v>
      </c>
      <c r="P29" s="5">
        <f>SUM($E22:P22)</f>
        <v>78</v>
      </c>
    </row>
    <row r="30" spans="3:17" x14ac:dyDescent="0.35">
      <c r="D30" s="3" t="str">
        <f t="shared" si="4"/>
        <v>Realisation</v>
      </c>
      <c r="E30" s="9">
        <f>E28/E26</f>
        <v>0.89490445859872614</v>
      </c>
      <c r="F30" s="9">
        <f t="shared" ref="F30:P30" si="5">F27/F26</f>
        <v>1.0235109717868338</v>
      </c>
      <c r="G30" s="9">
        <f t="shared" si="5"/>
        <v>1.0262345679012346</v>
      </c>
      <c r="H30" s="9">
        <f t="shared" si="5"/>
        <v>1.027355623100304</v>
      </c>
      <c r="I30" s="9">
        <f t="shared" si="5"/>
        <v>1.0239520958083832</v>
      </c>
      <c r="J30" s="9">
        <f t="shared" si="5"/>
        <v>1.0117994100294985</v>
      </c>
      <c r="K30" s="9">
        <f t="shared" si="5"/>
        <v>1.007267441860465</v>
      </c>
      <c r="L30" s="9">
        <f t="shared" si="5"/>
        <v>0.99713467048710602</v>
      </c>
      <c r="M30" s="9">
        <f t="shared" si="5"/>
        <v>0</v>
      </c>
      <c r="N30" s="9">
        <f t="shared" si="5"/>
        <v>0</v>
      </c>
      <c r="O30" s="9">
        <f t="shared" si="5"/>
        <v>0</v>
      </c>
      <c r="P30" s="9">
        <f t="shared" si="5"/>
        <v>0</v>
      </c>
    </row>
  </sheetData>
  <mergeCells count="2">
    <mergeCell ref="J4:Q8"/>
    <mergeCell ref="J10:Q15"/>
  </mergeCells>
  <conditionalFormatting sqref="C3">
    <cfRule type="expression" dxfId="440" priority="2">
      <formula>S4&lt;S6</formula>
    </cfRule>
  </conditionalFormatting>
  <conditionalFormatting sqref="C5">
    <cfRule type="expression" dxfId="439" priority="3">
      <formula>S4&gt;=S5</formula>
    </cfRule>
  </conditionalFormatting>
  <conditionalFormatting sqref="C4">
    <cfRule type="expression" dxfId="438" priority="1">
      <formula>AND(S4&gt;=S6,S4&lt;S5)</formula>
    </cfRule>
  </conditionalFormatting>
  <hyperlinks>
    <hyperlink ref="L1" location="Dashboard!A1" display="Dashboard"/>
  </hyperlinks>
  <pageMargins left="0.7" right="0.7" top="0.75" bottom="0.75" header="0.3" footer="0.3"/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759234" r:id="rId3" name="Spinner 2">
              <controlPr defaultSize="0" autoPict="0">
                <anchor moveWithCells="1" sizeWithCells="1">
                  <from>
                    <xdr:col>9</xdr:col>
                    <xdr:colOff>19050</xdr:colOff>
                    <xdr:row>0</xdr:row>
                    <xdr:rowOff>38100</xdr:rowOff>
                  </from>
                  <to>
                    <xdr:col>9</xdr:col>
                    <xdr:colOff>400050</xdr:colOff>
                    <xdr:row>1</xdr:row>
                    <xdr:rowOff>152400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5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39">
    <tabColor rgb="FFFFC000"/>
  </sheetPr>
  <dimension ref="A1:S30"/>
  <sheetViews>
    <sheetView zoomScale="90" zoomScaleNormal="90" workbookViewId="0">
      <selection activeCell="L1" sqref="L1"/>
    </sheetView>
  </sheetViews>
  <sheetFormatPr defaultColWidth="9.1796875" defaultRowHeight="14.5" x14ac:dyDescent="0.35"/>
  <cols>
    <col min="1" max="1" width="9.1796875" style="3"/>
    <col min="2" max="2" width="5.1796875" style="3" customWidth="1"/>
    <col min="3" max="3" width="6.26953125" style="3" customWidth="1"/>
    <col min="4" max="4" width="21.26953125" style="3" bestFit="1" customWidth="1"/>
    <col min="5" max="16" width="11.1796875" style="3" customWidth="1"/>
    <col min="17" max="17" width="12" style="3" bestFit="1" customWidth="1"/>
    <col min="18" max="18" width="9.1796875" style="3" customWidth="1"/>
    <col min="19" max="16384" width="9.1796875" style="3"/>
  </cols>
  <sheetData>
    <row r="1" spans="1:19" ht="21" x14ac:dyDescent="0.5">
      <c r="A1" s="4" t="s">
        <v>4</v>
      </c>
      <c r="B1" s="4">
        <f>Dashboard!A49</f>
        <v>3</v>
      </c>
      <c r="C1" s="4" t="str">
        <f>Dashboard!B49</f>
        <v>MAI-MAHIU- WATER</v>
      </c>
      <c r="G1" s="3" t="s">
        <v>9</v>
      </c>
      <c r="I1" s="12">
        <f>INDEX($E$18:$P$18,Actual_month)</f>
        <v>46054</v>
      </c>
      <c r="L1" s="16" t="s">
        <v>19</v>
      </c>
      <c r="R1" s="5"/>
    </row>
    <row r="2" spans="1:19" x14ac:dyDescent="0.35">
      <c r="A2" s="3" t="s">
        <v>13</v>
      </c>
      <c r="C2" s="3" t="s">
        <v>27</v>
      </c>
      <c r="R2" s="6"/>
    </row>
    <row r="3" spans="1:19" ht="25.5" customHeight="1" thickBot="1" x14ac:dyDescent="0.4">
      <c r="C3" s="1" t="s">
        <v>5</v>
      </c>
      <c r="E3" s="10"/>
      <c r="F3" s="10"/>
      <c r="G3" s="10"/>
      <c r="H3" s="10"/>
      <c r="I3" s="10"/>
      <c r="J3" s="3" t="s">
        <v>6</v>
      </c>
      <c r="K3" s="10"/>
      <c r="M3" s="10"/>
      <c r="N3" s="10"/>
      <c r="O3" s="10"/>
      <c r="P3" s="10"/>
    </row>
    <row r="4" spans="1:19" ht="25.5" customHeight="1" x14ac:dyDescent="0.35">
      <c r="C4" s="1" t="s">
        <v>5</v>
      </c>
      <c r="E4" s="10"/>
      <c r="F4" s="10"/>
      <c r="G4" s="10"/>
      <c r="H4" s="10"/>
      <c r="I4" s="10"/>
      <c r="J4" s="401"/>
      <c r="K4" s="402"/>
      <c r="L4" s="402"/>
      <c r="M4" s="402"/>
      <c r="N4" s="402"/>
      <c r="O4" s="402"/>
      <c r="P4" s="402"/>
      <c r="Q4" s="403"/>
      <c r="R4" s="3" t="s">
        <v>22</v>
      </c>
      <c r="S4" s="5">
        <f>INDEX(E27:P27,Actual_month)</f>
        <v>1509</v>
      </c>
    </row>
    <row r="5" spans="1:19" ht="25.5" customHeight="1" x14ac:dyDescent="0.35">
      <c r="C5" s="1" t="s">
        <v>5</v>
      </c>
      <c r="E5" s="10"/>
      <c r="F5" s="10"/>
      <c r="G5" s="10"/>
      <c r="H5" s="10"/>
      <c r="I5" s="10"/>
      <c r="J5" s="404"/>
      <c r="K5" s="405"/>
      <c r="L5" s="405"/>
      <c r="M5" s="405"/>
      <c r="N5" s="405"/>
      <c r="O5" s="405"/>
      <c r="P5" s="405"/>
      <c r="Q5" s="406"/>
      <c r="R5" s="3" t="s">
        <v>23</v>
      </c>
      <c r="S5" s="5">
        <f>INDEX(E26:P26,Actual_month)</f>
        <v>1624</v>
      </c>
    </row>
    <row r="6" spans="1:19" x14ac:dyDescent="0.35">
      <c r="J6" s="404"/>
      <c r="K6" s="405"/>
      <c r="L6" s="405"/>
      <c r="M6" s="405"/>
      <c r="N6" s="405"/>
      <c r="O6" s="405"/>
      <c r="P6" s="405"/>
      <c r="Q6" s="406"/>
      <c r="R6" s="6">
        <v>0.9</v>
      </c>
      <c r="S6" s="5">
        <f>+S5*R6</f>
        <v>1461.6000000000001</v>
      </c>
    </row>
    <row r="7" spans="1:19" x14ac:dyDescent="0.35">
      <c r="J7" s="404"/>
      <c r="K7" s="405"/>
      <c r="L7" s="405"/>
      <c r="M7" s="405"/>
      <c r="N7" s="405"/>
      <c r="O7" s="405"/>
      <c r="P7" s="405"/>
      <c r="Q7" s="406"/>
    </row>
    <row r="8" spans="1:19" ht="15" thickBot="1" x14ac:dyDescent="0.4">
      <c r="J8" s="407"/>
      <c r="K8" s="408"/>
      <c r="L8" s="408"/>
      <c r="M8" s="408"/>
      <c r="N8" s="408"/>
      <c r="O8" s="408"/>
      <c r="P8" s="408"/>
      <c r="Q8" s="409"/>
    </row>
    <row r="9" spans="1:19" ht="15" thickBot="1" x14ac:dyDescent="0.4">
      <c r="J9" s="3" t="s">
        <v>12</v>
      </c>
    </row>
    <row r="10" spans="1:19" x14ac:dyDescent="0.35">
      <c r="J10" s="401"/>
      <c r="K10" s="402"/>
      <c r="L10" s="402"/>
      <c r="M10" s="402"/>
      <c r="N10" s="402"/>
      <c r="O10" s="402"/>
      <c r="P10" s="402"/>
      <c r="Q10" s="403"/>
    </row>
    <row r="11" spans="1:19" x14ac:dyDescent="0.35">
      <c r="J11" s="404"/>
      <c r="K11" s="405"/>
      <c r="L11" s="405"/>
      <c r="M11" s="405"/>
      <c r="N11" s="405"/>
      <c r="O11" s="405"/>
      <c r="P11" s="405"/>
      <c r="Q11" s="406"/>
    </row>
    <row r="12" spans="1:19" x14ac:dyDescent="0.35">
      <c r="J12" s="404"/>
      <c r="K12" s="405"/>
      <c r="L12" s="405"/>
      <c r="M12" s="405"/>
      <c r="N12" s="405"/>
      <c r="O12" s="405"/>
      <c r="P12" s="405"/>
      <c r="Q12" s="406"/>
    </row>
    <row r="13" spans="1:19" x14ac:dyDescent="0.35">
      <c r="J13" s="404"/>
      <c r="K13" s="405"/>
      <c r="L13" s="405"/>
      <c r="M13" s="405"/>
      <c r="N13" s="405"/>
      <c r="O13" s="405"/>
      <c r="P13" s="405"/>
      <c r="Q13" s="406"/>
    </row>
    <row r="14" spans="1:19" x14ac:dyDescent="0.35">
      <c r="J14" s="404"/>
      <c r="K14" s="405"/>
      <c r="L14" s="405"/>
      <c r="M14" s="405"/>
      <c r="N14" s="405"/>
      <c r="O14" s="405"/>
      <c r="P14" s="405"/>
      <c r="Q14" s="406"/>
    </row>
    <row r="15" spans="1:19" ht="15" thickBot="1" x14ac:dyDescent="0.4">
      <c r="J15" s="407"/>
      <c r="K15" s="408"/>
      <c r="L15" s="408"/>
      <c r="M15" s="408"/>
      <c r="N15" s="408"/>
      <c r="O15" s="408"/>
      <c r="P15" s="408"/>
      <c r="Q15" s="409"/>
    </row>
    <row r="18" spans="3:17" x14ac:dyDescent="0.35">
      <c r="C18" s="7" t="s">
        <v>8</v>
      </c>
      <c r="E18" s="11">
        <f>'KPI 1'!E18</f>
        <v>45839</v>
      </c>
      <c r="F18" s="11">
        <f>'KPI 1'!F18</f>
        <v>45870</v>
      </c>
      <c r="G18" s="11">
        <f>'KPI 1'!G18</f>
        <v>45901</v>
      </c>
      <c r="H18" s="11">
        <f>'KPI 1'!H18</f>
        <v>45931</v>
      </c>
      <c r="I18" s="11">
        <f>'KPI 1'!I18</f>
        <v>45962</v>
      </c>
      <c r="J18" s="11">
        <f>'KPI 1'!J18</f>
        <v>45992</v>
      </c>
      <c r="K18" s="11">
        <f>'KPI 1'!K18</f>
        <v>46023</v>
      </c>
      <c r="L18" s="11">
        <f>'KPI 1'!L18</f>
        <v>46054</v>
      </c>
      <c r="M18" s="11">
        <f>'KPI 1'!M18</f>
        <v>46082</v>
      </c>
      <c r="N18" s="11">
        <f>'KPI 1'!N18</f>
        <v>46113</v>
      </c>
      <c r="O18" s="11">
        <f>'KPI 1'!O18</f>
        <v>46143</v>
      </c>
      <c r="P18" s="11">
        <f>'KPI 1'!P18</f>
        <v>46174</v>
      </c>
      <c r="Q18" s="8" t="s">
        <v>0</v>
      </c>
    </row>
    <row r="19" spans="3:17" x14ac:dyDescent="0.35">
      <c r="D19" s="3" t="str">
        <f>'KPI 1'!D19</f>
        <v>Budget 2025-26</v>
      </c>
      <c r="E19" s="5">
        <f>'budget 2025-26'!D47</f>
        <v>1197</v>
      </c>
      <c r="F19" s="5">
        <f>'budget 2025-26'!E47</f>
        <v>1248</v>
      </c>
      <c r="G19" s="5">
        <f>'budget 2025-26'!F47</f>
        <v>1294</v>
      </c>
      <c r="H19" s="5">
        <f>'budget 2025-26'!G47</f>
        <v>1365</v>
      </c>
      <c r="I19" s="5">
        <f>'budget 2025-26'!H47</f>
        <v>1436</v>
      </c>
      <c r="J19" s="5">
        <f>'budget 2025-26'!I47</f>
        <v>1502</v>
      </c>
      <c r="K19" s="5">
        <f>'budget 2025-26'!J47</f>
        <v>1563</v>
      </c>
      <c r="L19" s="5">
        <f>'budget 2025-26'!K47</f>
        <v>1624</v>
      </c>
      <c r="M19" s="5">
        <f>'budget 2025-26'!L47</f>
        <v>1680</v>
      </c>
      <c r="N19" s="5">
        <f>'budget 2025-26'!M47</f>
        <v>1726</v>
      </c>
      <c r="O19" s="5">
        <f>'budget 2025-26'!N47</f>
        <v>1772</v>
      </c>
      <c r="P19" s="5">
        <f>'budget 2025-26'!O47</f>
        <v>1818</v>
      </c>
      <c r="Q19" s="5">
        <f>SUM(E19:P19)</f>
        <v>18225</v>
      </c>
    </row>
    <row r="20" spans="3:17" x14ac:dyDescent="0.35">
      <c r="D20" s="3" t="str">
        <f>'KPI 1'!D20</f>
        <v>Actual 2025-26</v>
      </c>
      <c r="E20" s="5">
        <f>'Input Actual2025-26'!E49</f>
        <v>1211</v>
      </c>
      <c r="F20" s="5">
        <f>'Input Actual2025-26'!F49</f>
        <v>1265</v>
      </c>
      <c r="G20" s="5">
        <f>'Input Actual2025-26'!G49</f>
        <v>1292</v>
      </c>
      <c r="H20" s="5">
        <f>'Input Actual2025-26'!H49</f>
        <v>1361</v>
      </c>
      <c r="I20" s="5">
        <f>'Input Actual2025-26'!I49</f>
        <v>1387</v>
      </c>
      <c r="J20" s="5">
        <f>'Input Actual2025-26'!J49</f>
        <v>1447</v>
      </c>
      <c r="K20" s="5">
        <f>'Input Actual2025-26'!K49</f>
        <v>1477</v>
      </c>
      <c r="L20" s="5">
        <f>'Input Actual2025-26'!L49</f>
        <v>1509</v>
      </c>
      <c r="M20" s="5">
        <f>'Input Actual2025-26'!M49</f>
        <v>0</v>
      </c>
      <c r="N20" s="5">
        <f>'Input Actual2025-26'!N49</f>
        <v>0</v>
      </c>
      <c r="O20" s="5">
        <f>'Input Actual2025-26'!O49</f>
        <v>0</v>
      </c>
      <c r="P20" s="5">
        <f>'Input Actual2025-26'!P49</f>
        <v>0</v>
      </c>
      <c r="Q20" s="5">
        <f t="shared" ref="Q20:Q22" si="0">SUM(E20:P20)</f>
        <v>10949</v>
      </c>
    </row>
    <row r="21" spans="3:17" x14ac:dyDescent="0.35">
      <c r="D21" s="3" t="s">
        <v>424</v>
      </c>
      <c r="E21" s="5">
        <f>'Input Actual2024-25'!E47</f>
        <v>834</v>
      </c>
      <c r="F21" s="5">
        <f>'Input Actual2024-25'!F47</f>
        <v>856</v>
      </c>
      <c r="G21" s="5">
        <f>'Input Actual2024-25'!G47</f>
        <v>868</v>
      </c>
      <c r="H21" s="5">
        <f>'Input Actual2024-25'!H47</f>
        <v>869</v>
      </c>
      <c r="I21" s="5">
        <f>'Input Actual2024-25'!I47</f>
        <v>880</v>
      </c>
      <c r="J21" s="5">
        <f>'Input Actual2024-25'!J47</f>
        <v>933</v>
      </c>
      <c r="K21" s="5">
        <f>'Input Actual2024-25'!K47</f>
        <v>1019</v>
      </c>
      <c r="L21" s="5">
        <f>'Input Actual2024-25'!L47</f>
        <v>1032</v>
      </c>
      <c r="M21" s="5">
        <f>'Input Actual2024-25'!M47</f>
        <v>1044</v>
      </c>
      <c r="N21" s="5">
        <f>'Input Actual2024-25'!N47</f>
        <v>1118</v>
      </c>
      <c r="O21" s="5">
        <f>'Input Actual2024-25'!O47</f>
        <v>1123</v>
      </c>
      <c r="P21" s="5">
        <f>'Input Actual2024-25'!P47</f>
        <v>1146</v>
      </c>
      <c r="Q21" s="5">
        <f t="shared" si="0"/>
        <v>11722</v>
      </c>
    </row>
    <row r="22" spans="3:17" x14ac:dyDescent="0.35">
      <c r="D22" s="3" t="s">
        <v>7</v>
      </c>
      <c r="E22" s="5">
        <f t="shared" ref="E22:P22" si="1">IF(E20=0,0,E20-E19)</f>
        <v>14</v>
      </c>
      <c r="F22" s="5">
        <f t="shared" si="1"/>
        <v>17</v>
      </c>
      <c r="G22" s="5">
        <f t="shared" si="1"/>
        <v>-2</v>
      </c>
      <c r="H22" s="5">
        <f t="shared" si="1"/>
        <v>-4</v>
      </c>
      <c r="I22" s="5">
        <f t="shared" si="1"/>
        <v>-49</v>
      </c>
      <c r="J22" s="5">
        <f t="shared" si="1"/>
        <v>-55</v>
      </c>
      <c r="K22" s="5">
        <f t="shared" si="1"/>
        <v>-86</v>
      </c>
      <c r="L22" s="5">
        <f t="shared" si="1"/>
        <v>-115</v>
      </c>
      <c r="M22" s="5">
        <f t="shared" si="1"/>
        <v>0</v>
      </c>
      <c r="N22" s="5">
        <f t="shared" si="1"/>
        <v>0</v>
      </c>
      <c r="O22" s="5">
        <f t="shared" si="1"/>
        <v>0</v>
      </c>
      <c r="P22" s="5">
        <f t="shared" si="1"/>
        <v>0</v>
      </c>
      <c r="Q22" s="5">
        <f t="shared" si="0"/>
        <v>-280</v>
      </c>
    </row>
    <row r="23" spans="3:17" x14ac:dyDescent="0.35">
      <c r="D23" s="3" t="s">
        <v>43</v>
      </c>
      <c r="E23" s="9">
        <f>E21/E19</f>
        <v>0.69674185463659144</v>
      </c>
      <c r="F23" s="9">
        <f t="shared" ref="F23:P23" si="2">F20/F19</f>
        <v>1.0136217948717949</v>
      </c>
      <c r="G23" s="9">
        <f t="shared" si="2"/>
        <v>0.99845440494590421</v>
      </c>
      <c r="H23" s="9">
        <f t="shared" si="2"/>
        <v>0.99706959706959708</v>
      </c>
      <c r="I23" s="9">
        <f t="shared" si="2"/>
        <v>0.96587743732590525</v>
      </c>
      <c r="J23" s="9">
        <f t="shared" si="2"/>
        <v>0.9633821571238349</v>
      </c>
      <c r="K23" s="9">
        <f t="shared" si="2"/>
        <v>0.944977607165707</v>
      </c>
      <c r="L23" s="9">
        <f t="shared" si="2"/>
        <v>0.92918719211822665</v>
      </c>
      <c r="M23" s="9">
        <f t="shared" si="2"/>
        <v>0</v>
      </c>
      <c r="N23" s="9">
        <f t="shared" si="2"/>
        <v>0</v>
      </c>
      <c r="O23" s="9">
        <f t="shared" si="2"/>
        <v>0</v>
      </c>
      <c r="P23" s="9">
        <f t="shared" si="2"/>
        <v>0</v>
      </c>
    </row>
    <row r="25" spans="3:17" x14ac:dyDescent="0.35">
      <c r="C25" s="7" t="s">
        <v>3</v>
      </c>
      <c r="E25" s="11">
        <f>E18</f>
        <v>45839</v>
      </c>
      <c r="F25" s="11">
        <f t="shared" ref="F25:P28" si="3">F18</f>
        <v>45870</v>
      </c>
      <c r="G25" s="11">
        <f t="shared" si="3"/>
        <v>45901</v>
      </c>
      <c r="H25" s="11">
        <f t="shared" si="3"/>
        <v>45931</v>
      </c>
      <c r="I25" s="11">
        <f t="shared" si="3"/>
        <v>45962</v>
      </c>
      <c r="J25" s="11">
        <f t="shared" si="3"/>
        <v>45992</v>
      </c>
      <c r="K25" s="11">
        <f t="shared" si="3"/>
        <v>46023</v>
      </c>
      <c r="L25" s="11">
        <f t="shared" si="3"/>
        <v>46054</v>
      </c>
      <c r="M25" s="11">
        <f t="shared" si="3"/>
        <v>46082</v>
      </c>
      <c r="N25" s="11">
        <f t="shared" si="3"/>
        <v>46113</v>
      </c>
      <c r="O25" s="11">
        <f t="shared" si="3"/>
        <v>46143</v>
      </c>
      <c r="P25" s="11">
        <f t="shared" si="3"/>
        <v>46174</v>
      </c>
    </row>
    <row r="26" spans="3:17" x14ac:dyDescent="0.35">
      <c r="D26" s="3" t="str">
        <f>D19</f>
        <v>Budget 2025-26</v>
      </c>
      <c r="E26" s="5">
        <f>E19</f>
        <v>1197</v>
      </c>
      <c r="F26" s="5">
        <f t="shared" si="3"/>
        <v>1248</v>
      </c>
      <c r="G26" s="5">
        <f t="shared" si="3"/>
        <v>1294</v>
      </c>
      <c r="H26" s="5">
        <f t="shared" si="3"/>
        <v>1365</v>
      </c>
      <c r="I26" s="5">
        <f t="shared" si="3"/>
        <v>1436</v>
      </c>
      <c r="J26" s="5">
        <f t="shared" si="3"/>
        <v>1502</v>
      </c>
      <c r="K26" s="5">
        <f t="shared" si="3"/>
        <v>1563</v>
      </c>
      <c r="L26" s="5">
        <f t="shared" si="3"/>
        <v>1624</v>
      </c>
      <c r="M26" s="5">
        <f t="shared" si="3"/>
        <v>1680</v>
      </c>
      <c r="N26" s="5">
        <f t="shared" si="3"/>
        <v>1726</v>
      </c>
      <c r="O26" s="5">
        <f t="shared" si="3"/>
        <v>1772</v>
      </c>
      <c r="P26" s="5">
        <f t="shared" si="3"/>
        <v>1818</v>
      </c>
    </row>
    <row r="27" spans="3:17" x14ac:dyDescent="0.35">
      <c r="D27" s="3" t="str">
        <f t="shared" ref="D27:E30" si="4">D20</f>
        <v>Actual 2025-26</v>
      </c>
      <c r="E27" s="5">
        <f t="shared" si="4"/>
        <v>1211</v>
      </c>
      <c r="F27" s="5">
        <f t="shared" si="3"/>
        <v>1265</v>
      </c>
      <c r="G27" s="5">
        <f t="shared" si="3"/>
        <v>1292</v>
      </c>
      <c r="H27" s="5">
        <f t="shared" si="3"/>
        <v>1361</v>
      </c>
      <c r="I27" s="5">
        <f t="shared" si="3"/>
        <v>1387</v>
      </c>
      <c r="J27" s="5">
        <f t="shared" si="3"/>
        <v>1447</v>
      </c>
      <c r="K27" s="5">
        <f t="shared" si="3"/>
        <v>1477</v>
      </c>
      <c r="L27" s="5">
        <f t="shared" si="3"/>
        <v>1509</v>
      </c>
      <c r="M27" s="5">
        <f t="shared" si="3"/>
        <v>0</v>
      </c>
      <c r="N27" s="5">
        <f t="shared" si="3"/>
        <v>0</v>
      </c>
      <c r="O27" s="5">
        <f t="shared" si="3"/>
        <v>0</v>
      </c>
      <c r="P27" s="5">
        <f t="shared" si="3"/>
        <v>0</v>
      </c>
    </row>
    <row r="28" spans="3:17" x14ac:dyDescent="0.35">
      <c r="D28" s="3" t="str">
        <f t="shared" si="4"/>
        <v>Actual 2024-25</v>
      </c>
      <c r="E28" s="5">
        <f t="shared" si="4"/>
        <v>834</v>
      </c>
      <c r="F28" s="5">
        <f t="shared" si="3"/>
        <v>856</v>
      </c>
      <c r="G28" s="5">
        <f t="shared" si="3"/>
        <v>868</v>
      </c>
      <c r="H28" s="5">
        <f t="shared" si="3"/>
        <v>869</v>
      </c>
      <c r="I28" s="5">
        <f t="shared" si="3"/>
        <v>880</v>
      </c>
      <c r="J28" s="5">
        <f t="shared" si="3"/>
        <v>933</v>
      </c>
      <c r="K28" s="5">
        <f t="shared" si="3"/>
        <v>1019</v>
      </c>
      <c r="L28" s="5">
        <f t="shared" si="3"/>
        <v>1032</v>
      </c>
      <c r="M28" s="5">
        <f t="shared" si="3"/>
        <v>1044</v>
      </c>
      <c r="N28" s="5">
        <f t="shared" si="3"/>
        <v>1118</v>
      </c>
      <c r="O28" s="5">
        <f t="shared" si="3"/>
        <v>1123</v>
      </c>
      <c r="P28" s="5">
        <f t="shared" si="3"/>
        <v>1146</v>
      </c>
    </row>
    <row r="29" spans="3:17" x14ac:dyDescent="0.35">
      <c r="D29" s="3" t="str">
        <f t="shared" si="4"/>
        <v>Difference</v>
      </c>
      <c r="E29" s="5">
        <f>SUM($E22:E22)</f>
        <v>14</v>
      </c>
      <c r="F29" s="5">
        <f>SUM($E22:F22)</f>
        <v>31</v>
      </c>
      <c r="G29" s="5">
        <f>SUM($E22:G22)</f>
        <v>29</v>
      </c>
      <c r="H29" s="5">
        <f>SUM($E22:H22)</f>
        <v>25</v>
      </c>
      <c r="I29" s="5">
        <f>SUM($E22:I22)</f>
        <v>-24</v>
      </c>
      <c r="J29" s="5">
        <f>SUM($E22:J22)</f>
        <v>-79</v>
      </c>
      <c r="K29" s="5">
        <f>SUM($E22:K22)</f>
        <v>-165</v>
      </c>
      <c r="L29" s="5">
        <f>SUM($E22:L22)</f>
        <v>-280</v>
      </c>
      <c r="M29" s="5">
        <f>SUM($E22:M22)</f>
        <v>-280</v>
      </c>
      <c r="N29" s="5">
        <f>SUM($E22:N22)</f>
        <v>-280</v>
      </c>
      <c r="O29" s="5">
        <f>SUM($E22:O22)</f>
        <v>-280</v>
      </c>
      <c r="P29" s="5">
        <f>SUM($E22:P22)</f>
        <v>-280</v>
      </c>
    </row>
    <row r="30" spans="3:17" x14ac:dyDescent="0.35">
      <c r="D30" s="3" t="str">
        <f t="shared" si="4"/>
        <v>Realisation</v>
      </c>
      <c r="E30" s="9">
        <f>E28/E26</f>
        <v>0.69674185463659144</v>
      </c>
      <c r="F30" s="9">
        <f t="shared" ref="F30:P30" si="5">F27/F26</f>
        <v>1.0136217948717949</v>
      </c>
      <c r="G30" s="9">
        <f t="shared" si="5"/>
        <v>0.99845440494590421</v>
      </c>
      <c r="H30" s="9">
        <f t="shared" si="5"/>
        <v>0.99706959706959708</v>
      </c>
      <c r="I30" s="9">
        <f t="shared" si="5"/>
        <v>0.96587743732590525</v>
      </c>
      <c r="J30" s="9">
        <f t="shared" si="5"/>
        <v>0.9633821571238349</v>
      </c>
      <c r="K30" s="9">
        <f t="shared" si="5"/>
        <v>0.944977607165707</v>
      </c>
      <c r="L30" s="9">
        <f t="shared" si="5"/>
        <v>0.92918719211822665</v>
      </c>
      <c r="M30" s="9">
        <f t="shared" si="5"/>
        <v>0</v>
      </c>
      <c r="N30" s="9">
        <f t="shared" si="5"/>
        <v>0</v>
      </c>
      <c r="O30" s="9">
        <f t="shared" si="5"/>
        <v>0</v>
      </c>
      <c r="P30" s="9">
        <f t="shared" si="5"/>
        <v>0</v>
      </c>
    </row>
  </sheetData>
  <mergeCells count="2">
    <mergeCell ref="J4:Q8"/>
    <mergeCell ref="J10:Q15"/>
  </mergeCells>
  <conditionalFormatting sqref="C3">
    <cfRule type="expression" dxfId="437" priority="2">
      <formula>S4&lt;S6</formula>
    </cfRule>
  </conditionalFormatting>
  <conditionalFormatting sqref="C5">
    <cfRule type="expression" dxfId="436" priority="3">
      <formula>S4&gt;=S5</formula>
    </cfRule>
  </conditionalFormatting>
  <conditionalFormatting sqref="C4">
    <cfRule type="expression" dxfId="435" priority="1">
      <formula>AND(S4&gt;=S6,S4&lt;S5)</formula>
    </cfRule>
  </conditionalFormatting>
  <hyperlinks>
    <hyperlink ref="L1" location="Dashboard!A1" display="Dashboard"/>
  </hyperlinks>
  <pageMargins left="0.7" right="0.7" top="0.75" bottom="0.75" header="0.3" footer="0.3"/>
  <pageSetup orientation="portrait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974849" r:id="rId4" name="Spinner 1">
              <controlPr defaultSize="0" autoPict="0">
                <anchor moveWithCells="1" sizeWithCells="1">
                  <from>
                    <xdr:col>9</xdr:col>
                    <xdr:colOff>19050</xdr:colOff>
                    <xdr:row>0</xdr:row>
                    <xdr:rowOff>38100</xdr:rowOff>
                  </from>
                  <to>
                    <xdr:col>9</xdr:col>
                    <xdr:colOff>400050</xdr:colOff>
                    <xdr:row>1</xdr:row>
                    <xdr:rowOff>152400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5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FFC000"/>
  </sheetPr>
  <dimension ref="A1:S30"/>
  <sheetViews>
    <sheetView topLeftCell="E1" workbookViewId="0">
      <selection activeCell="L1" sqref="L1"/>
    </sheetView>
  </sheetViews>
  <sheetFormatPr defaultColWidth="9.1796875" defaultRowHeight="14.5" x14ac:dyDescent="0.35"/>
  <cols>
    <col min="1" max="1" width="9.1796875" style="3"/>
    <col min="2" max="2" width="5.1796875" style="3" customWidth="1"/>
    <col min="3" max="3" width="6.26953125" style="3" customWidth="1"/>
    <col min="4" max="4" width="21.26953125" style="3" bestFit="1" customWidth="1"/>
    <col min="5" max="16" width="11.1796875" style="3" customWidth="1"/>
    <col min="17" max="17" width="12" style="3" bestFit="1" customWidth="1"/>
    <col min="18" max="18" width="9.1796875" style="3" customWidth="1"/>
    <col min="19" max="16384" width="9.1796875" style="3"/>
  </cols>
  <sheetData>
    <row r="1" spans="1:19" ht="21" x14ac:dyDescent="0.5">
      <c r="A1" s="4" t="s">
        <v>4</v>
      </c>
      <c r="B1" s="4">
        <f>Dashboard!A51</f>
        <v>0</v>
      </c>
      <c r="C1" s="4" t="str">
        <f>Dashboard!B55</f>
        <v>TOTAL WATER CONNECTION EASTERN REGION</v>
      </c>
      <c r="G1" s="3" t="s">
        <v>9</v>
      </c>
      <c r="I1" s="12">
        <f>INDEX($E$18:$P$18,Actual_month)</f>
        <v>46054</v>
      </c>
      <c r="L1" s="16" t="s">
        <v>19</v>
      </c>
      <c r="R1" s="5"/>
    </row>
    <row r="2" spans="1:19" x14ac:dyDescent="0.35">
      <c r="A2" s="3" t="s">
        <v>13</v>
      </c>
      <c r="C2" s="3" t="s">
        <v>27</v>
      </c>
      <c r="R2" s="6"/>
    </row>
    <row r="3" spans="1:19" ht="25.5" customHeight="1" thickBot="1" x14ac:dyDescent="0.4">
      <c r="C3" s="1" t="s">
        <v>5</v>
      </c>
      <c r="E3" s="10"/>
      <c r="F3" s="10"/>
      <c r="G3" s="10"/>
      <c r="H3" s="10"/>
      <c r="I3" s="10"/>
      <c r="J3" s="3" t="s">
        <v>6</v>
      </c>
      <c r="K3" s="10"/>
      <c r="M3" s="10"/>
      <c r="N3" s="10"/>
      <c r="O3" s="10"/>
      <c r="P3" s="10"/>
    </row>
    <row r="4" spans="1:19" ht="25.5" customHeight="1" x14ac:dyDescent="0.35">
      <c r="C4" s="1" t="s">
        <v>5</v>
      </c>
      <c r="E4" s="10"/>
      <c r="F4" s="10"/>
      <c r="G4" s="10"/>
      <c r="H4" s="10"/>
      <c r="I4" s="10"/>
      <c r="J4" s="401"/>
      <c r="K4" s="402"/>
      <c r="L4" s="402"/>
      <c r="M4" s="402"/>
      <c r="N4" s="402"/>
      <c r="O4" s="402"/>
      <c r="P4" s="402"/>
      <c r="Q4" s="403"/>
      <c r="R4" s="3" t="s">
        <v>22</v>
      </c>
      <c r="S4" s="5">
        <f>INDEX(E27:P27,Actual_month)</f>
        <v>3191</v>
      </c>
    </row>
    <row r="5" spans="1:19" ht="25.5" customHeight="1" x14ac:dyDescent="0.35">
      <c r="C5" s="1" t="s">
        <v>5</v>
      </c>
      <c r="E5" s="10"/>
      <c r="F5" s="10"/>
      <c r="G5" s="10"/>
      <c r="H5" s="10"/>
      <c r="I5" s="10"/>
      <c r="J5" s="404"/>
      <c r="K5" s="405"/>
      <c r="L5" s="405"/>
      <c r="M5" s="405"/>
      <c r="N5" s="405"/>
      <c r="O5" s="405"/>
      <c r="P5" s="405"/>
      <c r="Q5" s="406"/>
      <c r="R5" s="3" t="s">
        <v>23</v>
      </c>
      <c r="S5" s="5">
        <f>INDEX(E26:P26,Actual_month)</f>
        <v>3332</v>
      </c>
    </row>
    <row r="6" spans="1:19" x14ac:dyDescent="0.35">
      <c r="J6" s="404"/>
      <c r="K6" s="405"/>
      <c r="L6" s="405"/>
      <c r="M6" s="405"/>
      <c r="N6" s="405"/>
      <c r="O6" s="405"/>
      <c r="P6" s="405"/>
      <c r="Q6" s="406"/>
      <c r="R6" s="6">
        <v>0.9</v>
      </c>
      <c r="S6" s="5">
        <f>+S5*R6</f>
        <v>2998.8</v>
      </c>
    </row>
    <row r="7" spans="1:19" x14ac:dyDescent="0.35">
      <c r="J7" s="404"/>
      <c r="K7" s="405"/>
      <c r="L7" s="405"/>
      <c r="M7" s="405"/>
      <c r="N7" s="405"/>
      <c r="O7" s="405"/>
      <c r="P7" s="405"/>
      <c r="Q7" s="406"/>
    </row>
    <row r="8" spans="1:19" ht="15" thickBot="1" x14ac:dyDescent="0.4">
      <c r="J8" s="407"/>
      <c r="K8" s="408"/>
      <c r="L8" s="408"/>
      <c r="M8" s="408"/>
      <c r="N8" s="408"/>
      <c r="O8" s="408"/>
      <c r="P8" s="408"/>
      <c r="Q8" s="409"/>
    </row>
    <row r="9" spans="1:19" ht="15" thickBot="1" x14ac:dyDescent="0.4">
      <c r="J9" s="3" t="s">
        <v>12</v>
      </c>
    </row>
    <row r="10" spans="1:19" x14ac:dyDescent="0.35">
      <c r="J10" s="401"/>
      <c r="K10" s="402"/>
      <c r="L10" s="402"/>
      <c r="M10" s="402"/>
      <c r="N10" s="402"/>
      <c r="O10" s="402"/>
      <c r="P10" s="402"/>
      <c r="Q10" s="403"/>
    </row>
    <row r="11" spans="1:19" x14ac:dyDescent="0.35">
      <c r="J11" s="404"/>
      <c r="K11" s="405"/>
      <c r="L11" s="405"/>
      <c r="M11" s="405"/>
      <c r="N11" s="405"/>
      <c r="O11" s="405"/>
      <c r="P11" s="405"/>
      <c r="Q11" s="406"/>
    </row>
    <row r="12" spans="1:19" x14ac:dyDescent="0.35">
      <c r="J12" s="404"/>
      <c r="K12" s="405"/>
      <c r="L12" s="405"/>
      <c r="M12" s="405"/>
      <c r="N12" s="405"/>
      <c r="O12" s="405"/>
      <c r="P12" s="405"/>
      <c r="Q12" s="406"/>
    </row>
    <row r="13" spans="1:19" x14ac:dyDescent="0.35">
      <c r="J13" s="404"/>
      <c r="K13" s="405"/>
      <c r="L13" s="405"/>
      <c r="M13" s="405"/>
      <c r="N13" s="405"/>
      <c r="O13" s="405"/>
      <c r="P13" s="405"/>
      <c r="Q13" s="406"/>
    </row>
    <row r="14" spans="1:19" x14ac:dyDescent="0.35">
      <c r="J14" s="404"/>
      <c r="K14" s="405"/>
      <c r="L14" s="405"/>
      <c r="M14" s="405"/>
      <c r="N14" s="405"/>
      <c r="O14" s="405"/>
      <c r="P14" s="405"/>
      <c r="Q14" s="406"/>
    </row>
    <row r="15" spans="1:19" ht="15" thickBot="1" x14ac:dyDescent="0.4">
      <c r="J15" s="407"/>
      <c r="K15" s="408"/>
      <c r="L15" s="408"/>
      <c r="M15" s="408"/>
      <c r="N15" s="408"/>
      <c r="O15" s="408"/>
      <c r="P15" s="408"/>
      <c r="Q15" s="409"/>
    </row>
    <row r="18" spans="3:17" x14ac:dyDescent="0.35">
      <c r="C18" s="7" t="s">
        <v>8</v>
      </c>
      <c r="E18" s="11">
        <f>'KPI 1'!E18</f>
        <v>45839</v>
      </c>
      <c r="F18" s="11">
        <f>'KPI 1'!F18</f>
        <v>45870</v>
      </c>
      <c r="G18" s="11">
        <f>'KPI 1'!G18</f>
        <v>45901</v>
      </c>
      <c r="H18" s="11">
        <f>'KPI 1'!H18</f>
        <v>45931</v>
      </c>
      <c r="I18" s="11">
        <f>'KPI 1'!I18</f>
        <v>45962</v>
      </c>
      <c r="J18" s="11">
        <f>'KPI 1'!J18</f>
        <v>45992</v>
      </c>
      <c r="K18" s="11">
        <f>'KPI 1'!K18</f>
        <v>46023</v>
      </c>
      <c r="L18" s="11">
        <f>'KPI 1'!L18</f>
        <v>46054</v>
      </c>
      <c r="M18" s="11">
        <f>'KPI 1'!M18</f>
        <v>46082</v>
      </c>
      <c r="N18" s="11">
        <f>'KPI 1'!N18</f>
        <v>46113</v>
      </c>
      <c r="O18" s="11">
        <f>'KPI 1'!O18</f>
        <v>46143</v>
      </c>
      <c r="P18" s="11">
        <f>'KPI 1'!P18</f>
        <v>46174</v>
      </c>
      <c r="Q18" s="8" t="s">
        <v>0</v>
      </c>
    </row>
    <row r="19" spans="3:17" x14ac:dyDescent="0.35">
      <c r="D19" s="3" t="str">
        <f>'KPI 1'!D19</f>
        <v>Budget 2025-26</v>
      </c>
      <c r="E19" s="5">
        <f>'budget 2025-26'!D52</f>
        <v>2995</v>
      </c>
      <c r="F19" s="5">
        <f>'budget 2025-26'!E52</f>
        <v>3051</v>
      </c>
      <c r="G19" s="5">
        <f>'budget 2025-26'!F52</f>
        <v>3102</v>
      </c>
      <c r="H19" s="5">
        <f>'budget 2025-26'!G52</f>
        <v>3148</v>
      </c>
      <c r="I19" s="5">
        <f>'budget 2025-26'!H52</f>
        <v>3194</v>
      </c>
      <c r="J19" s="5">
        <f>'budget 2025-26'!I52</f>
        <v>3235</v>
      </c>
      <c r="K19" s="5">
        <f>'budget 2025-26'!J52</f>
        <v>3291</v>
      </c>
      <c r="L19" s="5">
        <f>'budget 2025-26'!K52</f>
        <v>3332</v>
      </c>
      <c r="M19" s="5">
        <f>'budget 2025-26'!L52</f>
        <v>3373</v>
      </c>
      <c r="N19" s="5">
        <f>'budget 2025-26'!M52</f>
        <v>3409</v>
      </c>
      <c r="O19" s="5">
        <f>'budget 2025-26'!N52</f>
        <v>3445</v>
      </c>
      <c r="P19" s="5">
        <f>'budget 2025-26'!O52</f>
        <v>3481</v>
      </c>
      <c r="Q19" s="5">
        <f>SUM(E19:P19)</f>
        <v>39056</v>
      </c>
    </row>
    <row r="20" spans="3:17" x14ac:dyDescent="0.35">
      <c r="D20" s="3" t="str">
        <f>'KPI 1'!D20</f>
        <v>Actual 2025-26</v>
      </c>
      <c r="E20" s="5">
        <f>'Input Actual2025-26'!E54</f>
        <v>2937</v>
      </c>
      <c r="F20" s="5">
        <f>'Input Actual2025-26'!F54</f>
        <v>2977</v>
      </c>
      <c r="G20" s="5">
        <f>'Input Actual2025-26'!G54</f>
        <v>3033</v>
      </c>
      <c r="H20" s="5">
        <f>'Input Actual2025-26'!H54</f>
        <v>3063</v>
      </c>
      <c r="I20" s="5">
        <f>'Input Actual2025-26'!I54</f>
        <v>3093</v>
      </c>
      <c r="J20" s="5">
        <f>'Input Actual2025-26'!J54</f>
        <v>3131</v>
      </c>
      <c r="K20" s="5">
        <f>'Input Actual2025-26'!K54</f>
        <v>3175</v>
      </c>
      <c r="L20" s="5">
        <f>'Input Actual2025-26'!L54</f>
        <v>3191</v>
      </c>
      <c r="M20" s="5">
        <f>'Input Actual2025-26'!M54</f>
        <v>0</v>
      </c>
      <c r="N20" s="5">
        <f>'Input Actual2025-26'!N54</f>
        <v>0</v>
      </c>
      <c r="O20" s="5">
        <f>'Input Actual2025-26'!O54</f>
        <v>0</v>
      </c>
      <c r="P20" s="5">
        <f>'Input Actual2025-26'!P54</f>
        <v>0</v>
      </c>
      <c r="Q20" s="5">
        <f t="shared" ref="Q20:Q22" si="0">SUM(E20:P20)</f>
        <v>24600</v>
      </c>
    </row>
    <row r="21" spans="3:17" x14ac:dyDescent="0.35">
      <c r="D21" s="3" t="s">
        <v>196</v>
      </c>
      <c r="E21" s="5">
        <f>'actual 2022-23'!D44</f>
        <v>2412</v>
      </c>
      <c r="F21" s="5">
        <f>'actual 2022-23'!E44</f>
        <v>2468</v>
      </c>
      <c r="G21" s="5">
        <f>'actual 2022-23'!F44</f>
        <v>2591</v>
      </c>
      <c r="H21" s="5">
        <f>'actual 2022-23'!G44</f>
        <v>2635</v>
      </c>
      <c r="I21" s="5">
        <f>'actual 2022-23'!H44</f>
        <v>2680</v>
      </c>
      <c r="J21" s="5">
        <f>'actual 2022-23'!I44</f>
        <v>2697</v>
      </c>
      <c r="K21" s="5">
        <f>'actual 2022-23'!J44</f>
        <v>2727</v>
      </c>
      <c r="L21" s="5">
        <f>'actual 2022-23'!K44</f>
        <v>2840</v>
      </c>
      <c r="M21" s="5">
        <f>'actual 2022-23'!L44</f>
        <v>2984</v>
      </c>
      <c r="N21" s="5">
        <f>'actual 2022-23'!M44</f>
        <v>3055</v>
      </c>
      <c r="O21" s="5">
        <f>'actual 2022-23'!N44</f>
        <v>3096</v>
      </c>
      <c r="P21" s="5">
        <f>'actual 2022-23'!O44</f>
        <v>3144</v>
      </c>
      <c r="Q21" s="5">
        <f t="shared" si="0"/>
        <v>33329</v>
      </c>
    </row>
    <row r="22" spans="3:17" x14ac:dyDescent="0.35">
      <c r="D22" s="3" t="s">
        <v>7</v>
      </c>
      <c r="E22" s="5">
        <f t="shared" ref="E22:P22" si="1">IF(E20=0,0,E20-E19)</f>
        <v>-58</v>
      </c>
      <c r="F22" s="5">
        <f t="shared" si="1"/>
        <v>-74</v>
      </c>
      <c r="G22" s="5">
        <f t="shared" si="1"/>
        <v>-69</v>
      </c>
      <c r="H22" s="5">
        <f t="shared" si="1"/>
        <v>-85</v>
      </c>
      <c r="I22" s="5">
        <f t="shared" si="1"/>
        <v>-101</v>
      </c>
      <c r="J22" s="5">
        <f t="shared" si="1"/>
        <v>-104</v>
      </c>
      <c r="K22" s="5">
        <f t="shared" si="1"/>
        <v>-116</v>
      </c>
      <c r="L22" s="5">
        <f t="shared" si="1"/>
        <v>-141</v>
      </c>
      <c r="M22" s="5">
        <f t="shared" si="1"/>
        <v>0</v>
      </c>
      <c r="N22" s="5">
        <f t="shared" si="1"/>
        <v>0</v>
      </c>
      <c r="O22" s="5">
        <f t="shared" si="1"/>
        <v>0</v>
      </c>
      <c r="P22" s="5">
        <f t="shared" si="1"/>
        <v>0</v>
      </c>
      <c r="Q22" s="5">
        <f t="shared" si="0"/>
        <v>-748</v>
      </c>
    </row>
    <row r="23" spans="3:17" x14ac:dyDescent="0.35">
      <c r="D23" s="3" t="s">
        <v>43</v>
      </c>
      <c r="E23" s="9">
        <f>E21/E19</f>
        <v>0.80534223706176966</v>
      </c>
      <c r="F23" s="9">
        <f t="shared" ref="F23:P23" si="2">F20/F19</f>
        <v>0.97574565716158634</v>
      </c>
      <c r="G23" s="9">
        <f t="shared" si="2"/>
        <v>0.97775628626692457</v>
      </c>
      <c r="H23" s="9">
        <f t="shared" si="2"/>
        <v>0.97299872935196952</v>
      </c>
      <c r="I23" s="9">
        <f t="shared" si="2"/>
        <v>0.96837820914214157</v>
      </c>
      <c r="J23" s="9">
        <f t="shared" si="2"/>
        <v>0.96785162287480675</v>
      </c>
      <c r="K23" s="9">
        <f t="shared" si="2"/>
        <v>0.96475235490732303</v>
      </c>
      <c r="L23" s="9">
        <f t="shared" si="2"/>
        <v>0.95768307322929169</v>
      </c>
      <c r="M23" s="9">
        <f t="shared" si="2"/>
        <v>0</v>
      </c>
      <c r="N23" s="9">
        <f t="shared" si="2"/>
        <v>0</v>
      </c>
      <c r="O23" s="9">
        <f t="shared" si="2"/>
        <v>0</v>
      </c>
      <c r="P23" s="9">
        <f t="shared" si="2"/>
        <v>0</v>
      </c>
    </row>
    <row r="25" spans="3:17" x14ac:dyDescent="0.35">
      <c r="C25" s="7" t="s">
        <v>3</v>
      </c>
      <c r="E25" s="11">
        <f>E18</f>
        <v>45839</v>
      </c>
      <c r="F25" s="11">
        <f t="shared" ref="F25:P28" si="3">F18</f>
        <v>45870</v>
      </c>
      <c r="G25" s="11">
        <f t="shared" si="3"/>
        <v>45901</v>
      </c>
      <c r="H25" s="11">
        <f t="shared" si="3"/>
        <v>45931</v>
      </c>
      <c r="I25" s="11">
        <f t="shared" si="3"/>
        <v>45962</v>
      </c>
      <c r="J25" s="11">
        <f t="shared" si="3"/>
        <v>45992</v>
      </c>
      <c r="K25" s="11">
        <f t="shared" si="3"/>
        <v>46023</v>
      </c>
      <c r="L25" s="11">
        <f t="shared" si="3"/>
        <v>46054</v>
      </c>
      <c r="M25" s="11">
        <f t="shared" si="3"/>
        <v>46082</v>
      </c>
      <c r="N25" s="11">
        <f t="shared" si="3"/>
        <v>46113</v>
      </c>
      <c r="O25" s="11">
        <f t="shared" si="3"/>
        <v>46143</v>
      </c>
      <c r="P25" s="11">
        <f t="shared" si="3"/>
        <v>46174</v>
      </c>
    </row>
    <row r="26" spans="3:17" x14ac:dyDescent="0.35">
      <c r="D26" s="3" t="str">
        <f>D19</f>
        <v>Budget 2025-26</v>
      </c>
      <c r="E26" s="5">
        <f>E19</f>
        <v>2995</v>
      </c>
      <c r="F26" s="5">
        <f t="shared" si="3"/>
        <v>3051</v>
      </c>
      <c r="G26" s="5">
        <f t="shared" si="3"/>
        <v>3102</v>
      </c>
      <c r="H26" s="5">
        <f t="shared" si="3"/>
        <v>3148</v>
      </c>
      <c r="I26" s="5">
        <f t="shared" si="3"/>
        <v>3194</v>
      </c>
      <c r="J26" s="5">
        <f t="shared" si="3"/>
        <v>3235</v>
      </c>
      <c r="K26" s="5">
        <f t="shared" si="3"/>
        <v>3291</v>
      </c>
      <c r="L26" s="5">
        <f t="shared" si="3"/>
        <v>3332</v>
      </c>
      <c r="M26" s="5">
        <f t="shared" si="3"/>
        <v>3373</v>
      </c>
      <c r="N26" s="5">
        <f t="shared" si="3"/>
        <v>3409</v>
      </c>
      <c r="O26" s="5">
        <f t="shared" si="3"/>
        <v>3445</v>
      </c>
      <c r="P26" s="5">
        <f t="shared" si="3"/>
        <v>3481</v>
      </c>
    </row>
    <row r="27" spans="3:17" x14ac:dyDescent="0.35">
      <c r="D27" s="3" t="str">
        <f t="shared" ref="D27:E30" si="4">D20</f>
        <v>Actual 2025-26</v>
      </c>
      <c r="E27" s="5">
        <f t="shared" si="4"/>
        <v>2937</v>
      </c>
      <c r="F27" s="5">
        <f t="shared" si="3"/>
        <v>2977</v>
      </c>
      <c r="G27" s="5">
        <f t="shared" si="3"/>
        <v>3033</v>
      </c>
      <c r="H27" s="5">
        <f t="shared" si="3"/>
        <v>3063</v>
      </c>
      <c r="I27" s="5">
        <f t="shared" si="3"/>
        <v>3093</v>
      </c>
      <c r="J27" s="5">
        <f t="shared" si="3"/>
        <v>3131</v>
      </c>
      <c r="K27" s="5">
        <f t="shared" si="3"/>
        <v>3175</v>
      </c>
      <c r="L27" s="5">
        <f t="shared" si="3"/>
        <v>3191</v>
      </c>
      <c r="M27" s="5">
        <f t="shared" si="3"/>
        <v>0</v>
      </c>
      <c r="N27" s="5">
        <f t="shared" si="3"/>
        <v>0</v>
      </c>
      <c r="O27" s="5">
        <f t="shared" si="3"/>
        <v>0</v>
      </c>
      <c r="P27" s="5">
        <f t="shared" si="3"/>
        <v>0</v>
      </c>
    </row>
    <row r="28" spans="3:17" x14ac:dyDescent="0.35">
      <c r="D28" s="3" t="str">
        <f t="shared" si="4"/>
        <v>Actual 2022-23</v>
      </c>
      <c r="E28" s="5">
        <f t="shared" si="4"/>
        <v>2412</v>
      </c>
      <c r="F28" s="5">
        <f t="shared" si="3"/>
        <v>2468</v>
      </c>
      <c r="G28" s="5">
        <f t="shared" si="3"/>
        <v>2591</v>
      </c>
      <c r="H28" s="5">
        <f t="shared" si="3"/>
        <v>2635</v>
      </c>
      <c r="I28" s="5">
        <f t="shared" si="3"/>
        <v>2680</v>
      </c>
      <c r="J28" s="5">
        <f t="shared" si="3"/>
        <v>2697</v>
      </c>
      <c r="K28" s="5">
        <f t="shared" si="3"/>
        <v>2727</v>
      </c>
      <c r="L28" s="5">
        <f t="shared" si="3"/>
        <v>2840</v>
      </c>
      <c r="M28" s="5">
        <f t="shared" si="3"/>
        <v>2984</v>
      </c>
      <c r="N28" s="5">
        <f t="shared" si="3"/>
        <v>3055</v>
      </c>
      <c r="O28" s="5">
        <f t="shared" si="3"/>
        <v>3096</v>
      </c>
      <c r="P28" s="5">
        <f t="shared" si="3"/>
        <v>3144</v>
      </c>
    </row>
    <row r="29" spans="3:17" x14ac:dyDescent="0.35">
      <c r="D29" s="3" t="str">
        <f t="shared" si="4"/>
        <v>Difference</v>
      </c>
      <c r="E29" s="5">
        <f>SUM($E22:E22)</f>
        <v>-58</v>
      </c>
      <c r="F29" s="5">
        <f>SUM($E22:F22)</f>
        <v>-132</v>
      </c>
      <c r="G29" s="5">
        <f>SUM($E22:G22)</f>
        <v>-201</v>
      </c>
      <c r="H29" s="5">
        <f>SUM($E22:H22)</f>
        <v>-286</v>
      </c>
      <c r="I29" s="5">
        <f>SUM($E22:I22)</f>
        <v>-387</v>
      </c>
      <c r="J29" s="5">
        <f>SUM($E22:J22)</f>
        <v>-491</v>
      </c>
      <c r="K29" s="5">
        <f>SUM($E22:K22)</f>
        <v>-607</v>
      </c>
      <c r="L29" s="5">
        <f>SUM($E22:L22)</f>
        <v>-748</v>
      </c>
      <c r="M29" s="5">
        <f>SUM($E22:M22)</f>
        <v>-748</v>
      </c>
      <c r="N29" s="5">
        <f>SUM($E22:N22)</f>
        <v>-748</v>
      </c>
      <c r="O29" s="5">
        <f>SUM($E22:O22)</f>
        <v>-748</v>
      </c>
      <c r="P29" s="5">
        <f>SUM($E22:P22)</f>
        <v>-748</v>
      </c>
    </row>
    <row r="30" spans="3:17" x14ac:dyDescent="0.35">
      <c r="D30" s="3" t="str">
        <f t="shared" si="4"/>
        <v>Realisation</v>
      </c>
      <c r="E30" s="9">
        <f>E28/E26</f>
        <v>0.80534223706176966</v>
      </c>
      <c r="F30" s="9">
        <f t="shared" ref="F30:P30" si="5">F27/F26</f>
        <v>0.97574565716158634</v>
      </c>
      <c r="G30" s="9">
        <f t="shared" si="5"/>
        <v>0.97775628626692457</v>
      </c>
      <c r="H30" s="9">
        <f t="shared" si="5"/>
        <v>0.97299872935196952</v>
      </c>
      <c r="I30" s="9">
        <f t="shared" si="5"/>
        <v>0.96837820914214157</v>
      </c>
      <c r="J30" s="9">
        <f t="shared" si="5"/>
        <v>0.96785162287480675</v>
      </c>
      <c r="K30" s="9">
        <f t="shared" si="5"/>
        <v>0.96475235490732303</v>
      </c>
      <c r="L30" s="9">
        <f t="shared" si="5"/>
        <v>0.95768307322929169</v>
      </c>
      <c r="M30" s="9">
        <f t="shared" si="5"/>
        <v>0</v>
      </c>
      <c r="N30" s="9">
        <f t="shared" si="5"/>
        <v>0</v>
      </c>
      <c r="O30" s="9">
        <f t="shared" si="5"/>
        <v>0</v>
      </c>
      <c r="P30" s="9">
        <f t="shared" si="5"/>
        <v>0</v>
      </c>
    </row>
  </sheetData>
  <mergeCells count="2">
    <mergeCell ref="J4:Q8"/>
    <mergeCell ref="J10:Q15"/>
  </mergeCells>
  <conditionalFormatting sqref="C3">
    <cfRule type="expression" dxfId="434" priority="2">
      <formula>S4&lt;S6</formula>
    </cfRule>
  </conditionalFormatting>
  <conditionalFormatting sqref="C5">
    <cfRule type="expression" dxfId="433" priority="3">
      <formula>S4&gt;=S5</formula>
    </cfRule>
  </conditionalFormatting>
  <conditionalFormatting sqref="C4">
    <cfRule type="expression" dxfId="432" priority="1">
      <formula>AND(S4&gt;=S6,S4&lt;S5)</formula>
    </cfRule>
  </conditionalFormatting>
  <hyperlinks>
    <hyperlink ref="L1" location="Dashboard!A1" display="Dashboard"/>
  </hyperlinks>
  <pageMargins left="0.7" right="0.7" top="0.75" bottom="0.75" header="0.3" footer="0.3"/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941505" r:id="rId3" name="Spinner 1">
              <controlPr defaultSize="0" autoPict="0">
                <anchor moveWithCells="1" sizeWithCells="1">
                  <from>
                    <xdr:col>9</xdr:col>
                    <xdr:colOff>19050</xdr:colOff>
                    <xdr:row>0</xdr:row>
                    <xdr:rowOff>38100</xdr:rowOff>
                  </from>
                  <to>
                    <xdr:col>9</xdr:col>
                    <xdr:colOff>400050</xdr:colOff>
                    <xdr:row>1</xdr:row>
                    <xdr:rowOff>152400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5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40">
    <tabColor rgb="FFFFC000"/>
  </sheetPr>
  <dimension ref="A1:S30"/>
  <sheetViews>
    <sheetView zoomScale="90" zoomScaleNormal="90" workbookViewId="0">
      <selection activeCell="L1" sqref="L1"/>
    </sheetView>
  </sheetViews>
  <sheetFormatPr defaultColWidth="9.1796875" defaultRowHeight="14.5" x14ac:dyDescent="0.35"/>
  <cols>
    <col min="1" max="1" width="9.1796875" style="3"/>
    <col min="2" max="2" width="5.1796875" style="3" customWidth="1"/>
    <col min="3" max="3" width="6.26953125" style="3" customWidth="1"/>
    <col min="4" max="4" width="21.26953125" style="3" bestFit="1" customWidth="1"/>
    <col min="5" max="16" width="11.1796875" style="3" customWidth="1"/>
    <col min="17" max="17" width="12" style="3" bestFit="1" customWidth="1"/>
    <col min="18" max="18" width="9.1796875" style="3" customWidth="1"/>
    <col min="19" max="16384" width="9.1796875" style="3"/>
  </cols>
  <sheetData>
    <row r="1" spans="1:19" ht="21" x14ac:dyDescent="0.5">
      <c r="A1" s="4" t="s">
        <v>4</v>
      </c>
      <c r="B1" s="4">
        <f>Dashboard!A51</f>
        <v>0</v>
      </c>
      <c r="C1" s="4" t="str">
        <f>Dashboard!B51</f>
        <v>TOTAL WATER CONNECTION SOUTHERN REGION</v>
      </c>
      <c r="G1" s="3" t="s">
        <v>9</v>
      </c>
      <c r="I1" s="12">
        <f>INDEX($E$18:$P$18,Actual_month)</f>
        <v>46054</v>
      </c>
      <c r="L1" s="16" t="s">
        <v>19</v>
      </c>
      <c r="R1" s="5"/>
    </row>
    <row r="2" spans="1:19" x14ac:dyDescent="0.35">
      <c r="A2" s="3" t="s">
        <v>13</v>
      </c>
      <c r="C2" s="3" t="s">
        <v>27</v>
      </c>
      <c r="R2" s="6"/>
    </row>
    <row r="3" spans="1:19" ht="25.5" customHeight="1" thickBot="1" x14ac:dyDescent="0.4">
      <c r="C3" s="1" t="s">
        <v>5</v>
      </c>
      <c r="E3" s="10"/>
      <c r="F3" s="10"/>
      <c r="G3" s="10"/>
      <c r="H3" s="10"/>
      <c r="I3" s="10"/>
      <c r="J3" s="3" t="s">
        <v>6</v>
      </c>
      <c r="K3" s="10"/>
      <c r="M3" s="10"/>
      <c r="N3" s="10"/>
      <c r="O3" s="10"/>
      <c r="P3" s="10"/>
    </row>
    <row r="4" spans="1:19" ht="25.5" customHeight="1" x14ac:dyDescent="0.35">
      <c r="C4" s="1" t="s">
        <v>5</v>
      </c>
      <c r="E4" s="10"/>
      <c r="F4" s="10"/>
      <c r="G4" s="10"/>
      <c r="H4" s="10"/>
      <c r="I4" s="10"/>
      <c r="J4" s="401"/>
      <c r="K4" s="402"/>
      <c r="L4" s="402"/>
      <c r="M4" s="402"/>
      <c r="N4" s="402"/>
      <c r="O4" s="402"/>
      <c r="P4" s="402"/>
      <c r="Q4" s="403"/>
      <c r="R4" s="3" t="s">
        <v>22</v>
      </c>
      <c r="S4" s="5">
        <f>INDEX(E27:P27,Actual_month)</f>
        <v>4587</v>
      </c>
    </row>
    <row r="5" spans="1:19" ht="25.5" customHeight="1" x14ac:dyDescent="0.35">
      <c r="C5" s="1" t="s">
        <v>5</v>
      </c>
      <c r="E5" s="10"/>
      <c r="F5" s="10"/>
      <c r="G5" s="10"/>
      <c r="H5" s="10"/>
      <c r="I5" s="10"/>
      <c r="J5" s="404"/>
      <c r="K5" s="405"/>
      <c r="L5" s="405"/>
      <c r="M5" s="405"/>
      <c r="N5" s="405"/>
      <c r="O5" s="405"/>
      <c r="P5" s="405"/>
      <c r="Q5" s="406"/>
      <c r="R5" s="3" t="s">
        <v>23</v>
      </c>
      <c r="S5" s="5">
        <f>INDEX(E26:P26,Actual_month)</f>
        <v>4866</v>
      </c>
    </row>
    <row r="6" spans="1:19" x14ac:dyDescent="0.35">
      <c r="J6" s="404"/>
      <c r="K6" s="405"/>
      <c r="L6" s="405"/>
      <c r="M6" s="405"/>
      <c r="N6" s="405"/>
      <c r="O6" s="405"/>
      <c r="P6" s="405"/>
      <c r="Q6" s="406"/>
      <c r="R6" s="6">
        <v>0.9</v>
      </c>
      <c r="S6" s="5">
        <f>+S5*R6</f>
        <v>4379.4000000000005</v>
      </c>
    </row>
    <row r="7" spans="1:19" x14ac:dyDescent="0.35">
      <c r="J7" s="404"/>
      <c r="K7" s="405"/>
      <c r="L7" s="405"/>
      <c r="M7" s="405"/>
      <c r="N7" s="405"/>
      <c r="O7" s="405"/>
      <c r="P7" s="405"/>
      <c r="Q7" s="406"/>
    </row>
    <row r="8" spans="1:19" ht="15" thickBot="1" x14ac:dyDescent="0.4">
      <c r="J8" s="407"/>
      <c r="K8" s="408"/>
      <c r="L8" s="408"/>
      <c r="M8" s="408"/>
      <c r="N8" s="408"/>
      <c r="O8" s="408"/>
      <c r="P8" s="408"/>
      <c r="Q8" s="409"/>
    </row>
    <row r="9" spans="1:19" ht="15" thickBot="1" x14ac:dyDescent="0.4">
      <c r="J9" s="3" t="s">
        <v>12</v>
      </c>
    </row>
    <row r="10" spans="1:19" x14ac:dyDescent="0.35">
      <c r="J10" s="401"/>
      <c r="K10" s="402"/>
      <c r="L10" s="402"/>
      <c r="M10" s="402"/>
      <c r="N10" s="402"/>
      <c r="O10" s="402"/>
      <c r="P10" s="402"/>
      <c r="Q10" s="403"/>
    </row>
    <row r="11" spans="1:19" x14ac:dyDescent="0.35">
      <c r="J11" s="404"/>
      <c r="K11" s="405"/>
      <c r="L11" s="405"/>
      <c r="M11" s="405"/>
      <c r="N11" s="405"/>
      <c r="O11" s="405"/>
      <c r="P11" s="405"/>
      <c r="Q11" s="406"/>
    </row>
    <row r="12" spans="1:19" x14ac:dyDescent="0.35">
      <c r="J12" s="404"/>
      <c r="K12" s="405"/>
      <c r="L12" s="405"/>
      <c r="M12" s="405"/>
      <c r="N12" s="405"/>
      <c r="O12" s="405"/>
      <c r="P12" s="405"/>
      <c r="Q12" s="406"/>
    </row>
    <row r="13" spans="1:19" x14ac:dyDescent="0.35">
      <c r="J13" s="404"/>
      <c r="K13" s="405"/>
      <c r="L13" s="405"/>
      <c r="M13" s="405"/>
      <c r="N13" s="405"/>
      <c r="O13" s="405"/>
      <c r="P13" s="405"/>
      <c r="Q13" s="406"/>
    </row>
    <row r="14" spans="1:19" x14ac:dyDescent="0.35">
      <c r="J14" s="404"/>
      <c r="K14" s="405"/>
      <c r="L14" s="405"/>
      <c r="M14" s="405"/>
      <c r="N14" s="405"/>
      <c r="O14" s="405"/>
      <c r="P14" s="405"/>
      <c r="Q14" s="406"/>
    </row>
    <row r="15" spans="1:19" ht="15" thickBot="1" x14ac:dyDescent="0.4">
      <c r="J15" s="407"/>
      <c r="K15" s="408"/>
      <c r="L15" s="408"/>
      <c r="M15" s="408"/>
      <c r="N15" s="408"/>
      <c r="O15" s="408"/>
      <c r="P15" s="408"/>
      <c r="Q15" s="409"/>
    </row>
    <row r="18" spans="3:17" x14ac:dyDescent="0.35">
      <c r="C18" s="7" t="s">
        <v>8</v>
      </c>
      <c r="E18" s="11">
        <f>'KPI 1'!E18</f>
        <v>45839</v>
      </c>
      <c r="F18" s="11">
        <f>'KPI 1'!F18</f>
        <v>45870</v>
      </c>
      <c r="G18" s="11">
        <f>'KPI 1'!G18</f>
        <v>45901</v>
      </c>
      <c r="H18" s="11">
        <f>'KPI 1'!H18</f>
        <v>45931</v>
      </c>
      <c r="I18" s="11">
        <f>'KPI 1'!I18</f>
        <v>45962</v>
      </c>
      <c r="J18" s="11">
        <f>'KPI 1'!J18</f>
        <v>45992</v>
      </c>
      <c r="K18" s="11">
        <f>'KPI 1'!K18</f>
        <v>46023</v>
      </c>
      <c r="L18" s="11">
        <f>'KPI 1'!L18</f>
        <v>46054</v>
      </c>
      <c r="M18" s="11">
        <f>'KPI 1'!M18</f>
        <v>46082</v>
      </c>
      <c r="N18" s="11">
        <f>'KPI 1'!N18</f>
        <v>46113</v>
      </c>
      <c r="O18" s="11">
        <f>'KPI 1'!O18</f>
        <v>46143</v>
      </c>
      <c r="P18" s="11">
        <f>'KPI 1'!P18</f>
        <v>46174</v>
      </c>
      <c r="Q18" s="8" t="s">
        <v>0</v>
      </c>
    </row>
    <row r="19" spans="3:17" x14ac:dyDescent="0.35">
      <c r="D19" s="3" t="str">
        <f>'KPI 1'!D19</f>
        <v>Budget 2025-26</v>
      </c>
      <c r="E19" s="5">
        <f>'budget 2025-26'!D49</f>
        <v>4034</v>
      </c>
      <c r="F19" s="5">
        <f>'budget 2025-26'!E49</f>
        <v>4104</v>
      </c>
      <c r="G19" s="5">
        <f>'budget 2025-26'!F49</f>
        <v>4181</v>
      </c>
      <c r="H19" s="5">
        <f>'budget 2025-26'!G49</f>
        <v>4333</v>
      </c>
      <c r="I19" s="5">
        <f>'budget 2025-26'!H49</f>
        <v>4475</v>
      </c>
      <c r="J19" s="5">
        <f>'budget 2025-26'!I49</f>
        <v>4612</v>
      </c>
      <c r="K19" s="5">
        <f>'budget 2025-26'!J49</f>
        <v>4739</v>
      </c>
      <c r="L19" s="5">
        <f>'budget 2025-26'!K49</f>
        <v>4866</v>
      </c>
      <c r="M19" s="5">
        <f>'budget 2025-26'!L49</f>
        <v>4978</v>
      </c>
      <c r="N19" s="5">
        <f>'budget 2025-26'!M49</f>
        <v>5075</v>
      </c>
      <c r="O19" s="5">
        <f>'budget 2025-26'!N49</f>
        <v>5172</v>
      </c>
      <c r="P19" s="5">
        <f>'budget 2025-26'!O49</f>
        <v>5267</v>
      </c>
      <c r="Q19" s="5">
        <f>SUM(E19:P19)</f>
        <v>55836</v>
      </c>
    </row>
    <row r="20" spans="3:17" x14ac:dyDescent="0.35">
      <c r="D20" s="3" t="str">
        <f>'KPI 1'!D20</f>
        <v>Actual 2025-26</v>
      </c>
      <c r="E20" s="5">
        <f>'Input Actual2025-26'!E51</f>
        <v>4077</v>
      </c>
      <c r="F20" s="5">
        <f>'Input Actual2025-26'!F51</f>
        <v>4175</v>
      </c>
      <c r="G20" s="5">
        <f>'Input Actual2025-26'!G51</f>
        <v>4240</v>
      </c>
      <c r="H20" s="5">
        <f>'Input Actual2025-26'!H51</f>
        <v>4329</v>
      </c>
      <c r="I20" s="5">
        <f>'Input Actual2025-26'!I51</f>
        <v>4387</v>
      </c>
      <c r="J20" s="5">
        <f>'Input Actual2025-26'!J51</f>
        <v>4463</v>
      </c>
      <c r="K20" s="5">
        <f>'Input Actual2025-26'!K51</f>
        <v>4537</v>
      </c>
      <c r="L20" s="5">
        <f>'Input Actual2025-26'!L51</f>
        <v>4587</v>
      </c>
      <c r="M20" s="5">
        <f>'Input Actual2025-26'!M51</f>
        <v>0</v>
      </c>
      <c r="N20" s="5">
        <f>'Input Actual2025-26'!N51</f>
        <v>0</v>
      </c>
      <c r="O20" s="5">
        <f>'Input Actual2025-26'!O51</f>
        <v>0</v>
      </c>
      <c r="P20" s="5">
        <f>'Input Actual2025-26'!P51</f>
        <v>0</v>
      </c>
      <c r="Q20" s="5">
        <f t="shared" ref="Q20:Q22" si="0">SUM(E20:P20)</f>
        <v>34795</v>
      </c>
    </row>
    <row r="21" spans="3:17" x14ac:dyDescent="0.35">
      <c r="D21" s="3" t="s">
        <v>424</v>
      </c>
      <c r="E21" s="5">
        <f>'Input Actual2024-25'!E49</f>
        <v>3492</v>
      </c>
      <c r="F21" s="5">
        <f>'Input Actual2024-25'!F49</f>
        <v>3523</v>
      </c>
      <c r="G21" s="5">
        <f>'Input Actual2024-25'!G49</f>
        <v>3537</v>
      </c>
      <c r="H21" s="5">
        <f>'Input Actual2024-25'!H49</f>
        <v>3540</v>
      </c>
      <c r="I21" s="5">
        <f>'Input Actual2024-25'!I49</f>
        <v>3555</v>
      </c>
      <c r="J21" s="5">
        <f>'Input Actual2024-25'!J49</f>
        <v>3608</v>
      </c>
      <c r="K21" s="5">
        <f>'Input Actual2024-25'!K49</f>
        <v>3713</v>
      </c>
      <c r="L21" s="5">
        <f>'Input Actual2024-25'!L49</f>
        <v>3749</v>
      </c>
      <c r="M21" s="5">
        <f>'Input Actual2024-25'!M49</f>
        <v>3785</v>
      </c>
      <c r="N21" s="5">
        <f>'Input Actual2024-25'!N49</f>
        <v>3879</v>
      </c>
      <c r="O21" s="5">
        <f>'Input Actual2024-25'!O49</f>
        <v>3917</v>
      </c>
      <c r="P21" s="5">
        <f>'Input Actual2024-25'!P49</f>
        <v>3964</v>
      </c>
      <c r="Q21" s="5">
        <f t="shared" si="0"/>
        <v>44262</v>
      </c>
    </row>
    <row r="22" spans="3:17" x14ac:dyDescent="0.35">
      <c r="D22" s="3" t="s">
        <v>7</v>
      </c>
      <c r="E22" s="5">
        <f t="shared" ref="E22:P22" si="1">IF(E20=0,0,E20-E19)</f>
        <v>43</v>
      </c>
      <c r="F22" s="5">
        <f t="shared" si="1"/>
        <v>71</v>
      </c>
      <c r="G22" s="5">
        <f t="shared" si="1"/>
        <v>59</v>
      </c>
      <c r="H22" s="5">
        <f t="shared" si="1"/>
        <v>-4</v>
      </c>
      <c r="I22" s="5">
        <f t="shared" si="1"/>
        <v>-88</v>
      </c>
      <c r="J22" s="5">
        <f t="shared" si="1"/>
        <v>-149</v>
      </c>
      <c r="K22" s="5">
        <f t="shared" si="1"/>
        <v>-202</v>
      </c>
      <c r="L22" s="5">
        <f t="shared" si="1"/>
        <v>-279</v>
      </c>
      <c r="M22" s="5">
        <f t="shared" si="1"/>
        <v>0</v>
      </c>
      <c r="N22" s="5">
        <f t="shared" si="1"/>
        <v>0</v>
      </c>
      <c r="O22" s="5">
        <f t="shared" si="1"/>
        <v>0</v>
      </c>
      <c r="P22" s="5">
        <f t="shared" si="1"/>
        <v>0</v>
      </c>
      <c r="Q22" s="5">
        <f t="shared" si="0"/>
        <v>-549</v>
      </c>
    </row>
    <row r="23" spans="3:17" x14ac:dyDescent="0.35">
      <c r="D23" s="3" t="s">
        <v>43</v>
      </c>
      <c r="E23" s="9">
        <f>E21/E19</f>
        <v>0.8656420426375806</v>
      </c>
      <c r="F23" s="9">
        <f t="shared" ref="F23:P23" si="2">F20/F19</f>
        <v>1.0173001949317739</v>
      </c>
      <c r="G23" s="9">
        <f t="shared" si="2"/>
        <v>1.0141114565893328</v>
      </c>
      <c r="H23" s="9">
        <f t="shared" si="2"/>
        <v>0.99907685206554353</v>
      </c>
      <c r="I23" s="9">
        <f t="shared" si="2"/>
        <v>0.98033519553072623</v>
      </c>
      <c r="J23" s="9">
        <f t="shared" si="2"/>
        <v>0.96769297484822203</v>
      </c>
      <c r="K23" s="9">
        <f t="shared" si="2"/>
        <v>0.95737497362312729</v>
      </c>
      <c r="L23" s="9">
        <f t="shared" si="2"/>
        <v>0.94266337854500615</v>
      </c>
      <c r="M23" s="9">
        <f t="shared" si="2"/>
        <v>0</v>
      </c>
      <c r="N23" s="9">
        <f t="shared" si="2"/>
        <v>0</v>
      </c>
      <c r="O23" s="9">
        <f t="shared" si="2"/>
        <v>0</v>
      </c>
      <c r="P23" s="9">
        <f t="shared" si="2"/>
        <v>0</v>
      </c>
    </row>
    <row r="25" spans="3:17" x14ac:dyDescent="0.35">
      <c r="C25" s="7" t="s">
        <v>3</v>
      </c>
      <c r="E25" s="11">
        <f>E18</f>
        <v>45839</v>
      </c>
      <c r="F25" s="11">
        <f t="shared" ref="F25:P28" si="3">F18</f>
        <v>45870</v>
      </c>
      <c r="G25" s="11">
        <f t="shared" si="3"/>
        <v>45901</v>
      </c>
      <c r="H25" s="11">
        <f t="shared" si="3"/>
        <v>45931</v>
      </c>
      <c r="I25" s="11">
        <f t="shared" si="3"/>
        <v>45962</v>
      </c>
      <c r="J25" s="11">
        <f t="shared" si="3"/>
        <v>45992</v>
      </c>
      <c r="K25" s="11">
        <f t="shared" si="3"/>
        <v>46023</v>
      </c>
      <c r="L25" s="11">
        <f t="shared" si="3"/>
        <v>46054</v>
      </c>
      <c r="M25" s="11">
        <f t="shared" si="3"/>
        <v>46082</v>
      </c>
      <c r="N25" s="11">
        <f t="shared" si="3"/>
        <v>46113</v>
      </c>
      <c r="O25" s="11">
        <f t="shared" si="3"/>
        <v>46143</v>
      </c>
      <c r="P25" s="11">
        <f t="shared" si="3"/>
        <v>46174</v>
      </c>
    </row>
    <row r="26" spans="3:17" x14ac:dyDescent="0.35">
      <c r="D26" s="3" t="str">
        <f>D19</f>
        <v>Budget 2025-26</v>
      </c>
      <c r="E26" s="5">
        <f>E19</f>
        <v>4034</v>
      </c>
      <c r="F26" s="5">
        <f t="shared" si="3"/>
        <v>4104</v>
      </c>
      <c r="G26" s="5">
        <f t="shared" si="3"/>
        <v>4181</v>
      </c>
      <c r="H26" s="5">
        <f t="shared" si="3"/>
        <v>4333</v>
      </c>
      <c r="I26" s="5">
        <f t="shared" si="3"/>
        <v>4475</v>
      </c>
      <c r="J26" s="5">
        <f t="shared" si="3"/>
        <v>4612</v>
      </c>
      <c r="K26" s="5">
        <f t="shared" si="3"/>
        <v>4739</v>
      </c>
      <c r="L26" s="5">
        <f t="shared" si="3"/>
        <v>4866</v>
      </c>
      <c r="M26" s="5">
        <f t="shared" si="3"/>
        <v>4978</v>
      </c>
      <c r="N26" s="5">
        <f t="shared" si="3"/>
        <v>5075</v>
      </c>
      <c r="O26" s="5">
        <f t="shared" si="3"/>
        <v>5172</v>
      </c>
      <c r="P26" s="5">
        <f t="shared" si="3"/>
        <v>5267</v>
      </c>
    </row>
    <row r="27" spans="3:17" x14ac:dyDescent="0.35">
      <c r="D27" s="3" t="str">
        <f t="shared" ref="D27:E30" si="4">D20</f>
        <v>Actual 2025-26</v>
      </c>
      <c r="E27" s="5">
        <f t="shared" si="4"/>
        <v>4077</v>
      </c>
      <c r="F27" s="5">
        <f t="shared" si="3"/>
        <v>4175</v>
      </c>
      <c r="G27" s="5">
        <f t="shared" si="3"/>
        <v>4240</v>
      </c>
      <c r="H27" s="5">
        <f t="shared" si="3"/>
        <v>4329</v>
      </c>
      <c r="I27" s="5">
        <f t="shared" si="3"/>
        <v>4387</v>
      </c>
      <c r="J27" s="5">
        <f t="shared" si="3"/>
        <v>4463</v>
      </c>
      <c r="K27" s="5">
        <f t="shared" si="3"/>
        <v>4537</v>
      </c>
      <c r="L27" s="5">
        <f t="shared" si="3"/>
        <v>4587</v>
      </c>
      <c r="M27" s="5">
        <f t="shared" si="3"/>
        <v>0</v>
      </c>
      <c r="N27" s="5">
        <f t="shared" si="3"/>
        <v>0</v>
      </c>
      <c r="O27" s="5">
        <f t="shared" si="3"/>
        <v>0</v>
      </c>
      <c r="P27" s="5">
        <f t="shared" si="3"/>
        <v>0</v>
      </c>
    </row>
    <row r="28" spans="3:17" x14ac:dyDescent="0.35">
      <c r="D28" s="3" t="str">
        <f t="shared" si="4"/>
        <v>Actual 2024-25</v>
      </c>
      <c r="E28" s="5">
        <f t="shared" si="4"/>
        <v>3492</v>
      </c>
      <c r="F28" s="5">
        <f t="shared" si="3"/>
        <v>3523</v>
      </c>
      <c r="G28" s="5">
        <f t="shared" si="3"/>
        <v>3537</v>
      </c>
      <c r="H28" s="5">
        <f t="shared" si="3"/>
        <v>3540</v>
      </c>
      <c r="I28" s="5">
        <f t="shared" si="3"/>
        <v>3555</v>
      </c>
      <c r="J28" s="5">
        <f t="shared" si="3"/>
        <v>3608</v>
      </c>
      <c r="K28" s="5">
        <f t="shared" si="3"/>
        <v>3713</v>
      </c>
      <c r="L28" s="5">
        <f t="shared" si="3"/>
        <v>3749</v>
      </c>
      <c r="M28" s="5">
        <f t="shared" si="3"/>
        <v>3785</v>
      </c>
      <c r="N28" s="5">
        <f t="shared" si="3"/>
        <v>3879</v>
      </c>
      <c r="O28" s="5">
        <f t="shared" si="3"/>
        <v>3917</v>
      </c>
      <c r="P28" s="5">
        <f t="shared" si="3"/>
        <v>3964</v>
      </c>
    </row>
    <row r="29" spans="3:17" x14ac:dyDescent="0.35">
      <c r="D29" s="3" t="str">
        <f t="shared" si="4"/>
        <v>Difference</v>
      </c>
      <c r="E29" s="5">
        <f>SUM($E22:E22)</f>
        <v>43</v>
      </c>
      <c r="F29" s="5">
        <f>SUM($E22:F22)</f>
        <v>114</v>
      </c>
      <c r="G29" s="5">
        <f>SUM($E22:G22)</f>
        <v>173</v>
      </c>
      <c r="H29" s="5">
        <f>SUM($E22:H22)</f>
        <v>169</v>
      </c>
      <c r="I29" s="5">
        <f>SUM($E22:I22)</f>
        <v>81</v>
      </c>
      <c r="J29" s="5">
        <f>SUM($E22:J22)</f>
        <v>-68</v>
      </c>
      <c r="K29" s="5">
        <f>SUM($E22:K22)</f>
        <v>-270</v>
      </c>
      <c r="L29" s="5">
        <f>SUM($E22:L22)</f>
        <v>-549</v>
      </c>
      <c r="M29" s="5">
        <f>SUM($E22:M22)</f>
        <v>-549</v>
      </c>
      <c r="N29" s="5">
        <f>SUM($E22:N22)</f>
        <v>-549</v>
      </c>
      <c r="O29" s="5">
        <f>SUM($E22:O22)</f>
        <v>-549</v>
      </c>
      <c r="P29" s="5">
        <f>SUM($E22:P22)</f>
        <v>-549</v>
      </c>
    </row>
    <row r="30" spans="3:17" x14ac:dyDescent="0.35">
      <c r="D30" s="3" t="str">
        <f t="shared" si="4"/>
        <v>Realisation</v>
      </c>
      <c r="E30" s="9">
        <f>E28/E26</f>
        <v>0.8656420426375806</v>
      </c>
      <c r="F30" s="9">
        <f t="shared" ref="F30:P30" si="5">F27/F26</f>
        <v>1.0173001949317739</v>
      </c>
      <c r="G30" s="9">
        <f t="shared" si="5"/>
        <v>1.0141114565893328</v>
      </c>
      <c r="H30" s="9">
        <f t="shared" si="5"/>
        <v>0.99907685206554353</v>
      </c>
      <c r="I30" s="9">
        <f t="shared" si="5"/>
        <v>0.98033519553072623</v>
      </c>
      <c r="J30" s="9">
        <f t="shared" si="5"/>
        <v>0.96769297484822203</v>
      </c>
      <c r="K30" s="9">
        <f t="shared" si="5"/>
        <v>0.95737497362312729</v>
      </c>
      <c r="L30" s="9">
        <f t="shared" si="5"/>
        <v>0.94266337854500615</v>
      </c>
      <c r="M30" s="9">
        <f t="shared" si="5"/>
        <v>0</v>
      </c>
      <c r="N30" s="9">
        <f t="shared" si="5"/>
        <v>0</v>
      </c>
      <c r="O30" s="9">
        <f t="shared" si="5"/>
        <v>0</v>
      </c>
      <c r="P30" s="9">
        <f t="shared" si="5"/>
        <v>0</v>
      </c>
    </row>
  </sheetData>
  <mergeCells count="2">
    <mergeCell ref="J4:Q8"/>
    <mergeCell ref="J10:Q15"/>
  </mergeCells>
  <conditionalFormatting sqref="C3">
    <cfRule type="expression" dxfId="431" priority="2">
      <formula>S4&lt;S6</formula>
    </cfRule>
  </conditionalFormatting>
  <conditionalFormatting sqref="C5">
    <cfRule type="expression" dxfId="430" priority="3">
      <formula>S4&gt;=S5</formula>
    </cfRule>
  </conditionalFormatting>
  <conditionalFormatting sqref="C4">
    <cfRule type="expression" dxfId="429" priority="1">
      <formula>AND(S4&gt;=S6,S4&lt;S5)</formula>
    </cfRule>
  </conditionalFormatting>
  <hyperlinks>
    <hyperlink ref="L1" location="Dashboard!A1" display="Dashboard"/>
  </hyperlinks>
  <pageMargins left="0.7" right="0.7" top="0.75" bottom="0.75" header="0.3" footer="0.3"/>
  <pageSetup orientation="portrait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975873" r:id="rId4" name="Spinner 1">
              <controlPr defaultSize="0" autoPict="0">
                <anchor moveWithCells="1" sizeWithCells="1">
                  <from>
                    <xdr:col>9</xdr:col>
                    <xdr:colOff>19050</xdr:colOff>
                    <xdr:row>0</xdr:row>
                    <xdr:rowOff>38100</xdr:rowOff>
                  </from>
                  <to>
                    <xdr:col>9</xdr:col>
                    <xdr:colOff>400050</xdr:colOff>
                    <xdr:row>1</xdr:row>
                    <xdr:rowOff>152400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5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41"/>
  <dimension ref="A1:S30"/>
  <sheetViews>
    <sheetView zoomScale="90" zoomScaleNormal="90" workbookViewId="0">
      <selection activeCell="L1" sqref="L1"/>
    </sheetView>
  </sheetViews>
  <sheetFormatPr defaultColWidth="9.1796875" defaultRowHeight="14.5" x14ac:dyDescent="0.35"/>
  <cols>
    <col min="1" max="1" width="9.1796875" style="3"/>
    <col min="2" max="2" width="5.1796875" style="3" customWidth="1"/>
    <col min="3" max="3" width="6.26953125" style="3" customWidth="1"/>
    <col min="4" max="4" width="21.26953125" style="3" bestFit="1" customWidth="1"/>
    <col min="5" max="16" width="11.1796875" style="3" customWidth="1"/>
    <col min="17" max="17" width="12" style="3" bestFit="1" customWidth="1"/>
    <col min="18" max="18" width="9.1796875" style="3" customWidth="1"/>
    <col min="19" max="16384" width="9.1796875" style="3"/>
  </cols>
  <sheetData>
    <row r="1" spans="1:19" ht="21" x14ac:dyDescent="0.5">
      <c r="A1" s="4" t="s">
        <v>4</v>
      </c>
      <c r="B1" s="4">
        <f>Dashboard!A57</f>
        <v>1</v>
      </c>
      <c r="C1" s="4" t="str">
        <f>Dashboard!B57</f>
        <v>CBD- SEWER</v>
      </c>
      <c r="G1" s="3" t="s">
        <v>9</v>
      </c>
      <c r="I1" s="12">
        <f>INDEX($E$18:$P$18,Actual_month)</f>
        <v>46054</v>
      </c>
      <c r="L1" s="16" t="s">
        <v>19</v>
      </c>
      <c r="R1" s="5"/>
    </row>
    <row r="2" spans="1:19" x14ac:dyDescent="0.35">
      <c r="A2" s="3" t="s">
        <v>13</v>
      </c>
      <c r="C2" s="3" t="s">
        <v>27</v>
      </c>
      <c r="R2" s="6"/>
    </row>
    <row r="3" spans="1:19" ht="25.5" customHeight="1" thickBot="1" x14ac:dyDescent="0.4">
      <c r="C3" s="1" t="s">
        <v>5</v>
      </c>
      <c r="E3" s="10"/>
      <c r="F3" s="10"/>
      <c r="G3" s="10"/>
      <c r="H3" s="10"/>
      <c r="I3" s="10"/>
      <c r="J3" s="3" t="s">
        <v>6</v>
      </c>
      <c r="K3" s="10"/>
      <c r="M3" s="10"/>
      <c r="N3" s="10"/>
      <c r="O3" s="10"/>
      <c r="P3" s="10"/>
    </row>
    <row r="4" spans="1:19" ht="25.5" customHeight="1" x14ac:dyDescent="0.35">
      <c r="C4" s="1" t="s">
        <v>5</v>
      </c>
      <c r="E4" s="10"/>
      <c r="F4" s="10"/>
      <c r="G4" s="10"/>
      <c r="H4" s="10"/>
      <c r="I4" s="10"/>
      <c r="J4" s="401"/>
      <c r="K4" s="402"/>
      <c r="L4" s="402"/>
      <c r="M4" s="402"/>
      <c r="N4" s="402"/>
      <c r="O4" s="402"/>
      <c r="P4" s="402"/>
      <c r="Q4" s="403"/>
      <c r="R4" s="3" t="s">
        <v>22</v>
      </c>
      <c r="S4" s="5">
        <f>INDEX(E27:P27,Actual_month)</f>
        <v>482</v>
      </c>
    </row>
    <row r="5" spans="1:19" ht="25.5" customHeight="1" x14ac:dyDescent="0.35">
      <c r="C5" s="1" t="s">
        <v>5</v>
      </c>
      <c r="E5" s="10"/>
      <c r="F5" s="10"/>
      <c r="G5" s="10"/>
      <c r="H5" s="10"/>
      <c r="I5" s="10"/>
      <c r="J5" s="404"/>
      <c r="K5" s="405"/>
      <c r="L5" s="405"/>
      <c r="M5" s="405"/>
      <c r="N5" s="405"/>
      <c r="O5" s="405"/>
      <c r="P5" s="405"/>
      <c r="Q5" s="406"/>
      <c r="R5" s="3" t="s">
        <v>23</v>
      </c>
      <c r="S5" s="5">
        <f>INDEX(E26:P26,Actual_month)</f>
        <v>488</v>
      </c>
    </row>
    <row r="6" spans="1:19" x14ac:dyDescent="0.35">
      <c r="J6" s="404"/>
      <c r="K6" s="405"/>
      <c r="L6" s="405"/>
      <c r="M6" s="405"/>
      <c r="N6" s="405"/>
      <c r="O6" s="405"/>
      <c r="P6" s="405"/>
      <c r="Q6" s="406"/>
      <c r="R6" s="6">
        <v>0.9</v>
      </c>
      <c r="S6" s="5">
        <f>+S5*R6</f>
        <v>439.2</v>
      </c>
    </row>
    <row r="7" spans="1:19" x14ac:dyDescent="0.35">
      <c r="J7" s="404"/>
      <c r="K7" s="405"/>
      <c r="L7" s="405"/>
      <c r="M7" s="405"/>
      <c r="N7" s="405"/>
      <c r="O7" s="405"/>
      <c r="P7" s="405"/>
      <c r="Q7" s="406"/>
    </row>
    <row r="8" spans="1:19" ht="15" thickBot="1" x14ac:dyDescent="0.4">
      <c r="J8" s="407"/>
      <c r="K8" s="408"/>
      <c r="L8" s="408"/>
      <c r="M8" s="408"/>
      <c r="N8" s="408"/>
      <c r="O8" s="408"/>
      <c r="P8" s="408"/>
      <c r="Q8" s="409"/>
    </row>
    <row r="9" spans="1:19" ht="15" thickBot="1" x14ac:dyDescent="0.4">
      <c r="J9" s="3" t="s">
        <v>12</v>
      </c>
    </row>
    <row r="10" spans="1:19" x14ac:dyDescent="0.35">
      <c r="J10" s="401"/>
      <c r="K10" s="402"/>
      <c r="L10" s="402"/>
      <c r="M10" s="402"/>
      <c r="N10" s="402"/>
      <c r="O10" s="402"/>
      <c r="P10" s="402"/>
      <c r="Q10" s="403"/>
    </row>
    <row r="11" spans="1:19" x14ac:dyDescent="0.35">
      <c r="J11" s="404"/>
      <c r="K11" s="405"/>
      <c r="L11" s="405"/>
      <c r="M11" s="405"/>
      <c r="N11" s="405"/>
      <c r="O11" s="405"/>
      <c r="P11" s="405"/>
      <c r="Q11" s="406"/>
    </row>
    <row r="12" spans="1:19" x14ac:dyDescent="0.35">
      <c r="J12" s="404"/>
      <c r="K12" s="405"/>
      <c r="L12" s="405"/>
      <c r="M12" s="405"/>
      <c r="N12" s="405"/>
      <c r="O12" s="405"/>
      <c r="P12" s="405"/>
      <c r="Q12" s="406"/>
    </row>
    <row r="13" spans="1:19" x14ac:dyDescent="0.35">
      <c r="J13" s="404"/>
      <c r="K13" s="405"/>
      <c r="L13" s="405"/>
      <c r="M13" s="405"/>
      <c r="N13" s="405"/>
      <c r="O13" s="405"/>
      <c r="P13" s="405"/>
      <c r="Q13" s="406"/>
    </row>
    <row r="14" spans="1:19" x14ac:dyDescent="0.35">
      <c r="J14" s="404"/>
      <c r="K14" s="405"/>
      <c r="L14" s="405"/>
      <c r="M14" s="405"/>
      <c r="N14" s="405"/>
      <c r="O14" s="405"/>
      <c r="P14" s="405"/>
      <c r="Q14" s="406"/>
    </row>
    <row r="15" spans="1:19" ht="15" thickBot="1" x14ac:dyDescent="0.4">
      <c r="J15" s="407"/>
      <c r="K15" s="408"/>
      <c r="L15" s="408"/>
      <c r="M15" s="408"/>
      <c r="N15" s="408"/>
      <c r="O15" s="408"/>
      <c r="P15" s="408"/>
      <c r="Q15" s="409"/>
    </row>
    <row r="18" spans="3:17" x14ac:dyDescent="0.35">
      <c r="C18" s="7" t="s">
        <v>8</v>
      </c>
      <c r="E18" s="11">
        <f>'KPI 1'!E18</f>
        <v>45839</v>
      </c>
      <c r="F18" s="11">
        <f>'KPI 1'!F18</f>
        <v>45870</v>
      </c>
      <c r="G18" s="11">
        <f>'KPI 1'!G18</f>
        <v>45901</v>
      </c>
      <c r="H18" s="11">
        <f>'KPI 1'!H18</f>
        <v>45931</v>
      </c>
      <c r="I18" s="11">
        <f>'KPI 1'!I18</f>
        <v>45962</v>
      </c>
      <c r="J18" s="11">
        <f>'KPI 1'!J18</f>
        <v>45992</v>
      </c>
      <c r="K18" s="11">
        <f>'KPI 1'!K18</f>
        <v>46023</v>
      </c>
      <c r="L18" s="11">
        <f>'KPI 1'!L18</f>
        <v>46054</v>
      </c>
      <c r="M18" s="11">
        <f>'KPI 1'!M18</f>
        <v>46082</v>
      </c>
      <c r="N18" s="11">
        <f>'KPI 1'!N18</f>
        <v>46113</v>
      </c>
      <c r="O18" s="11">
        <f>'KPI 1'!O18</f>
        <v>46143</v>
      </c>
      <c r="P18" s="11">
        <f>'KPI 1'!P18</f>
        <v>46174</v>
      </c>
      <c r="Q18" s="8" t="s">
        <v>0</v>
      </c>
    </row>
    <row r="19" spans="3:17" x14ac:dyDescent="0.35">
      <c r="D19" s="3" t="str">
        <f>'KPI 1'!D19</f>
        <v>Budget 2025-26</v>
      </c>
      <c r="E19" s="5">
        <f>'budget 2025-26'!D54</f>
        <v>481</v>
      </c>
      <c r="F19" s="5">
        <f>'budget 2025-26'!E54</f>
        <v>482</v>
      </c>
      <c r="G19" s="5">
        <f>'budget 2025-26'!F54</f>
        <v>483</v>
      </c>
      <c r="H19" s="5">
        <f>'budget 2025-26'!G54</f>
        <v>484</v>
      </c>
      <c r="I19" s="5">
        <f>'budget 2025-26'!H54</f>
        <v>485</v>
      </c>
      <c r="J19" s="5">
        <f>'budget 2025-26'!I54</f>
        <v>486</v>
      </c>
      <c r="K19" s="5">
        <f>'budget 2025-26'!J54</f>
        <v>487</v>
      </c>
      <c r="L19" s="5">
        <f>'budget 2025-26'!K54</f>
        <v>488</v>
      </c>
      <c r="M19" s="5">
        <f>'budget 2025-26'!L54</f>
        <v>489</v>
      </c>
      <c r="N19" s="5">
        <f>'budget 2025-26'!M54</f>
        <v>490</v>
      </c>
      <c r="O19" s="5">
        <f>'budget 2025-26'!N54</f>
        <v>491</v>
      </c>
      <c r="P19" s="5">
        <f>'budget 2025-26'!O54</f>
        <v>492</v>
      </c>
      <c r="Q19" s="5">
        <f>SUM(E19:P19)</f>
        <v>5838</v>
      </c>
    </row>
    <row r="20" spans="3:17" x14ac:dyDescent="0.35">
      <c r="D20" s="3" t="str">
        <f>'KPI 1'!D20</f>
        <v>Actual 2025-26</v>
      </c>
      <c r="E20" s="5">
        <f>'Input Actual2025-26'!E56</f>
        <v>480</v>
      </c>
      <c r="F20" s="5">
        <f>'Input Actual2025-26'!F56</f>
        <v>481</v>
      </c>
      <c r="G20" s="5">
        <f>'Input Actual2025-26'!G56</f>
        <v>482</v>
      </c>
      <c r="H20" s="5">
        <f>'Input Actual2025-26'!H56</f>
        <v>481</v>
      </c>
      <c r="I20" s="5">
        <f>'Input Actual2025-26'!I56</f>
        <v>481</v>
      </c>
      <c r="J20" s="5">
        <f>'Input Actual2025-26'!J56</f>
        <v>482</v>
      </c>
      <c r="K20" s="5">
        <f>'Input Actual2025-26'!K56</f>
        <v>482</v>
      </c>
      <c r="L20" s="5">
        <f>'Input Actual2025-26'!L56</f>
        <v>482</v>
      </c>
      <c r="M20" s="5">
        <f>'Input Actual2025-26'!M56</f>
        <v>0</v>
      </c>
      <c r="N20" s="5">
        <f>'Input Actual2025-26'!N56</f>
        <v>0</v>
      </c>
      <c r="O20" s="5">
        <f>'Input Actual2025-26'!O56</f>
        <v>0</v>
      </c>
      <c r="P20" s="5">
        <f>'Input Actual2025-26'!P56</f>
        <v>0</v>
      </c>
      <c r="Q20" s="5">
        <f t="shared" ref="Q20:Q22" si="0">SUM(E20:P20)</f>
        <v>3851</v>
      </c>
    </row>
    <row r="21" spans="3:17" x14ac:dyDescent="0.35">
      <c r="D21" s="3" t="s">
        <v>424</v>
      </c>
      <c r="E21" s="5">
        <f>'Input Actual2024-25'!E52</f>
        <v>476</v>
      </c>
      <c r="F21" s="5">
        <f>'Input Actual2024-25'!F52</f>
        <v>477</v>
      </c>
      <c r="G21" s="5">
        <f>'Input Actual2024-25'!G52</f>
        <v>477</v>
      </c>
      <c r="H21" s="5">
        <f>'Input Actual2024-25'!H52</f>
        <v>477</v>
      </c>
      <c r="I21" s="5">
        <f>'Input Actual2024-25'!I52</f>
        <v>477</v>
      </c>
      <c r="J21" s="5">
        <f>'Input Actual2024-25'!J52</f>
        <v>478</v>
      </c>
      <c r="K21" s="5">
        <f>'Input Actual2024-25'!K52</f>
        <v>478</v>
      </c>
      <c r="L21" s="5">
        <f>'Input Actual2024-25'!L52</f>
        <v>478</v>
      </c>
      <c r="M21" s="5">
        <f>'Input Actual2024-25'!M52</f>
        <v>479</v>
      </c>
      <c r="N21" s="5">
        <f>'Input Actual2024-25'!N52</f>
        <v>479</v>
      </c>
      <c r="O21" s="5">
        <f>'Input Actual2024-25'!O52</f>
        <v>480</v>
      </c>
      <c r="P21" s="5">
        <f>'Input Actual2024-25'!P52</f>
        <v>480</v>
      </c>
      <c r="Q21" s="5">
        <f t="shared" si="0"/>
        <v>5736</v>
      </c>
    </row>
    <row r="22" spans="3:17" x14ac:dyDescent="0.35">
      <c r="D22" s="3" t="s">
        <v>7</v>
      </c>
      <c r="E22" s="5">
        <f t="shared" ref="E22:P22" si="1">IF(E20=0,0,E20-E19)</f>
        <v>-1</v>
      </c>
      <c r="F22" s="5">
        <f t="shared" si="1"/>
        <v>-1</v>
      </c>
      <c r="G22" s="5">
        <f t="shared" si="1"/>
        <v>-1</v>
      </c>
      <c r="H22" s="5">
        <f t="shared" si="1"/>
        <v>-3</v>
      </c>
      <c r="I22" s="5">
        <f t="shared" si="1"/>
        <v>-4</v>
      </c>
      <c r="J22" s="5">
        <f t="shared" si="1"/>
        <v>-4</v>
      </c>
      <c r="K22" s="5">
        <f t="shared" si="1"/>
        <v>-5</v>
      </c>
      <c r="L22" s="5">
        <f t="shared" si="1"/>
        <v>-6</v>
      </c>
      <c r="M22" s="5">
        <f t="shared" si="1"/>
        <v>0</v>
      </c>
      <c r="N22" s="5">
        <f t="shared" si="1"/>
        <v>0</v>
      </c>
      <c r="O22" s="5">
        <f t="shared" si="1"/>
        <v>0</v>
      </c>
      <c r="P22" s="5">
        <f t="shared" si="1"/>
        <v>0</v>
      </c>
      <c r="Q22" s="5">
        <f t="shared" si="0"/>
        <v>-25</v>
      </c>
    </row>
    <row r="23" spans="3:17" x14ac:dyDescent="0.35">
      <c r="D23" s="3" t="s">
        <v>43</v>
      </c>
      <c r="E23" s="9">
        <f>E21/E19</f>
        <v>0.98960498960498966</v>
      </c>
      <c r="F23" s="9">
        <f t="shared" ref="F23:P23" si="2">F20/F19</f>
        <v>0.99792531120331951</v>
      </c>
      <c r="G23" s="9">
        <f t="shared" si="2"/>
        <v>0.99792960662525876</v>
      </c>
      <c r="H23" s="9">
        <f t="shared" si="2"/>
        <v>0.99380165289256195</v>
      </c>
      <c r="I23" s="9">
        <f t="shared" si="2"/>
        <v>0.99175257731958766</v>
      </c>
      <c r="J23" s="9">
        <f t="shared" si="2"/>
        <v>0.99176954732510292</v>
      </c>
      <c r="K23" s="9">
        <f t="shared" si="2"/>
        <v>0.98973305954825463</v>
      </c>
      <c r="L23" s="9">
        <f t="shared" si="2"/>
        <v>0.98770491803278693</v>
      </c>
      <c r="M23" s="9">
        <f t="shared" si="2"/>
        <v>0</v>
      </c>
      <c r="N23" s="9">
        <f t="shared" si="2"/>
        <v>0</v>
      </c>
      <c r="O23" s="9">
        <f t="shared" si="2"/>
        <v>0</v>
      </c>
      <c r="P23" s="9">
        <f t="shared" si="2"/>
        <v>0</v>
      </c>
    </row>
    <row r="25" spans="3:17" x14ac:dyDescent="0.35">
      <c r="C25" s="7" t="s">
        <v>3</v>
      </c>
      <c r="E25" s="11">
        <f>E18</f>
        <v>45839</v>
      </c>
      <c r="F25" s="11">
        <f t="shared" ref="F25:P28" si="3">F18</f>
        <v>45870</v>
      </c>
      <c r="G25" s="11">
        <f t="shared" si="3"/>
        <v>45901</v>
      </c>
      <c r="H25" s="11">
        <f t="shared" si="3"/>
        <v>45931</v>
      </c>
      <c r="I25" s="11">
        <f t="shared" si="3"/>
        <v>45962</v>
      </c>
      <c r="J25" s="11">
        <f t="shared" si="3"/>
        <v>45992</v>
      </c>
      <c r="K25" s="11">
        <f t="shared" si="3"/>
        <v>46023</v>
      </c>
      <c r="L25" s="11">
        <f t="shared" si="3"/>
        <v>46054</v>
      </c>
      <c r="M25" s="11">
        <f t="shared" si="3"/>
        <v>46082</v>
      </c>
      <c r="N25" s="11">
        <f t="shared" si="3"/>
        <v>46113</v>
      </c>
      <c r="O25" s="11">
        <f t="shared" si="3"/>
        <v>46143</v>
      </c>
      <c r="P25" s="11">
        <f t="shared" si="3"/>
        <v>46174</v>
      </c>
    </row>
    <row r="26" spans="3:17" x14ac:dyDescent="0.35">
      <c r="D26" s="3" t="str">
        <f>D19</f>
        <v>Budget 2025-26</v>
      </c>
      <c r="E26" s="5">
        <f>E19</f>
        <v>481</v>
      </c>
      <c r="F26" s="5">
        <f t="shared" si="3"/>
        <v>482</v>
      </c>
      <c r="G26" s="5">
        <f t="shared" si="3"/>
        <v>483</v>
      </c>
      <c r="H26" s="5">
        <f t="shared" si="3"/>
        <v>484</v>
      </c>
      <c r="I26" s="5">
        <f t="shared" si="3"/>
        <v>485</v>
      </c>
      <c r="J26" s="5">
        <f t="shared" si="3"/>
        <v>486</v>
      </c>
      <c r="K26" s="5">
        <f t="shared" si="3"/>
        <v>487</v>
      </c>
      <c r="L26" s="5">
        <f t="shared" si="3"/>
        <v>488</v>
      </c>
      <c r="M26" s="5">
        <f t="shared" si="3"/>
        <v>489</v>
      </c>
      <c r="N26" s="5">
        <f t="shared" si="3"/>
        <v>490</v>
      </c>
      <c r="O26" s="5">
        <f t="shared" si="3"/>
        <v>491</v>
      </c>
      <c r="P26" s="5">
        <f t="shared" si="3"/>
        <v>492</v>
      </c>
    </row>
    <row r="27" spans="3:17" x14ac:dyDescent="0.35">
      <c r="D27" s="3" t="str">
        <f t="shared" ref="D27:E30" si="4">D20</f>
        <v>Actual 2025-26</v>
      </c>
      <c r="E27" s="5">
        <f t="shared" si="4"/>
        <v>480</v>
      </c>
      <c r="F27" s="5">
        <f t="shared" si="3"/>
        <v>481</v>
      </c>
      <c r="G27" s="5">
        <f t="shared" si="3"/>
        <v>482</v>
      </c>
      <c r="H27" s="5">
        <f t="shared" si="3"/>
        <v>481</v>
      </c>
      <c r="I27" s="5">
        <f t="shared" si="3"/>
        <v>481</v>
      </c>
      <c r="J27" s="5">
        <f t="shared" si="3"/>
        <v>482</v>
      </c>
      <c r="K27" s="5">
        <f t="shared" si="3"/>
        <v>482</v>
      </c>
      <c r="L27" s="5">
        <f t="shared" si="3"/>
        <v>482</v>
      </c>
      <c r="M27" s="5">
        <f t="shared" si="3"/>
        <v>0</v>
      </c>
      <c r="N27" s="5">
        <f t="shared" si="3"/>
        <v>0</v>
      </c>
      <c r="O27" s="5">
        <f t="shared" si="3"/>
        <v>0</v>
      </c>
      <c r="P27" s="5">
        <f t="shared" si="3"/>
        <v>0</v>
      </c>
    </row>
    <row r="28" spans="3:17" x14ac:dyDescent="0.35">
      <c r="D28" s="3" t="str">
        <f t="shared" si="4"/>
        <v>Actual 2024-25</v>
      </c>
      <c r="E28" s="5">
        <f t="shared" si="4"/>
        <v>476</v>
      </c>
      <c r="F28" s="5">
        <f t="shared" si="3"/>
        <v>477</v>
      </c>
      <c r="G28" s="5">
        <f t="shared" si="3"/>
        <v>477</v>
      </c>
      <c r="H28" s="5">
        <f t="shared" si="3"/>
        <v>477</v>
      </c>
      <c r="I28" s="5">
        <f t="shared" si="3"/>
        <v>477</v>
      </c>
      <c r="J28" s="5">
        <f t="shared" si="3"/>
        <v>478</v>
      </c>
      <c r="K28" s="5">
        <f t="shared" si="3"/>
        <v>478</v>
      </c>
      <c r="L28" s="5">
        <f t="shared" si="3"/>
        <v>478</v>
      </c>
      <c r="M28" s="5">
        <f t="shared" si="3"/>
        <v>479</v>
      </c>
      <c r="N28" s="5">
        <f t="shared" si="3"/>
        <v>479</v>
      </c>
      <c r="O28" s="5">
        <f t="shared" si="3"/>
        <v>480</v>
      </c>
      <c r="P28" s="5">
        <f t="shared" si="3"/>
        <v>480</v>
      </c>
    </row>
    <row r="29" spans="3:17" x14ac:dyDescent="0.35">
      <c r="D29" s="3" t="str">
        <f t="shared" si="4"/>
        <v>Difference</v>
      </c>
      <c r="E29" s="5">
        <f>SUM($E22:E22)</f>
        <v>-1</v>
      </c>
      <c r="F29" s="5">
        <f>SUM($E22:F22)</f>
        <v>-2</v>
      </c>
      <c r="G29" s="5">
        <f>SUM($E22:G22)</f>
        <v>-3</v>
      </c>
      <c r="H29" s="5">
        <f>SUM($E22:H22)</f>
        <v>-6</v>
      </c>
      <c r="I29" s="5">
        <f>SUM($E22:I22)</f>
        <v>-10</v>
      </c>
      <c r="J29" s="5">
        <f>SUM($E22:J22)</f>
        <v>-14</v>
      </c>
      <c r="K29" s="5">
        <f>SUM($E22:K22)</f>
        <v>-19</v>
      </c>
      <c r="L29" s="5">
        <f>SUM($E22:L22)</f>
        <v>-25</v>
      </c>
      <c r="M29" s="5">
        <f>SUM($E22:M22)</f>
        <v>-25</v>
      </c>
      <c r="N29" s="5">
        <f>SUM($E22:N22)</f>
        <v>-25</v>
      </c>
      <c r="O29" s="5">
        <f>SUM($E22:O22)</f>
        <v>-25</v>
      </c>
      <c r="P29" s="5">
        <f>SUM($E22:P22)</f>
        <v>-25</v>
      </c>
    </row>
    <row r="30" spans="3:17" x14ac:dyDescent="0.35">
      <c r="D30" s="3" t="str">
        <f t="shared" si="4"/>
        <v>Realisation</v>
      </c>
      <c r="E30" s="9">
        <f>E28/E26</f>
        <v>0.98960498960498966</v>
      </c>
      <c r="F30" s="9">
        <f t="shared" ref="F30:P30" si="5">F27/F26</f>
        <v>0.99792531120331951</v>
      </c>
      <c r="G30" s="9">
        <f t="shared" si="5"/>
        <v>0.99792960662525876</v>
      </c>
      <c r="H30" s="9">
        <f t="shared" si="5"/>
        <v>0.99380165289256195</v>
      </c>
      <c r="I30" s="9">
        <f t="shared" si="5"/>
        <v>0.99175257731958766</v>
      </c>
      <c r="J30" s="9">
        <f t="shared" si="5"/>
        <v>0.99176954732510292</v>
      </c>
      <c r="K30" s="9">
        <f t="shared" si="5"/>
        <v>0.98973305954825463</v>
      </c>
      <c r="L30" s="9">
        <f t="shared" si="5"/>
        <v>0.98770491803278693</v>
      </c>
      <c r="M30" s="9">
        <f t="shared" si="5"/>
        <v>0</v>
      </c>
      <c r="N30" s="9">
        <f t="shared" si="5"/>
        <v>0</v>
      </c>
      <c r="O30" s="9">
        <f t="shared" si="5"/>
        <v>0</v>
      </c>
      <c r="P30" s="9">
        <f t="shared" si="5"/>
        <v>0</v>
      </c>
    </row>
  </sheetData>
  <mergeCells count="2">
    <mergeCell ref="J4:Q8"/>
    <mergeCell ref="J10:Q15"/>
  </mergeCells>
  <conditionalFormatting sqref="C3">
    <cfRule type="expression" dxfId="428" priority="2">
      <formula>S4&lt;S6</formula>
    </cfRule>
  </conditionalFormatting>
  <conditionalFormatting sqref="C5">
    <cfRule type="expression" dxfId="427" priority="3">
      <formula>S4&gt;=S5</formula>
    </cfRule>
  </conditionalFormatting>
  <conditionalFormatting sqref="C4">
    <cfRule type="expression" dxfId="426" priority="1">
      <formula>AND(S4&gt;=S6,S4&lt;S5)</formula>
    </cfRule>
  </conditionalFormatting>
  <hyperlinks>
    <hyperlink ref="L1" location="Dashboard!A1" display="Dashboard"/>
  </hyperlinks>
  <pageMargins left="0.7" right="0.7" top="0.75" bottom="0.75" header="0.3" footer="0.3"/>
  <pageSetup orientation="portrait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976897" r:id="rId4" name="Spinner 1">
              <controlPr defaultSize="0" autoPict="0">
                <anchor moveWithCells="1" sizeWithCells="1">
                  <from>
                    <xdr:col>9</xdr:col>
                    <xdr:colOff>19050</xdr:colOff>
                    <xdr:row>0</xdr:row>
                    <xdr:rowOff>38100</xdr:rowOff>
                  </from>
                  <to>
                    <xdr:col>9</xdr:col>
                    <xdr:colOff>400050</xdr:colOff>
                    <xdr:row>1</xdr:row>
                    <xdr:rowOff>152400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5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42">
    <tabColor rgb="FFFFC000"/>
  </sheetPr>
  <dimension ref="A1:S30"/>
  <sheetViews>
    <sheetView zoomScale="90" zoomScaleNormal="90" workbookViewId="0">
      <selection activeCell="L1" sqref="L1"/>
    </sheetView>
  </sheetViews>
  <sheetFormatPr defaultColWidth="9.1796875" defaultRowHeight="14.5" x14ac:dyDescent="0.35"/>
  <cols>
    <col min="1" max="1" width="9.1796875" style="3"/>
    <col min="2" max="2" width="5.1796875" style="3" customWidth="1"/>
    <col min="3" max="3" width="6.26953125" style="3" customWidth="1"/>
    <col min="4" max="4" width="21.26953125" style="3" bestFit="1" customWidth="1"/>
    <col min="5" max="16" width="11.1796875" style="3" customWidth="1"/>
    <col min="17" max="17" width="12" style="3" bestFit="1" customWidth="1"/>
    <col min="18" max="18" width="9.1796875" style="3" customWidth="1"/>
    <col min="19" max="16384" width="9.1796875" style="3"/>
  </cols>
  <sheetData>
    <row r="1" spans="1:19" ht="21" x14ac:dyDescent="0.5">
      <c r="A1" s="4" t="s">
        <v>4</v>
      </c>
      <c r="B1" s="4">
        <f>Dashboard!A58</f>
        <v>2</v>
      </c>
      <c r="C1" s="4" t="str">
        <f>Dashboard!B58</f>
        <v>CCCR-SEWER</v>
      </c>
      <c r="G1" s="3" t="s">
        <v>9</v>
      </c>
      <c r="I1" s="12">
        <f>INDEX($E$18:$P$18,Actual_month)</f>
        <v>46054</v>
      </c>
      <c r="L1" s="16" t="s">
        <v>19</v>
      </c>
      <c r="R1" s="5"/>
    </row>
    <row r="2" spans="1:19" x14ac:dyDescent="0.35">
      <c r="A2" s="3" t="s">
        <v>13</v>
      </c>
      <c r="C2" s="3" t="s">
        <v>27</v>
      </c>
      <c r="R2" s="6"/>
    </row>
    <row r="3" spans="1:19" ht="25.5" customHeight="1" thickBot="1" x14ac:dyDescent="0.4">
      <c r="C3" s="1" t="s">
        <v>5</v>
      </c>
      <c r="E3" s="10"/>
      <c r="F3" s="10"/>
      <c r="G3" s="10"/>
      <c r="H3" s="10"/>
      <c r="I3" s="10"/>
      <c r="J3" s="3" t="s">
        <v>6</v>
      </c>
      <c r="K3" s="10"/>
      <c r="M3" s="10"/>
      <c r="N3" s="10"/>
      <c r="O3" s="10"/>
      <c r="P3" s="10"/>
    </row>
    <row r="4" spans="1:19" ht="25.5" customHeight="1" x14ac:dyDescent="0.35">
      <c r="C4" s="1" t="s">
        <v>5</v>
      </c>
      <c r="E4" s="10"/>
      <c r="F4" s="10"/>
      <c r="G4" s="10"/>
      <c r="H4" s="10"/>
      <c r="I4" s="10"/>
      <c r="J4" s="401"/>
      <c r="K4" s="402"/>
      <c r="L4" s="402"/>
      <c r="M4" s="402"/>
      <c r="N4" s="402"/>
      <c r="O4" s="402"/>
      <c r="P4" s="402"/>
      <c r="Q4" s="403"/>
      <c r="R4" s="3" t="s">
        <v>22</v>
      </c>
      <c r="S4" s="5">
        <f>INDEX(E27:P27,Actual_month)</f>
        <v>456</v>
      </c>
    </row>
    <row r="5" spans="1:19" ht="25.5" customHeight="1" x14ac:dyDescent="0.35">
      <c r="C5" s="1" t="s">
        <v>5</v>
      </c>
      <c r="E5" s="10"/>
      <c r="F5" s="10"/>
      <c r="G5" s="10"/>
      <c r="H5" s="10"/>
      <c r="I5" s="10"/>
      <c r="J5" s="404"/>
      <c r="K5" s="405"/>
      <c r="L5" s="405"/>
      <c r="M5" s="405"/>
      <c r="N5" s="405"/>
      <c r="O5" s="405"/>
      <c r="P5" s="405"/>
      <c r="Q5" s="406"/>
      <c r="R5" s="3" t="s">
        <v>23</v>
      </c>
      <c r="S5" s="5">
        <f>INDEX(E26:P26,Actual_month)</f>
        <v>509</v>
      </c>
    </row>
    <row r="6" spans="1:19" x14ac:dyDescent="0.35">
      <c r="J6" s="404"/>
      <c r="K6" s="405"/>
      <c r="L6" s="405"/>
      <c r="M6" s="405"/>
      <c r="N6" s="405"/>
      <c r="O6" s="405"/>
      <c r="P6" s="405"/>
      <c r="Q6" s="406"/>
      <c r="R6" s="6">
        <v>0.9</v>
      </c>
      <c r="S6" s="5">
        <f>+S5*R6</f>
        <v>458.1</v>
      </c>
    </row>
    <row r="7" spans="1:19" x14ac:dyDescent="0.35">
      <c r="J7" s="404"/>
      <c r="K7" s="405"/>
      <c r="L7" s="405"/>
      <c r="M7" s="405"/>
      <c r="N7" s="405"/>
      <c r="O7" s="405"/>
      <c r="P7" s="405"/>
      <c r="Q7" s="406"/>
    </row>
    <row r="8" spans="1:19" ht="15" thickBot="1" x14ac:dyDescent="0.4">
      <c r="J8" s="407"/>
      <c r="K8" s="408"/>
      <c r="L8" s="408"/>
      <c r="M8" s="408"/>
      <c r="N8" s="408"/>
      <c r="O8" s="408"/>
      <c r="P8" s="408"/>
      <c r="Q8" s="409"/>
    </row>
    <row r="9" spans="1:19" ht="15" thickBot="1" x14ac:dyDescent="0.4">
      <c r="J9" s="3" t="s">
        <v>12</v>
      </c>
    </row>
    <row r="10" spans="1:19" x14ac:dyDescent="0.35">
      <c r="J10" s="401"/>
      <c r="K10" s="402"/>
      <c r="L10" s="402"/>
      <c r="M10" s="402"/>
      <c r="N10" s="402"/>
      <c r="O10" s="402"/>
      <c r="P10" s="402"/>
      <c r="Q10" s="403"/>
    </row>
    <row r="11" spans="1:19" x14ac:dyDescent="0.35">
      <c r="J11" s="404"/>
      <c r="K11" s="405"/>
      <c r="L11" s="405"/>
      <c r="M11" s="405"/>
      <c r="N11" s="405"/>
      <c r="O11" s="405"/>
      <c r="P11" s="405"/>
      <c r="Q11" s="406"/>
    </row>
    <row r="12" spans="1:19" x14ac:dyDescent="0.35">
      <c r="J12" s="404"/>
      <c r="K12" s="405"/>
      <c r="L12" s="405"/>
      <c r="M12" s="405"/>
      <c r="N12" s="405"/>
      <c r="O12" s="405"/>
      <c r="P12" s="405"/>
      <c r="Q12" s="406"/>
    </row>
    <row r="13" spans="1:19" x14ac:dyDescent="0.35">
      <c r="J13" s="404"/>
      <c r="K13" s="405"/>
      <c r="L13" s="405"/>
      <c r="M13" s="405"/>
      <c r="N13" s="405"/>
      <c r="O13" s="405"/>
      <c r="P13" s="405"/>
      <c r="Q13" s="406"/>
    </row>
    <row r="14" spans="1:19" x14ac:dyDescent="0.35">
      <c r="J14" s="404"/>
      <c r="K14" s="405"/>
      <c r="L14" s="405"/>
      <c r="M14" s="405"/>
      <c r="N14" s="405"/>
      <c r="O14" s="405"/>
      <c r="P14" s="405"/>
      <c r="Q14" s="406"/>
    </row>
    <row r="15" spans="1:19" ht="15" thickBot="1" x14ac:dyDescent="0.4">
      <c r="J15" s="407"/>
      <c r="K15" s="408"/>
      <c r="L15" s="408"/>
      <c r="M15" s="408"/>
      <c r="N15" s="408"/>
      <c r="O15" s="408"/>
      <c r="P15" s="408"/>
      <c r="Q15" s="409"/>
    </row>
    <row r="18" spans="3:17" x14ac:dyDescent="0.35">
      <c r="C18" s="7" t="s">
        <v>8</v>
      </c>
      <c r="E18" s="11">
        <f>'KPI 1'!E18</f>
        <v>45839</v>
      </c>
      <c r="F18" s="11">
        <f>'KPI 1'!F18</f>
        <v>45870</v>
      </c>
      <c r="G18" s="11">
        <f>'KPI 1'!G18</f>
        <v>45901</v>
      </c>
      <c r="H18" s="11">
        <f>'KPI 1'!H18</f>
        <v>45931</v>
      </c>
      <c r="I18" s="11">
        <f>'KPI 1'!I18</f>
        <v>45962</v>
      </c>
      <c r="J18" s="11">
        <f>'KPI 1'!J18</f>
        <v>45992</v>
      </c>
      <c r="K18" s="11">
        <f>'KPI 1'!K18</f>
        <v>46023</v>
      </c>
      <c r="L18" s="11">
        <f>'KPI 1'!L18</f>
        <v>46054</v>
      </c>
      <c r="M18" s="11">
        <f>'KPI 1'!M18</f>
        <v>46082</v>
      </c>
      <c r="N18" s="11">
        <f>'KPI 1'!N18</f>
        <v>46113</v>
      </c>
      <c r="O18" s="11">
        <f>'KPI 1'!O18</f>
        <v>46143</v>
      </c>
      <c r="P18" s="11">
        <f>'KPI 1'!P18</f>
        <v>46174</v>
      </c>
      <c r="Q18" s="8" t="s">
        <v>0</v>
      </c>
    </row>
    <row r="19" spans="3:17" x14ac:dyDescent="0.35">
      <c r="D19" s="3" t="str">
        <f>'KPI 1'!D19</f>
        <v>Budget 2025-26</v>
      </c>
      <c r="E19" s="5">
        <f>'budget 2025-26'!D55</f>
        <v>460</v>
      </c>
      <c r="F19" s="5">
        <f>'budget 2025-26'!E55</f>
        <v>467</v>
      </c>
      <c r="G19" s="5">
        <f>'budget 2025-26'!F55</f>
        <v>474</v>
      </c>
      <c r="H19" s="5">
        <f>'budget 2025-26'!G55</f>
        <v>481</v>
      </c>
      <c r="I19" s="5">
        <f>'budget 2025-26'!H55</f>
        <v>488</v>
      </c>
      <c r="J19" s="5">
        <f>'budget 2025-26'!I55</f>
        <v>495</v>
      </c>
      <c r="K19" s="5">
        <f>'budget 2025-26'!J55</f>
        <v>502</v>
      </c>
      <c r="L19" s="5">
        <f>'budget 2025-26'!K55</f>
        <v>509</v>
      </c>
      <c r="M19" s="5">
        <f>'budget 2025-26'!L55</f>
        <v>516</v>
      </c>
      <c r="N19" s="5">
        <f>'budget 2025-26'!M55</f>
        <v>523</v>
      </c>
      <c r="O19" s="5">
        <f>'budget 2025-26'!N55</f>
        <v>530</v>
      </c>
      <c r="P19" s="5">
        <f>'budget 2025-26'!O55</f>
        <v>537</v>
      </c>
      <c r="Q19" s="5">
        <f>SUM(E19:P19)</f>
        <v>5982</v>
      </c>
    </row>
    <row r="20" spans="3:17" x14ac:dyDescent="0.35">
      <c r="D20" s="3" t="str">
        <f>'KPI 1'!D20</f>
        <v>Actual 2025-26</v>
      </c>
      <c r="E20" s="5">
        <f>'Input Actual2025-26'!E57</f>
        <v>453</v>
      </c>
      <c r="F20" s="5">
        <f>'Input Actual2025-26'!F57</f>
        <v>456</v>
      </c>
      <c r="G20" s="5">
        <f>'Input Actual2025-26'!G57</f>
        <v>456</v>
      </c>
      <c r="H20" s="5">
        <f>'Input Actual2025-26'!H57</f>
        <v>456</v>
      </c>
      <c r="I20" s="5">
        <f>'Input Actual2025-26'!I57</f>
        <v>457</v>
      </c>
      <c r="J20" s="5">
        <f>'Input Actual2025-26'!J57</f>
        <v>457</v>
      </c>
      <c r="K20" s="5">
        <f>'Input Actual2025-26'!K57</f>
        <v>456</v>
      </c>
      <c r="L20" s="5">
        <f>'Input Actual2025-26'!L57</f>
        <v>456</v>
      </c>
      <c r="M20" s="5">
        <f>'Input Actual2025-26'!M57</f>
        <v>0</v>
      </c>
      <c r="N20" s="5">
        <f>'Input Actual2025-26'!N57</f>
        <v>0</v>
      </c>
      <c r="O20" s="5">
        <f>'Input Actual2025-26'!O57</f>
        <v>0</v>
      </c>
      <c r="P20" s="5">
        <f>'Input Actual2025-26'!P57</f>
        <v>0</v>
      </c>
      <c r="Q20" s="5">
        <f t="shared" ref="Q20:Q22" si="0">SUM(E20:P20)</f>
        <v>3647</v>
      </c>
    </row>
    <row r="21" spans="3:17" x14ac:dyDescent="0.35">
      <c r="D21" s="3" t="s">
        <v>424</v>
      </c>
      <c r="E21" s="5">
        <f>'Input Actual2024-25'!E53</f>
        <v>447</v>
      </c>
      <c r="F21" s="5">
        <f>'Input Actual2024-25'!F53</f>
        <v>449</v>
      </c>
      <c r="G21" s="5">
        <f>'Input Actual2024-25'!G53</f>
        <v>447</v>
      </c>
      <c r="H21" s="5">
        <f>'Input Actual2024-25'!H53</f>
        <v>447</v>
      </c>
      <c r="I21" s="5">
        <f>'Input Actual2024-25'!I53</f>
        <v>446</v>
      </c>
      <c r="J21" s="5">
        <f>'Input Actual2024-25'!J53</f>
        <v>446</v>
      </c>
      <c r="K21" s="5">
        <f>'Input Actual2024-25'!K53</f>
        <v>446</v>
      </c>
      <c r="L21" s="5">
        <f>'Input Actual2024-25'!L53</f>
        <v>451</v>
      </c>
      <c r="M21" s="5">
        <f>'Input Actual2024-25'!M53</f>
        <v>454</v>
      </c>
      <c r="N21" s="5">
        <f>'Input Actual2024-25'!N53</f>
        <v>454</v>
      </c>
      <c r="O21" s="5">
        <f>'Input Actual2024-25'!O53</f>
        <v>453</v>
      </c>
      <c r="P21" s="5">
        <f>'Input Actual2024-25'!P53</f>
        <v>453</v>
      </c>
      <c r="Q21" s="5">
        <f t="shared" si="0"/>
        <v>5393</v>
      </c>
    </row>
    <row r="22" spans="3:17" x14ac:dyDescent="0.35">
      <c r="D22" s="3" t="s">
        <v>7</v>
      </c>
      <c r="E22" s="5">
        <f t="shared" ref="E22:P22" si="1">IF(E20=0,0,E20-E19)</f>
        <v>-7</v>
      </c>
      <c r="F22" s="5">
        <f t="shared" si="1"/>
        <v>-11</v>
      </c>
      <c r="G22" s="5">
        <f t="shared" si="1"/>
        <v>-18</v>
      </c>
      <c r="H22" s="5">
        <f t="shared" si="1"/>
        <v>-25</v>
      </c>
      <c r="I22" s="5">
        <f t="shared" si="1"/>
        <v>-31</v>
      </c>
      <c r="J22" s="5">
        <f t="shared" si="1"/>
        <v>-38</v>
      </c>
      <c r="K22" s="5">
        <f t="shared" si="1"/>
        <v>-46</v>
      </c>
      <c r="L22" s="5">
        <f t="shared" si="1"/>
        <v>-53</v>
      </c>
      <c r="M22" s="5">
        <f t="shared" si="1"/>
        <v>0</v>
      </c>
      <c r="N22" s="5">
        <f t="shared" si="1"/>
        <v>0</v>
      </c>
      <c r="O22" s="5">
        <f t="shared" si="1"/>
        <v>0</v>
      </c>
      <c r="P22" s="5">
        <f t="shared" si="1"/>
        <v>0</v>
      </c>
      <c r="Q22" s="5">
        <f t="shared" si="0"/>
        <v>-229</v>
      </c>
    </row>
    <row r="23" spans="3:17" x14ac:dyDescent="0.35">
      <c r="D23" s="3" t="s">
        <v>43</v>
      </c>
      <c r="E23" s="9">
        <f>E21/E19</f>
        <v>0.97173913043478266</v>
      </c>
      <c r="F23" s="9">
        <f t="shared" ref="F23:P23" si="2">F20/F19</f>
        <v>0.97644539614561032</v>
      </c>
      <c r="G23" s="9">
        <f t="shared" si="2"/>
        <v>0.96202531645569622</v>
      </c>
      <c r="H23" s="9">
        <f t="shared" si="2"/>
        <v>0.94802494802494808</v>
      </c>
      <c r="I23" s="9">
        <f t="shared" si="2"/>
        <v>0.93647540983606559</v>
      </c>
      <c r="J23" s="9">
        <f t="shared" si="2"/>
        <v>0.92323232323232318</v>
      </c>
      <c r="K23" s="9">
        <f t="shared" si="2"/>
        <v>0.9083665338645418</v>
      </c>
      <c r="L23" s="9">
        <f t="shared" si="2"/>
        <v>0.89587426326129671</v>
      </c>
      <c r="M23" s="9">
        <f t="shared" si="2"/>
        <v>0</v>
      </c>
      <c r="N23" s="9">
        <f t="shared" si="2"/>
        <v>0</v>
      </c>
      <c r="O23" s="9">
        <f t="shared" si="2"/>
        <v>0</v>
      </c>
      <c r="P23" s="9">
        <f t="shared" si="2"/>
        <v>0</v>
      </c>
    </row>
    <row r="25" spans="3:17" x14ac:dyDescent="0.35">
      <c r="C25" s="7" t="s">
        <v>3</v>
      </c>
      <c r="E25" s="11">
        <f>E18</f>
        <v>45839</v>
      </c>
      <c r="F25" s="11">
        <f t="shared" ref="F25:P28" si="3">F18</f>
        <v>45870</v>
      </c>
      <c r="G25" s="11">
        <f t="shared" si="3"/>
        <v>45901</v>
      </c>
      <c r="H25" s="11">
        <f t="shared" si="3"/>
        <v>45931</v>
      </c>
      <c r="I25" s="11">
        <f t="shared" si="3"/>
        <v>45962</v>
      </c>
      <c r="J25" s="11">
        <f t="shared" si="3"/>
        <v>45992</v>
      </c>
      <c r="K25" s="11">
        <f t="shared" si="3"/>
        <v>46023</v>
      </c>
      <c r="L25" s="11">
        <f t="shared" si="3"/>
        <v>46054</v>
      </c>
      <c r="M25" s="11">
        <f t="shared" si="3"/>
        <v>46082</v>
      </c>
      <c r="N25" s="11">
        <f t="shared" si="3"/>
        <v>46113</v>
      </c>
      <c r="O25" s="11">
        <f t="shared" si="3"/>
        <v>46143</v>
      </c>
      <c r="P25" s="11">
        <f t="shared" si="3"/>
        <v>46174</v>
      </c>
    </row>
    <row r="26" spans="3:17" x14ac:dyDescent="0.35">
      <c r="D26" s="3" t="str">
        <f>D19</f>
        <v>Budget 2025-26</v>
      </c>
      <c r="E26" s="5">
        <f>E19</f>
        <v>460</v>
      </c>
      <c r="F26" s="5">
        <f t="shared" si="3"/>
        <v>467</v>
      </c>
      <c r="G26" s="5">
        <f t="shared" si="3"/>
        <v>474</v>
      </c>
      <c r="H26" s="5">
        <f t="shared" si="3"/>
        <v>481</v>
      </c>
      <c r="I26" s="5">
        <f t="shared" si="3"/>
        <v>488</v>
      </c>
      <c r="J26" s="5">
        <f t="shared" si="3"/>
        <v>495</v>
      </c>
      <c r="K26" s="5">
        <f t="shared" si="3"/>
        <v>502</v>
      </c>
      <c r="L26" s="5">
        <f t="shared" si="3"/>
        <v>509</v>
      </c>
      <c r="M26" s="5">
        <f t="shared" si="3"/>
        <v>516</v>
      </c>
      <c r="N26" s="5">
        <f t="shared" si="3"/>
        <v>523</v>
      </c>
      <c r="O26" s="5">
        <f t="shared" si="3"/>
        <v>530</v>
      </c>
      <c r="P26" s="5">
        <f t="shared" si="3"/>
        <v>537</v>
      </c>
    </row>
    <row r="27" spans="3:17" x14ac:dyDescent="0.35">
      <c r="D27" s="3" t="str">
        <f t="shared" ref="D27:E30" si="4">D20</f>
        <v>Actual 2025-26</v>
      </c>
      <c r="E27" s="5">
        <f t="shared" si="4"/>
        <v>453</v>
      </c>
      <c r="F27" s="5">
        <f t="shared" si="3"/>
        <v>456</v>
      </c>
      <c r="G27" s="5">
        <f t="shared" si="3"/>
        <v>456</v>
      </c>
      <c r="H27" s="5">
        <f t="shared" si="3"/>
        <v>456</v>
      </c>
      <c r="I27" s="5">
        <f t="shared" si="3"/>
        <v>457</v>
      </c>
      <c r="J27" s="5">
        <f t="shared" si="3"/>
        <v>457</v>
      </c>
      <c r="K27" s="5">
        <f t="shared" si="3"/>
        <v>456</v>
      </c>
      <c r="L27" s="5">
        <f t="shared" si="3"/>
        <v>456</v>
      </c>
      <c r="M27" s="5">
        <f t="shared" si="3"/>
        <v>0</v>
      </c>
      <c r="N27" s="5">
        <f t="shared" si="3"/>
        <v>0</v>
      </c>
      <c r="O27" s="5">
        <f t="shared" si="3"/>
        <v>0</v>
      </c>
      <c r="P27" s="5">
        <f t="shared" si="3"/>
        <v>0</v>
      </c>
    </row>
    <row r="28" spans="3:17" x14ac:dyDescent="0.35">
      <c r="D28" s="3" t="str">
        <f t="shared" si="4"/>
        <v>Actual 2024-25</v>
      </c>
      <c r="E28" s="5">
        <f t="shared" si="4"/>
        <v>447</v>
      </c>
      <c r="F28" s="5">
        <f t="shared" si="3"/>
        <v>449</v>
      </c>
      <c r="G28" s="5">
        <f t="shared" si="3"/>
        <v>447</v>
      </c>
      <c r="H28" s="5">
        <f t="shared" si="3"/>
        <v>447</v>
      </c>
      <c r="I28" s="5">
        <f t="shared" si="3"/>
        <v>446</v>
      </c>
      <c r="J28" s="5">
        <f t="shared" si="3"/>
        <v>446</v>
      </c>
      <c r="K28" s="5">
        <f t="shared" si="3"/>
        <v>446</v>
      </c>
      <c r="L28" s="5">
        <f t="shared" si="3"/>
        <v>451</v>
      </c>
      <c r="M28" s="5">
        <f t="shared" si="3"/>
        <v>454</v>
      </c>
      <c r="N28" s="5">
        <f t="shared" si="3"/>
        <v>454</v>
      </c>
      <c r="O28" s="5">
        <f t="shared" si="3"/>
        <v>453</v>
      </c>
      <c r="P28" s="5">
        <f t="shared" si="3"/>
        <v>453</v>
      </c>
    </row>
    <row r="29" spans="3:17" x14ac:dyDescent="0.35">
      <c r="D29" s="3" t="str">
        <f t="shared" si="4"/>
        <v>Difference</v>
      </c>
      <c r="E29" s="5">
        <f>SUM($E22:E22)</f>
        <v>-7</v>
      </c>
      <c r="F29" s="5">
        <f>SUM($E22:F22)</f>
        <v>-18</v>
      </c>
      <c r="G29" s="5">
        <f>SUM($E22:G22)</f>
        <v>-36</v>
      </c>
      <c r="H29" s="5">
        <f>SUM($E22:H22)</f>
        <v>-61</v>
      </c>
      <c r="I29" s="5">
        <f>SUM($E22:I22)</f>
        <v>-92</v>
      </c>
      <c r="J29" s="5">
        <f>SUM($E22:J22)</f>
        <v>-130</v>
      </c>
      <c r="K29" s="5">
        <f>SUM($E22:K22)</f>
        <v>-176</v>
      </c>
      <c r="L29" s="5">
        <f>SUM($E22:L22)</f>
        <v>-229</v>
      </c>
      <c r="M29" s="5">
        <f>SUM($E22:M22)</f>
        <v>-229</v>
      </c>
      <c r="N29" s="5">
        <f>SUM($E22:N22)</f>
        <v>-229</v>
      </c>
      <c r="O29" s="5">
        <f>SUM($E22:O22)</f>
        <v>-229</v>
      </c>
      <c r="P29" s="5">
        <f>SUM($E22:P22)</f>
        <v>-229</v>
      </c>
    </row>
    <row r="30" spans="3:17" x14ac:dyDescent="0.35">
      <c r="D30" s="3" t="str">
        <f t="shared" si="4"/>
        <v>Realisation</v>
      </c>
      <c r="E30" s="9">
        <f>E28/E26</f>
        <v>0.97173913043478266</v>
      </c>
      <c r="F30" s="9">
        <f t="shared" ref="F30:P30" si="5">F27/F26</f>
        <v>0.97644539614561032</v>
      </c>
      <c r="G30" s="9">
        <f t="shared" si="5"/>
        <v>0.96202531645569622</v>
      </c>
      <c r="H30" s="9">
        <f t="shared" si="5"/>
        <v>0.94802494802494808</v>
      </c>
      <c r="I30" s="9">
        <f t="shared" si="5"/>
        <v>0.93647540983606559</v>
      </c>
      <c r="J30" s="9">
        <f t="shared" si="5"/>
        <v>0.92323232323232318</v>
      </c>
      <c r="K30" s="9">
        <f t="shared" si="5"/>
        <v>0.9083665338645418</v>
      </c>
      <c r="L30" s="9">
        <f t="shared" si="5"/>
        <v>0.89587426326129671</v>
      </c>
      <c r="M30" s="9">
        <f t="shared" si="5"/>
        <v>0</v>
      </c>
      <c r="N30" s="9">
        <f t="shared" si="5"/>
        <v>0</v>
      </c>
      <c r="O30" s="9">
        <f t="shared" si="5"/>
        <v>0</v>
      </c>
      <c r="P30" s="9">
        <f t="shared" si="5"/>
        <v>0</v>
      </c>
    </row>
  </sheetData>
  <mergeCells count="2">
    <mergeCell ref="J4:Q8"/>
    <mergeCell ref="J10:Q15"/>
  </mergeCells>
  <conditionalFormatting sqref="C3">
    <cfRule type="expression" dxfId="425" priority="2">
      <formula>S4&lt;S6</formula>
    </cfRule>
  </conditionalFormatting>
  <conditionalFormatting sqref="C5">
    <cfRule type="expression" dxfId="424" priority="3">
      <formula>S4&gt;=S5</formula>
    </cfRule>
  </conditionalFormatting>
  <conditionalFormatting sqref="C4">
    <cfRule type="expression" dxfId="423" priority="1">
      <formula>AND(S4&gt;=S6,S4&lt;S5)</formula>
    </cfRule>
  </conditionalFormatting>
  <hyperlinks>
    <hyperlink ref="L1" location="Dashboard!A1" display="Dashboard"/>
  </hyperlinks>
  <pageMargins left="0.7" right="0.7" top="0.75" bottom="0.75" header="0.3" footer="0.3"/>
  <pageSetup orientation="portrait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977921" r:id="rId4" name="Spinner 1">
              <controlPr defaultSize="0" autoPict="0">
                <anchor moveWithCells="1" sizeWithCells="1">
                  <from>
                    <xdr:col>9</xdr:col>
                    <xdr:colOff>19050</xdr:colOff>
                    <xdr:row>0</xdr:row>
                    <xdr:rowOff>38100</xdr:rowOff>
                  </from>
                  <to>
                    <xdr:col>9</xdr:col>
                    <xdr:colOff>400050</xdr:colOff>
                    <xdr:row>1</xdr:row>
                    <xdr:rowOff>152400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5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43">
    <tabColor rgb="FFFFC000"/>
  </sheetPr>
  <dimension ref="A1:S30"/>
  <sheetViews>
    <sheetView zoomScale="90" zoomScaleNormal="90" workbookViewId="0">
      <selection activeCell="L1" sqref="L1"/>
    </sheetView>
  </sheetViews>
  <sheetFormatPr defaultColWidth="9.1796875" defaultRowHeight="14.5" x14ac:dyDescent="0.35"/>
  <cols>
    <col min="1" max="1" width="9.1796875" style="3"/>
    <col min="2" max="2" width="5.1796875" style="3" customWidth="1"/>
    <col min="3" max="3" width="6.26953125" style="3" customWidth="1"/>
    <col min="4" max="4" width="21.26953125" style="3" bestFit="1" customWidth="1"/>
    <col min="5" max="16" width="11.1796875" style="3" customWidth="1"/>
    <col min="17" max="17" width="12" style="3" bestFit="1" customWidth="1"/>
    <col min="18" max="18" width="9.1796875" style="3" customWidth="1"/>
    <col min="19" max="16384" width="9.1796875" style="3"/>
  </cols>
  <sheetData>
    <row r="1" spans="1:19" ht="21" x14ac:dyDescent="0.5">
      <c r="A1" s="4" t="s">
        <v>4</v>
      </c>
      <c r="B1" s="4">
        <f>Dashboard!A59</f>
        <v>3</v>
      </c>
      <c r="C1" s="4" t="str">
        <f>Dashboard!B59</f>
        <v>KABATI-SEWER</v>
      </c>
      <c r="G1" s="3" t="s">
        <v>9</v>
      </c>
      <c r="I1" s="12">
        <f>INDEX($E$18:$P$18,Actual_month)</f>
        <v>46054</v>
      </c>
      <c r="L1" s="16" t="s">
        <v>19</v>
      </c>
      <c r="R1" s="5"/>
    </row>
    <row r="2" spans="1:19" x14ac:dyDescent="0.35">
      <c r="A2" s="3" t="s">
        <v>13</v>
      </c>
      <c r="C2" s="3" t="s">
        <v>27</v>
      </c>
      <c r="R2" s="6"/>
    </row>
    <row r="3" spans="1:19" ht="25.5" customHeight="1" thickBot="1" x14ac:dyDescent="0.4">
      <c r="C3" s="1" t="s">
        <v>5</v>
      </c>
      <c r="E3" s="10"/>
      <c r="F3" s="10"/>
      <c r="G3" s="10"/>
      <c r="H3" s="10"/>
      <c r="I3" s="10"/>
      <c r="J3" s="3" t="s">
        <v>6</v>
      </c>
      <c r="K3" s="10"/>
      <c r="M3" s="10"/>
      <c r="N3" s="10"/>
      <c r="O3" s="10"/>
      <c r="P3" s="10"/>
    </row>
    <row r="4" spans="1:19" ht="25.5" customHeight="1" x14ac:dyDescent="0.35">
      <c r="C4" s="1" t="s">
        <v>5</v>
      </c>
      <c r="E4" s="10"/>
      <c r="F4" s="10"/>
      <c r="G4" s="10"/>
      <c r="H4" s="10"/>
      <c r="I4" s="10"/>
      <c r="J4" s="401"/>
      <c r="K4" s="402"/>
      <c r="L4" s="402"/>
      <c r="M4" s="402"/>
      <c r="N4" s="402"/>
      <c r="O4" s="402"/>
      <c r="P4" s="402"/>
      <c r="Q4" s="403"/>
      <c r="R4" s="3" t="s">
        <v>22</v>
      </c>
      <c r="S4" s="5">
        <f>INDEX(E27:P27,Actual_month)</f>
        <v>384</v>
      </c>
    </row>
    <row r="5" spans="1:19" ht="25.5" customHeight="1" x14ac:dyDescent="0.35">
      <c r="C5" s="1" t="s">
        <v>5</v>
      </c>
      <c r="E5" s="10"/>
      <c r="F5" s="10"/>
      <c r="G5" s="10"/>
      <c r="H5" s="10"/>
      <c r="I5" s="10"/>
      <c r="J5" s="404"/>
      <c r="K5" s="405"/>
      <c r="L5" s="405"/>
      <c r="M5" s="405"/>
      <c r="N5" s="405"/>
      <c r="O5" s="405"/>
      <c r="P5" s="405"/>
      <c r="Q5" s="406"/>
      <c r="R5" s="3" t="s">
        <v>23</v>
      </c>
      <c r="S5" s="5">
        <f>INDEX(E26:P26,Actual_month)</f>
        <v>407</v>
      </c>
    </row>
    <row r="6" spans="1:19" x14ac:dyDescent="0.35">
      <c r="J6" s="404"/>
      <c r="K6" s="405"/>
      <c r="L6" s="405"/>
      <c r="M6" s="405"/>
      <c r="N6" s="405"/>
      <c r="O6" s="405"/>
      <c r="P6" s="405"/>
      <c r="Q6" s="406"/>
      <c r="R6" s="6">
        <v>0.9</v>
      </c>
      <c r="S6" s="5">
        <f>+S5*R6</f>
        <v>366.3</v>
      </c>
    </row>
    <row r="7" spans="1:19" x14ac:dyDescent="0.35">
      <c r="J7" s="404"/>
      <c r="K7" s="405"/>
      <c r="L7" s="405"/>
      <c r="M7" s="405"/>
      <c r="N7" s="405"/>
      <c r="O7" s="405"/>
      <c r="P7" s="405"/>
      <c r="Q7" s="406"/>
    </row>
    <row r="8" spans="1:19" ht="15" thickBot="1" x14ac:dyDescent="0.4">
      <c r="J8" s="407"/>
      <c r="K8" s="408"/>
      <c r="L8" s="408"/>
      <c r="M8" s="408"/>
      <c r="N8" s="408"/>
      <c r="O8" s="408"/>
      <c r="P8" s="408"/>
      <c r="Q8" s="409"/>
    </row>
    <row r="9" spans="1:19" ht="15" thickBot="1" x14ac:dyDescent="0.4">
      <c r="J9" s="3" t="s">
        <v>12</v>
      </c>
    </row>
    <row r="10" spans="1:19" x14ac:dyDescent="0.35">
      <c r="J10" s="401"/>
      <c r="K10" s="402"/>
      <c r="L10" s="402"/>
      <c r="M10" s="402"/>
      <c r="N10" s="402"/>
      <c r="O10" s="402"/>
      <c r="P10" s="402"/>
      <c r="Q10" s="403"/>
    </row>
    <row r="11" spans="1:19" x14ac:dyDescent="0.35">
      <c r="J11" s="404"/>
      <c r="K11" s="405"/>
      <c r="L11" s="405"/>
      <c r="M11" s="405"/>
      <c r="N11" s="405"/>
      <c r="O11" s="405"/>
      <c r="P11" s="405"/>
      <c r="Q11" s="406"/>
    </row>
    <row r="12" spans="1:19" x14ac:dyDescent="0.35">
      <c r="J12" s="404"/>
      <c r="K12" s="405"/>
      <c r="L12" s="405"/>
      <c r="M12" s="405"/>
      <c r="N12" s="405"/>
      <c r="O12" s="405"/>
      <c r="P12" s="405"/>
      <c r="Q12" s="406"/>
    </row>
    <row r="13" spans="1:19" x14ac:dyDescent="0.35">
      <c r="J13" s="404"/>
      <c r="K13" s="405"/>
      <c r="L13" s="405"/>
      <c r="M13" s="405"/>
      <c r="N13" s="405"/>
      <c r="O13" s="405"/>
      <c r="P13" s="405"/>
      <c r="Q13" s="406"/>
    </row>
    <row r="14" spans="1:19" x14ac:dyDescent="0.35">
      <c r="J14" s="404"/>
      <c r="K14" s="405"/>
      <c r="L14" s="405"/>
      <c r="M14" s="405"/>
      <c r="N14" s="405"/>
      <c r="O14" s="405"/>
      <c r="P14" s="405"/>
      <c r="Q14" s="406"/>
    </row>
    <row r="15" spans="1:19" ht="15" thickBot="1" x14ac:dyDescent="0.4">
      <c r="J15" s="407"/>
      <c r="K15" s="408"/>
      <c r="L15" s="408"/>
      <c r="M15" s="408"/>
      <c r="N15" s="408"/>
      <c r="O15" s="408"/>
      <c r="P15" s="408"/>
      <c r="Q15" s="409"/>
    </row>
    <row r="18" spans="3:17" x14ac:dyDescent="0.35">
      <c r="C18" s="7" t="s">
        <v>8</v>
      </c>
      <c r="E18" s="11">
        <f>'KPI 1'!E18</f>
        <v>45839</v>
      </c>
      <c r="F18" s="11">
        <f>'KPI 1'!F18</f>
        <v>45870</v>
      </c>
      <c r="G18" s="11">
        <f>'KPI 1'!G18</f>
        <v>45901</v>
      </c>
      <c r="H18" s="11">
        <f>'KPI 1'!H18</f>
        <v>45931</v>
      </c>
      <c r="I18" s="11">
        <f>'KPI 1'!I18</f>
        <v>45962</v>
      </c>
      <c r="J18" s="11">
        <f>'KPI 1'!J18</f>
        <v>45992</v>
      </c>
      <c r="K18" s="11">
        <f>'KPI 1'!K18</f>
        <v>46023</v>
      </c>
      <c r="L18" s="11">
        <f>'KPI 1'!L18</f>
        <v>46054</v>
      </c>
      <c r="M18" s="11">
        <f>'KPI 1'!M18</f>
        <v>46082</v>
      </c>
      <c r="N18" s="11">
        <f>'KPI 1'!N18</f>
        <v>46113</v>
      </c>
      <c r="O18" s="11">
        <f>'KPI 1'!O18</f>
        <v>46143</v>
      </c>
      <c r="P18" s="11">
        <f>'KPI 1'!P18</f>
        <v>46174</v>
      </c>
      <c r="Q18" s="8" t="s">
        <v>0</v>
      </c>
    </row>
    <row r="19" spans="3:17" x14ac:dyDescent="0.35">
      <c r="D19" s="3" t="str">
        <f>'KPI 1'!D19</f>
        <v>Budget 2025-26</v>
      </c>
      <c r="E19" s="5">
        <f>'budget 2025-26'!D56</f>
        <v>386</v>
      </c>
      <c r="F19" s="5">
        <f>'budget 2025-26'!E56</f>
        <v>389</v>
      </c>
      <c r="G19" s="5">
        <f>'budget 2025-26'!F56</f>
        <v>392</v>
      </c>
      <c r="H19" s="5">
        <f>'budget 2025-26'!G56</f>
        <v>395</v>
      </c>
      <c r="I19" s="5">
        <f>'budget 2025-26'!H56</f>
        <v>398</v>
      </c>
      <c r="J19" s="5">
        <f>'budget 2025-26'!I56</f>
        <v>401</v>
      </c>
      <c r="K19" s="5">
        <f>'budget 2025-26'!J56</f>
        <v>404</v>
      </c>
      <c r="L19" s="5">
        <f>'budget 2025-26'!K56</f>
        <v>407</v>
      </c>
      <c r="M19" s="5">
        <f>'budget 2025-26'!L56</f>
        <v>410</v>
      </c>
      <c r="N19" s="5">
        <f>'budget 2025-26'!M56</f>
        <v>413</v>
      </c>
      <c r="O19" s="5">
        <f>'budget 2025-26'!N56</f>
        <v>416</v>
      </c>
      <c r="P19" s="5">
        <f>'budget 2025-26'!O56</f>
        <v>419</v>
      </c>
      <c r="Q19" s="5">
        <f>SUM(E19:P19)</f>
        <v>4830</v>
      </c>
    </row>
    <row r="20" spans="3:17" x14ac:dyDescent="0.35">
      <c r="D20" s="3" t="str">
        <f>'KPI 1'!D20</f>
        <v>Actual 2025-26</v>
      </c>
      <c r="E20" s="5">
        <f>'Input Actual2025-26'!E58</f>
        <v>382</v>
      </c>
      <c r="F20" s="5">
        <f>'Input Actual2025-26'!F58</f>
        <v>384</v>
      </c>
      <c r="G20" s="5">
        <f>'Input Actual2025-26'!G58</f>
        <v>383</v>
      </c>
      <c r="H20" s="5">
        <f>'Input Actual2025-26'!H58</f>
        <v>383</v>
      </c>
      <c r="I20" s="5">
        <f>'Input Actual2025-26'!I58</f>
        <v>382</v>
      </c>
      <c r="J20" s="5">
        <f>'Input Actual2025-26'!J58</f>
        <v>382</v>
      </c>
      <c r="K20" s="5">
        <f>'Input Actual2025-26'!K58</f>
        <v>384</v>
      </c>
      <c r="L20" s="5">
        <f>'Input Actual2025-26'!L58</f>
        <v>384</v>
      </c>
      <c r="M20" s="5">
        <f>'Input Actual2025-26'!M58</f>
        <v>0</v>
      </c>
      <c r="N20" s="5">
        <f>'Input Actual2025-26'!N58</f>
        <v>0</v>
      </c>
      <c r="O20" s="5">
        <f>'Input Actual2025-26'!O58</f>
        <v>0</v>
      </c>
      <c r="P20" s="5">
        <f>'Input Actual2025-26'!P58</f>
        <v>0</v>
      </c>
      <c r="Q20" s="5">
        <f t="shared" ref="Q20:Q22" si="0">SUM(E20:P20)</f>
        <v>3064</v>
      </c>
    </row>
    <row r="21" spans="3:17" x14ac:dyDescent="0.35">
      <c r="D21" s="3" t="s">
        <v>424</v>
      </c>
      <c r="E21" s="5">
        <f>'Input Actual2024-25'!E54</f>
        <v>362</v>
      </c>
      <c r="F21" s="5">
        <f>'Input Actual2024-25'!F54</f>
        <v>366</v>
      </c>
      <c r="G21" s="5">
        <f>'Input Actual2024-25'!G54</f>
        <v>366</v>
      </c>
      <c r="H21" s="5">
        <f>'Input Actual2024-25'!H54</f>
        <v>366</v>
      </c>
      <c r="I21" s="5">
        <f>'Input Actual2024-25'!I54</f>
        <v>374</v>
      </c>
      <c r="J21" s="5">
        <f>'Input Actual2024-25'!J54</f>
        <v>374</v>
      </c>
      <c r="K21" s="5">
        <f>'Input Actual2024-25'!K54</f>
        <v>377</v>
      </c>
      <c r="L21" s="5">
        <f>'Input Actual2024-25'!L54</f>
        <v>379</v>
      </c>
      <c r="M21" s="5">
        <f>'Input Actual2024-25'!M54</f>
        <v>382</v>
      </c>
      <c r="N21" s="5">
        <f>'Input Actual2024-25'!N54</f>
        <v>383</v>
      </c>
      <c r="O21" s="5">
        <f>'Input Actual2024-25'!O54</f>
        <v>382</v>
      </c>
      <c r="P21" s="5">
        <f>'Input Actual2024-25'!P54</f>
        <v>382</v>
      </c>
      <c r="Q21" s="5">
        <f t="shared" si="0"/>
        <v>4493</v>
      </c>
    </row>
    <row r="22" spans="3:17" x14ac:dyDescent="0.35">
      <c r="D22" s="3" t="s">
        <v>7</v>
      </c>
      <c r="E22" s="5">
        <f t="shared" ref="E22:P22" si="1">IF(E20=0,0,E20-E19)</f>
        <v>-4</v>
      </c>
      <c r="F22" s="5">
        <f t="shared" si="1"/>
        <v>-5</v>
      </c>
      <c r="G22" s="5">
        <f t="shared" si="1"/>
        <v>-9</v>
      </c>
      <c r="H22" s="5">
        <f t="shared" si="1"/>
        <v>-12</v>
      </c>
      <c r="I22" s="5">
        <f t="shared" si="1"/>
        <v>-16</v>
      </c>
      <c r="J22" s="5">
        <f t="shared" si="1"/>
        <v>-19</v>
      </c>
      <c r="K22" s="5">
        <f t="shared" si="1"/>
        <v>-20</v>
      </c>
      <c r="L22" s="5">
        <f t="shared" si="1"/>
        <v>-23</v>
      </c>
      <c r="M22" s="5">
        <f t="shared" si="1"/>
        <v>0</v>
      </c>
      <c r="N22" s="5">
        <f t="shared" si="1"/>
        <v>0</v>
      </c>
      <c r="O22" s="5">
        <f t="shared" si="1"/>
        <v>0</v>
      </c>
      <c r="P22" s="5">
        <f t="shared" si="1"/>
        <v>0</v>
      </c>
      <c r="Q22" s="5">
        <f t="shared" si="0"/>
        <v>-108</v>
      </c>
    </row>
    <row r="23" spans="3:17" x14ac:dyDescent="0.35">
      <c r="D23" s="3" t="s">
        <v>43</v>
      </c>
      <c r="E23" s="9">
        <f>E21/E19</f>
        <v>0.93782383419689119</v>
      </c>
      <c r="F23" s="9">
        <f t="shared" ref="F23:P23" si="2">F20/F19</f>
        <v>0.98714652956298199</v>
      </c>
      <c r="G23" s="9">
        <f t="shared" si="2"/>
        <v>0.97704081632653061</v>
      </c>
      <c r="H23" s="9">
        <f t="shared" si="2"/>
        <v>0.96962025316455691</v>
      </c>
      <c r="I23" s="9">
        <f t="shared" si="2"/>
        <v>0.95979899497487442</v>
      </c>
      <c r="J23" s="9">
        <f t="shared" si="2"/>
        <v>0.95261845386533661</v>
      </c>
      <c r="K23" s="9">
        <f t="shared" si="2"/>
        <v>0.95049504950495045</v>
      </c>
      <c r="L23" s="9">
        <f t="shared" si="2"/>
        <v>0.94348894348894352</v>
      </c>
      <c r="M23" s="9">
        <f t="shared" si="2"/>
        <v>0</v>
      </c>
      <c r="N23" s="9">
        <f t="shared" si="2"/>
        <v>0</v>
      </c>
      <c r="O23" s="9">
        <f t="shared" si="2"/>
        <v>0</v>
      </c>
      <c r="P23" s="9">
        <f t="shared" si="2"/>
        <v>0</v>
      </c>
    </row>
    <row r="25" spans="3:17" x14ac:dyDescent="0.35">
      <c r="C25" s="7" t="s">
        <v>3</v>
      </c>
      <c r="E25" s="11">
        <f>E18</f>
        <v>45839</v>
      </c>
      <c r="F25" s="11">
        <f t="shared" ref="F25:P28" si="3">F18</f>
        <v>45870</v>
      </c>
      <c r="G25" s="11">
        <f t="shared" si="3"/>
        <v>45901</v>
      </c>
      <c r="H25" s="11">
        <f t="shared" si="3"/>
        <v>45931</v>
      </c>
      <c r="I25" s="11">
        <f t="shared" si="3"/>
        <v>45962</v>
      </c>
      <c r="J25" s="11">
        <f t="shared" si="3"/>
        <v>45992</v>
      </c>
      <c r="K25" s="11">
        <f t="shared" si="3"/>
        <v>46023</v>
      </c>
      <c r="L25" s="11">
        <f t="shared" si="3"/>
        <v>46054</v>
      </c>
      <c r="M25" s="11">
        <f t="shared" si="3"/>
        <v>46082</v>
      </c>
      <c r="N25" s="11">
        <f t="shared" si="3"/>
        <v>46113</v>
      </c>
      <c r="O25" s="11">
        <f t="shared" si="3"/>
        <v>46143</v>
      </c>
      <c r="P25" s="11">
        <f t="shared" si="3"/>
        <v>46174</v>
      </c>
    </row>
    <row r="26" spans="3:17" x14ac:dyDescent="0.35">
      <c r="D26" s="3" t="str">
        <f>D19</f>
        <v>Budget 2025-26</v>
      </c>
      <c r="E26" s="5">
        <f>E19</f>
        <v>386</v>
      </c>
      <c r="F26" s="5">
        <f t="shared" si="3"/>
        <v>389</v>
      </c>
      <c r="G26" s="5">
        <f t="shared" si="3"/>
        <v>392</v>
      </c>
      <c r="H26" s="5">
        <f t="shared" si="3"/>
        <v>395</v>
      </c>
      <c r="I26" s="5">
        <f t="shared" si="3"/>
        <v>398</v>
      </c>
      <c r="J26" s="5">
        <f t="shared" si="3"/>
        <v>401</v>
      </c>
      <c r="K26" s="5">
        <f t="shared" si="3"/>
        <v>404</v>
      </c>
      <c r="L26" s="5">
        <f t="shared" si="3"/>
        <v>407</v>
      </c>
      <c r="M26" s="5">
        <f t="shared" si="3"/>
        <v>410</v>
      </c>
      <c r="N26" s="5">
        <f t="shared" si="3"/>
        <v>413</v>
      </c>
      <c r="O26" s="5">
        <f t="shared" si="3"/>
        <v>416</v>
      </c>
      <c r="P26" s="5">
        <f t="shared" si="3"/>
        <v>419</v>
      </c>
    </row>
    <row r="27" spans="3:17" x14ac:dyDescent="0.35">
      <c r="D27" s="3" t="str">
        <f t="shared" ref="D27:E30" si="4">D20</f>
        <v>Actual 2025-26</v>
      </c>
      <c r="E27" s="5">
        <f t="shared" si="4"/>
        <v>382</v>
      </c>
      <c r="F27" s="5">
        <f t="shared" si="3"/>
        <v>384</v>
      </c>
      <c r="G27" s="5">
        <f t="shared" si="3"/>
        <v>383</v>
      </c>
      <c r="H27" s="5">
        <f t="shared" si="3"/>
        <v>383</v>
      </c>
      <c r="I27" s="5">
        <f t="shared" si="3"/>
        <v>382</v>
      </c>
      <c r="J27" s="5">
        <f t="shared" si="3"/>
        <v>382</v>
      </c>
      <c r="K27" s="5">
        <f t="shared" si="3"/>
        <v>384</v>
      </c>
      <c r="L27" s="5">
        <f t="shared" si="3"/>
        <v>384</v>
      </c>
      <c r="M27" s="5">
        <f t="shared" si="3"/>
        <v>0</v>
      </c>
      <c r="N27" s="5">
        <f t="shared" si="3"/>
        <v>0</v>
      </c>
      <c r="O27" s="5">
        <f t="shared" si="3"/>
        <v>0</v>
      </c>
      <c r="P27" s="5">
        <f t="shared" si="3"/>
        <v>0</v>
      </c>
    </row>
    <row r="28" spans="3:17" x14ac:dyDescent="0.35">
      <c r="D28" s="3" t="str">
        <f t="shared" si="4"/>
        <v>Actual 2024-25</v>
      </c>
      <c r="E28" s="5">
        <f t="shared" si="4"/>
        <v>362</v>
      </c>
      <c r="F28" s="5">
        <f t="shared" si="3"/>
        <v>366</v>
      </c>
      <c r="G28" s="5">
        <f t="shared" si="3"/>
        <v>366</v>
      </c>
      <c r="H28" s="5">
        <f t="shared" si="3"/>
        <v>366</v>
      </c>
      <c r="I28" s="5">
        <f t="shared" si="3"/>
        <v>374</v>
      </c>
      <c r="J28" s="5">
        <f t="shared" si="3"/>
        <v>374</v>
      </c>
      <c r="K28" s="5">
        <f t="shared" si="3"/>
        <v>377</v>
      </c>
      <c r="L28" s="5">
        <f t="shared" si="3"/>
        <v>379</v>
      </c>
      <c r="M28" s="5">
        <f t="shared" si="3"/>
        <v>382</v>
      </c>
      <c r="N28" s="5">
        <f t="shared" si="3"/>
        <v>383</v>
      </c>
      <c r="O28" s="5">
        <f t="shared" si="3"/>
        <v>382</v>
      </c>
      <c r="P28" s="5">
        <f t="shared" si="3"/>
        <v>382</v>
      </c>
    </row>
    <row r="29" spans="3:17" x14ac:dyDescent="0.35">
      <c r="D29" s="3" t="str">
        <f t="shared" si="4"/>
        <v>Difference</v>
      </c>
      <c r="E29" s="5">
        <f>SUM($E22:E22)</f>
        <v>-4</v>
      </c>
      <c r="F29" s="5">
        <f>SUM($E22:F22)</f>
        <v>-9</v>
      </c>
      <c r="G29" s="5">
        <f>SUM($E22:G22)</f>
        <v>-18</v>
      </c>
      <c r="H29" s="5">
        <f>SUM($E22:H22)</f>
        <v>-30</v>
      </c>
      <c r="I29" s="5">
        <f>SUM($E22:I22)</f>
        <v>-46</v>
      </c>
      <c r="J29" s="5">
        <f>SUM($E22:J22)</f>
        <v>-65</v>
      </c>
      <c r="K29" s="5">
        <f>SUM($E22:K22)</f>
        <v>-85</v>
      </c>
      <c r="L29" s="5">
        <f>SUM($E22:L22)</f>
        <v>-108</v>
      </c>
      <c r="M29" s="5">
        <f>SUM($E22:M22)</f>
        <v>-108</v>
      </c>
      <c r="N29" s="5">
        <f>SUM($E22:N22)</f>
        <v>-108</v>
      </c>
      <c r="O29" s="5">
        <f>SUM($E22:O22)</f>
        <v>-108</v>
      </c>
      <c r="P29" s="5">
        <f>SUM($E22:P22)</f>
        <v>-108</v>
      </c>
    </row>
    <row r="30" spans="3:17" x14ac:dyDescent="0.35">
      <c r="D30" s="3" t="str">
        <f t="shared" si="4"/>
        <v>Realisation</v>
      </c>
      <c r="E30" s="9">
        <f>E28/E26</f>
        <v>0.93782383419689119</v>
      </c>
      <c r="F30" s="9">
        <f t="shared" ref="F30:P30" si="5">F27/F26</f>
        <v>0.98714652956298199</v>
      </c>
      <c r="G30" s="9">
        <f t="shared" si="5"/>
        <v>0.97704081632653061</v>
      </c>
      <c r="H30" s="9">
        <f t="shared" si="5"/>
        <v>0.96962025316455691</v>
      </c>
      <c r="I30" s="9">
        <f t="shared" si="5"/>
        <v>0.95979899497487442</v>
      </c>
      <c r="J30" s="9">
        <f t="shared" si="5"/>
        <v>0.95261845386533661</v>
      </c>
      <c r="K30" s="9">
        <f t="shared" si="5"/>
        <v>0.95049504950495045</v>
      </c>
      <c r="L30" s="9">
        <f t="shared" si="5"/>
        <v>0.94348894348894352</v>
      </c>
      <c r="M30" s="9">
        <f t="shared" si="5"/>
        <v>0</v>
      </c>
      <c r="N30" s="9">
        <f t="shared" si="5"/>
        <v>0</v>
      </c>
      <c r="O30" s="9">
        <f t="shared" si="5"/>
        <v>0</v>
      </c>
      <c r="P30" s="9">
        <f t="shared" si="5"/>
        <v>0</v>
      </c>
    </row>
  </sheetData>
  <mergeCells count="2">
    <mergeCell ref="J4:Q8"/>
    <mergeCell ref="J10:Q15"/>
  </mergeCells>
  <conditionalFormatting sqref="C3">
    <cfRule type="expression" dxfId="422" priority="2">
      <formula>S4&lt;S6</formula>
    </cfRule>
  </conditionalFormatting>
  <conditionalFormatting sqref="C5">
    <cfRule type="expression" dxfId="421" priority="3">
      <formula>S4&gt;=S5</formula>
    </cfRule>
  </conditionalFormatting>
  <conditionalFormatting sqref="C4">
    <cfRule type="expression" dxfId="420" priority="1">
      <formula>AND(S4&gt;=S6,S4&lt;S5)</formula>
    </cfRule>
  </conditionalFormatting>
  <hyperlinks>
    <hyperlink ref="L1" location="Dashboard!A1" display="Dashboard"/>
  </hyperlinks>
  <pageMargins left="0.7" right="0.7" top="0.75" bottom="0.75" header="0.3" footer="0.3"/>
  <pageSetup orientation="portrait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978945" r:id="rId4" name="Spinner 1">
              <controlPr defaultSize="0" autoPict="0">
                <anchor moveWithCells="1" sizeWithCells="1">
                  <from>
                    <xdr:col>9</xdr:col>
                    <xdr:colOff>19050</xdr:colOff>
                    <xdr:row>0</xdr:row>
                    <xdr:rowOff>38100</xdr:rowOff>
                  </from>
                  <to>
                    <xdr:col>9</xdr:col>
                    <xdr:colOff>400050</xdr:colOff>
                    <xdr:row>1</xdr:row>
                    <xdr:rowOff>152400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5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44">
    <tabColor rgb="FFFFC000"/>
  </sheetPr>
  <dimension ref="A1:S30"/>
  <sheetViews>
    <sheetView zoomScale="90" zoomScaleNormal="90" workbookViewId="0">
      <selection activeCell="L1" sqref="L1"/>
    </sheetView>
  </sheetViews>
  <sheetFormatPr defaultColWidth="9.1796875" defaultRowHeight="14.5" x14ac:dyDescent="0.35"/>
  <cols>
    <col min="1" max="1" width="9.1796875" style="3"/>
    <col min="2" max="2" width="5.1796875" style="3" customWidth="1"/>
    <col min="3" max="3" width="6.26953125" style="3" customWidth="1"/>
    <col min="4" max="4" width="21.26953125" style="3" bestFit="1" customWidth="1"/>
    <col min="5" max="16" width="11.1796875" style="3" customWidth="1"/>
    <col min="17" max="17" width="12" style="3" bestFit="1" customWidth="1"/>
    <col min="18" max="18" width="9.1796875" style="3" customWidth="1"/>
    <col min="19" max="16384" width="9.1796875" style="3"/>
  </cols>
  <sheetData>
    <row r="1" spans="1:19" ht="21" x14ac:dyDescent="0.5">
      <c r="A1" s="4" t="s">
        <v>4</v>
      </c>
      <c r="B1" s="4">
        <f>Dashboard!A60</f>
        <v>4</v>
      </c>
      <c r="C1" s="4" t="str">
        <f>Dashboard!B60</f>
        <v>SITE- SEWER</v>
      </c>
      <c r="G1" s="3" t="s">
        <v>9</v>
      </c>
      <c r="I1" s="12">
        <f>INDEX($E$18:$P$18,Actual_month)</f>
        <v>46054</v>
      </c>
      <c r="L1" s="16" t="s">
        <v>19</v>
      </c>
      <c r="R1" s="5"/>
    </row>
    <row r="2" spans="1:19" x14ac:dyDescent="0.35">
      <c r="A2" s="3" t="s">
        <v>13</v>
      </c>
      <c r="C2" s="3" t="s">
        <v>27</v>
      </c>
      <c r="R2" s="6"/>
    </row>
    <row r="3" spans="1:19" ht="25.5" customHeight="1" thickBot="1" x14ac:dyDescent="0.4">
      <c r="C3" s="1" t="s">
        <v>5</v>
      </c>
      <c r="E3" s="10"/>
      <c r="F3" s="10"/>
      <c r="G3" s="10"/>
      <c r="H3" s="10"/>
      <c r="I3" s="10"/>
      <c r="J3" s="3" t="s">
        <v>6</v>
      </c>
      <c r="K3" s="10"/>
      <c r="M3" s="10"/>
      <c r="N3" s="10"/>
      <c r="O3" s="10"/>
      <c r="P3" s="10"/>
    </row>
    <row r="4" spans="1:19" ht="25.5" customHeight="1" x14ac:dyDescent="0.35">
      <c r="C4" s="1" t="s">
        <v>5</v>
      </c>
      <c r="E4" s="10"/>
      <c r="F4" s="10"/>
      <c r="G4" s="10"/>
      <c r="H4" s="10"/>
      <c r="I4" s="10"/>
      <c r="J4" s="401"/>
      <c r="K4" s="402"/>
      <c r="L4" s="402"/>
      <c r="M4" s="402"/>
      <c r="N4" s="402"/>
      <c r="O4" s="402"/>
      <c r="P4" s="402"/>
      <c r="Q4" s="403"/>
      <c r="R4" s="3" t="s">
        <v>22</v>
      </c>
      <c r="S4" s="5">
        <f>INDEX(E27:P27,Actual_month)</f>
        <v>604</v>
      </c>
    </row>
    <row r="5" spans="1:19" ht="25.5" customHeight="1" x14ac:dyDescent="0.35">
      <c r="C5" s="1" t="s">
        <v>5</v>
      </c>
      <c r="E5" s="10"/>
      <c r="F5" s="10"/>
      <c r="G5" s="10"/>
      <c r="H5" s="10"/>
      <c r="I5" s="10"/>
      <c r="J5" s="404"/>
      <c r="K5" s="405"/>
      <c r="L5" s="405"/>
      <c r="M5" s="405"/>
      <c r="N5" s="405"/>
      <c r="O5" s="405"/>
      <c r="P5" s="405"/>
      <c r="Q5" s="406"/>
      <c r="R5" s="3" t="s">
        <v>23</v>
      </c>
      <c r="S5" s="5">
        <f>INDEX(E26:P26,Actual_month)</f>
        <v>613</v>
      </c>
    </row>
    <row r="6" spans="1:19" x14ac:dyDescent="0.35">
      <c r="J6" s="404"/>
      <c r="K6" s="405"/>
      <c r="L6" s="405"/>
      <c r="M6" s="405"/>
      <c r="N6" s="405"/>
      <c r="O6" s="405"/>
      <c r="P6" s="405"/>
      <c r="Q6" s="406"/>
      <c r="R6" s="6">
        <v>0.9</v>
      </c>
      <c r="S6" s="5">
        <f>+S5*R6</f>
        <v>551.70000000000005</v>
      </c>
    </row>
    <row r="7" spans="1:19" x14ac:dyDescent="0.35">
      <c r="J7" s="404"/>
      <c r="K7" s="405"/>
      <c r="L7" s="405"/>
      <c r="M7" s="405"/>
      <c r="N7" s="405"/>
      <c r="O7" s="405"/>
      <c r="P7" s="405"/>
      <c r="Q7" s="406"/>
    </row>
    <row r="8" spans="1:19" ht="15" thickBot="1" x14ac:dyDescent="0.4">
      <c r="J8" s="407"/>
      <c r="K8" s="408"/>
      <c r="L8" s="408"/>
      <c r="M8" s="408"/>
      <c r="N8" s="408"/>
      <c r="O8" s="408"/>
      <c r="P8" s="408"/>
      <c r="Q8" s="409"/>
    </row>
    <row r="9" spans="1:19" ht="15" thickBot="1" x14ac:dyDescent="0.4">
      <c r="J9" s="3" t="s">
        <v>12</v>
      </c>
    </row>
    <row r="10" spans="1:19" x14ac:dyDescent="0.35">
      <c r="J10" s="401"/>
      <c r="K10" s="402"/>
      <c r="L10" s="402"/>
      <c r="M10" s="402"/>
      <c r="N10" s="402"/>
      <c r="O10" s="402"/>
      <c r="P10" s="402"/>
      <c r="Q10" s="403"/>
    </row>
    <row r="11" spans="1:19" x14ac:dyDescent="0.35">
      <c r="J11" s="404"/>
      <c r="K11" s="405"/>
      <c r="L11" s="405"/>
      <c r="M11" s="405"/>
      <c r="N11" s="405"/>
      <c r="O11" s="405"/>
      <c r="P11" s="405"/>
      <c r="Q11" s="406"/>
    </row>
    <row r="12" spans="1:19" x14ac:dyDescent="0.35">
      <c r="J12" s="404"/>
      <c r="K12" s="405"/>
      <c r="L12" s="405"/>
      <c r="M12" s="405"/>
      <c r="N12" s="405"/>
      <c r="O12" s="405"/>
      <c r="P12" s="405"/>
      <c r="Q12" s="406"/>
    </row>
    <row r="13" spans="1:19" x14ac:dyDescent="0.35">
      <c r="J13" s="404"/>
      <c r="K13" s="405"/>
      <c r="L13" s="405"/>
      <c r="M13" s="405"/>
      <c r="N13" s="405"/>
      <c r="O13" s="405"/>
      <c r="P13" s="405"/>
      <c r="Q13" s="406"/>
    </row>
    <row r="14" spans="1:19" x14ac:dyDescent="0.35">
      <c r="J14" s="404"/>
      <c r="K14" s="405"/>
      <c r="L14" s="405"/>
      <c r="M14" s="405"/>
      <c r="N14" s="405"/>
      <c r="O14" s="405"/>
      <c r="P14" s="405"/>
      <c r="Q14" s="406"/>
    </row>
    <row r="15" spans="1:19" ht="15" thickBot="1" x14ac:dyDescent="0.4">
      <c r="J15" s="407"/>
      <c r="K15" s="408"/>
      <c r="L15" s="408"/>
      <c r="M15" s="408"/>
      <c r="N15" s="408"/>
      <c r="O15" s="408"/>
      <c r="P15" s="408"/>
      <c r="Q15" s="409"/>
    </row>
    <row r="18" spans="3:17" x14ac:dyDescent="0.35">
      <c r="C18" s="7" t="s">
        <v>8</v>
      </c>
      <c r="E18" s="11">
        <f>'KPI 1'!E18</f>
        <v>45839</v>
      </c>
      <c r="F18" s="11">
        <f>'KPI 1'!F18</f>
        <v>45870</v>
      </c>
      <c r="G18" s="11">
        <f>'KPI 1'!G18</f>
        <v>45901</v>
      </c>
      <c r="H18" s="11">
        <f>'KPI 1'!H18</f>
        <v>45931</v>
      </c>
      <c r="I18" s="11">
        <f>'KPI 1'!I18</f>
        <v>45962</v>
      </c>
      <c r="J18" s="11">
        <f>'KPI 1'!J18</f>
        <v>45992</v>
      </c>
      <c r="K18" s="11">
        <f>'KPI 1'!K18</f>
        <v>46023</v>
      </c>
      <c r="L18" s="11">
        <f>'KPI 1'!L18</f>
        <v>46054</v>
      </c>
      <c r="M18" s="11">
        <f>'KPI 1'!M18</f>
        <v>46082</v>
      </c>
      <c r="N18" s="11">
        <f>'KPI 1'!N18</f>
        <v>46113</v>
      </c>
      <c r="O18" s="11">
        <f>'KPI 1'!O18</f>
        <v>46143</v>
      </c>
      <c r="P18" s="11">
        <f>'KPI 1'!P18</f>
        <v>46174</v>
      </c>
      <c r="Q18" s="8" t="s">
        <v>0</v>
      </c>
    </row>
    <row r="19" spans="3:17" x14ac:dyDescent="0.35">
      <c r="D19" s="3" t="str">
        <f>'KPI 1'!D19</f>
        <v>Budget 2025-26</v>
      </c>
      <c r="E19" s="5">
        <f>'budget 2025-26'!D57</f>
        <v>606</v>
      </c>
      <c r="F19" s="5">
        <f>'budget 2025-26'!E57</f>
        <v>607</v>
      </c>
      <c r="G19" s="5">
        <f>'budget 2025-26'!F57</f>
        <v>608</v>
      </c>
      <c r="H19" s="5">
        <f>'budget 2025-26'!G57</f>
        <v>609</v>
      </c>
      <c r="I19" s="5">
        <f>'budget 2025-26'!H57</f>
        <v>610</v>
      </c>
      <c r="J19" s="5">
        <f>'budget 2025-26'!I57</f>
        <v>611</v>
      </c>
      <c r="K19" s="5">
        <f>'budget 2025-26'!J57</f>
        <v>612</v>
      </c>
      <c r="L19" s="5">
        <f>'budget 2025-26'!K57</f>
        <v>613</v>
      </c>
      <c r="M19" s="5">
        <f>'budget 2025-26'!L57</f>
        <v>614</v>
      </c>
      <c r="N19" s="5">
        <f>'budget 2025-26'!M57</f>
        <v>615</v>
      </c>
      <c r="O19" s="5">
        <f>'budget 2025-26'!N57</f>
        <v>616</v>
      </c>
      <c r="P19" s="5">
        <f>'budget 2025-26'!O57</f>
        <v>617</v>
      </c>
      <c r="Q19" s="5">
        <f>SUM(E19:P19)</f>
        <v>7338</v>
      </c>
    </row>
    <row r="20" spans="3:17" x14ac:dyDescent="0.35">
      <c r="D20" s="3" t="str">
        <f>'KPI 1'!D20</f>
        <v>Actual 2025-26</v>
      </c>
      <c r="E20" s="5">
        <f>'Input Actual2025-26'!E59</f>
        <v>604</v>
      </c>
      <c r="F20" s="5">
        <f>'Input Actual2025-26'!F59</f>
        <v>604</v>
      </c>
      <c r="G20" s="5">
        <f>'Input Actual2025-26'!G59</f>
        <v>604</v>
      </c>
      <c r="H20" s="5">
        <f>'Input Actual2025-26'!H59</f>
        <v>604</v>
      </c>
      <c r="I20" s="5">
        <f>'Input Actual2025-26'!I59</f>
        <v>604</v>
      </c>
      <c r="J20" s="5">
        <f>'Input Actual2025-26'!J59</f>
        <v>603</v>
      </c>
      <c r="K20" s="5">
        <f>'Input Actual2025-26'!K59</f>
        <v>604</v>
      </c>
      <c r="L20" s="5">
        <f>'Input Actual2025-26'!L59</f>
        <v>604</v>
      </c>
      <c r="M20" s="5">
        <f>'Input Actual2025-26'!M59</f>
        <v>0</v>
      </c>
      <c r="N20" s="5">
        <f>'Input Actual2025-26'!N59</f>
        <v>0</v>
      </c>
      <c r="O20" s="5">
        <f>'Input Actual2025-26'!O59</f>
        <v>0</v>
      </c>
      <c r="P20" s="5">
        <f>'Input Actual2025-26'!P59</f>
        <v>0</v>
      </c>
      <c r="Q20" s="5">
        <f t="shared" ref="Q20:Q22" si="0">SUM(E20:P20)</f>
        <v>4831</v>
      </c>
    </row>
    <row r="21" spans="3:17" x14ac:dyDescent="0.35">
      <c r="D21" s="3" t="s">
        <v>424</v>
      </c>
      <c r="E21" s="5">
        <f>'Input Actual2024-25'!E55</f>
        <v>591</v>
      </c>
      <c r="F21" s="5">
        <f>'Input Actual2024-25'!F55</f>
        <v>594</v>
      </c>
      <c r="G21" s="5">
        <f>'Input Actual2024-25'!G55</f>
        <v>595</v>
      </c>
      <c r="H21" s="5">
        <f>'Input Actual2024-25'!H55</f>
        <v>595</v>
      </c>
      <c r="I21" s="5">
        <f>'Input Actual2024-25'!I55</f>
        <v>595</v>
      </c>
      <c r="J21" s="5">
        <f>'Input Actual2024-25'!J55</f>
        <v>595</v>
      </c>
      <c r="K21" s="5">
        <f>'Input Actual2024-25'!K55</f>
        <v>600</v>
      </c>
      <c r="L21" s="5">
        <f>'Input Actual2024-25'!L55</f>
        <v>603</v>
      </c>
      <c r="M21" s="5">
        <f>'Input Actual2024-25'!M55</f>
        <v>603</v>
      </c>
      <c r="N21" s="5">
        <f>'Input Actual2024-25'!N55</f>
        <v>604</v>
      </c>
      <c r="O21" s="5">
        <f>'Input Actual2024-25'!O55</f>
        <v>604</v>
      </c>
      <c r="P21" s="5">
        <f>'Input Actual2024-25'!P55</f>
        <v>605</v>
      </c>
      <c r="Q21" s="5">
        <f t="shared" si="0"/>
        <v>7184</v>
      </c>
    </row>
    <row r="22" spans="3:17" x14ac:dyDescent="0.35">
      <c r="D22" s="3" t="s">
        <v>7</v>
      </c>
      <c r="E22" s="5">
        <f t="shared" ref="E22:P22" si="1">IF(E20=0,0,E20-E19)</f>
        <v>-2</v>
      </c>
      <c r="F22" s="5">
        <f t="shared" si="1"/>
        <v>-3</v>
      </c>
      <c r="G22" s="5">
        <f t="shared" si="1"/>
        <v>-4</v>
      </c>
      <c r="H22" s="5">
        <f t="shared" si="1"/>
        <v>-5</v>
      </c>
      <c r="I22" s="5">
        <f t="shared" si="1"/>
        <v>-6</v>
      </c>
      <c r="J22" s="5">
        <f t="shared" si="1"/>
        <v>-8</v>
      </c>
      <c r="K22" s="5">
        <f t="shared" si="1"/>
        <v>-8</v>
      </c>
      <c r="L22" s="5">
        <f t="shared" si="1"/>
        <v>-9</v>
      </c>
      <c r="M22" s="5">
        <f t="shared" si="1"/>
        <v>0</v>
      </c>
      <c r="N22" s="5">
        <f t="shared" si="1"/>
        <v>0</v>
      </c>
      <c r="O22" s="5">
        <f t="shared" si="1"/>
        <v>0</v>
      </c>
      <c r="P22" s="5">
        <f t="shared" si="1"/>
        <v>0</v>
      </c>
      <c r="Q22" s="5">
        <f t="shared" si="0"/>
        <v>-45</v>
      </c>
    </row>
    <row r="23" spans="3:17" x14ac:dyDescent="0.35">
      <c r="D23" s="3" t="s">
        <v>43</v>
      </c>
      <c r="E23" s="9">
        <f>E21/E19</f>
        <v>0.97524752475247523</v>
      </c>
      <c r="F23" s="9">
        <f t="shared" ref="F23:P23" si="2">F20/F19</f>
        <v>0.99505766062602963</v>
      </c>
      <c r="G23" s="9">
        <f t="shared" si="2"/>
        <v>0.99342105263157898</v>
      </c>
      <c r="H23" s="9">
        <f t="shared" si="2"/>
        <v>0.99178981937602628</v>
      </c>
      <c r="I23" s="9">
        <f t="shared" si="2"/>
        <v>0.99016393442622952</v>
      </c>
      <c r="J23" s="9">
        <f t="shared" si="2"/>
        <v>0.98690671031096566</v>
      </c>
      <c r="K23" s="9">
        <f t="shared" si="2"/>
        <v>0.98692810457516345</v>
      </c>
      <c r="L23" s="9">
        <f t="shared" si="2"/>
        <v>0.9853181076672104</v>
      </c>
      <c r="M23" s="9">
        <f t="shared" si="2"/>
        <v>0</v>
      </c>
      <c r="N23" s="9">
        <f t="shared" si="2"/>
        <v>0</v>
      </c>
      <c r="O23" s="9">
        <f t="shared" si="2"/>
        <v>0</v>
      </c>
      <c r="P23" s="9">
        <f t="shared" si="2"/>
        <v>0</v>
      </c>
    </row>
    <row r="25" spans="3:17" x14ac:dyDescent="0.35">
      <c r="C25" s="7" t="s">
        <v>3</v>
      </c>
      <c r="E25" s="11">
        <f>E18</f>
        <v>45839</v>
      </c>
      <c r="F25" s="11">
        <f t="shared" ref="F25:P28" si="3">F18</f>
        <v>45870</v>
      </c>
      <c r="G25" s="11">
        <f t="shared" si="3"/>
        <v>45901</v>
      </c>
      <c r="H25" s="11">
        <f t="shared" si="3"/>
        <v>45931</v>
      </c>
      <c r="I25" s="11">
        <f t="shared" si="3"/>
        <v>45962</v>
      </c>
      <c r="J25" s="11">
        <f t="shared" si="3"/>
        <v>45992</v>
      </c>
      <c r="K25" s="11">
        <f t="shared" si="3"/>
        <v>46023</v>
      </c>
      <c r="L25" s="11">
        <f t="shared" si="3"/>
        <v>46054</v>
      </c>
      <c r="M25" s="11">
        <f t="shared" si="3"/>
        <v>46082</v>
      </c>
      <c r="N25" s="11">
        <f t="shared" si="3"/>
        <v>46113</v>
      </c>
      <c r="O25" s="11">
        <f t="shared" si="3"/>
        <v>46143</v>
      </c>
      <c r="P25" s="11">
        <f t="shared" si="3"/>
        <v>46174</v>
      </c>
    </row>
    <row r="26" spans="3:17" x14ac:dyDescent="0.35">
      <c r="D26" s="3" t="str">
        <f>D19</f>
        <v>Budget 2025-26</v>
      </c>
      <c r="E26" s="5">
        <f>E19</f>
        <v>606</v>
      </c>
      <c r="F26" s="5">
        <f t="shared" si="3"/>
        <v>607</v>
      </c>
      <c r="G26" s="5">
        <f t="shared" si="3"/>
        <v>608</v>
      </c>
      <c r="H26" s="5">
        <f t="shared" si="3"/>
        <v>609</v>
      </c>
      <c r="I26" s="5">
        <f t="shared" si="3"/>
        <v>610</v>
      </c>
      <c r="J26" s="5">
        <f t="shared" si="3"/>
        <v>611</v>
      </c>
      <c r="K26" s="5">
        <f t="shared" si="3"/>
        <v>612</v>
      </c>
      <c r="L26" s="5">
        <f t="shared" si="3"/>
        <v>613</v>
      </c>
      <c r="M26" s="5">
        <f t="shared" si="3"/>
        <v>614</v>
      </c>
      <c r="N26" s="5">
        <f t="shared" si="3"/>
        <v>615</v>
      </c>
      <c r="O26" s="5">
        <f t="shared" si="3"/>
        <v>616</v>
      </c>
      <c r="P26" s="5">
        <f t="shared" si="3"/>
        <v>617</v>
      </c>
    </row>
    <row r="27" spans="3:17" x14ac:dyDescent="0.35">
      <c r="D27" s="3" t="str">
        <f t="shared" ref="D27:E30" si="4">D20</f>
        <v>Actual 2025-26</v>
      </c>
      <c r="E27" s="5">
        <f t="shared" si="4"/>
        <v>604</v>
      </c>
      <c r="F27" s="5">
        <f t="shared" si="3"/>
        <v>604</v>
      </c>
      <c r="G27" s="5">
        <f t="shared" si="3"/>
        <v>604</v>
      </c>
      <c r="H27" s="5">
        <f t="shared" si="3"/>
        <v>604</v>
      </c>
      <c r="I27" s="5">
        <f t="shared" si="3"/>
        <v>604</v>
      </c>
      <c r="J27" s="5">
        <f t="shared" si="3"/>
        <v>603</v>
      </c>
      <c r="K27" s="5">
        <f t="shared" si="3"/>
        <v>604</v>
      </c>
      <c r="L27" s="5">
        <f t="shared" si="3"/>
        <v>604</v>
      </c>
      <c r="M27" s="5">
        <f t="shared" si="3"/>
        <v>0</v>
      </c>
      <c r="N27" s="5">
        <f t="shared" si="3"/>
        <v>0</v>
      </c>
      <c r="O27" s="5">
        <f t="shared" si="3"/>
        <v>0</v>
      </c>
      <c r="P27" s="5">
        <f t="shared" si="3"/>
        <v>0</v>
      </c>
    </row>
    <row r="28" spans="3:17" x14ac:dyDescent="0.35">
      <c r="D28" s="3" t="str">
        <f t="shared" si="4"/>
        <v>Actual 2024-25</v>
      </c>
      <c r="E28" s="5">
        <f t="shared" si="4"/>
        <v>591</v>
      </c>
      <c r="F28" s="5">
        <f t="shared" si="3"/>
        <v>594</v>
      </c>
      <c r="G28" s="5">
        <f t="shared" si="3"/>
        <v>595</v>
      </c>
      <c r="H28" s="5">
        <f t="shared" si="3"/>
        <v>595</v>
      </c>
      <c r="I28" s="5">
        <f t="shared" si="3"/>
        <v>595</v>
      </c>
      <c r="J28" s="5">
        <f t="shared" si="3"/>
        <v>595</v>
      </c>
      <c r="K28" s="5">
        <f t="shared" si="3"/>
        <v>600</v>
      </c>
      <c r="L28" s="5">
        <f t="shared" si="3"/>
        <v>603</v>
      </c>
      <c r="M28" s="5">
        <f t="shared" si="3"/>
        <v>603</v>
      </c>
      <c r="N28" s="5">
        <f t="shared" si="3"/>
        <v>604</v>
      </c>
      <c r="O28" s="5">
        <f t="shared" si="3"/>
        <v>604</v>
      </c>
      <c r="P28" s="5">
        <f t="shared" si="3"/>
        <v>605</v>
      </c>
    </row>
    <row r="29" spans="3:17" x14ac:dyDescent="0.35">
      <c r="D29" s="3" t="str">
        <f t="shared" si="4"/>
        <v>Difference</v>
      </c>
      <c r="E29" s="5">
        <f>SUM($E22:E22)</f>
        <v>-2</v>
      </c>
      <c r="F29" s="5">
        <f>SUM($E22:F22)</f>
        <v>-5</v>
      </c>
      <c r="G29" s="5">
        <f>SUM($E22:G22)</f>
        <v>-9</v>
      </c>
      <c r="H29" s="5">
        <f>SUM($E22:H22)</f>
        <v>-14</v>
      </c>
      <c r="I29" s="5">
        <f>SUM($E22:I22)</f>
        <v>-20</v>
      </c>
      <c r="J29" s="5">
        <f>SUM($E22:J22)</f>
        <v>-28</v>
      </c>
      <c r="K29" s="5">
        <f>SUM($E22:K22)</f>
        <v>-36</v>
      </c>
      <c r="L29" s="5">
        <f>SUM($E22:L22)</f>
        <v>-45</v>
      </c>
      <c r="M29" s="5">
        <f>SUM($E22:M22)</f>
        <v>-45</v>
      </c>
      <c r="N29" s="5">
        <f>SUM($E22:N22)</f>
        <v>-45</v>
      </c>
      <c r="O29" s="5">
        <f>SUM($E22:O22)</f>
        <v>-45</v>
      </c>
      <c r="P29" s="5">
        <f>SUM($E22:P22)</f>
        <v>-45</v>
      </c>
    </row>
    <row r="30" spans="3:17" x14ac:dyDescent="0.35">
      <c r="D30" s="3" t="str">
        <f t="shared" si="4"/>
        <v>Realisation</v>
      </c>
      <c r="E30" s="9">
        <f>E28/E26</f>
        <v>0.97524752475247523</v>
      </c>
      <c r="F30" s="9">
        <f t="shared" ref="F30:P30" si="5">F27/F26</f>
        <v>0.99505766062602963</v>
      </c>
      <c r="G30" s="9">
        <f t="shared" si="5"/>
        <v>0.99342105263157898</v>
      </c>
      <c r="H30" s="9">
        <f t="shared" si="5"/>
        <v>0.99178981937602628</v>
      </c>
      <c r="I30" s="9">
        <f t="shared" si="5"/>
        <v>0.99016393442622952</v>
      </c>
      <c r="J30" s="9">
        <f t="shared" si="5"/>
        <v>0.98690671031096566</v>
      </c>
      <c r="K30" s="9">
        <f t="shared" si="5"/>
        <v>0.98692810457516345</v>
      </c>
      <c r="L30" s="9">
        <f t="shared" si="5"/>
        <v>0.9853181076672104</v>
      </c>
      <c r="M30" s="9">
        <f t="shared" si="5"/>
        <v>0</v>
      </c>
      <c r="N30" s="9">
        <f t="shared" si="5"/>
        <v>0</v>
      </c>
      <c r="O30" s="9">
        <f t="shared" si="5"/>
        <v>0</v>
      </c>
      <c r="P30" s="9">
        <f t="shared" si="5"/>
        <v>0</v>
      </c>
    </row>
  </sheetData>
  <mergeCells count="2">
    <mergeCell ref="J4:Q8"/>
    <mergeCell ref="J10:Q15"/>
  </mergeCells>
  <conditionalFormatting sqref="C3">
    <cfRule type="expression" dxfId="419" priority="2">
      <formula>S4&lt;S6</formula>
    </cfRule>
  </conditionalFormatting>
  <conditionalFormatting sqref="C5">
    <cfRule type="expression" dxfId="418" priority="3">
      <formula>S4&gt;=S5</formula>
    </cfRule>
  </conditionalFormatting>
  <conditionalFormatting sqref="C4">
    <cfRule type="expression" dxfId="417" priority="1">
      <formula>AND(S4&gt;=S6,S4&lt;S5)</formula>
    </cfRule>
  </conditionalFormatting>
  <hyperlinks>
    <hyperlink ref="L1" location="Dashboard!A1" display="Dashboard"/>
  </hyperlinks>
  <pageMargins left="0.7" right="0.7" top="0.75" bottom="0.75" header="0.3" footer="0.3"/>
  <pageSetup orientation="portrait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979969" r:id="rId4" name="Spinner 1">
              <controlPr defaultSize="0" autoPict="0">
                <anchor moveWithCells="1" sizeWithCells="1">
                  <from>
                    <xdr:col>9</xdr:col>
                    <xdr:colOff>19050</xdr:colOff>
                    <xdr:row>0</xdr:row>
                    <xdr:rowOff>38100</xdr:rowOff>
                  </from>
                  <to>
                    <xdr:col>9</xdr:col>
                    <xdr:colOff>400050</xdr:colOff>
                    <xdr:row>1</xdr:row>
                    <xdr:rowOff>152400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6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45"/>
  <dimension ref="A1:S30"/>
  <sheetViews>
    <sheetView topLeftCell="C1" zoomScale="90" zoomScaleNormal="90" workbookViewId="0">
      <selection activeCell="L1" sqref="L1"/>
    </sheetView>
  </sheetViews>
  <sheetFormatPr defaultColWidth="9.1796875" defaultRowHeight="14.5" x14ac:dyDescent="0.35"/>
  <cols>
    <col min="1" max="1" width="9.1796875" style="3"/>
    <col min="2" max="2" width="5.1796875" style="3" customWidth="1"/>
    <col min="3" max="3" width="6.26953125" style="3" customWidth="1"/>
    <col min="4" max="4" width="21.26953125" style="3" bestFit="1" customWidth="1"/>
    <col min="5" max="16" width="11.1796875" style="3" customWidth="1"/>
    <col min="17" max="17" width="12" style="3" bestFit="1" customWidth="1"/>
    <col min="18" max="18" width="9.1796875" style="3" customWidth="1"/>
    <col min="19" max="16384" width="9.1796875" style="3"/>
  </cols>
  <sheetData>
    <row r="1" spans="1:19" ht="21" x14ac:dyDescent="0.5">
      <c r="A1" s="4" t="s">
        <v>4</v>
      </c>
      <c r="B1" s="4">
        <f>Dashboard!A61</f>
        <v>5</v>
      </c>
      <c r="C1" s="4" t="str">
        <f>Dashboard!B61</f>
        <v>KIHOTO- SEWER</v>
      </c>
      <c r="G1" s="3" t="s">
        <v>9</v>
      </c>
      <c r="I1" s="12">
        <f>INDEX($E$18:$P$18,Actual_month)</f>
        <v>46054</v>
      </c>
      <c r="L1" s="16" t="s">
        <v>19</v>
      </c>
      <c r="R1" s="5"/>
    </row>
    <row r="2" spans="1:19" x14ac:dyDescent="0.35">
      <c r="A2" s="3" t="s">
        <v>13</v>
      </c>
      <c r="C2" s="3" t="s">
        <v>27</v>
      </c>
      <c r="R2" s="6"/>
    </row>
    <row r="3" spans="1:19" ht="25.5" customHeight="1" thickBot="1" x14ac:dyDescent="0.4">
      <c r="C3" s="1" t="s">
        <v>5</v>
      </c>
      <c r="E3" s="10"/>
      <c r="F3" s="10"/>
      <c r="G3" s="10"/>
      <c r="H3" s="10"/>
      <c r="I3" s="10"/>
      <c r="J3" s="3" t="s">
        <v>6</v>
      </c>
      <c r="K3" s="10"/>
      <c r="M3" s="10"/>
      <c r="N3" s="10"/>
      <c r="O3" s="10"/>
      <c r="P3" s="10"/>
    </row>
    <row r="4" spans="1:19" ht="25.5" customHeight="1" x14ac:dyDescent="0.35">
      <c r="C4" s="1" t="s">
        <v>5</v>
      </c>
      <c r="E4" s="10"/>
      <c r="F4" s="10"/>
      <c r="G4" s="10"/>
      <c r="H4" s="10"/>
      <c r="I4" s="10"/>
      <c r="J4" s="401"/>
      <c r="K4" s="402"/>
      <c r="L4" s="402"/>
      <c r="M4" s="402"/>
      <c r="N4" s="402"/>
      <c r="O4" s="402"/>
      <c r="P4" s="402"/>
      <c r="Q4" s="403"/>
      <c r="R4" s="3" t="s">
        <v>22</v>
      </c>
      <c r="S4" s="5">
        <f>INDEX(E27:P27,Actual_month)</f>
        <v>0</v>
      </c>
    </row>
    <row r="5" spans="1:19" ht="25.5" customHeight="1" x14ac:dyDescent="0.35">
      <c r="C5" s="1" t="s">
        <v>5</v>
      </c>
      <c r="E5" s="10"/>
      <c r="F5" s="10"/>
      <c r="G5" s="10"/>
      <c r="H5" s="10"/>
      <c r="I5" s="10"/>
      <c r="J5" s="404"/>
      <c r="K5" s="405"/>
      <c r="L5" s="405"/>
      <c r="M5" s="405"/>
      <c r="N5" s="405"/>
      <c r="O5" s="405"/>
      <c r="P5" s="405"/>
      <c r="Q5" s="406"/>
      <c r="R5" s="3" t="s">
        <v>23</v>
      </c>
      <c r="S5" s="5">
        <f>INDEX(E26:P26,Actual_month)</f>
        <v>0</v>
      </c>
    </row>
    <row r="6" spans="1:19" x14ac:dyDescent="0.35">
      <c r="J6" s="404"/>
      <c r="K6" s="405"/>
      <c r="L6" s="405"/>
      <c r="M6" s="405"/>
      <c r="N6" s="405"/>
      <c r="O6" s="405"/>
      <c r="P6" s="405"/>
      <c r="Q6" s="406"/>
      <c r="R6" s="6">
        <v>0.9</v>
      </c>
      <c r="S6" s="5">
        <f>+S5*R6</f>
        <v>0</v>
      </c>
    </row>
    <row r="7" spans="1:19" x14ac:dyDescent="0.35">
      <c r="J7" s="404"/>
      <c r="K7" s="405"/>
      <c r="L7" s="405"/>
      <c r="M7" s="405"/>
      <c r="N7" s="405"/>
      <c r="O7" s="405"/>
      <c r="P7" s="405"/>
      <c r="Q7" s="406"/>
    </row>
    <row r="8" spans="1:19" ht="15" thickBot="1" x14ac:dyDescent="0.4">
      <c r="J8" s="407"/>
      <c r="K8" s="408"/>
      <c r="L8" s="408"/>
      <c r="M8" s="408"/>
      <c r="N8" s="408"/>
      <c r="O8" s="408"/>
      <c r="P8" s="408"/>
      <c r="Q8" s="409"/>
    </row>
    <row r="9" spans="1:19" ht="15" thickBot="1" x14ac:dyDescent="0.4">
      <c r="J9" s="3" t="s">
        <v>12</v>
      </c>
    </row>
    <row r="10" spans="1:19" x14ac:dyDescent="0.35">
      <c r="J10" s="401"/>
      <c r="K10" s="402"/>
      <c r="L10" s="402"/>
      <c r="M10" s="402"/>
      <c r="N10" s="402"/>
      <c r="O10" s="402"/>
      <c r="P10" s="402"/>
      <c r="Q10" s="403"/>
    </row>
    <row r="11" spans="1:19" x14ac:dyDescent="0.35">
      <c r="J11" s="404"/>
      <c r="K11" s="405"/>
      <c r="L11" s="405"/>
      <c r="M11" s="405"/>
      <c r="N11" s="405"/>
      <c r="O11" s="405"/>
      <c r="P11" s="405"/>
      <c r="Q11" s="406"/>
    </row>
    <row r="12" spans="1:19" x14ac:dyDescent="0.35">
      <c r="J12" s="404"/>
      <c r="K12" s="405"/>
      <c r="L12" s="405"/>
      <c r="M12" s="405"/>
      <c r="N12" s="405"/>
      <c r="O12" s="405"/>
      <c r="P12" s="405"/>
      <c r="Q12" s="406"/>
    </row>
    <row r="13" spans="1:19" x14ac:dyDescent="0.35">
      <c r="J13" s="404"/>
      <c r="K13" s="405"/>
      <c r="L13" s="405"/>
      <c r="M13" s="405"/>
      <c r="N13" s="405"/>
      <c r="O13" s="405"/>
      <c r="P13" s="405"/>
      <c r="Q13" s="406"/>
    </row>
    <row r="14" spans="1:19" x14ac:dyDescent="0.35">
      <c r="J14" s="404"/>
      <c r="K14" s="405"/>
      <c r="L14" s="405"/>
      <c r="M14" s="405"/>
      <c r="N14" s="405"/>
      <c r="O14" s="405"/>
      <c r="P14" s="405"/>
      <c r="Q14" s="406"/>
    </row>
    <row r="15" spans="1:19" ht="15" thickBot="1" x14ac:dyDescent="0.4">
      <c r="J15" s="407"/>
      <c r="K15" s="408"/>
      <c r="L15" s="408"/>
      <c r="M15" s="408"/>
      <c r="N15" s="408"/>
      <c r="O15" s="408"/>
      <c r="P15" s="408"/>
      <c r="Q15" s="409"/>
    </row>
    <row r="18" spans="3:17" x14ac:dyDescent="0.35">
      <c r="C18" s="7" t="s">
        <v>8</v>
      </c>
      <c r="E18" s="11">
        <f>'KPI 1'!E18</f>
        <v>45839</v>
      </c>
      <c r="F18" s="11">
        <f>'KPI 1'!F18</f>
        <v>45870</v>
      </c>
      <c r="G18" s="11">
        <f>'KPI 1'!G18</f>
        <v>45901</v>
      </c>
      <c r="H18" s="11">
        <f>'KPI 1'!H18</f>
        <v>45931</v>
      </c>
      <c r="I18" s="11">
        <f>'KPI 1'!I18</f>
        <v>45962</v>
      </c>
      <c r="J18" s="11">
        <f>'KPI 1'!J18</f>
        <v>45992</v>
      </c>
      <c r="K18" s="11">
        <f>'KPI 1'!K18</f>
        <v>46023</v>
      </c>
      <c r="L18" s="11">
        <f>'KPI 1'!L18</f>
        <v>46054</v>
      </c>
      <c r="M18" s="11">
        <f>'KPI 1'!M18</f>
        <v>46082</v>
      </c>
      <c r="N18" s="11">
        <f>'KPI 1'!N18</f>
        <v>46113</v>
      </c>
      <c r="O18" s="11">
        <f>'KPI 1'!O18</f>
        <v>46143</v>
      </c>
      <c r="P18" s="11">
        <f>'KPI 1'!P18</f>
        <v>46174</v>
      </c>
      <c r="Q18" s="8" t="s">
        <v>0</v>
      </c>
    </row>
    <row r="19" spans="3:17" x14ac:dyDescent="0.35">
      <c r="D19" s="3" t="str">
        <f>'KPI 1'!D19</f>
        <v>Budget 2025-26</v>
      </c>
      <c r="E19" s="5">
        <f>'budget 2025-26'!D58</f>
        <v>0</v>
      </c>
      <c r="F19" s="5">
        <f>'budget 2025-26'!E58</f>
        <v>0</v>
      </c>
      <c r="G19" s="5">
        <f>'budget 2025-26'!F58</f>
        <v>0</v>
      </c>
      <c r="H19" s="5">
        <f>'budget 2025-26'!G58</f>
        <v>0</v>
      </c>
      <c r="I19" s="5">
        <f>'budget 2025-26'!H58</f>
        <v>0</v>
      </c>
      <c r="J19" s="5">
        <f>'budget 2025-26'!I58</f>
        <v>0</v>
      </c>
      <c r="K19" s="5">
        <f>'budget 2025-26'!J58</f>
        <v>0</v>
      </c>
      <c r="L19" s="5">
        <f>'budget 2025-26'!K58</f>
        <v>0</v>
      </c>
      <c r="M19" s="5">
        <f>'budget 2025-26'!L58</f>
        <v>0</v>
      </c>
      <c r="N19" s="5">
        <f>'budget 2025-26'!M58</f>
        <v>0</v>
      </c>
      <c r="O19" s="5">
        <f>'budget 2025-26'!N58</f>
        <v>0</v>
      </c>
      <c r="P19" s="5">
        <f>'budget 2025-26'!O58</f>
        <v>0</v>
      </c>
      <c r="Q19" s="5">
        <f>SUM(E19:P19)</f>
        <v>0</v>
      </c>
    </row>
    <row r="20" spans="3:17" x14ac:dyDescent="0.35">
      <c r="D20" s="3" t="str">
        <f>'KPI 1'!D20</f>
        <v>Actual 2025-26</v>
      </c>
      <c r="E20" s="5">
        <f>'Input Actual2025-26'!E60</f>
        <v>0</v>
      </c>
      <c r="F20" s="5">
        <f>'Input Actual2025-26'!F60</f>
        <v>0</v>
      </c>
      <c r="G20" s="5">
        <f>'Input Actual2025-26'!G60</f>
        <v>0</v>
      </c>
      <c r="H20" s="5">
        <f>'Input Actual2025-26'!H60</f>
        <v>0</v>
      </c>
      <c r="I20" s="5">
        <f>'Input Actual2025-26'!I60</f>
        <v>0</v>
      </c>
      <c r="J20" s="5">
        <f>'Input Actual2025-26'!J60</f>
        <v>0</v>
      </c>
      <c r="K20" s="5">
        <f>'Input Actual2025-26'!K60</f>
        <v>0</v>
      </c>
      <c r="L20" s="5">
        <f>'Input Actual2025-26'!L60</f>
        <v>0</v>
      </c>
      <c r="M20" s="5">
        <f>'Input Actual2025-26'!M60</f>
        <v>0</v>
      </c>
      <c r="N20" s="5">
        <f>'Input Actual2025-26'!N60</f>
        <v>0</v>
      </c>
      <c r="O20" s="5">
        <f>'Input Actual2025-26'!O60</f>
        <v>0</v>
      </c>
      <c r="P20" s="5">
        <f>'Input Actual2025-26'!P60</f>
        <v>0</v>
      </c>
      <c r="Q20" s="5">
        <f t="shared" ref="Q20:Q22" si="0">SUM(E20:P20)</f>
        <v>0</v>
      </c>
    </row>
    <row r="21" spans="3:17" x14ac:dyDescent="0.35">
      <c r="D21" s="3" t="s">
        <v>424</v>
      </c>
      <c r="E21" s="5">
        <f>'Input Actual2024-25'!E56</f>
        <v>0</v>
      </c>
      <c r="F21" s="5">
        <f>'Input Actual2024-25'!F56</f>
        <v>0</v>
      </c>
      <c r="G21" s="5">
        <f>'Input Actual2024-25'!G56</f>
        <v>0</v>
      </c>
      <c r="H21" s="5">
        <f>'Input Actual2024-25'!H56</f>
        <v>0</v>
      </c>
      <c r="I21" s="5">
        <f>'Input Actual2024-25'!I56</f>
        <v>0</v>
      </c>
      <c r="J21" s="5">
        <f>'Input Actual2024-25'!J56</f>
        <v>0</v>
      </c>
      <c r="K21" s="5">
        <f>'Input Actual2024-25'!K56</f>
        <v>0</v>
      </c>
      <c r="L21" s="5">
        <f>'Input Actual2024-25'!L56</f>
        <v>0</v>
      </c>
      <c r="M21" s="5">
        <f>'Input Actual2024-25'!M56</f>
        <v>0</v>
      </c>
      <c r="N21" s="5">
        <f>'Input Actual2024-25'!N56</f>
        <v>0</v>
      </c>
      <c r="O21" s="5">
        <f>'Input Actual2024-25'!O56</f>
        <v>0</v>
      </c>
      <c r="P21" s="5">
        <f>'Input Actual2024-25'!P56</f>
        <v>0</v>
      </c>
      <c r="Q21" s="5">
        <f>'Input Actual2024-25'!Q56</f>
        <v>0</v>
      </c>
    </row>
    <row r="22" spans="3:17" x14ac:dyDescent="0.35">
      <c r="D22" s="3" t="s">
        <v>7</v>
      </c>
      <c r="E22" s="5">
        <f t="shared" ref="E22:P22" si="1">IF(E20=0,0,E20-E19)</f>
        <v>0</v>
      </c>
      <c r="F22" s="5">
        <f t="shared" si="1"/>
        <v>0</v>
      </c>
      <c r="G22" s="5">
        <f t="shared" si="1"/>
        <v>0</v>
      </c>
      <c r="H22" s="5">
        <f t="shared" si="1"/>
        <v>0</v>
      </c>
      <c r="I22" s="5">
        <f t="shared" si="1"/>
        <v>0</v>
      </c>
      <c r="J22" s="5">
        <f t="shared" si="1"/>
        <v>0</v>
      </c>
      <c r="K22" s="5">
        <f t="shared" si="1"/>
        <v>0</v>
      </c>
      <c r="L22" s="5">
        <f t="shared" si="1"/>
        <v>0</v>
      </c>
      <c r="M22" s="5">
        <f t="shared" si="1"/>
        <v>0</v>
      </c>
      <c r="N22" s="5">
        <f t="shared" si="1"/>
        <v>0</v>
      </c>
      <c r="O22" s="5">
        <f t="shared" si="1"/>
        <v>0</v>
      </c>
      <c r="P22" s="5">
        <f t="shared" si="1"/>
        <v>0</v>
      </c>
      <c r="Q22" s="5">
        <f t="shared" si="0"/>
        <v>0</v>
      </c>
    </row>
    <row r="23" spans="3:17" x14ac:dyDescent="0.35">
      <c r="D23" s="3" t="s">
        <v>43</v>
      </c>
      <c r="E23" s="9" t="e">
        <f>E21/E19</f>
        <v>#DIV/0!</v>
      </c>
      <c r="F23" s="9" t="e">
        <f t="shared" ref="F23:P23" si="2">F20/F19</f>
        <v>#DIV/0!</v>
      </c>
      <c r="G23" s="9" t="e">
        <f t="shared" si="2"/>
        <v>#DIV/0!</v>
      </c>
      <c r="H23" s="9" t="e">
        <f t="shared" si="2"/>
        <v>#DIV/0!</v>
      </c>
      <c r="I23" s="9" t="e">
        <f t="shared" si="2"/>
        <v>#DIV/0!</v>
      </c>
      <c r="J23" s="9" t="e">
        <f t="shared" si="2"/>
        <v>#DIV/0!</v>
      </c>
      <c r="K23" s="9" t="e">
        <f t="shared" si="2"/>
        <v>#DIV/0!</v>
      </c>
      <c r="L23" s="9" t="e">
        <f t="shared" si="2"/>
        <v>#DIV/0!</v>
      </c>
      <c r="M23" s="9" t="e">
        <f t="shared" si="2"/>
        <v>#DIV/0!</v>
      </c>
      <c r="N23" s="9" t="e">
        <f t="shared" si="2"/>
        <v>#DIV/0!</v>
      </c>
      <c r="O23" s="9" t="e">
        <f t="shared" si="2"/>
        <v>#DIV/0!</v>
      </c>
      <c r="P23" s="9" t="e">
        <f t="shared" si="2"/>
        <v>#DIV/0!</v>
      </c>
    </row>
    <row r="25" spans="3:17" x14ac:dyDescent="0.35">
      <c r="C25" s="7" t="s">
        <v>3</v>
      </c>
      <c r="E25" s="11">
        <f>E18</f>
        <v>45839</v>
      </c>
      <c r="F25" s="11">
        <f t="shared" ref="F25:P28" si="3">F18</f>
        <v>45870</v>
      </c>
      <c r="G25" s="11">
        <f t="shared" si="3"/>
        <v>45901</v>
      </c>
      <c r="H25" s="11">
        <f t="shared" si="3"/>
        <v>45931</v>
      </c>
      <c r="I25" s="11">
        <f t="shared" si="3"/>
        <v>45962</v>
      </c>
      <c r="J25" s="11">
        <f t="shared" si="3"/>
        <v>45992</v>
      </c>
      <c r="K25" s="11">
        <f t="shared" si="3"/>
        <v>46023</v>
      </c>
      <c r="L25" s="11">
        <f t="shared" si="3"/>
        <v>46054</v>
      </c>
      <c r="M25" s="11">
        <f t="shared" si="3"/>
        <v>46082</v>
      </c>
      <c r="N25" s="11">
        <f t="shared" si="3"/>
        <v>46113</v>
      </c>
      <c r="O25" s="11">
        <f t="shared" si="3"/>
        <v>46143</v>
      </c>
      <c r="P25" s="11">
        <f t="shared" si="3"/>
        <v>46174</v>
      </c>
    </row>
    <row r="26" spans="3:17" x14ac:dyDescent="0.35">
      <c r="D26" s="3" t="str">
        <f>D19</f>
        <v>Budget 2025-26</v>
      </c>
      <c r="E26" s="5">
        <f>E19</f>
        <v>0</v>
      </c>
      <c r="F26" s="5">
        <f t="shared" si="3"/>
        <v>0</v>
      </c>
      <c r="G26" s="5">
        <f t="shared" si="3"/>
        <v>0</v>
      </c>
      <c r="H26" s="5">
        <f t="shared" si="3"/>
        <v>0</v>
      </c>
      <c r="I26" s="5">
        <f t="shared" si="3"/>
        <v>0</v>
      </c>
      <c r="J26" s="5">
        <f t="shared" si="3"/>
        <v>0</v>
      </c>
      <c r="K26" s="5">
        <f t="shared" si="3"/>
        <v>0</v>
      </c>
      <c r="L26" s="5">
        <f t="shared" si="3"/>
        <v>0</v>
      </c>
      <c r="M26" s="5">
        <f t="shared" si="3"/>
        <v>0</v>
      </c>
      <c r="N26" s="5">
        <f t="shared" si="3"/>
        <v>0</v>
      </c>
      <c r="O26" s="5">
        <f t="shared" si="3"/>
        <v>0</v>
      </c>
      <c r="P26" s="5">
        <f t="shared" si="3"/>
        <v>0</v>
      </c>
    </row>
    <row r="27" spans="3:17" x14ac:dyDescent="0.35">
      <c r="D27" s="3" t="str">
        <f t="shared" ref="D27:E30" si="4">D20</f>
        <v>Actual 2025-26</v>
      </c>
      <c r="E27" s="5">
        <f t="shared" si="4"/>
        <v>0</v>
      </c>
      <c r="F27" s="5">
        <f t="shared" si="3"/>
        <v>0</v>
      </c>
      <c r="G27" s="5">
        <f t="shared" si="3"/>
        <v>0</v>
      </c>
      <c r="H27" s="5">
        <f t="shared" si="3"/>
        <v>0</v>
      </c>
      <c r="I27" s="5">
        <f t="shared" si="3"/>
        <v>0</v>
      </c>
      <c r="J27" s="5">
        <f t="shared" si="3"/>
        <v>0</v>
      </c>
      <c r="K27" s="5">
        <f t="shared" si="3"/>
        <v>0</v>
      </c>
      <c r="L27" s="5">
        <f t="shared" si="3"/>
        <v>0</v>
      </c>
      <c r="M27" s="5">
        <f t="shared" si="3"/>
        <v>0</v>
      </c>
      <c r="N27" s="5">
        <f t="shared" si="3"/>
        <v>0</v>
      </c>
      <c r="O27" s="5">
        <f t="shared" si="3"/>
        <v>0</v>
      </c>
      <c r="P27" s="5">
        <f t="shared" si="3"/>
        <v>0</v>
      </c>
    </row>
    <row r="28" spans="3:17" x14ac:dyDescent="0.35">
      <c r="D28" s="3" t="str">
        <f t="shared" si="4"/>
        <v>Actual 2024-25</v>
      </c>
      <c r="E28" s="5">
        <f t="shared" si="4"/>
        <v>0</v>
      </c>
      <c r="F28" s="5">
        <f t="shared" si="3"/>
        <v>0</v>
      </c>
      <c r="G28" s="5">
        <f t="shared" si="3"/>
        <v>0</v>
      </c>
      <c r="H28" s="5">
        <f t="shared" si="3"/>
        <v>0</v>
      </c>
      <c r="I28" s="5">
        <f t="shared" si="3"/>
        <v>0</v>
      </c>
      <c r="J28" s="5">
        <f t="shared" si="3"/>
        <v>0</v>
      </c>
      <c r="K28" s="5">
        <f t="shared" si="3"/>
        <v>0</v>
      </c>
      <c r="L28" s="5">
        <f t="shared" si="3"/>
        <v>0</v>
      </c>
      <c r="M28" s="5">
        <f t="shared" si="3"/>
        <v>0</v>
      </c>
      <c r="N28" s="5">
        <f t="shared" si="3"/>
        <v>0</v>
      </c>
      <c r="O28" s="5">
        <f t="shared" si="3"/>
        <v>0</v>
      </c>
      <c r="P28" s="5">
        <f t="shared" si="3"/>
        <v>0</v>
      </c>
    </row>
    <row r="29" spans="3:17" x14ac:dyDescent="0.35">
      <c r="D29" s="3" t="str">
        <f t="shared" si="4"/>
        <v>Difference</v>
      </c>
      <c r="E29" s="5">
        <f>SUM($E22:E22)</f>
        <v>0</v>
      </c>
      <c r="F29" s="5">
        <f>SUM($E22:F22)</f>
        <v>0</v>
      </c>
      <c r="G29" s="5">
        <f>SUM($E22:G22)</f>
        <v>0</v>
      </c>
      <c r="H29" s="5">
        <f>SUM($E22:H22)</f>
        <v>0</v>
      </c>
      <c r="I29" s="5">
        <f>SUM($E22:I22)</f>
        <v>0</v>
      </c>
      <c r="J29" s="5">
        <f>SUM($E22:J22)</f>
        <v>0</v>
      </c>
      <c r="K29" s="5">
        <f>SUM($E22:K22)</f>
        <v>0</v>
      </c>
      <c r="L29" s="5">
        <f>SUM($E22:L22)</f>
        <v>0</v>
      </c>
      <c r="M29" s="5">
        <f>SUM($E22:M22)</f>
        <v>0</v>
      </c>
      <c r="N29" s="5">
        <f>SUM($E22:N22)</f>
        <v>0</v>
      </c>
      <c r="O29" s="5">
        <f>SUM($E22:O22)</f>
        <v>0</v>
      </c>
      <c r="P29" s="5">
        <f>SUM($E22:P22)</f>
        <v>0</v>
      </c>
    </row>
    <row r="30" spans="3:17" x14ac:dyDescent="0.35">
      <c r="D30" s="3" t="str">
        <f t="shared" si="4"/>
        <v>Realisation</v>
      </c>
      <c r="E30" s="9" t="e">
        <f>E28/E26</f>
        <v>#DIV/0!</v>
      </c>
      <c r="F30" s="9" t="e">
        <f t="shared" ref="F30:P30" si="5">F27/F26</f>
        <v>#DIV/0!</v>
      </c>
      <c r="G30" s="9" t="e">
        <f t="shared" si="5"/>
        <v>#DIV/0!</v>
      </c>
      <c r="H30" s="9" t="e">
        <f t="shared" si="5"/>
        <v>#DIV/0!</v>
      </c>
      <c r="I30" s="9" t="e">
        <f t="shared" si="5"/>
        <v>#DIV/0!</v>
      </c>
      <c r="J30" s="9" t="e">
        <f t="shared" si="5"/>
        <v>#DIV/0!</v>
      </c>
      <c r="K30" s="9" t="e">
        <f t="shared" si="5"/>
        <v>#DIV/0!</v>
      </c>
      <c r="L30" s="9" t="e">
        <f t="shared" si="5"/>
        <v>#DIV/0!</v>
      </c>
      <c r="M30" s="9" t="e">
        <f t="shared" si="5"/>
        <v>#DIV/0!</v>
      </c>
      <c r="N30" s="9" t="e">
        <f t="shared" si="5"/>
        <v>#DIV/0!</v>
      </c>
      <c r="O30" s="9" t="e">
        <f t="shared" si="5"/>
        <v>#DIV/0!</v>
      </c>
      <c r="P30" s="9" t="e">
        <f t="shared" si="5"/>
        <v>#DIV/0!</v>
      </c>
    </row>
  </sheetData>
  <mergeCells count="2">
    <mergeCell ref="J4:Q8"/>
    <mergeCell ref="J10:Q15"/>
  </mergeCells>
  <conditionalFormatting sqref="C3">
    <cfRule type="expression" dxfId="416" priority="2">
      <formula>S4&lt;S6</formula>
    </cfRule>
  </conditionalFormatting>
  <conditionalFormatting sqref="C5">
    <cfRule type="expression" dxfId="415" priority="3">
      <formula>S4&gt;=S5</formula>
    </cfRule>
  </conditionalFormatting>
  <conditionalFormatting sqref="C4">
    <cfRule type="expression" dxfId="414" priority="1">
      <formula>AND(S4&gt;=S6,S4&lt;S5)</formula>
    </cfRule>
  </conditionalFormatting>
  <hyperlinks>
    <hyperlink ref="L1" location="Dashboard!A1" display="Dashboard"/>
  </hyperlinks>
  <pageMargins left="0.7" right="0.7" top="0.75" bottom="0.75" header="0.3" footer="0.3"/>
  <pageSetup orientation="portrait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980993" r:id="rId4" name="Spinner 1">
              <controlPr defaultSize="0" autoPict="0">
                <anchor moveWithCells="1" sizeWithCells="1">
                  <from>
                    <xdr:col>9</xdr:col>
                    <xdr:colOff>19050</xdr:colOff>
                    <xdr:row>0</xdr:row>
                    <xdr:rowOff>38100</xdr:rowOff>
                  </from>
                  <to>
                    <xdr:col>9</xdr:col>
                    <xdr:colOff>400050</xdr:colOff>
                    <xdr:row>1</xdr:row>
                    <xdr:rowOff>152400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6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46"/>
  <dimension ref="A1:S30"/>
  <sheetViews>
    <sheetView zoomScale="90" zoomScaleNormal="90" workbookViewId="0">
      <selection activeCell="L1" sqref="L1"/>
    </sheetView>
  </sheetViews>
  <sheetFormatPr defaultColWidth="9.1796875" defaultRowHeight="14.5" x14ac:dyDescent="0.35"/>
  <cols>
    <col min="1" max="1" width="9.1796875" style="3"/>
    <col min="2" max="2" width="5.1796875" style="3" customWidth="1"/>
    <col min="3" max="3" width="6.26953125" style="3" customWidth="1"/>
    <col min="4" max="4" width="21.26953125" style="3" bestFit="1" customWidth="1"/>
    <col min="5" max="16" width="11.1796875" style="3" customWidth="1"/>
    <col min="17" max="17" width="12" style="3" bestFit="1" customWidth="1"/>
    <col min="18" max="18" width="9.1796875" style="3" customWidth="1"/>
    <col min="19" max="16384" width="9.1796875" style="3"/>
  </cols>
  <sheetData>
    <row r="1" spans="1:19" ht="21" x14ac:dyDescent="0.5">
      <c r="A1" s="4" t="s">
        <v>4</v>
      </c>
      <c r="B1" s="4">
        <f>Dashboard!A64</f>
        <v>0</v>
      </c>
      <c r="C1" s="4" t="str">
        <f>Dashboard!B64</f>
        <v>TOTAL SEWER CONNECTION CENTRAL REGION</v>
      </c>
      <c r="G1" s="3" t="s">
        <v>9</v>
      </c>
      <c r="I1" s="12">
        <f>INDEX($E$18:$P$18,Actual_month)</f>
        <v>46054</v>
      </c>
      <c r="L1" s="16" t="s">
        <v>19</v>
      </c>
      <c r="R1" s="5"/>
    </row>
    <row r="2" spans="1:19" x14ac:dyDescent="0.35">
      <c r="A2" s="3" t="s">
        <v>13</v>
      </c>
      <c r="C2" s="3" t="s">
        <v>27</v>
      </c>
      <c r="R2" s="6"/>
    </row>
    <row r="3" spans="1:19" ht="25.5" customHeight="1" thickBot="1" x14ac:dyDescent="0.4">
      <c r="C3" s="1" t="s">
        <v>5</v>
      </c>
      <c r="E3" s="10"/>
      <c r="F3" s="10"/>
      <c r="G3" s="10"/>
      <c r="H3" s="10"/>
      <c r="I3" s="10"/>
      <c r="J3" s="3" t="s">
        <v>6</v>
      </c>
      <c r="K3" s="10"/>
      <c r="M3" s="10"/>
      <c r="N3" s="10"/>
      <c r="O3" s="10"/>
      <c r="P3" s="10"/>
    </row>
    <row r="4" spans="1:19" ht="25.5" customHeight="1" x14ac:dyDescent="0.35">
      <c r="C4" s="1" t="s">
        <v>5</v>
      </c>
      <c r="E4" s="10"/>
      <c r="F4" s="10"/>
      <c r="G4" s="10"/>
      <c r="H4" s="10"/>
      <c r="I4" s="10"/>
      <c r="J4" s="401"/>
      <c r="K4" s="402"/>
      <c r="L4" s="402"/>
      <c r="M4" s="402"/>
      <c r="N4" s="402"/>
      <c r="O4" s="402"/>
      <c r="P4" s="402"/>
      <c r="Q4" s="403"/>
      <c r="R4" s="3" t="s">
        <v>22</v>
      </c>
      <c r="S4" s="5">
        <f>INDEX(E27:P27,Actual_month)</f>
        <v>2112</v>
      </c>
    </row>
    <row r="5" spans="1:19" ht="25.5" customHeight="1" x14ac:dyDescent="0.35">
      <c r="C5" s="1" t="s">
        <v>5</v>
      </c>
      <c r="E5" s="10"/>
      <c r="F5" s="10"/>
      <c r="G5" s="10"/>
      <c r="H5" s="10"/>
      <c r="I5" s="10"/>
      <c r="J5" s="404"/>
      <c r="K5" s="405"/>
      <c r="L5" s="405"/>
      <c r="M5" s="405"/>
      <c r="N5" s="405"/>
      <c r="O5" s="405"/>
      <c r="P5" s="405"/>
      <c r="Q5" s="406"/>
      <c r="R5" s="3" t="s">
        <v>23</v>
      </c>
      <c r="S5" s="5">
        <f>INDEX(E26:P26,Actual_month)</f>
        <v>2207</v>
      </c>
    </row>
    <row r="6" spans="1:19" x14ac:dyDescent="0.35">
      <c r="J6" s="404"/>
      <c r="K6" s="405"/>
      <c r="L6" s="405"/>
      <c r="M6" s="405"/>
      <c r="N6" s="405"/>
      <c r="O6" s="405"/>
      <c r="P6" s="405"/>
      <c r="Q6" s="406"/>
      <c r="R6" s="6">
        <v>0.9</v>
      </c>
      <c r="S6" s="5">
        <f>+S5*R6</f>
        <v>1986.3</v>
      </c>
    </row>
    <row r="7" spans="1:19" x14ac:dyDescent="0.35">
      <c r="J7" s="404"/>
      <c r="K7" s="405"/>
      <c r="L7" s="405"/>
      <c r="M7" s="405"/>
      <c r="N7" s="405"/>
      <c r="O7" s="405"/>
      <c r="P7" s="405"/>
      <c r="Q7" s="406"/>
    </row>
    <row r="8" spans="1:19" ht="15" thickBot="1" x14ac:dyDescent="0.4">
      <c r="J8" s="407"/>
      <c r="K8" s="408"/>
      <c r="L8" s="408"/>
      <c r="M8" s="408"/>
      <c r="N8" s="408"/>
      <c r="O8" s="408"/>
      <c r="P8" s="408"/>
      <c r="Q8" s="409"/>
    </row>
    <row r="9" spans="1:19" ht="15" thickBot="1" x14ac:dyDescent="0.4">
      <c r="J9" s="3" t="s">
        <v>12</v>
      </c>
    </row>
    <row r="10" spans="1:19" x14ac:dyDescent="0.35">
      <c r="J10" s="401"/>
      <c r="K10" s="402"/>
      <c r="L10" s="402"/>
      <c r="M10" s="402"/>
      <c r="N10" s="402"/>
      <c r="O10" s="402"/>
      <c r="P10" s="402"/>
      <c r="Q10" s="403"/>
    </row>
    <row r="11" spans="1:19" x14ac:dyDescent="0.35">
      <c r="J11" s="404"/>
      <c r="K11" s="405"/>
      <c r="L11" s="405"/>
      <c r="M11" s="405"/>
      <c r="N11" s="405"/>
      <c r="O11" s="405"/>
      <c r="P11" s="405"/>
      <c r="Q11" s="406"/>
    </row>
    <row r="12" spans="1:19" x14ac:dyDescent="0.35">
      <c r="J12" s="404"/>
      <c r="K12" s="405"/>
      <c r="L12" s="405"/>
      <c r="M12" s="405"/>
      <c r="N12" s="405"/>
      <c r="O12" s="405"/>
      <c r="P12" s="405"/>
      <c r="Q12" s="406"/>
    </row>
    <row r="13" spans="1:19" x14ac:dyDescent="0.35">
      <c r="J13" s="404"/>
      <c r="K13" s="405"/>
      <c r="L13" s="405"/>
      <c r="M13" s="405"/>
      <c r="N13" s="405"/>
      <c r="O13" s="405"/>
      <c r="P13" s="405"/>
      <c r="Q13" s="406"/>
    </row>
    <row r="14" spans="1:19" x14ac:dyDescent="0.35">
      <c r="J14" s="404"/>
      <c r="K14" s="405"/>
      <c r="L14" s="405"/>
      <c r="M14" s="405"/>
      <c r="N14" s="405"/>
      <c r="O14" s="405"/>
      <c r="P14" s="405"/>
      <c r="Q14" s="406"/>
    </row>
    <row r="15" spans="1:19" ht="15" thickBot="1" x14ac:dyDescent="0.4">
      <c r="J15" s="407"/>
      <c r="K15" s="408"/>
      <c r="L15" s="408"/>
      <c r="M15" s="408"/>
      <c r="N15" s="408"/>
      <c r="O15" s="408"/>
      <c r="P15" s="408"/>
      <c r="Q15" s="409"/>
    </row>
    <row r="18" spans="3:17" x14ac:dyDescent="0.35">
      <c r="C18" s="7" t="s">
        <v>8</v>
      </c>
      <c r="E18" s="11">
        <f>'KPI 1'!E18</f>
        <v>45839</v>
      </c>
      <c r="F18" s="11">
        <f>'KPI 1'!F18</f>
        <v>45870</v>
      </c>
      <c r="G18" s="11">
        <f>'KPI 1'!G18</f>
        <v>45901</v>
      </c>
      <c r="H18" s="11">
        <f>'KPI 1'!H18</f>
        <v>45931</v>
      </c>
      <c r="I18" s="11">
        <f>'KPI 1'!I18</f>
        <v>45962</v>
      </c>
      <c r="J18" s="11">
        <f>'KPI 1'!J18</f>
        <v>45992</v>
      </c>
      <c r="K18" s="11">
        <f>'KPI 1'!K18</f>
        <v>46023</v>
      </c>
      <c r="L18" s="11">
        <f>'KPI 1'!L18</f>
        <v>46054</v>
      </c>
      <c r="M18" s="11">
        <f>'KPI 1'!M18</f>
        <v>46082</v>
      </c>
      <c r="N18" s="11">
        <f>'KPI 1'!N18</f>
        <v>46113</v>
      </c>
      <c r="O18" s="11">
        <f>'KPI 1'!O18</f>
        <v>46143</v>
      </c>
      <c r="P18" s="11">
        <f>'KPI 1'!P18</f>
        <v>46174</v>
      </c>
      <c r="Q18" s="8" t="s">
        <v>0</v>
      </c>
    </row>
    <row r="19" spans="3:17" x14ac:dyDescent="0.35">
      <c r="D19" s="3" t="str">
        <f>'KPI 1'!D19</f>
        <v>Budget 2025-26</v>
      </c>
      <c r="E19" s="5">
        <f>'budget 2025-26'!D61</f>
        <v>2116</v>
      </c>
      <c r="F19" s="5">
        <f>'budget 2025-26'!E61</f>
        <v>2129</v>
      </c>
      <c r="G19" s="5">
        <f>'budget 2025-26'!F61</f>
        <v>2142</v>
      </c>
      <c r="H19" s="5">
        <f>'budget 2025-26'!G61</f>
        <v>2155</v>
      </c>
      <c r="I19" s="5">
        <f>'budget 2025-26'!H61</f>
        <v>2168</v>
      </c>
      <c r="J19" s="5">
        <f>'budget 2025-26'!I61</f>
        <v>2181</v>
      </c>
      <c r="K19" s="5">
        <f>'budget 2025-26'!J61</f>
        <v>2194</v>
      </c>
      <c r="L19" s="5">
        <f>'budget 2025-26'!K61</f>
        <v>2207</v>
      </c>
      <c r="M19" s="5">
        <f>'budget 2025-26'!L61</f>
        <v>2220</v>
      </c>
      <c r="N19" s="5">
        <f>'budget 2025-26'!M61</f>
        <v>2233</v>
      </c>
      <c r="O19" s="5">
        <f>'budget 2025-26'!N61</f>
        <v>2246</v>
      </c>
      <c r="P19" s="5">
        <f>'budget 2025-26'!O61</f>
        <v>2259</v>
      </c>
      <c r="Q19" s="5">
        <f>SUM(E19:P19)</f>
        <v>26250</v>
      </c>
    </row>
    <row r="20" spans="3:17" x14ac:dyDescent="0.35">
      <c r="D20" s="3" t="str">
        <f>'KPI 1'!D20</f>
        <v>Actual 2025-26</v>
      </c>
      <c r="E20" s="5">
        <f>'Input Actual2025-26'!E63</f>
        <v>2101</v>
      </c>
      <c r="F20" s="5">
        <f>'Input Actual2025-26'!F63</f>
        <v>2107</v>
      </c>
      <c r="G20" s="5">
        <f>'Input Actual2025-26'!G63</f>
        <v>2107</v>
      </c>
      <c r="H20" s="5">
        <f>'Input Actual2025-26'!H63</f>
        <v>2105</v>
      </c>
      <c r="I20" s="5">
        <f>'Input Actual2025-26'!I63</f>
        <v>2106</v>
      </c>
      <c r="J20" s="5">
        <f>'Input Actual2025-26'!J63</f>
        <v>2109</v>
      </c>
      <c r="K20" s="5">
        <f>'Input Actual2025-26'!K63</f>
        <v>2112</v>
      </c>
      <c r="L20" s="5">
        <f>'Input Actual2025-26'!L63</f>
        <v>2112</v>
      </c>
      <c r="M20" s="5">
        <f>'Input Actual2025-26'!M63</f>
        <v>0</v>
      </c>
      <c r="N20" s="5">
        <f>'Input Actual2025-26'!N63</f>
        <v>0</v>
      </c>
      <c r="O20" s="5">
        <f>'Input Actual2025-26'!O63</f>
        <v>0</v>
      </c>
      <c r="P20" s="5">
        <f>'Input Actual2025-26'!P63</f>
        <v>0</v>
      </c>
      <c r="Q20" s="5">
        <f t="shared" ref="Q20:Q22" si="0">SUM(E20:P20)</f>
        <v>16859</v>
      </c>
    </row>
    <row r="21" spans="3:17" x14ac:dyDescent="0.35">
      <c r="D21" s="3" t="s">
        <v>424</v>
      </c>
      <c r="E21" s="5">
        <f>'Input Actual2024-25'!E59</f>
        <v>2060</v>
      </c>
      <c r="F21" s="5">
        <f>'Input Actual2024-25'!F59</f>
        <v>2070</v>
      </c>
      <c r="G21" s="5">
        <f>'Input Actual2024-25'!G59</f>
        <v>2071</v>
      </c>
      <c r="H21" s="5">
        <f>'Input Actual2024-25'!H59</f>
        <v>2071</v>
      </c>
      <c r="I21" s="5">
        <f>'Input Actual2024-25'!I59</f>
        <v>2078</v>
      </c>
      <c r="J21" s="5">
        <f>'Input Actual2024-25'!J59</f>
        <v>2078</v>
      </c>
      <c r="K21" s="5">
        <f>'Input Actual2024-25'!K59</f>
        <v>2086</v>
      </c>
      <c r="L21" s="5">
        <f>'Input Actual2024-25'!L59</f>
        <v>2091</v>
      </c>
      <c r="M21" s="5">
        <f>'Input Actual2024-25'!M59</f>
        <v>2100</v>
      </c>
      <c r="N21" s="5">
        <f>'Input Actual2024-25'!N59</f>
        <v>2102</v>
      </c>
      <c r="O21" s="5">
        <f>'Input Actual2024-25'!O59</f>
        <v>2101</v>
      </c>
      <c r="P21" s="5">
        <f>'Input Actual2024-25'!P59</f>
        <v>2102</v>
      </c>
      <c r="Q21" s="5">
        <f t="shared" si="0"/>
        <v>25010</v>
      </c>
    </row>
    <row r="22" spans="3:17" x14ac:dyDescent="0.35">
      <c r="D22" s="3" t="s">
        <v>7</v>
      </c>
      <c r="E22" s="5">
        <f t="shared" ref="E22:P22" si="1">IF(E20=0,0,E20-E19)</f>
        <v>-15</v>
      </c>
      <c r="F22" s="5">
        <f t="shared" si="1"/>
        <v>-22</v>
      </c>
      <c r="G22" s="5">
        <f t="shared" si="1"/>
        <v>-35</v>
      </c>
      <c r="H22" s="5">
        <f t="shared" si="1"/>
        <v>-50</v>
      </c>
      <c r="I22" s="5">
        <f t="shared" si="1"/>
        <v>-62</v>
      </c>
      <c r="J22" s="5">
        <f t="shared" si="1"/>
        <v>-72</v>
      </c>
      <c r="K22" s="5">
        <f t="shared" si="1"/>
        <v>-82</v>
      </c>
      <c r="L22" s="5">
        <f t="shared" si="1"/>
        <v>-95</v>
      </c>
      <c r="M22" s="5">
        <f t="shared" si="1"/>
        <v>0</v>
      </c>
      <c r="N22" s="5">
        <f t="shared" si="1"/>
        <v>0</v>
      </c>
      <c r="O22" s="5">
        <f t="shared" si="1"/>
        <v>0</v>
      </c>
      <c r="P22" s="5">
        <f t="shared" si="1"/>
        <v>0</v>
      </c>
      <c r="Q22" s="5">
        <f t="shared" si="0"/>
        <v>-433</v>
      </c>
    </row>
    <row r="23" spans="3:17" x14ac:dyDescent="0.35">
      <c r="D23" s="3" t="s">
        <v>43</v>
      </c>
      <c r="E23" s="9">
        <f>E21/E19</f>
        <v>0.97353497164461245</v>
      </c>
      <c r="F23" s="9">
        <f t="shared" ref="F23:P23" si="2">F20/F19</f>
        <v>0.98966651009863782</v>
      </c>
      <c r="G23" s="9">
        <f t="shared" si="2"/>
        <v>0.9836601307189542</v>
      </c>
      <c r="H23" s="9">
        <f t="shared" si="2"/>
        <v>0.97679814385150809</v>
      </c>
      <c r="I23" s="9">
        <f t="shared" si="2"/>
        <v>0.97140221402214022</v>
      </c>
      <c r="J23" s="9">
        <f t="shared" si="2"/>
        <v>0.96698762035763408</v>
      </c>
      <c r="K23" s="9">
        <f t="shared" si="2"/>
        <v>0.9626253418413856</v>
      </c>
      <c r="L23" s="9">
        <f t="shared" si="2"/>
        <v>0.95695514272768467</v>
      </c>
      <c r="M23" s="9">
        <f t="shared" si="2"/>
        <v>0</v>
      </c>
      <c r="N23" s="9">
        <f t="shared" si="2"/>
        <v>0</v>
      </c>
      <c r="O23" s="9">
        <f t="shared" si="2"/>
        <v>0</v>
      </c>
      <c r="P23" s="9">
        <f t="shared" si="2"/>
        <v>0</v>
      </c>
    </row>
    <row r="25" spans="3:17" x14ac:dyDescent="0.35">
      <c r="C25" s="7" t="s">
        <v>3</v>
      </c>
      <c r="E25" s="11">
        <f>E18</f>
        <v>45839</v>
      </c>
      <c r="F25" s="11">
        <f t="shared" ref="F25:P28" si="3">F18</f>
        <v>45870</v>
      </c>
      <c r="G25" s="11">
        <f t="shared" si="3"/>
        <v>45901</v>
      </c>
      <c r="H25" s="11">
        <f t="shared" si="3"/>
        <v>45931</v>
      </c>
      <c r="I25" s="11">
        <f t="shared" si="3"/>
        <v>45962</v>
      </c>
      <c r="J25" s="11">
        <f t="shared" si="3"/>
        <v>45992</v>
      </c>
      <c r="K25" s="11">
        <f t="shared" si="3"/>
        <v>46023</v>
      </c>
      <c r="L25" s="11">
        <f t="shared" si="3"/>
        <v>46054</v>
      </c>
      <c r="M25" s="11">
        <f t="shared" si="3"/>
        <v>46082</v>
      </c>
      <c r="N25" s="11">
        <f t="shared" si="3"/>
        <v>46113</v>
      </c>
      <c r="O25" s="11">
        <f t="shared" si="3"/>
        <v>46143</v>
      </c>
      <c r="P25" s="11">
        <f t="shared" si="3"/>
        <v>46174</v>
      </c>
    </row>
    <row r="26" spans="3:17" x14ac:dyDescent="0.35">
      <c r="D26" s="3" t="str">
        <f>D19</f>
        <v>Budget 2025-26</v>
      </c>
      <c r="E26" s="5">
        <f>E19</f>
        <v>2116</v>
      </c>
      <c r="F26" s="5">
        <f t="shared" si="3"/>
        <v>2129</v>
      </c>
      <c r="G26" s="5">
        <f t="shared" si="3"/>
        <v>2142</v>
      </c>
      <c r="H26" s="5">
        <f t="shared" si="3"/>
        <v>2155</v>
      </c>
      <c r="I26" s="5">
        <f t="shared" si="3"/>
        <v>2168</v>
      </c>
      <c r="J26" s="5">
        <f t="shared" si="3"/>
        <v>2181</v>
      </c>
      <c r="K26" s="5">
        <f t="shared" si="3"/>
        <v>2194</v>
      </c>
      <c r="L26" s="5">
        <f t="shared" si="3"/>
        <v>2207</v>
      </c>
      <c r="M26" s="5">
        <f t="shared" si="3"/>
        <v>2220</v>
      </c>
      <c r="N26" s="5">
        <f t="shared" si="3"/>
        <v>2233</v>
      </c>
      <c r="O26" s="5">
        <f t="shared" si="3"/>
        <v>2246</v>
      </c>
      <c r="P26" s="5">
        <f t="shared" si="3"/>
        <v>2259</v>
      </c>
    </row>
    <row r="27" spans="3:17" x14ac:dyDescent="0.35">
      <c r="D27" s="3" t="str">
        <f t="shared" ref="D27:E30" si="4">D20</f>
        <v>Actual 2025-26</v>
      </c>
      <c r="E27" s="5">
        <f t="shared" si="4"/>
        <v>2101</v>
      </c>
      <c r="F27" s="5">
        <f t="shared" si="3"/>
        <v>2107</v>
      </c>
      <c r="G27" s="5">
        <f t="shared" si="3"/>
        <v>2107</v>
      </c>
      <c r="H27" s="5">
        <f t="shared" si="3"/>
        <v>2105</v>
      </c>
      <c r="I27" s="5">
        <f t="shared" si="3"/>
        <v>2106</v>
      </c>
      <c r="J27" s="5">
        <f t="shared" si="3"/>
        <v>2109</v>
      </c>
      <c r="K27" s="5">
        <f t="shared" si="3"/>
        <v>2112</v>
      </c>
      <c r="L27" s="5">
        <f t="shared" si="3"/>
        <v>2112</v>
      </c>
      <c r="M27" s="5">
        <f t="shared" si="3"/>
        <v>0</v>
      </c>
      <c r="N27" s="5">
        <f t="shared" si="3"/>
        <v>0</v>
      </c>
      <c r="O27" s="5">
        <f t="shared" si="3"/>
        <v>0</v>
      </c>
      <c r="P27" s="5">
        <f t="shared" si="3"/>
        <v>0</v>
      </c>
    </row>
    <row r="28" spans="3:17" x14ac:dyDescent="0.35">
      <c r="D28" s="3" t="str">
        <f t="shared" si="4"/>
        <v>Actual 2024-25</v>
      </c>
      <c r="E28" s="5">
        <f t="shared" si="4"/>
        <v>2060</v>
      </c>
      <c r="F28" s="5">
        <f t="shared" si="3"/>
        <v>2070</v>
      </c>
      <c r="G28" s="5">
        <f t="shared" si="3"/>
        <v>2071</v>
      </c>
      <c r="H28" s="5">
        <f t="shared" si="3"/>
        <v>2071</v>
      </c>
      <c r="I28" s="5">
        <f t="shared" si="3"/>
        <v>2078</v>
      </c>
      <c r="J28" s="5">
        <f t="shared" si="3"/>
        <v>2078</v>
      </c>
      <c r="K28" s="5">
        <f t="shared" si="3"/>
        <v>2086</v>
      </c>
      <c r="L28" s="5">
        <f t="shared" si="3"/>
        <v>2091</v>
      </c>
      <c r="M28" s="5">
        <f t="shared" si="3"/>
        <v>2100</v>
      </c>
      <c r="N28" s="5">
        <f t="shared" si="3"/>
        <v>2102</v>
      </c>
      <c r="O28" s="5">
        <f t="shared" si="3"/>
        <v>2101</v>
      </c>
      <c r="P28" s="5">
        <f t="shared" si="3"/>
        <v>2102</v>
      </c>
    </row>
    <row r="29" spans="3:17" x14ac:dyDescent="0.35">
      <c r="D29" s="3" t="str">
        <f t="shared" si="4"/>
        <v>Difference</v>
      </c>
      <c r="E29" s="5">
        <f>SUM($E22:E22)</f>
        <v>-15</v>
      </c>
      <c r="F29" s="5">
        <f>SUM($E22:F22)</f>
        <v>-37</v>
      </c>
      <c r="G29" s="5">
        <f>SUM($E22:G22)</f>
        <v>-72</v>
      </c>
      <c r="H29" s="5">
        <f>SUM($E22:H22)</f>
        <v>-122</v>
      </c>
      <c r="I29" s="5">
        <f>SUM($E22:I22)</f>
        <v>-184</v>
      </c>
      <c r="J29" s="5">
        <f>SUM($E22:J22)</f>
        <v>-256</v>
      </c>
      <c r="K29" s="5">
        <f>SUM($E22:K22)</f>
        <v>-338</v>
      </c>
      <c r="L29" s="5">
        <f>SUM($E22:L22)</f>
        <v>-433</v>
      </c>
      <c r="M29" s="5">
        <f>SUM($E22:M22)</f>
        <v>-433</v>
      </c>
      <c r="N29" s="5">
        <f>SUM($E22:N22)</f>
        <v>-433</v>
      </c>
      <c r="O29" s="5">
        <f>SUM($E22:O22)</f>
        <v>-433</v>
      </c>
      <c r="P29" s="5">
        <f>SUM($E22:P22)</f>
        <v>-433</v>
      </c>
    </row>
    <row r="30" spans="3:17" x14ac:dyDescent="0.35">
      <c r="D30" s="3" t="str">
        <f t="shared" si="4"/>
        <v>Realisation</v>
      </c>
      <c r="E30" s="9">
        <f>E28/E26</f>
        <v>0.97353497164461245</v>
      </c>
      <c r="F30" s="9">
        <f t="shared" ref="F30:P30" si="5">F27/F26</f>
        <v>0.98966651009863782</v>
      </c>
      <c r="G30" s="9">
        <f t="shared" si="5"/>
        <v>0.9836601307189542</v>
      </c>
      <c r="H30" s="9">
        <f t="shared" si="5"/>
        <v>0.97679814385150809</v>
      </c>
      <c r="I30" s="9">
        <f t="shared" si="5"/>
        <v>0.97140221402214022</v>
      </c>
      <c r="J30" s="9">
        <f t="shared" si="5"/>
        <v>0.96698762035763408</v>
      </c>
      <c r="K30" s="9">
        <f t="shared" si="5"/>
        <v>0.9626253418413856</v>
      </c>
      <c r="L30" s="9">
        <f t="shared" si="5"/>
        <v>0.95695514272768467</v>
      </c>
      <c r="M30" s="9">
        <f t="shared" si="5"/>
        <v>0</v>
      </c>
      <c r="N30" s="9">
        <f t="shared" si="5"/>
        <v>0</v>
      </c>
      <c r="O30" s="9">
        <f t="shared" si="5"/>
        <v>0</v>
      </c>
      <c r="P30" s="9">
        <f t="shared" si="5"/>
        <v>0</v>
      </c>
    </row>
  </sheetData>
  <mergeCells count="2">
    <mergeCell ref="J4:Q8"/>
    <mergeCell ref="J10:Q15"/>
  </mergeCells>
  <conditionalFormatting sqref="C3">
    <cfRule type="expression" dxfId="413" priority="2">
      <formula>S4&lt;S6</formula>
    </cfRule>
  </conditionalFormatting>
  <conditionalFormatting sqref="C5">
    <cfRule type="expression" dxfId="412" priority="3">
      <formula>S4&gt;=S5</formula>
    </cfRule>
  </conditionalFormatting>
  <conditionalFormatting sqref="C4">
    <cfRule type="expression" dxfId="411" priority="1">
      <formula>AND(S4&gt;=S6,S4&lt;S5)</formula>
    </cfRule>
  </conditionalFormatting>
  <hyperlinks>
    <hyperlink ref="L1" location="Dashboard!A1" display="Dashboard"/>
  </hyperlinks>
  <pageMargins left="0.7" right="0.7" top="0.75" bottom="0.75" header="0.3" footer="0.3"/>
  <pageSetup orientation="portrait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982017" r:id="rId4" name="Spinner 1">
              <controlPr defaultSize="0" autoPict="0">
                <anchor moveWithCells="1" sizeWithCells="1">
                  <from>
                    <xdr:col>9</xdr:col>
                    <xdr:colOff>19050</xdr:colOff>
                    <xdr:row>0</xdr:row>
                    <xdr:rowOff>38100</xdr:rowOff>
                  </from>
                  <to>
                    <xdr:col>9</xdr:col>
                    <xdr:colOff>400050</xdr:colOff>
                    <xdr:row>1</xdr:row>
                    <xdr:rowOff>152400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6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47"/>
  <dimension ref="A1:S30"/>
  <sheetViews>
    <sheetView zoomScale="90" zoomScaleNormal="90" workbookViewId="0">
      <selection activeCell="L1" sqref="L1"/>
    </sheetView>
  </sheetViews>
  <sheetFormatPr defaultColWidth="9.1796875" defaultRowHeight="14.5" x14ac:dyDescent="0.35"/>
  <cols>
    <col min="1" max="1" width="9.1796875" style="3"/>
    <col min="2" max="2" width="5.1796875" style="3" customWidth="1"/>
    <col min="3" max="3" width="6.26953125" style="3" customWidth="1"/>
    <col min="4" max="4" width="21.26953125" style="3" bestFit="1" customWidth="1"/>
    <col min="5" max="16" width="11.1796875" style="3" customWidth="1"/>
    <col min="17" max="17" width="12" style="3" bestFit="1" customWidth="1"/>
    <col min="18" max="18" width="9.1796875" style="3" customWidth="1"/>
    <col min="19" max="16384" width="9.1796875" style="3"/>
  </cols>
  <sheetData>
    <row r="1" spans="1:19" ht="21" x14ac:dyDescent="0.5">
      <c r="A1" s="4" t="s">
        <v>4</v>
      </c>
      <c r="B1" s="4">
        <f>Dashboard!A66</f>
        <v>1</v>
      </c>
      <c r="C1" s="4" t="str">
        <f>Dashboard!B66</f>
        <v>HELLSGATE-SEWER</v>
      </c>
      <c r="G1" s="3" t="s">
        <v>9</v>
      </c>
      <c r="I1" s="12">
        <f>INDEX($E$18:$P$18,Actual_month)</f>
        <v>46054</v>
      </c>
      <c r="L1" s="16" t="s">
        <v>19</v>
      </c>
      <c r="R1" s="5"/>
    </row>
    <row r="2" spans="1:19" x14ac:dyDescent="0.35">
      <c r="A2" s="3" t="s">
        <v>13</v>
      </c>
      <c r="C2" s="3" t="s">
        <v>27</v>
      </c>
      <c r="R2" s="6"/>
    </row>
    <row r="3" spans="1:19" ht="25.5" customHeight="1" thickBot="1" x14ac:dyDescent="0.4">
      <c r="C3" s="1" t="s">
        <v>5</v>
      </c>
      <c r="E3" s="10"/>
      <c r="F3" s="10"/>
      <c r="G3" s="10"/>
      <c r="H3" s="10"/>
      <c r="I3" s="10"/>
      <c r="J3" s="3" t="s">
        <v>6</v>
      </c>
      <c r="K3" s="10"/>
      <c r="M3" s="10"/>
      <c r="N3" s="10"/>
      <c r="O3" s="10"/>
      <c r="P3" s="10"/>
    </row>
    <row r="4" spans="1:19" ht="25.5" customHeight="1" x14ac:dyDescent="0.35">
      <c r="C4" s="1" t="s">
        <v>5</v>
      </c>
      <c r="E4" s="10"/>
      <c r="F4" s="10"/>
      <c r="G4" s="10"/>
      <c r="H4" s="10"/>
      <c r="I4" s="10"/>
      <c r="J4" s="401"/>
      <c r="K4" s="402"/>
      <c r="L4" s="402"/>
      <c r="M4" s="402"/>
      <c r="N4" s="402"/>
      <c r="O4" s="402"/>
      <c r="P4" s="402"/>
      <c r="Q4" s="403"/>
      <c r="R4" s="3" t="s">
        <v>22</v>
      </c>
      <c r="S4" s="5">
        <f>INDEX(E27:P27,Actual_month)</f>
        <v>0</v>
      </c>
    </row>
    <row r="5" spans="1:19" ht="25.5" customHeight="1" x14ac:dyDescent="0.35">
      <c r="C5" s="1" t="s">
        <v>5</v>
      </c>
      <c r="E5" s="10"/>
      <c r="F5" s="10"/>
      <c r="G5" s="10"/>
      <c r="H5" s="10"/>
      <c r="I5" s="10"/>
      <c r="J5" s="404"/>
      <c r="K5" s="405"/>
      <c r="L5" s="405"/>
      <c r="M5" s="405"/>
      <c r="N5" s="405"/>
      <c r="O5" s="405"/>
      <c r="P5" s="405"/>
      <c r="Q5" s="406"/>
      <c r="R5" s="3" t="s">
        <v>23</v>
      </c>
      <c r="S5" s="5">
        <f>INDEX(E26:P26,Actual_month)</f>
        <v>0</v>
      </c>
    </row>
    <row r="6" spans="1:19" x14ac:dyDescent="0.35">
      <c r="J6" s="404"/>
      <c r="K6" s="405"/>
      <c r="L6" s="405"/>
      <c r="M6" s="405"/>
      <c r="N6" s="405"/>
      <c r="O6" s="405"/>
      <c r="P6" s="405"/>
      <c r="Q6" s="406"/>
      <c r="R6" s="6">
        <v>0.9</v>
      </c>
      <c r="S6" s="5">
        <f>+S5*R6</f>
        <v>0</v>
      </c>
    </row>
    <row r="7" spans="1:19" x14ac:dyDescent="0.35">
      <c r="J7" s="404"/>
      <c r="K7" s="405"/>
      <c r="L7" s="405"/>
      <c r="M7" s="405"/>
      <c r="N7" s="405"/>
      <c r="O7" s="405"/>
      <c r="P7" s="405"/>
      <c r="Q7" s="406"/>
    </row>
    <row r="8" spans="1:19" ht="15" thickBot="1" x14ac:dyDescent="0.4">
      <c r="J8" s="407"/>
      <c r="K8" s="408"/>
      <c r="L8" s="408"/>
      <c r="M8" s="408"/>
      <c r="N8" s="408"/>
      <c r="O8" s="408"/>
      <c r="P8" s="408"/>
      <c r="Q8" s="409"/>
    </row>
    <row r="9" spans="1:19" ht="15" thickBot="1" x14ac:dyDescent="0.4">
      <c r="J9" s="3" t="s">
        <v>12</v>
      </c>
    </row>
    <row r="10" spans="1:19" x14ac:dyDescent="0.35">
      <c r="J10" s="401"/>
      <c r="K10" s="402"/>
      <c r="L10" s="402"/>
      <c r="M10" s="402"/>
      <c r="N10" s="402"/>
      <c r="O10" s="402"/>
      <c r="P10" s="402"/>
      <c r="Q10" s="403"/>
    </row>
    <row r="11" spans="1:19" x14ac:dyDescent="0.35">
      <c r="J11" s="404"/>
      <c r="K11" s="405"/>
      <c r="L11" s="405"/>
      <c r="M11" s="405"/>
      <c r="N11" s="405"/>
      <c r="O11" s="405"/>
      <c r="P11" s="405"/>
      <c r="Q11" s="406"/>
    </row>
    <row r="12" spans="1:19" x14ac:dyDescent="0.35">
      <c r="J12" s="404"/>
      <c r="K12" s="405"/>
      <c r="L12" s="405"/>
      <c r="M12" s="405"/>
      <c r="N12" s="405"/>
      <c r="O12" s="405"/>
      <c r="P12" s="405"/>
      <c r="Q12" s="406"/>
    </row>
    <row r="13" spans="1:19" x14ac:dyDescent="0.35">
      <c r="J13" s="404"/>
      <c r="K13" s="405"/>
      <c r="L13" s="405"/>
      <c r="M13" s="405"/>
      <c r="N13" s="405"/>
      <c r="O13" s="405"/>
      <c r="P13" s="405"/>
      <c r="Q13" s="406"/>
    </row>
    <row r="14" spans="1:19" x14ac:dyDescent="0.35">
      <c r="J14" s="404"/>
      <c r="K14" s="405"/>
      <c r="L14" s="405"/>
      <c r="M14" s="405"/>
      <c r="N14" s="405"/>
      <c r="O14" s="405"/>
      <c r="P14" s="405"/>
      <c r="Q14" s="406"/>
    </row>
    <row r="15" spans="1:19" ht="15" thickBot="1" x14ac:dyDescent="0.4">
      <c r="J15" s="407"/>
      <c r="K15" s="408"/>
      <c r="L15" s="408"/>
      <c r="M15" s="408"/>
      <c r="N15" s="408"/>
      <c r="O15" s="408"/>
      <c r="P15" s="408"/>
      <c r="Q15" s="409"/>
    </row>
    <row r="18" spans="3:17" x14ac:dyDescent="0.35">
      <c r="C18" s="7" t="s">
        <v>8</v>
      </c>
      <c r="E18" s="11">
        <f>'KPI 1'!E18</f>
        <v>45839</v>
      </c>
      <c r="F18" s="11">
        <f>'KPI 1'!F18</f>
        <v>45870</v>
      </c>
      <c r="G18" s="11">
        <f>'KPI 1'!G18</f>
        <v>45901</v>
      </c>
      <c r="H18" s="11">
        <f>'KPI 1'!H18</f>
        <v>45931</v>
      </c>
      <c r="I18" s="11">
        <f>'KPI 1'!I18</f>
        <v>45962</v>
      </c>
      <c r="J18" s="11">
        <f>'KPI 1'!J18</f>
        <v>45992</v>
      </c>
      <c r="K18" s="11">
        <f>'KPI 1'!K18</f>
        <v>46023</v>
      </c>
      <c r="L18" s="11">
        <f>'KPI 1'!L18</f>
        <v>46054</v>
      </c>
      <c r="M18" s="11">
        <f>'KPI 1'!M18</f>
        <v>46082</v>
      </c>
      <c r="N18" s="11">
        <f>'KPI 1'!N18</f>
        <v>46113</v>
      </c>
      <c r="O18" s="11">
        <f>'KPI 1'!O18</f>
        <v>46143</v>
      </c>
      <c r="P18" s="11">
        <f>'KPI 1'!P18</f>
        <v>46174</v>
      </c>
      <c r="Q18" s="8" t="s">
        <v>0</v>
      </c>
    </row>
    <row r="19" spans="3:17" x14ac:dyDescent="0.35">
      <c r="D19" s="3" t="str">
        <f>'KPI 1'!D19</f>
        <v>Budget 2025-26</v>
      </c>
      <c r="E19" s="5">
        <f>'budget 2025-26'!D62</f>
        <v>0</v>
      </c>
      <c r="F19" s="5">
        <f>'budget 2025-26'!E62</f>
        <v>0</v>
      </c>
      <c r="G19" s="5">
        <f>'budget 2025-26'!F62</f>
        <v>0</v>
      </c>
      <c r="H19" s="5">
        <f>'budget 2025-26'!G62</f>
        <v>0</v>
      </c>
      <c r="I19" s="5">
        <f>'budget 2025-26'!H62</f>
        <v>0</v>
      </c>
      <c r="J19" s="5">
        <f>'budget 2025-26'!I62</f>
        <v>0</v>
      </c>
      <c r="K19" s="5">
        <f>'budget 2025-26'!J62</f>
        <v>0</v>
      </c>
      <c r="L19" s="5">
        <f>'budget 2025-26'!K62</f>
        <v>0</v>
      </c>
      <c r="M19" s="5">
        <f>'budget 2025-26'!L62</f>
        <v>0</v>
      </c>
      <c r="N19" s="5">
        <f>'budget 2025-26'!M62</f>
        <v>0</v>
      </c>
      <c r="O19" s="5">
        <f>'budget 2025-26'!N62</f>
        <v>0</v>
      </c>
      <c r="P19" s="5">
        <f>'budget 2025-26'!O62</f>
        <v>0</v>
      </c>
      <c r="Q19" s="5">
        <f>SUM(E19:P19)</f>
        <v>0</v>
      </c>
    </row>
    <row r="20" spans="3:17" x14ac:dyDescent="0.35">
      <c r="D20" s="3" t="str">
        <f>'KPI 1'!D20</f>
        <v>Actual 2025-26</v>
      </c>
      <c r="E20" s="5">
        <f>'Input Actual2025-26'!E64</f>
        <v>0</v>
      </c>
      <c r="F20" s="5">
        <f>'Input Actual2025-26'!F64</f>
        <v>0</v>
      </c>
      <c r="G20" s="5">
        <f>'Input Actual2025-26'!G64</f>
        <v>0</v>
      </c>
      <c r="H20" s="5">
        <f>'Input Actual2025-26'!H64</f>
        <v>0</v>
      </c>
      <c r="I20" s="5">
        <f>'Input Actual2025-26'!I64</f>
        <v>0</v>
      </c>
      <c r="J20" s="5">
        <f>'Input Actual2025-26'!J64</f>
        <v>0</v>
      </c>
      <c r="K20" s="5">
        <f>'Input Actual2025-26'!K64</f>
        <v>0</v>
      </c>
      <c r="L20" s="5">
        <f>'Input Actual2025-26'!L64</f>
        <v>0</v>
      </c>
      <c r="M20" s="5">
        <f>'Input Actual2025-26'!M64</f>
        <v>0</v>
      </c>
      <c r="N20" s="5">
        <f>'Input Actual2025-26'!N64</f>
        <v>0</v>
      </c>
      <c r="O20" s="5">
        <f>'Input Actual2025-26'!O64</f>
        <v>0</v>
      </c>
      <c r="P20" s="5">
        <f>'Input Actual2025-26'!P64</f>
        <v>0</v>
      </c>
      <c r="Q20" s="5">
        <f t="shared" ref="Q20:Q22" si="0">SUM(E20:P20)</f>
        <v>0</v>
      </c>
    </row>
    <row r="21" spans="3:17" x14ac:dyDescent="0.35">
      <c r="D21" s="3" t="s">
        <v>424</v>
      </c>
      <c r="E21" s="5">
        <f>'Input Actual2024-25'!E60</f>
        <v>0</v>
      </c>
      <c r="F21" s="5">
        <f>'Input Actual2024-25'!F60</f>
        <v>0</v>
      </c>
      <c r="G21" s="5">
        <f>'Input Actual2024-25'!G60</f>
        <v>0</v>
      </c>
      <c r="H21" s="5">
        <f>'Input Actual2024-25'!H60</f>
        <v>0</v>
      </c>
      <c r="I21" s="5">
        <f>'Input Actual2024-25'!I60</f>
        <v>0</v>
      </c>
      <c r="J21" s="5">
        <f>'Input Actual2024-25'!J60</f>
        <v>0</v>
      </c>
      <c r="K21" s="5">
        <f>'Input Actual2024-25'!K60</f>
        <v>0</v>
      </c>
      <c r="L21" s="5">
        <f>'Input Actual2024-25'!L60</f>
        <v>0</v>
      </c>
      <c r="M21" s="5">
        <f>'Input Actual2024-25'!M60</f>
        <v>0</v>
      </c>
      <c r="N21" s="5">
        <f>'Input Actual2024-25'!N60</f>
        <v>0</v>
      </c>
      <c r="O21" s="5">
        <f>'Input Actual2024-25'!O60</f>
        <v>0</v>
      </c>
      <c r="P21" s="5">
        <f>'Input Actual2024-25'!P60</f>
        <v>0</v>
      </c>
      <c r="Q21" s="5">
        <f t="shared" si="0"/>
        <v>0</v>
      </c>
    </row>
    <row r="22" spans="3:17" x14ac:dyDescent="0.35">
      <c r="D22" s="3" t="s">
        <v>7</v>
      </c>
      <c r="E22" s="5">
        <f t="shared" ref="E22:P22" si="1">IF(E20=0,0,E20-E19)</f>
        <v>0</v>
      </c>
      <c r="F22" s="5">
        <f t="shared" si="1"/>
        <v>0</v>
      </c>
      <c r="G22" s="5">
        <f t="shared" si="1"/>
        <v>0</v>
      </c>
      <c r="H22" s="5">
        <f t="shared" si="1"/>
        <v>0</v>
      </c>
      <c r="I22" s="5">
        <f t="shared" si="1"/>
        <v>0</v>
      </c>
      <c r="J22" s="5">
        <f t="shared" si="1"/>
        <v>0</v>
      </c>
      <c r="K22" s="5">
        <f t="shared" si="1"/>
        <v>0</v>
      </c>
      <c r="L22" s="5">
        <f t="shared" si="1"/>
        <v>0</v>
      </c>
      <c r="M22" s="5">
        <f t="shared" si="1"/>
        <v>0</v>
      </c>
      <c r="N22" s="5">
        <f t="shared" si="1"/>
        <v>0</v>
      </c>
      <c r="O22" s="5">
        <f t="shared" si="1"/>
        <v>0</v>
      </c>
      <c r="P22" s="5">
        <f t="shared" si="1"/>
        <v>0</v>
      </c>
      <c r="Q22" s="5">
        <f t="shared" si="0"/>
        <v>0</v>
      </c>
    </row>
    <row r="23" spans="3:17" x14ac:dyDescent="0.35">
      <c r="D23" s="3" t="s">
        <v>43</v>
      </c>
      <c r="E23" s="9" t="e">
        <f>E21/E19</f>
        <v>#DIV/0!</v>
      </c>
      <c r="F23" s="9" t="e">
        <f t="shared" ref="F23:P23" si="2">F20/F19</f>
        <v>#DIV/0!</v>
      </c>
      <c r="G23" s="9" t="e">
        <f t="shared" si="2"/>
        <v>#DIV/0!</v>
      </c>
      <c r="H23" s="9" t="e">
        <f t="shared" si="2"/>
        <v>#DIV/0!</v>
      </c>
      <c r="I23" s="9" t="e">
        <f t="shared" si="2"/>
        <v>#DIV/0!</v>
      </c>
      <c r="J23" s="9" t="e">
        <f t="shared" si="2"/>
        <v>#DIV/0!</v>
      </c>
      <c r="K23" s="9" t="e">
        <f t="shared" si="2"/>
        <v>#DIV/0!</v>
      </c>
      <c r="L23" s="9" t="e">
        <f t="shared" si="2"/>
        <v>#DIV/0!</v>
      </c>
      <c r="M23" s="9" t="e">
        <f t="shared" si="2"/>
        <v>#DIV/0!</v>
      </c>
      <c r="N23" s="9" t="e">
        <f t="shared" si="2"/>
        <v>#DIV/0!</v>
      </c>
      <c r="O23" s="9" t="e">
        <f t="shared" si="2"/>
        <v>#DIV/0!</v>
      </c>
      <c r="P23" s="9" t="e">
        <f t="shared" si="2"/>
        <v>#DIV/0!</v>
      </c>
    </row>
    <row r="25" spans="3:17" x14ac:dyDescent="0.35">
      <c r="C25" s="7" t="s">
        <v>3</v>
      </c>
      <c r="E25" s="11">
        <f>E18</f>
        <v>45839</v>
      </c>
      <c r="F25" s="11">
        <f t="shared" ref="F25:P28" si="3">F18</f>
        <v>45870</v>
      </c>
      <c r="G25" s="11">
        <f t="shared" si="3"/>
        <v>45901</v>
      </c>
      <c r="H25" s="11">
        <f t="shared" si="3"/>
        <v>45931</v>
      </c>
      <c r="I25" s="11">
        <f t="shared" si="3"/>
        <v>45962</v>
      </c>
      <c r="J25" s="11">
        <f t="shared" si="3"/>
        <v>45992</v>
      </c>
      <c r="K25" s="11">
        <f t="shared" si="3"/>
        <v>46023</v>
      </c>
      <c r="L25" s="11">
        <f t="shared" si="3"/>
        <v>46054</v>
      </c>
      <c r="M25" s="11">
        <f t="shared" si="3"/>
        <v>46082</v>
      </c>
      <c r="N25" s="11">
        <f t="shared" si="3"/>
        <v>46113</v>
      </c>
      <c r="O25" s="11">
        <f t="shared" si="3"/>
        <v>46143</v>
      </c>
      <c r="P25" s="11">
        <f t="shared" si="3"/>
        <v>46174</v>
      </c>
    </row>
    <row r="26" spans="3:17" x14ac:dyDescent="0.35">
      <c r="D26" s="3" t="str">
        <f>D19</f>
        <v>Budget 2025-26</v>
      </c>
      <c r="E26" s="5">
        <f>E19</f>
        <v>0</v>
      </c>
      <c r="F26" s="5">
        <f t="shared" si="3"/>
        <v>0</v>
      </c>
      <c r="G26" s="5">
        <f t="shared" si="3"/>
        <v>0</v>
      </c>
      <c r="H26" s="5">
        <f t="shared" si="3"/>
        <v>0</v>
      </c>
      <c r="I26" s="5">
        <f t="shared" si="3"/>
        <v>0</v>
      </c>
      <c r="J26" s="5">
        <f t="shared" si="3"/>
        <v>0</v>
      </c>
      <c r="K26" s="5">
        <f t="shared" si="3"/>
        <v>0</v>
      </c>
      <c r="L26" s="5">
        <f t="shared" si="3"/>
        <v>0</v>
      </c>
      <c r="M26" s="5">
        <f t="shared" si="3"/>
        <v>0</v>
      </c>
      <c r="N26" s="5">
        <f t="shared" si="3"/>
        <v>0</v>
      </c>
      <c r="O26" s="5">
        <f t="shared" si="3"/>
        <v>0</v>
      </c>
      <c r="P26" s="5">
        <f t="shared" si="3"/>
        <v>0</v>
      </c>
    </row>
    <row r="27" spans="3:17" x14ac:dyDescent="0.35">
      <c r="D27" s="3" t="str">
        <f t="shared" ref="D27:E30" si="4">D20</f>
        <v>Actual 2025-26</v>
      </c>
      <c r="E27" s="5">
        <f t="shared" si="4"/>
        <v>0</v>
      </c>
      <c r="F27" s="5">
        <f t="shared" si="3"/>
        <v>0</v>
      </c>
      <c r="G27" s="5">
        <f t="shared" si="3"/>
        <v>0</v>
      </c>
      <c r="H27" s="5">
        <f t="shared" si="3"/>
        <v>0</v>
      </c>
      <c r="I27" s="5">
        <f t="shared" si="3"/>
        <v>0</v>
      </c>
      <c r="J27" s="5">
        <f t="shared" si="3"/>
        <v>0</v>
      </c>
      <c r="K27" s="5">
        <f t="shared" si="3"/>
        <v>0</v>
      </c>
      <c r="L27" s="5">
        <f t="shared" si="3"/>
        <v>0</v>
      </c>
      <c r="M27" s="5">
        <f t="shared" si="3"/>
        <v>0</v>
      </c>
      <c r="N27" s="5">
        <f t="shared" si="3"/>
        <v>0</v>
      </c>
      <c r="O27" s="5">
        <f t="shared" si="3"/>
        <v>0</v>
      </c>
      <c r="P27" s="5">
        <f t="shared" si="3"/>
        <v>0</v>
      </c>
    </row>
    <row r="28" spans="3:17" x14ac:dyDescent="0.35">
      <c r="D28" s="3" t="str">
        <f t="shared" si="4"/>
        <v>Actual 2024-25</v>
      </c>
      <c r="E28" s="5">
        <f t="shared" si="4"/>
        <v>0</v>
      </c>
      <c r="F28" s="5">
        <f t="shared" si="3"/>
        <v>0</v>
      </c>
      <c r="G28" s="5">
        <f t="shared" si="3"/>
        <v>0</v>
      </c>
      <c r="H28" s="5">
        <f t="shared" si="3"/>
        <v>0</v>
      </c>
      <c r="I28" s="5">
        <f t="shared" si="3"/>
        <v>0</v>
      </c>
      <c r="J28" s="5">
        <f t="shared" si="3"/>
        <v>0</v>
      </c>
      <c r="K28" s="5">
        <f t="shared" si="3"/>
        <v>0</v>
      </c>
      <c r="L28" s="5">
        <f t="shared" si="3"/>
        <v>0</v>
      </c>
      <c r="M28" s="5">
        <f t="shared" si="3"/>
        <v>0</v>
      </c>
      <c r="N28" s="5">
        <f t="shared" si="3"/>
        <v>0</v>
      </c>
      <c r="O28" s="5">
        <f t="shared" si="3"/>
        <v>0</v>
      </c>
      <c r="P28" s="5">
        <f t="shared" si="3"/>
        <v>0</v>
      </c>
    </row>
    <row r="29" spans="3:17" x14ac:dyDescent="0.35">
      <c r="D29" s="3" t="str">
        <f t="shared" si="4"/>
        <v>Difference</v>
      </c>
      <c r="E29" s="5">
        <f>SUM($E22:E22)</f>
        <v>0</v>
      </c>
      <c r="F29" s="5">
        <f>SUM($E22:F22)</f>
        <v>0</v>
      </c>
      <c r="G29" s="5">
        <f>SUM($E22:G22)</f>
        <v>0</v>
      </c>
      <c r="H29" s="5">
        <f>SUM($E22:H22)</f>
        <v>0</v>
      </c>
      <c r="I29" s="5">
        <f>SUM($E22:I22)</f>
        <v>0</v>
      </c>
      <c r="J29" s="5">
        <f>SUM($E22:J22)</f>
        <v>0</v>
      </c>
      <c r="K29" s="5">
        <f>SUM($E22:K22)</f>
        <v>0</v>
      </c>
      <c r="L29" s="5">
        <f>SUM($E22:L22)</f>
        <v>0</v>
      </c>
      <c r="M29" s="5">
        <f>SUM($E22:M22)</f>
        <v>0</v>
      </c>
      <c r="N29" s="5">
        <f>SUM($E22:N22)</f>
        <v>0</v>
      </c>
      <c r="O29" s="5">
        <f>SUM($E22:O22)</f>
        <v>0</v>
      </c>
      <c r="P29" s="5">
        <f>SUM($E22:P22)</f>
        <v>0</v>
      </c>
    </row>
    <row r="30" spans="3:17" x14ac:dyDescent="0.35">
      <c r="D30" s="3" t="str">
        <f t="shared" si="4"/>
        <v>Realisation</v>
      </c>
      <c r="E30" s="9" t="e">
        <f>E28/E26</f>
        <v>#DIV/0!</v>
      </c>
      <c r="F30" s="9" t="e">
        <f t="shared" ref="F30:P30" si="5">F27/F26</f>
        <v>#DIV/0!</v>
      </c>
      <c r="G30" s="9" t="e">
        <f t="shared" si="5"/>
        <v>#DIV/0!</v>
      </c>
      <c r="H30" s="9" t="e">
        <f t="shared" si="5"/>
        <v>#DIV/0!</v>
      </c>
      <c r="I30" s="9" t="e">
        <f t="shared" si="5"/>
        <v>#DIV/0!</v>
      </c>
      <c r="J30" s="9" t="e">
        <f t="shared" si="5"/>
        <v>#DIV/0!</v>
      </c>
      <c r="K30" s="9" t="e">
        <f t="shared" si="5"/>
        <v>#DIV/0!</v>
      </c>
      <c r="L30" s="9" t="e">
        <f t="shared" si="5"/>
        <v>#DIV/0!</v>
      </c>
      <c r="M30" s="9" t="e">
        <f t="shared" si="5"/>
        <v>#DIV/0!</v>
      </c>
      <c r="N30" s="9" t="e">
        <f t="shared" si="5"/>
        <v>#DIV/0!</v>
      </c>
      <c r="O30" s="9" t="e">
        <f t="shared" si="5"/>
        <v>#DIV/0!</v>
      </c>
      <c r="P30" s="9" t="e">
        <f t="shared" si="5"/>
        <v>#DIV/0!</v>
      </c>
    </row>
  </sheetData>
  <mergeCells count="2">
    <mergeCell ref="J4:Q8"/>
    <mergeCell ref="J10:Q15"/>
  </mergeCells>
  <conditionalFormatting sqref="C3">
    <cfRule type="expression" dxfId="410" priority="2">
      <formula>S4&lt;S6</formula>
    </cfRule>
  </conditionalFormatting>
  <conditionalFormatting sqref="C5">
    <cfRule type="expression" dxfId="409" priority="3">
      <formula>S4&gt;=S5</formula>
    </cfRule>
  </conditionalFormatting>
  <conditionalFormatting sqref="C4">
    <cfRule type="expression" dxfId="408" priority="1">
      <formula>AND(S4&gt;=S6,S4&lt;S5)</formula>
    </cfRule>
  </conditionalFormatting>
  <hyperlinks>
    <hyperlink ref="L1" location="Dashboard!A1" display="Dashboard"/>
  </hyperlinks>
  <pageMargins left="0.7" right="0.7" top="0.75" bottom="0.75" header="0.3" footer="0.3"/>
  <pageSetup orientation="portrait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983041" r:id="rId4" name="Spinner 1">
              <controlPr defaultSize="0" autoPict="0">
                <anchor moveWithCells="1" sizeWithCells="1">
                  <from>
                    <xdr:col>9</xdr:col>
                    <xdr:colOff>19050</xdr:colOff>
                    <xdr:row>0</xdr:row>
                    <xdr:rowOff>38100</xdr:rowOff>
                  </from>
                  <to>
                    <xdr:col>9</xdr:col>
                    <xdr:colOff>400050</xdr:colOff>
                    <xdr:row>1</xdr:row>
                    <xdr:rowOff>152400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6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48"/>
  <dimension ref="A1:S30"/>
  <sheetViews>
    <sheetView zoomScale="90" zoomScaleNormal="90" workbookViewId="0">
      <selection activeCell="L1" sqref="L1"/>
    </sheetView>
  </sheetViews>
  <sheetFormatPr defaultColWidth="9.1796875" defaultRowHeight="14.5" x14ac:dyDescent="0.35"/>
  <cols>
    <col min="1" max="1" width="9.1796875" style="3"/>
    <col min="2" max="2" width="5.1796875" style="3" customWidth="1"/>
    <col min="3" max="3" width="6.26953125" style="3" customWidth="1"/>
    <col min="4" max="4" width="21.26953125" style="3" bestFit="1" customWidth="1"/>
    <col min="5" max="16" width="11.1796875" style="3" customWidth="1"/>
    <col min="17" max="17" width="12" style="3" bestFit="1" customWidth="1"/>
    <col min="18" max="18" width="9.1796875" style="3" customWidth="1"/>
    <col min="19" max="16384" width="9.1796875" style="3"/>
  </cols>
  <sheetData>
    <row r="1" spans="1:19" ht="21" x14ac:dyDescent="0.5">
      <c r="A1" s="4" t="s">
        <v>4</v>
      </c>
      <c r="B1" s="4">
        <f>Dashboard!A67</f>
        <v>2</v>
      </c>
      <c r="C1" s="4" t="str">
        <f>Dashboard!B67</f>
        <v>KAMERE-  SEWER</v>
      </c>
      <c r="G1" s="3" t="s">
        <v>9</v>
      </c>
      <c r="I1" s="12">
        <f>INDEX($E$18:$P$18,Actual_month)</f>
        <v>46054</v>
      </c>
      <c r="L1" s="16" t="s">
        <v>19</v>
      </c>
      <c r="R1" s="5"/>
    </row>
    <row r="2" spans="1:19" x14ac:dyDescent="0.35">
      <c r="A2" s="3" t="s">
        <v>13</v>
      </c>
      <c r="C2" s="3" t="s">
        <v>27</v>
      </c>
      <c r="R2" s="6"/>
    </row>
    <row r="3" spans="1:19" ht="25.5" customHeight="1" thickBot="1" x14ac:dyDescent="0.4">
      <c r="C3" s="1" t="s">
        <v>5</v>
      </c>
      <c r="E3" s="10"/>
      <c r="F3" s="10"/>
      <c r="G3" s="10"/>
      <c r="H3" s="10"/>
      <c r="I3" s="10"/>
      <c r="J3" s="3" t="s">
        <v>6</v>
      </c>
      <c r="K3" s="10"/>
      <c r="M3" s="10"/>
      <c r="N3" s="10"/>
      <c r="O3" s="10"/>
      <c r="P3" s="10"/>
    </row>
    <row r="4" spans="1:19" ht="25.5" customHeight="1" x14ac:dyDescent="0.35">
      <c r="C4" s="1" t="s">
        <v>5</v>
      </c>
      <c r="E4" s="10"/>
      <c r="F4" s="10"/>
      <c r="G4" s="10"/>
      <c r="H4" s="10"/>
      <c r="I4" s="10"/>
      <c r="J4" s="401"/>
      <c r="K4" s="402"/>
      <c r="L4" s="402"/>
      <c r="M4" s="402"/>
      <c r="N4" s="402"/>
      <c r="O4" s="402"/>
      <c r="P4" s="402"/>
      <c r="Q4" s="403"/>
      <c r="R4" s="3" t="s">
        <v>22</v>
      </c>
      <c r="S4" s="5">
        <f>INDEX(E27:P27,Actual_month)</f>
        <v>0</v>
      </c>
    </row>
    <row r="5" spans="1:19" ht="25.5" customHeight="1" x14ac:dyDescent="0.35">
      <c r="C5" s="1" t="s">
        <v>5</v>
      </c>
      <c r="E5" s="10"/>
      <c r="F5" s="10"/>
      <c r="G5" s="10"/>
      <c r="H5" s="10"/>
      <c r="I5" s="10"/>
      <c r="J5" s="404"/>
      <c r="K5" s="405"/>
      <c r="L5" s="405"/>
      <c r="M5" s="405"/>
      <c r="N5" s="405"/>
      <c r="O5" s="405"/>
      <c r="P5" s="405"/>
      <c r="Q5" s="406"/>
      <c r="R5" s="3" t="s">
        <v>23</v>
      </c>
      <c r="S5" s="5">
        <f>INDEX(E26:P26,Actual_month)</f>
        <v>0</v>
      </c>
    </row>
    <row r="6" spans="1:19" x14ac:dyDescent="0.35">
      <c r="J6" s="404"/>
      <c r="K6" s="405"/>
      <c r="L6" s="405"/>
      <c r="M6" s="405"/>
      <c r="N6" s="405"/>
      <c r="O6" s="405"/>
      <c r="P6" s="405"/>
      <c r="Q6" s="406"/>
      <c r="R6" s="6">
        <v>0.9</v>
      </c>
      <c r="S6" s="5">
        <f>+S5*R6</f>
        <v>0</v>
      </c>
    </row>
    <row r="7" spans="1:19" x14ac:dyDescent="0.35">
      <c r="J7" s="404"/>
      <c r="K7" s="405"/>
      <c r="L7" s="405"/>
      <c r="M7" s="405"/>
      <c r="N7" s="405"/>
      <c r="O7" s="405"/>
      <c r="P7" s="405"/>
      <c r="Q7" s="406"/>
    </row>
    <row r="8" spans="1:19" ht="15" thickBot="1" x14ac:dyDescent="0.4">
      <c r="J8" s="407"/>
      <c r="K8" s="408"/>
      <c r="L8" s="408"/>
      <c r="M8" s="408"/>
      <c r="N8" s="408"/>
      <c r="O8" s="408"/>
      <c r="P8" s="408"/>
      <c r="Q8" s="409"/>
    </row>
    <row r="9" spans="1:19" ht="15" thickBot="1" x14ac:dyDescent="0.4">
      <c r="J9" s="3" t="s">
        <v>12</v>
      </c>
    </row>
    <row r="10" spans="1:19" x14ac:dyDescent="0.35">
      <c r="J10" s="401"/>
      <c r="K10" s="402"/>
      <c r="L10" s="402"/>
      <c r="M10" s="402"/>
      <c r="N10" s="402"/>
      <c r="O10" s="402"/>
      <c r="P10" s="402"/>
      <c r="Q10" s="403"/>
    </row>
    <row r="11" spans="1:19" x14ac:dyDescent="0.35">
      <c r="J11" s="404"/>
      <c r="K11" s="405"/>
      <c r="L11" s="405"/>
      <c r="M11" s="405"/>
      <c r="N11" s="405"/>
      <c r="O11" s="405"/>
      <c r="P11" s="405"/>
      <c r="Q11" s="406"/>
    </row>
    <row r="12" spans="1:19" x14ac:dyDescent="0.35">
      <c r="J12" s="404"/>
      <c r="K12" s="405"/>
      <c r="L12" s="405"/>
      <c r="M12" s="405"/>
      <c r="N12" s="405"/>
      <c r="O12" s="405"/>
      <c r="P12" s="405"/>
      <c r="Q12" s="406"/>
    </row>
    <row r="13" spans="1:19" x14ac:dyDescent="0.35">
      <c r="J13" s="404"/>
      <c r="K13" s="405"/>
      <c r="L13" s="405"/>
      <c r="M13" s="405"/>
      <c r="N13" s="405"/>
      <c r="O13" s="405"/>
      <c r="P13" s="405"/>
      <c r="Q13" s="406"/>
    </row>
    <row r="14" spans="1:19" x14ac:dyDescent="0.35">
      <c r="J14" s="404"/>
      <c r="K14" s="405"/>
      <c r="L14" s="405"/>
      <c r="M14" s="405"/>
      <c r="N14" s="405"/>
      <c r="O14" s="405"/>
      <c r="P14" s="405"/>
      <c r="Q14" s="406"/>
    </row>
    <row r="15" spans="1:19" ht="15" thickBot="1" x14ac:dyDescent="0.4">
      <c r="J15" s="407"/>
      <c r="K15" s="408"/>
      <c r="L15" s="408"/>
      <c r="M15" s="408"/>
      <c r="N15" s="408"/>
      <c r="O15" s="408"/>
      <c r="P15" s="408"/>
      <c r="Q15" s="409"/>
    </row>
    <row r="18" spans="3:17" x14ac:dyDescent="0.35">
      <c r="C18" s="7" t="s">
        <v>8</v>
      </c>
      <c r="E18" s="11">
        <f>'KPI 1'!E18</f>
        <v>45839</v>
      </c>
      <c r="F18" s="11">
        <f>'KPI 1'!F18</f>
        <v>45870</v>
      </c>
      <c r="G18" s="11">
        <f>'KPI 1'!G18</f>
        <v>45901</v>
      </c>
      <c r="H18" s="11">
        <f>'KPI 1'!H18</f>
        <v>45931</v>
      </c>
      <c r="I18" s="11">
        <f>'KPI 1'!I18</f>
        <v>45962</v>
      </c>
      <c r="J18" s="11">
        <f>'KPI 1'!J18</f>
        <v>45992</v>
      </c>
      <c r="K18" s="11">
        <f>'KPI 1'!K18</f>
        <v>46023</v>
      </c>
      <c r="L18" s="11">
        <f>'KPI 1'!L18</f>
        <v>46054</v>
      </c>
      <c r="M18" s="11">
        <f>'KPI 1'!M18</f>
        <v>46082</v>
      </c>
      <c r="N18" s="11">
        <f>'KPI 1'!N18</f>
        <v>46113</v>
      </c>
      <c r="O18" s="11">
        <f>'KPI 1'!O18</f>
        <v>46143</v>
      </c>
      <c r="P18" s="11">
        <f>'KPI 1'!P18</f>
        <v>46174</v>
      </c>
      <c r="Q18" s="8" t="s">
        <v>0</v>
      </c>
    </row>
    <row r="19" spans="3:17" x14ac:dyDescent="0.35">
      <c r="D19" s="3" t="str">
        <f>'KPI 1'!D19</f>
        <v>Budget 2025-26</v>
      </c>
      <c r="E19" s="5">
        <f>'budget 2025-26'!D63</f>
        <v>0</v>
      </c>
      <c r="F19" s="5">
        <f>'budget 2025-26'!E63</f>
        <v>0</v>
      </c>
      <c r="G19" s="5">
        <f>'budget 2025-26'!F63</f>
        <v>0</v>
      </c>
      <c r="H19" s="5">
        <f>'budget 2025-26'!G63</f>
        <v>0</v>
      </c>
      <c r="I19" s="5">
        <f>'budget 2025-26'!H63</f>
        <v>0</v>
      </c>
      <c r="J19" s="5">
        <f>'budget 2025-26'!I63</f>
        <v>0</v>
      </c>
      <c r="K19" s="5">
        <f>'budget 2025-26'!J63</f>
        <v>0</v>
      </c>
      <c r="L19" s="5">
        <f>'budget 2025-26'!K63</f>
        <v>0</v>
      </c>
      <c r="M19" s="5">
        <f>'budget 2025-26'!L63</f>
        <v>0</v>
      </c>
      <c r="N19" s="5">
        <f>'budget 2025-26'!M63</f>
        <v>0</v>
      </c>
      <c r="O19" s="5">
        <f>'budget 2025-26'!N63</f>
        <v>0</v>
      </c>
      <c r="P19" s="5">
        <f>'budget 2025-26'!O63</f>
        <v>0</v>
      </c>
      <c r="Q19" s="5">
        <f>SUM(E19:P19)</f>
        <v>0</v>
      </c>
    </row>
    <row r="20" spans="3:17" x14ac:dyDescent="0.35">
      <c r="D20" s="3" t="str">
        <f>'KPI 1'!D20</f>
        <v>Actual 2025-26</v>
      </c>
      <c r="E20" s="5">
        <f>'Input Actual2025-26'!E65</f>
        <v>0</v>
      </c>
      <c r="F20" s="5">
        <f>'Input Actual2025-26'!F65</f>
        <v>0</v>
      </c>
      <c r="G20" s="5">
        <f>'Input Actual2025-26'!G65</f>
        <v>0</v>
      </c>
      <c r="H20" s="5">
        <f>'Input Actual2025-26'!H65</f>
        <v>0</v>
      </c>
      <c r="I20" s="5">
        <f>'Input Actual2025-26'!I65</f>
        <v>0</v>
      </c>
      <c r="J20" s="5">
        <f>'Input Actual2025-26'!J65</f>
        <v>0</v>
      </c>
      <c r="K20" s="5">
        <f>'Input Actual2025-26'!K65</f>
        <v>0</v>
      </c>
      <c r="L20" s="5">
        <f>'Input Actual2025-26'!L65</f>
        <v>0</v>
      </c>
      <c r="M20" s="5">
        <f>'Input Actual2025-26'!M65</f>
        <v>0</v>
      </c>
      <c r="N20" s="5">
        <f>'Input Actual2025-26'!N65</f>
        <v>0</v>
      </c>
      <c r="O20" s="5">
        <f>'Input Actual2025-26'!O65</f>
        <v>0</v>
      </c>
      <c r="P20" s="5">
        <f>'Input Actual2025-26'!P65</f>
        <v>0</v>
      </c>
      <c r="Q20" s="5">
        <f t="shared" ref="Q20:Q22" si="0">SUM(E20:P20)</f>
        <v>0</v>
      </c>
    </row>
    <row r="21" spans="3:17" x14ac:dyDescent="0.35">
      <c r="D21" s="3" t="s">
        <v>424</v>
      </c>
      <c r="E21" s="5">
        <f>'Input Actual2024-25'!E61</f>
        <v>0</v>
      </c>
      <c r="F21" s="5">
        <f>'Input Actual2024-25'!F61</f>
        <v>0</v>
      </c>
      <c r="G21" s="5">
        <f>'Input Actual2024-25'!G61</f>
        <v>0</v>
      </c>
      <c r="H21" s="5">
        <f>'Input Actual2024-25'!H61</f>
        <v>0</v>
      </c>
      <c r="I21" s="5">
        <f>'Input Actual2024-25'!I61</f>
        <v>0</v>
      </c>
      <c r="J21" s="5">
        <f>'Input Actual2024-25'!J61</f>
        <v>0</v>
      </c>
      <c r="K21" s="5">
        <f>'Input Actual2024-25'!K61</f>
        <v>0</v>
      </c>
      <c r="L21" s="5">
        <f>'Input Actual2024-25'!L61</f>
        <v>0</v>
      </c>
      <c r="M21" s="5">
        <f>'Input Actual2024-25'!M61</f>
        <v>0</v>
      </c>
      <c r="N21" s="5">
        <f>'Input Actual2024-25'!N61</f>
        <v>0</v>
      </c>
      <c r="O21" s="5">
        <f>'Input Actual2024-25'!O61</f>
        <v>0</v>
      </c>
      <c r="P21" s="5">
        <f>'Input Actual2024-25'!P61</f>
        <v>0</v>
      </c>
      <c r="Q21" s="5">
        <f t="shared" si="0"/>
        <v>0</v>
      </c>
    </row>
    <row r="22" spans="3:17" x14ac:dyDescent="0.35">
      <c r="D22" s="3" t="s">
        <v>7</v>
      </c>
      <c r="E22" s="5">
        <f t="shared" ref="E22:P22" si="1">IF(E20=0,0,E20-E19)</f>
        <v>0</v>
      </c>
      <c r="F22" s="5">
        <f t="shared" si="1"/>
        <v>0</v>
      </c>
      <c r="G22" s="5">
        <f t="shared" si="1"/>
        <v>0</v>
      </c>
      <c r="H22" s="5">
        <f t="shared" si="1"/>
        <v>0</v>
      </c>
      <c r="I22" s="5">
        <f t="shared" si="1"/>
        <v>0</v>
      </c>
      <c r="J22" s="5">
        <f t="shared" si="1"/>
        <v>0</v>
      </c>
      <c r="K22" s="5">
        <f t="shared" si="1"/>
        <v>0</v>
      </c>
      <c r="L22" s="5">
        <f t="shared" si="1"/>
        <v>0</v>
      </c>
      <c r="M22" s="5">
        <f t="shared" si="1"/>
        <v>0</v>
      </c>
      <c r="N22" s="5">
        <f t="shared" si="1"/>
        <v>0</v>
      </c>
      <c r="O22" s="5">
        <f t="shared" si="1"/>
        <v>0</v>
      </c>
      <c r="P22" s="5">
        <f t="shared" si="1"/>
        <v>0</v>
      </c>
      <c r="Q22" s="5">
        <f t="shared" si="0"/>
        <v>0</v>
      </c>
    </row>
    <row r="23" spans="3:17" x14ac:dyDescent="0.35">
      <c r="D23" s="3" t="s">
        <v>43</v>
      </c>
      <c r="E23" s="9" t="e">
        <f>E21/E19</f>
        <v>#DIV/0!</v>
      </c>
      <c r="F23" s="9" t="e">
        <f t="shared" ref="F23:P23" si="2">F20/F19</f>
        <v>#DIV/0!</v>
      </c>
      <c r="G23" s="9" t="e">
        <f t="shared" si="2"/>
        <v>#DIV/0!</v>
      </c>
      <c r="H23" s="9" t="e">
        <f t="shared" si="2"/>
        <v>#DIV/0!</v>
      </c>
      <c r="I23" s="9" t="e">
        <f t="shared" si="2"/>
        <v>#DIV/0!</v>
      </c>
      <c r="J23" s="9" t="e">
        <f t="shared" si="2"/>
        <v>#DIV/0!</v>
      </c>
      <c r="K23" s="9" t="e">
        <f t="shared" si="2"/>
        <v>#DIV/0!</v>
      </c>
      <c r="L23" s="9" t="e">
        <f t="shared" si="2"/>
        <v>#DIV/0!</v>
      </c>
      <c r="M23" s="9" t="e">
        <f t="shared" si="2"/>
        <v>#DIV/0!</v>
      </c>
      <c r="N23" s="9" t="e">
        <f t="shared" si="2"/>
        <v>#DIV/0!</v>
      </c>
      <c r="O23" s="9" t="e">
        <f t="shared" si="2"/>
        <v>#DIV/0!</v>
      </c>
      <c r="P23" s="9" t="e">
        <f t="shared" si="2"/>
        <v>#DIV/0!</v>
      </c>
    </row>
    <row r="25" spans="3:17" x14ac:dyDescent="0.35">
      <c r="C25" s="7" t="s">
        <v>3</v>
      </c>
      <c r="E25" s="11">
        <f>E18</f>
        <v>45839</v>
      </c>
      <c r="F25" s="11">
        <f t="shared" ref="F25:P28" si="3">F18</f>
        <v>45870</v>
      </c>
      <c r="G25" s="11">
        <f t="shared" si="3"/>
        <v>45901</v>
      </c>
      <c r="H25" s="11">
        <f t="shared" si="3"/>
        <v>45931</v>
      </c>
      <c r="I25" s="11">
        <f t="shared" si="3"/>
        <v>45962</v>
      </c>
      <c r="J25" s="11">
        <f t="shared" si="3"/>
        <v>45992</v>
      </c>
      <c r="K25" s="11">
        <f t="shared" si="3"/>
        <v>46023</v>
      </c>
      <c r="L25" s="11">
        <f t="shared" si="3"/>
        <v>46054</v>
      </c>
      <c r="M25" s="11">
        <f t="shared" si="3"/>
        <v>46082</v>
      </c>
      <c r="N25" s="11">
        <f t="shared" si="3"/>
        <v>46113</v>
      </c>
      <c r="O25" s="11">
        <f t="shared" si="3"/>
        <v>46143</v>
      </c>
      <c r="P25" s="11">
        <f t="shared" si="3"/>
        <v>46174</v>
      </c>
    </row>
    <row r="26" spans="3:17" x14ac:dyDescent="0.35">
      <c r="D26" s="3" t="str">
        <f>D19</f>
        <v>Budget 2025-26</v>
      </c>
      <c r="E26" s="5">
        <f>E19</f>
        <v>0</v>
      </c>
      <c r="F26" s="5">
        <f t="shared" si="3"/>
        <v>0</v>
      </c>
      <c r="G26" s="5">
        <f t="shared" si="3"/>
        <v>0</v>
      </c>
      <c r="H26" s="5">
        <f t="shared" si="3"/>
        <v>0</v>
      </c>
      <c r="I26" s="5">
        <f t="shared" si="3"/>
        <v>0</v>
      </c>
      <c r="J26" s="5">
        <f t="shared" si="3"/>
        <v>0</v>
      </c>
      <c r="K26" s="5">
        <f t="shared" si="3"/>
        <v>0</v>
      </c>
      <c r="L26" s="5">
        <f t="shared" si="3"/>
        <v>0</v>
      </c>
      <c r="M26" s="5">
        <f t="shared" si="3"/>
        <v>0</v>
      </c>
      <c r="N26" s="5">
        <f t="shared" si="3"/>
        <v>0</v>
      </c>
      <c r="O26" s="5">
        <f t="shared" si="3"/>
        <v>0</v>
      </c>
      <c r="P26" s="5">
        <f t="shared" si="3"/>
        <v>0</v>
      </c>
    </row>
    <row r="27" spans="3:17" x14ac:dyDescent="0.35">
      <c r="D27" s="3" t="str">
        <f t="shared" ref="D27:E30" si="4">D20</f>
        <v>Actual 2025-26</v>
      </c>
      <c r="E27" s="5">
        <f t="shared" si="4"/>
        <v>0</v>
      </c>
      <c r="F27" s="5">
        <f t="shared" si="3"/>
        <v>0</v>
      </c>
      <c r="G27" s="5">
        <f t="shared" si="3"/>
        <v>0</v>
      </c>
      <c r="H27" s="5">
        <f t="shared" si="3"/>
        <v>0</v>
      </c>
      <c r="I27" s="5">
        <f t="shared" si="3"/>
        <v>0</v>
      </c>
      <c r="J27" s="5">
        <f t="shared" si="3"/>
        <v>0</v>
      </c>
      <c r="K27" s="5">
        <f t="shared" si="3"/>
        <v>0</v>
      </c>
      <c r="L27" s="5">
        <f t="shared" si="3"/>
        <v>0</v>
      </c>
      <c r="M27" s="5">
        <f t="shared" si="3"/>
        <v>0</v>
      </c>
      <c r="N27" s="5">
        <f t="shared" si="3"/>
        <v>0</v>
      </c>
      <c r="O27" s="5">
        <f t="shared" si="3"/>
        <v>0</v>
      </c>
      <c r="P27" s="5">
        <f t="shared" si="3"/>
        <v>0</v>
      </c>
    </row>
    <row r="28" spans="3:17" x14ac:dyDescent="0.35">
      <c r="D28" s="3" t="str">
        <f t="shared" si="4"/>
        <v>Actual 2024-25</v>
      </c>
      <c r="E28" s="5">
        <f t="shared" si="4"/>
        <v>0</v>
      </c>
      <c r="F28" s="5">
        <f t="shared" si="3"/>
        <v>0</v>
      </c>
      <c r="G28" s="5">
        <f t="shared" si="3"/>
        <v>0</v>
      </c>
      <c r="H28" s="5">
        <f t="shared" si="3"/>
        <v>0</v>
      </c>
      <c r="I28" s="5">
        <f t="shared" si="3"/>
        <v>0</v>
      </c>
      <c r="J28" s="5">
        <f t="shared" si="3"/>
        <v>0</v>
      </c>
      <c r="K28" s="5">
        <f t="shared" si="3"/>
        <v>0</v>
      </c>
      <c r="L28" s="5">
        <f t="shared" si="3"/>
        <v>0</v>
      </c>
      <c r="M28" s="5">
        <f t="shared" si="3"/>
        <v>0</v>
      </c>
      <c r="N28" s="5">
        <f t="shared" si="3"/>
        <v>0</v>
      </c>
      <c r="O28" s="5">
        <f t="shared" si="3"/>
        <v>0</v>
      </c>
      <c r="P28" s="5">
        <f t="shared" si="3"/>
        <v>0</v>
      </c>
    </row>
    <row r="29" spans="3:17" x14ac:dyDescent="0.35">
      <c r="D29" s="3" t="str">
        <f t="shared" si="4"/>
        <v>Difference</v>
      </c>
      <c r="E29" s="5">
        <f>SUM($E22:E22)</f>
        <v>0</v>
      </c>
      <c r="F29" s="5">
        <f>SUM($E22:F22)</f>
        <v>0</v>
      </c>
      <c r="G29" s="5">
        <f>SUM($E22:G22)</f>
        <v>0</v>
      </c>
      <c r="H29" s="5">
        <f>SUM($E22:H22)</f>
        <v>0</v>
      </c>
      <c r="I29" s="5">
        <f>SUM($E22:I22)</f>
        <v>0</v>
      </c>
      <c r="J29" s="5">
        <f>SUM($E22:J22)</f>
        <v>0</v>
      </c>
      <c r="K29" s="5">
        <f>SUM($E22:K22)</f>
        <v>0</v>
      </c>
      <c r="L29" s="5">
        <f>SUM($E22:L22)</f>
        <v>0</v>
      </c>
      <c r="M29" s="5">
        <f>SUM($E22:M22)</f>
        <v>0</v>
      </c>
      <c r="N29" s="5">
        <f>SUM($E22:N22)</f>
        <v>0</v>
      </c>
      <c r="O29" s="5">
        <f>SUM($E22:O22)</f>
        <v>0</v>
      </c>
      <c r="P29" s="5">
        <f>SUM($E22:P22)</f>
        <v>0</v>
      </c>
    </row>
    <row r="30" spans="3:17" x14ac:dyDescent="0.35">
      <c r="D30" s="3" t="str">
        <f t="shared" si="4"/>
        <v>Realisation</v>
      </c>
      <c r="E30" s="9" t="e">
        <f>E28/E26</f>
        <v>#DIV/0!</v>
      </c>
      <c r="F30" s="9" t="e">
        <f t="shared" ref="F30:P30" si="5">F27/F26</f>
        <v>#DIV/0!</v>
      </c>
      <c r="G30" s="9" t="e">
        <f t="shared" si="5"/>
        <v>#DIV/0!</v>
      </c>
      <c r="H30" s="9" t="e">
        <f t="shared" si="5"/>
        <v>#DIV/0!</v>
      </c>
      <c r="I30" s="9" t="e">
        <f t="shared" si="5"/>
        <v>#DIV/0!</v>
      </c>
      <c r="J30" s="9" t="e">
        <f t="shared" si="5"/>
        <v>#DIV/0!</v>
      </c>
      <c r="K30" s="9" t="e">
        <f t="shared" si="5"/>
        <v>#DIV/0!</v>
      </c>
      <c r="L30" s="9" t="e">
        <f t="shared" si="5"/>
        <v>#DIV/0!</v>
      </c>
      <c r="M30" s="9" t="e">
        <f t="shared" si="5"/>
        <v>#DIV/0!</v>
      </c>
      <c r="N30" s="9" t="e">
        <f t="shared" si="5"/>
        <v>#DIV/0!</v>
      </c>
      <c r="O30" s="9" t="e">
        <f t="shared" si="5"/>
        <v>#DIV/0!</v>
      </c>
      <c r="P30" s="9" t="e">
        <f t="shared" si="5"/>
        <v>#DIV/0!</v>
      </c>
    </row>
  </sheetData>
  <mergeCells count="2">
    <mergeCell ref="J4:Q8"/>
    <mergeCell ref="J10:Q15"/>
  </mergeCells>
  <conditionalFormatting sqref="C3">
    <cfRule type="expression" dxfId="407" priority="2">
      <formula>S4&lt;S6</formula>
    </cfRule>
  </conditionalFormatting>
  <conditionalFormatting sqref="C5">
    <cfRule type="expression" dxfId="406" priority="3">
      <formula>S4&gt;=S5</formula>
    </cfRule>
  </conditionalFormatting>
  <conditionalFormatting sqref="C4">
    <cfRule type="expression" dxfId="405" priority="1">
      <formula>AND(S4&gt;=S6,S4&lt;S5)</formula>
    </cfRule>
  </conditionalFormatting>
  <hyperlinks>
    <hyperlink ref="L1" location="Dashboard!A1" display="Dashboard"/>
  </hyperlinks>
  <pageMargins left="0.7" right="0.7" top="0.75" bottom="0.75" header="0.3" footer="0.3"/>
  <pageSetup orientation="portrait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984065" r:id="rId4" name="Spinner 1">
              <controlPr defaultSize="0" autoPict="0">
                <anchor moveWithCells="1" sizeWithCells="1">
                  <from>
                    <xdr:col>9</xdr:col>
                    <xdr:colOff>19050</xdr:colOff>
                    <xdr:row>0</xdr:row>
                    <xdr:rowOff>38100</xdr:rowOff>
                  </from>
                  <to>
                    <xdr:col>9</xdr:col>
                    <xdr:colOff>400050</xdr:colOff>
                    <xdr:row>1</xdr:row>
                    <xdr:rowOff>152400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6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49">
    <tabColor rgb="FFFFC000"/>
  </sheetPr>
  <dimension ref="A1:S30"/>
  <sheetViews>
    <sheetView zoomScale="90" zoomScaleNormal="90" workbookViewId="0">
      <selection activeCell="L1" sqref="L1"/>
    </sheetView>
  </sheetViews>
  <sheetFormatPr defaultColWidth="9.1796875" defaultRowHeight="14.5" x14ac:dyDescent="0.35"/>
  <cols>
    <col min="1" max="1" width="9.1796875" style="3"/>
    <col min="2" max="2" width="5.1796875" style="3" customWidth="1"/>
    <col min="3" max="3" width="6.26953125" style="3" customWidth="1"/>
    <col min="4" max="4" width="21.26953125" style="3" bestFit="1" customWidth="1"/>
    <col min="5" max="16" width="11.1796875" style="3" customWidth="1"/>
    <col min="17" max="17" width="12" style="3" bestFit="1" customWidth="1"/>
    <col min="18" max="18" width="9.1796875" style="3" customWidth="1"/>
    <col min="19" max="16384" width="9.1796875" style="3"/>
  </cols>
  <sheetData>
    <row r="1" spans="1:19" ht="21" x14ac:dyDescent="0.5">
      <c r="A1" s="4" t="s">
        <v>4</v>
      </c>
      <c r="B1" s="4">
        <f>Dashboard!A71</f>
        <v>1</v>
      </c>
      <c r="C1" s="4" t="str">
        <f>Dashboard!B71</f>
        <v>KAYOLE-SEWER</v>
      </c>
      <c r="G1" s="3" t="s">
        <v>9</v>
      </c>
      <c r="I1" s="12">
        <f>INDEX($E$18:$P$18,Actual_month)</f>
        <v>46054</v>
      </c>
      <c r="L1" s="16" t="s">
        <v>19</v>
      </c>
      <c r="R1" s="5"/>
    </row>
    <row r="2" spans="1:19" x14ac:dyDescent="0.35">
      <c r="A2" s="3" t="s">
        <v>13</v>
      </c>
      <c r="C2" s="3" t="s">
        <v>27</v>
      </c>
      <c r="R2" s="6"/>
    </row>
    <row r="3" spans="1:19" ht="25.5" customHeight="1" thickBot="1" x14ac:dyDescent="0.4">
      <c r="C3" s="1" t="s">
        <v>5</v>
      </c>
      <c r="E3" s="10"/>
      <c r="F3" s="10"/>
      <c r="G3" s="10"/>
      <c r="H3" s="10"/>
      <c r="I3" s="10"/>
      <c r="J3" s="3" t="s">
        <v>6</v>
      </c>
      <c r="K3" s="10"/>
      <c r="M3" s="10"/>
      <c r="N3" s="10"/>
      <c r="O3" s="10"/>
      <c r="P3" s="10"/>
    </row>
    <row r="4" spans="1:19" ht="25.5" customHeight="1" x14ac:dyDescent="0.35">
      <c r="C4" s="1" t="s">
        <v>5</v>
      </c>
      <c r="E4" s="10"/>
      <c r="F4" s="10"/>
      <c r="G4" s="10"/>
      <c r="H4" s="10"/>
      <c r="I4" s="10"/>
      <c r="J4" s="401"/>
      <c r="K4" s="402"/>
      <c r="L4" s="402"/>
      <c r="M4" s="402"/>
      <c r="N4" s="402"/>
      <c r="O4" s="402"/>
      <c r="P4" s="402"/>
      <c r="Q4" s="403"/>
      <c r="R4" s="3" t="s">
        <v>22</v>
      </c>
      <c r="S4" s="5">
        <f>INDEX(E27:P27,Actual_month)</f>
        <v>64</v>
      </c>
    </row>
    <row r="5" spans="1:19" ht="25.5" customHeight="1" x14ac:dyDescent="0.35">
      <c r="C5" s="1" t="s">
        <v>5</v>
      </c>
      <c r="E5" s="10"/>
      <c r="F5" s="10"/>
      <c r="G5" s="10"/>
      <c r="H5" s="10"/>
      <c r="I5" s="10"/>
      <c r="J5" s="404"/>
      <c r="K5" s="405"/>
      <c r="L5" s="405"/>
      <c r="M5" s="405"/>
      <c r="N5" s="405"/>
      <c r="O5" s="405"/>
      <c r="P5" s="405"/>
      <c r="Q5" s="406"/>
      <c r="R5" s="3" t="s">
        <v>23</v>
      </c>
      <c r="S5" s="5">
        <f>INDEX(E26:P26,Actual_month)</f>
        <v>60</v>
      </c>
    </row>
    <row r="6" spans="1:19" x14ac:dyDescent="0.35">
      <c r="J6" s="404"/>
      <c r="K6" s="405"/>
      <c r="L6" s="405"/>
      <c r="M6" s="405"/>
      <c r="N6" s="405"/>
      <c r="O6" s="405"/>
      <c r="P6" s="405"/>
      <c r="Q6" s="406"/>
      <c r="R6" s="6">
        <v>0.9</v>
      </c>
      <c r="S6" s="5">
        <f>+S5*R6</f>
        <v>54</v>
      </c>
    </row>
    <row r="7" spans="1:19" x14ac:dyDescent="0.35">
      <c r="J7" s="404"/>
      <c r="K7" s="405"/>
      <c r="L7" s="405"/>
      <c r="M7" s="405"/>
      <c r="N7" s="405"/>
      <c r="O7" s="405"/>
      <c r="P7" s="405"/>
      <c r="Q7" s="406"/>
    </row>
    <row r="8" spans="1:19" ht="15" thickBot="1" x14ac:dyDescent="0.4">
      <c r="J8" s="407"/>
      <c r="K8" s="408"/>
      <c r="L8" s="408"/>
      <c r="M8" s="408"/>
      <c r="N8" s="408"/>
      <c r="O8" s="408"/>
      <c r="P8" s="408"/>
      <c r="Q8" s="409"/>
    </row>
    <row r="9" spans="1:19" ht="15" thickBot="1" x14ac:dyDescent="0.4">
      <c r="J9" s="3" t="s">
        <v>12</v>
      </c>
    </row>
    <row r="10" spans="1:19" x14ac:dyDescent="0.35">
      <c r="J10" s="401"/>
      <c r="K10" s="402"/>
      <c r="L10" s="402"/>
      <c r="M10" s="402"/>
      <c r="N10" s="402"/>
      <c r="O10" s="402"/>
      <c r="P10" s="402"/>
      <c r="Q10" s="403"/>
    </row>
    <row r="11" spans="1:19" x14ac:dyDescent="0.35">
      <c r="J11" s="404"/>
      <c r="K11" s="405"/>
      <c r="L11" s="405"/>
      <c r="M11" s="405"/>
      <c r="N11" s="405"/>
      <c r="O11" s="405"/>
      <c r="P11" s="405"/>
      <c r="Q11" s="406"/>
    </row>
    <row r="12" spans="1:19" x14ac:dyDescent="0.35">
      <c r="J12" s="404"/>
      <c r="K12" s="405"/>
      <c r="L12" s="405"/>
      <c r="M12" s="405"/>
      <c r="N12" s="405"/>
      <c r="O12" s="405"/>
      <c r="P12" s="405"/>
      <c r="Q12" s="406"/>
    </row>
    <row r="13" spans="1:19" x14ac:dyDescent="0.35">
      <c r="J13" s="404"/>
      <c r="K13" s="405"/>
      <c r="L13" s="405"/>
      <c r="M13" s="405"/>
      <c r="N13" s="405"/>
      <c r="O13" s="405"/>
      <c r="P13" s="405"/>
      <c r="Q13" s="406"/>
    </row>
    <row r="14" spans="1:19" x14ac:dyDescent="0.35">
      <c r="J14" s="404"/>
      <c r="K14" s="405"/>
      <c r="L14" s="405"/>
      <c r="M14" s="405"/>
      <c r="N14" s="405"/>
      <c r="O14" s="405"/>
      <c r="P14" s="405"/>
      <c r="Q14" s="406"/>
    </row>
    <row r="15" spans="1:19" ht="15" thickBot="1" x14ac:dyDescent="0.4">
      <c r="J15" s="407"/>
      <c r="K15" s="408"/>
      <c r="L15" s="408"/>
      <c r="M15" s="408"/>
      <c r="N15" s="408"/>
      <c r="O15" s="408"/>
      <c r="P15" s="408"/>
      <c r="Q15" s="409"/>
    </row>
    <row r="18" spans="3:17" x14ac:dyDescent="0.35">
      <c r="C18" s="7" t="s">
        <v>8</v>
      </c>
      <c r="E18" s="11">
        <f>'KPI 1'!E18</f>
        <v>45839</v>
      </c>
      <c r="F18" s="11">
        <f>'KPI 1'!F18</f>
        <v>45870</v>
      </c>
      <c r="G18" s="11">
        <f>'KPI 1'!G18</f>
        <v>45901</v>
      </c>
      <c r="H18" s="11">
        <f>'KPI 1'!H18</f>
        <v>45931</v>
      </c>
      <c r="I18" s="11">
        <f>'KPI 1'!I18</f>
        <v>45962</v>
      </c>
      <c r="J18" s="11">
        <f>'KPI 1'!J18</f>
        <v>45992</v>
      </c>
      <c r="K18" s="11">
        <f>'KPI 1'!K18</f>
        <v>46023</v>
      </c>
      <c r="L18" s="11">
        <f>'KPI 1'!L18</f>
        <v>46054</v>
      </c>
      <c r="M18" s="11">
        <f>'KPI 1'!M18</f>
        <v>46082</v>
      </c>
      <c r="N18" s="11">
        <f>'KPI 1'!N18</f>
        <v>46113</v>
      </c>
      <c r="O18" s="11">
        <f>'KPI 1'!O18</f>
        <v>46143</v>
      </c>
      <c r="P18" s="11">
        <f>'KPI 1'!P18</f>
        <v>46174</v>
      </c>
      <c r="Q18" s="8" t="s">
        <v>0</v>
      </c>
    </row>
    <row r="19" spans="3:17" x14ac:dyDescent="0.35">
      <c r="D19" s="3" t="str">
        <f>'KPI 1'!D19</f>
        <v>Budget 2025-26</v>
      </c>
      <c r="E19" s="5">
        <f>'budget 2025-26'!D66</f>
        <v>53</v>
      </c>
      <c r="F19" s="5">
        <f>'budget 2025-26'!E66</f>
        <v>54</v>
      </c>
      <c r="G19" s="5">
        <f>'budget 2025-26'!F66</f>
        <v>55</v>
      </c>
      <c r="H19" s="5">
        <f>'budget 2025-26'!G66</f>
        <v>56</v>
      </c>
      <c r="I19" s="5">
        <f>'budget 2025-26'!H66</f>
        <v>57</v>
      </c>
      <c r="J19" s="5">
        <f>'budget 2025-26'!I66</f>
        <v>58</v>
      </c>
      <c r="K19" s="5">
        <f>'budget 2025-26'!J66</f>
        <v>59</v>
      </c>
      <c r="L19" s="5">
        <f>'budget 2025-26'!K66</f>
        <v>60</v>
      </c>
      <c r="M19" s="5">
        <f>'budget 2025-26'!L66</f>
        <v>61</v>
      </c>
      <c r="N19" s="5">
        <f>'budget 2025-26'!M66</f>
        <v>62</v>
      </c>
      <c r="O19" s="5">
        <f>'budget 2025-26'!N66</f>
        <v>63</v>
      </c>
      <c r="P19" s="5">
        <f>'budget 2025-26'!O66</f>
        <v>64</v>
      </c>
      <c r="Q19" s="5">
        <f>SUM(E19:P19)</f>
        <v>702</v>
      </c>
    </row>
    <row r="20" spans="3:17" x14ac:dyDescent="0.35">
      <c r="D20" s="3" t="str">
        <f>'KPI 1'!D20</f>
        <v>Actual 2025-26</v>
      </c>
      <c r="E20" s="5">
        <f>'Input Actual2025-26'!E68</f>
        <v>52</v>
      </c>
      <c r="F20" s="5">
        <f>'Input Actual2025-26'!F68</f>
        <v>54</v>
      </c>
      <c r="G20" s="5">
        <f>'Input Actual2025-26'!G68</f>
        <v>56</v>
      </c>
      <c r="H20" s="5">
        <f>'Input Actual2025-26'!H68</f>
        <v>56</v>
      </c>
      <c r="I20" s="5">
        <f>'Input Actual2025-26'!I68</f>
        <v>57</v>
      </c>
      <c r="J20" s="5">
        <f>'Input Actual2025-26'!J68</f>
        <v>61</v>
      </c>
      <c r="K20" s="5">
        <f>'Input Actual2025-26'!K68</f>
        <v>63</v>
      </c>
      <c r="L20" s="5">
        <f>'Input Actual2025-26'!L68</f>
        <v>64</v>
      </c>
      <c r="M20" s="5">
        <f>'Input Actual2025-26'!M68</f>
        <v>0</v>
      </c>
      <c r="N20" s="5">
        <f>'Input Actual2025-26'!N68</f>
        <v>0</v>
      </c>
      <c r="O20" s="5">
        <f>'Input Actual2025-26'!O68</f>
        <v>0</v>
      </c>
      <c r="P20" s="5">
        <f>'Input Actual2025-26'!P68</f>
        <v>0</v>
      </c>
      <c r="Q20" s="5">
        <f t="shared" ref="Q20:Q22" si="0">SUM(E20:P20)</f>
        <v>463</v>
      </c>
    </row>
    <row r="21" spans="3:17" x14ac:dyDescent="0.35">
      <c r="D21" s="3" t="s">
        <v>424</v>
      </c>
      <c r="E21" s="5">
        <f>'Input Actual2024-25'!E64</f>
        <v>44</v>
      </c>
      <c r="F21" s="5">
        <f>'Input Actual2024-25'!F64</f>
        <v>44</v>
      </c>
      <c r="G21" s="5">
        <f>'Input Actual2024-25'!G64</f>
        <v>46</v>
      </c>
      <c r="H21" s="5">
        <f>'Input Actual2024-25'!H64</f>
        <v>47</v>
      </c>
      <c r="I21" s="5">
        <f>'Input Actual2024-25'!I64</f>
        <v>47</v>
      </c>
      <c r="J21" s="5">
        <f>'Input Actual2024-25'!J64</f>
        <v>47</v>
      </c>
      <c r="K21" s="5">
        <f>'Input Actual2024-25'!K64</f>
        <v>47</v>
      </c>
      <c r="L21" s="5">
        <f>'Input Actual2024-25'!L64</f>
        <v>50</v>
      </c>
      <c r="M21" s="5">
        <f>'Input Actual2024-25'!M64</f>
        <v>52</v>
      </c>
      <c r="N21" s="5">
        <f>'Input Actual2024-25'!N64</f>
        <v>52</v>
      </c>
      <c r="O21" s="5">
        <f>'Input Actual2024-25'!O64</f>
        <v>52</v>
      </c>
      <c r="P21" s="5">
        <f>'Input Actual2024-25'!P64</f>
        <v>52</v>
      </c>
      <c r="Q21" s="5">
        <f t="shared" si="0"/>
        <v>580</v>
      </c>
    </row>
    <row r="22" spans="3:17" x14ac:dyDescent="0.35">
      <c r="D22" s="3" t="s">
        <v>7</v>
      </c>
      <c r="E22" s="5">
        <f t="shared" ref="E22:P22" si="1">IF(E20=0,0,E20-E19)</f>
        <v>-1</v>
      </c>
      <c r="F22" s="5">
        <f t="shared" si="1"/>
        <v>0</v>
      </c>
      <c r="G22" s="5">
        <f t="shared" si="1"/>
        <v>1</v>
      </c>
      <c r="H22" s="5">
        <f t="shared" si="1"/>
        <v>0</v>
      </c>
      <c r="I22" s="5">
        <f t="shared" si="1"/>
        <v>0</v>
      </c>
      <c r="J22" s="5">
        <f t="shared" si="1"/>
        <v>3</v>
      </c>
      <c r="K22" s="5">
        <f t="shared" si="1"/>
        <v>4</v>
      </c>
      <c r="L22" s="5">
        <f t="shared" si="1"/>
        <v>4</v>
      </c>
      <c r="M22" s="5">
        <f t="shared" si="1"/>
        <v>0</v>
      </c>
      <c r="N22" s="5">
        <f t="shared" si="1"/>
        <v>0</v>
      </c>
      <c r="O22" s="5">
        <f t="shared" si="1"/>
        <v>0</v>
      </c>
      <c r="P22" s="5">
        <f t="shared" si="1"/>
        <v>0</v>
      </c>
      <c r="Q22" s="5">
        <f t="shared" si="0"/>
        <v>11</v>
      </c>
    </row>
    <row r="23" spans="3:17" x14ac:dyDescent="0.35">
      <c r="D23" s="3" t="s">
        <v>43</v>
      </c>
      <c r="E23" s="9">
        <f>E21/E19</f>
        <v>0.83018867924528306</v>
      </c>
      <c r="F23" s="9">
        <f t="shared" ref="F23:P23" si="2">F20/F19</f>
        <v>1</v>
      </c>
      <c r="G23" s="9">
        <f t="shared" si="2"/>
        <v>1.0181818181818181</v>
      </c>
      <c r="H23" s="9">
        <f t="shared" si="2"/>
        <v>1</v>
      </c>
      <c r="I23" s="9">
        <f t="shared" si="2"/>
        <v>1</v>
      </c>
      <c r="J23" s="9">
        <f t="shared" si="2"/>
        <v>1.0517241379310345</v>
      </c>
      <c r="K23" s="9">
        <f t="shared" si="2"/>
        <v>1.0677966101694916</v>
      </c>
      <c r="L23" s="9">
        <f t="shared" si="2"/>
        <v>1.0666666666666667</v>
      </c>
      <c r="M23" s="9">
        <f t="shared" si="2"/>
        <v>0</v>
      </c>
      <c r="N23" s="9">
        <f t="shared" si="2"/>
        <v>0</v>
      </c>
      <c r="O23" s="9">
        <f t="shared" si="2"/>
        <v>0</v>
      </c>
      <c r="P23" s="9">
        <f t="shared" si="2"/>
        <v>0</v>
      </c>
    </row>
    <row r="25" spans="3:17" x14ac:dyDescent="0.35">
      <c r="C25" s="7" t="s">
        <v>3</v>
      </c>
      <c r="E25" s="11">
        <f>E18</f>
        <v>45839</v>
      </c>
      <c r="F25" s="11">
        <f t="shared" ref="F25:P28" si="3">F18</f>
        <v>45870</v>
      </c>
      <c r="G25" s="11">
        <f t="shared" si="3"/>
        <v>45901</v>
      </c>
      <c r="H25" s="11">
        <f t="shared" si="3"/>
        <v>45931</v>
      </c>
      <c r="I25" s="11">
        <f t="shared" si="3"/>
        <v>45962</v>
      </c>
      <c r="J25" s="11">
        <f t="shared" si="3"/>
        <v>45992</v>
      </c>
      <c r="K25" s="11">
        <f t="shared" si="3"/>
        <v>46023</v>
      </c>
      <c r="L25" s="11">
        <f t="shared" si="3"/>
        <v>46054</v>
      </c>
      <c r="M25" s="11">
        <f t="shared" si="3"/>
        <v>46082</v>
      </c>
      <c r="N25" s="11">
        <f t="shared" si="3"/>
        <v>46113</v>
      </c>
      <c r="O25" s="11">
        <f t="shared" si="3"/>
        <v>46143</v>
      </c>
      <c r="P25" s="11">
        <f t="shared" si="3"/>
        <v>46174</v>
      </c>
    </row>
    <row r="26" spans="3:17" x14ac:dyDescent="0.35">
      <c r="D26" s="3" t="str">
        <f>D19</f>
        <v>Budget 2025-26</v>
      </c>
      <c r="E26" s="5">
        <f>E19</f>
        <v>53</v>
      </c>
      <c r="F26" s="5">
        <f t="shared" si="3"/>
        <v>54</v>
      </c>
      <c r="G26" s="5">
        <f t="shared" si="3"/>
        <v>55</v>
      </c>
      <c r="H26" s="5">
        <f t="shared" si="3"/>
        <v>56</v>
      </c>
      <c r="I26" s="5">
        <f t="shared" si="3"/>
        <v>57</v>
      </c>
      <c r="J26" s="5">
        <f t="shared" si="3"/>
        <v>58</v>
      </c>
      <c r="K26" s="5">
        <f t="shared" si="3"/>
        <v>59</v>
      </c>
      <c r="L26" s="5">
        <f t="shared" si="3"/>
        <v>60</v>
      </c>
      <c r="M26" s="5">
        <f t="shared" si="3"/>
        <v>61</v>
      </c>
      <c r="N26" s="5">
        <f t="shared" si="3"/>
        <v>62</v>
      </c>
      <c r="O26" s="5">
        <f t="shared" si="3"/>
        <v>63</v>
      </c>
      <c r="P26" s="5">
        <f t="shared" si="3"/>
        <v>64</v>
      </c>
    </row>
    <row r="27" spans="3:17" x14ac:dyDescent="0.35">
      <c r="D27" s="3" t="str">
        <f t="shared" ref="D27:E30" si="4">D20</f>
        <v>Actual 2025-26</v>
      </c>
      <c r="E27" s="5">
        <f t="shared" si="4"/>
        <v>52</v>
      </c>
      <c r="F27" s="5">
        <f t="shared" si="3"/>
        <v>54</v>
      </c>
      <c r="G27" s="5">
        <f t="shared" si="3"/>
        <v>56</v>
      </c>
      <c r="H27" s="5">
        <f t="shared" si="3"/>
        <v>56</v>
      </c>
      <c r="I27" s="5">
        <f t="shared" si="3"/>
        <v>57</v>
      </c>
      <c r="J27" s="5">
        <f t="shared" si="3"/>
        <v>61</v>
      </c>
      <c r="K27" s="5">
        <f t="shared" si="3"/>
        <v>63</v>
      </c>
      <c r="L27" s="5">
        <f t="shared" si="3"/>
        <v>64</v>
      </c>
      <c r="M27" s="5">
        <f t="shared" si="3"/>
        <v>0</v>
      </c>
      <c r="N27" s="5">
        <f t="shared" si="3"/>
        <v>0</v>
      </c>
      <c r="O27" s="5">
        <f t="shared" si="3"/>
        <v>0</v>
      </c>
      <c r="P27" s="5">
        <f t="shared" si="3"/>
        <v>0</v>
      </c>
    </row>
    <row r="28" spans="3:17" x14ac:dyDescent="0.35">
      <c r="D28" s="3" t="str">
        <f t="shared" si="4"/>
        <v>Actual 2024-25</v>
      </c>
      <c r="E28" s="5">
        <f t="shared" si="4"/>
        <v>44</v>
      </c>
      <c r="F28" s="5">
        <f t="shared" si="3"/>
        <v>44</v>
      </c>
      <c r="G28" s="5">
        <f t="shared" si="3"/>
        <v>46</v>
      </c>
      <c r="H28" s="5">
        <f t="shared" si="3"/>
        <v>47</v>
      </c>
      <c r="I28" s="5">
        <f t="shared" si="3"/>
        <v>47</v>
      </c>
      <c r="J28" s="5">
        <f t="shared" si="3"/>
        <v>47</v>
      </c>
      <c r="K28" s="5">
        <f t="shared" si="3"/>
        <v>47</v>
      </c>
      <c r="L28" s="5">
        <f t="shared" si="3"/>
        <v>50</v>
      </c>
      <c r="M28" s="5">
        <f t="shared" si="3"/>
        <v>52</v>
      </c>
      <c r="N28" s="5">
        <f t="shared" si="3"/>
        <v>52</v>
      </c>
      <c r="O28" s="5">
        <f t="shared" si="3"/>
        <v>52</v>
      </c>
      <c r="P28" s="5">
        <f t="shared" si="3"/>
        <v>52</v>
      </c>
    </row>
    <row r="29" spans="3:17" x14ac:dyDescent="0.35">
      <c r="D29" s="3" t="str">
        <f t="shared" si="4"/>
        <v>Difference</v>
      </c>
      <c r="E29" s="5">
        <f>SUM($E22:E22)</f>
        <v>-1</v>
      </c>
      <c r="F29" s="5">
        <f>SUM($E22:F22)</f>
        <v>-1</v>
      </c>
      <c r="G29" s="5">
        <f>SUM($E22:G22)</f>
        <v>0</v>
      </c>
      <c r="H29" s="5">
        <f>SUM($E22:H22)</f>
        <v>0</v>
      </c>
      <c r="I29" s="5">
        <f>SUM($E22:I22)</f>
        <v>0</v>
      </c>
      <c r="J29" s="5">
        <f>SUM($E22:J22)</f>
        <v>3</v>
      </c>
      <c r="K29" s="5">
        <f>SUM($E22:K22)</f>
        <v>7</v>
      </c>
      <c r="L29" s="5">
        <f>SUM($E22:L22)</f>
        <v>11</v>
      </c>
      <c r="M29" s="5">
        <f>SUM($E22:M22)</f>
        <v>11</v>
      </c>
      <c r="N29" s="5">
        <f>SUM($E22:N22)</f>
        <v>11</v>
      </c>
      <c r="O29" s="5">
        <f>SUM($E22:O22)</f>
        <v>11</v>
      </c>
      <c r="P29" s="5">
        <f>SUM($E22:P22)</f>
        <v>11</v>
      </c>
    </row>
    <row r="30" spans="3:17" x14ac:dyDescent="0.35">
      <c r="D30" s="3" t="str">
        <f t="shared" si="4"/>
        <v>Realisation</v>
      </c>
      <c r="E30" s="9">
        <f>E28/E26</f>
        <v>0.83018867924528306</v>
      </c>
      <c r="F30" s="9">
        <f t="shared" ref="F30:P30" si="5">F27/F26</f>
        <v>1</v>
      </c>
      <c r="G30" s="9">
        <f t="shared" si="5"/>
        <v>1.0181818181818181</v>
      </c>
      <c r="H30" s="9">
        <f t="shared" si="5"/>
        <v>1</v>
      </c>
      <c r="I30" s="9">
        <f t="shared" si="5"/>
        <v>1</v>
      </c>
      <c r="J30" s="9">
        <f t="shared" si="5"/>
        <v>1.0517241379310345</v>
      </c>
      <c r="K30" s="9">
        <f t="shared" si="5"/>
        <v>1.0677966101694916</v>
      </c>
      <c r="L30" s="9">
        <f t="shared" si="5"/>
        <v>1.0666666666666667</v>
      </c>
      <c r="M30" s="9">
        <f t="shared" si="5"/>
        <v>0</v>
      </c>
      <c r="N30" s="9">
        <f t="shared" si="5"/>
        <v>0</v>
      </c>
      <c r="O30" s="9">
        <f t="shared" si="5"/>
        <v>0</v>
      </c>
      <c r="P30" s="9">
        <f t="shared" si="5"/>
        <v>0</v>
      </c>
    </row>
  </sheetData>
  <mergeCells count="2">
    <mergeCell ref="J4:Q8"/>
    <mergeCell ref="J10:Q15"/>
  </mergeCells>
  <conditionalFormatting sqref="C3">
    <cfRule type="expression" dxfId="404" priority="2">
      <formula>S4&lt;S6</formula>
    </cfRule>
  </conditionalFormatting>
  <conditionalFormatting sqref="C5">
    <cfRule type="expression" dxfId="403" priority="3">
      <formula>S4&gt;=S5</formula>
    </cfRule>
  </conditionalFormatting>
  <conditionalFormatting sqref="C4">
    <cfRule type="expression" dxfId="402" priority="1">
      <formula>AND(S4&gt;=S6,S4&lt;S5)</formula>
    </cfRule>
  </conditionalFormatting>
  <hyperlinks>
    <hyperlink ref="L1" location="Dashboard!A1" display="Dashboard"/>
  </hyperlinks>
  <pageMargins left="0.7" right="0.7" top="0.75" bottom="0.75" header="0.3" footer="0.3"/>
  <pageSetup orientation="portrait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985089" r:id="rId4" name="Spinner 1">
              <controlPr defaultSize="0" autoPict="0">
                <anchor moveWithCells="1" sizeWithCells="1">
                  <from>
                    <xdr:col>9</xdr:col>
                    <xdr:colOff>19050</xdr:colOff>
                    <xdr:row>0</xdr:row>
                    <xdr:rowOff>38100</xdr:rowOff>
                  </from>
                  <to>
                    <xdr:col>9</xdr:col>
                    <xdr:colOff>400050</xdr:colOff>
                    <xdr:row>1</xdr:row>
                    <xdr:rowOff>152400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6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FFC000"/>
  </sheetPr>
  <dimension ref="A1:S30"/>
  <sheetViews>
    <sheetView topLeftCell="D1" workbookViewId="0">
      <selection activeCell="L1" sqref="L1"/>
    </sheetView>
  </sheetViews>
  <sheetFormatPr defaultColWidth="9.1796875" defaultRowHeight="14.5" x14ac:dyDescent="0.35"/>
  <cols>
    <col min="1" max="1" width="9.1796875" style="3"/>
    <col min="2" max="2" width="5.1796875" style="3" customWidth="1"/>
    <col min="3" max="3" width="18.6328125" style="3" customWidth="1"/>
    <col min="4" max="4" width="21.26953125" style="3" bestFit="1" customWidth="1"/>
    <col min="5" max="16" width="11.1796875" style="3" customWidth="1"/>
    <col min="17" max="17" width="12" style="3" bestFit="1" customWidth="1"/>
    <col min="18" max="18" width="9.1796875" style="3" customWidth="1"/>
    <col min="19" max="16384" width="9.1796875" style="3"/>
  </cols>
  <sheetData>
    <row r="1" spans="1:19" ht="21" x14ac:dyDescent="0.5">
      <c r="A1" s="4" t="s">
        <v>4</v>
      </c>
      <c r="B1" s="4">
        <f>Dashboard!A63</f>
        <v>7</v>
      </c>
      <c r="C1" s="4" t="str">
        <f>Dashboard!B63</f>
        <v>HOPEWELL- SEWER</v>
      </c>
      <c r="D1" s="4" t="str">
        <f>Dashboard!C63</f>
        <v>No.</v>
      </c>
      <c r="G1" s="3" t="s">
        <v>9</v>
      </c>
      <c r="I1" s="12">
        <f>INDEX($E$18:$P$18,Actual_month)</f>
        <v>46054</v>
      </c>
      <c r="L1" s="16" t="s">
        <v>19</v>
      </c>
      <c r="R1" s="5"/>
    </row>
    <row r="2" spans="1:19" x14ac:dyDescent="0.35">
      <c r="A2" s="3" t="s">
        <v>13</v>
      </c>
      <c r="C2" s="3" t="s">
        <v>27</v>
      </c>
      <c r="R2" s="6"/>
    </row>
    <row r="3" spans="1:19" ht="25.5" customHeight="1" thickBot="1" x14ac:dyDescent="0.4">
      <c r="C3" s="1" t="s">
        <v>5</v>
      </c>
      <c r="E3" s="10"/>
      <c r="F3" s="10"/>
      <c r="G3" s="10"/>
      <c r="H3" s="10"/>
      <c r="I3" s="10"/>
      <c r="J3" s="3" t="s">
        <v>6</v>
      </c>
      <c r="K3" s="10"/>
      <c r="M3" s="10"/>
      <c r="N3" s="10"/>
      <c r="O3" s="10"/>
      <c r="P3" s="10"/>
    </row>
    <row r="4" spans="1:19" ht="25.5" customHeight="1" x14ac:dyDescent="0.35">
      <c r="C4" s="1" t="s">
        <v>5</v>
      </c>
      <c r="E4" s="10"/>
      <c r="F4" s="10"/>
      <c r="G4" s="10"/>
      <c r="H4" s="10"/>
      <c r="I4" s="10"/>
      <c r="J4" s="401"/>
      <c r="K4" s="402"/>
      <c r="L4" s="402"/>
      <c r="M4" s="402"/>
      <c r="N4" s="402"/>
      <c r="O4" s="402"/>
      <c r="P4" s="402"/>
      <c r="Q4" s="403"/>
      <c r="R4" s="3" t="s">
        <v>22</v>
      </c>
      <c r="S4" s="5">
        <f>INDEX(E27:P27,Actual_month)</f>
        <v>2</v>
      </c>
    </row>
    <row r="5" spans="1:19" ht="25.5" customHeight="1" x14ac:dyDescent="0.35">
      <c r="C5" s="1" t="s">
        <v>5</v>
      </c>
      <c r="E5" s="10"/>
      <c r="F5" s="10"/>
      <c r="G5" s="10"/>
      <c r="H5" s="10"/>
      <c r="I5" s="10"/>
      <c r="J5" s="404"/>
      <c r="K5" s="405"/>
      <c r="L5" s="405"/>
      <c r="M5" s="405"/>
      <c r="N5" s="405"/>
      <c r="O5" s="405"/>
      <c r="P5" s="405"/>
      <c r="Q5" s="406"/>
      <c r="R5" s="3" t="s">
        <v>23</v>
      </c>
      <c r="S5" s="5">
        <f>INDEX(E26:P26,Actual_month)</f>
        <v>2</v>
      </c>
    </row>
    <row r="6" spans="1:19" x14ac:dyDescent="0.35">
      <c r="J6" s="404"/>
      <c r="K6" s="405"/>
      <c r="L6" s="405"/>
      <c r="M6" s="405"/>
      <c r="N6" s="405"/>
      <c r="O6" s="405"/>
      <c r="P6" s="405"/>
      <c r="Q6" s="406"/>
      <c r="R6" s="6">
        <v>0.9</v>
      </c>
      <c r="S6" s="5">
        <f>+S5*R6</f>
        <v>1.8</v>
      </c>
    </row>
    <row r="7" spans="1:19" x14ac:dyDescent="0.35">
      <c r="J7" s="404"/>
      <c r="K7" s="405"/>
      <c r="L7" s="405"/>
      <c r="M7" s="405"/>
      <c r="N7" s="405"/>
      <c r="O7" s="405"/>
      <c r="P7" s="405"/>
      <c r="Q7" s="406"/>
    </row>
    <row r="8" spans="1:19" ht="15" thickBot="1" x14ac:dyDescent="0.4">
      <c r="J8" s="407"/>
      <c r="K8" s="408"/>
      <c r="L8" s="408"/>
      <c r="M8" s="408"/>
      <c r="N8" s="408"/>
      <c r="O8" s="408"/>
      <c r="P8" s="408"/>
      <c r="Q8" s="409"/>
    </row>
    <row r="9" spans="1:19" ht="15" thickBot="1" x14ac:dyDescent="0.4">
      <c r="J9" s="3" t="s">
        <v>12</v>
      </c>
    </row>
    <row r="10" spans="1:19" x14ac:dyDescent="0.35">
      <c r="J10" s="401"/>
      <c r="K10" s="402"/>
      <c r="L10" s="402"/>
      <c r="M10" s="402"/>
      <c r="N10" s="402"/>
      <c r="O10" s="402"/>
      <c r="P10" s="402"/>
      <c r="Q10" s="403"/>
    </row>
    <row r="11" spans="1:19" x14ac:dyDescent="0.35">
      <c r="J11" s="404"/>
      <c r="K11" s="405"/>
      <c r="L11" s="405"/>
      <c r="M11" s="405"/>
      <c r="N11" s="405"/>
      <c r="O11" s="405"/>
      <c r="P11" s="405"/>
      <c r="Q11" s="406"/>
    </row>
    <row r="12" spans="1:19" x14ac:dyDescent="0.35">
      <c r="J12" s="404"/>
      <c r="K12" s="405"/>
      <c r="L12" s="405"/>
      <c r="M12" s="405"/>
      <c r="N12" s="405"/>
      <c r="O12" s="405"/>
      <c r="P12" s="405"/>
      <c r="Q12" s="406"/>
    </row>
    <row r="13" spans="1:19" x14ac:dyDescent="0.35">
      <c r="J13" s="404"/>
      <c r="K13" s="405"/>
      <c r="L13" s="405"/>
      <c r="M13" s="405"/>
      <c r="N13" s="405"/>
      <c r="O13" s="405"/>
      <c r="P13" s="405"/>
      <c r="Q13" s="406"/>
    </row>
    <row r="14" spans="1:19" x14ac:dyDescent="0.35">
      <c r="J14" s="404"/>
      <c r="K14" s="405"/>
      <c r="L14" s="405"/>
      <c r="M14" s="405"/>
      <c r="N14" s="405"/>
      <c r="O14" s="405"/>
      <c r="P14" s="405"/>
      <c r="Q14" s="406"/>
    </row>
    <row r="15" spans="1:19" ht="15" thickBot="1" x14ac:dyDescent="0.4">
      <c r="J15" s="407"/>
      <c r="K15" s="408"/>
      <c r="L15" s="408"/>
      <c r="M15" s="408"/>
      <c r="N15" s="408"/>
      <c r="O15" s="408"/>
      <c r="P15" s="408"/>
      <c r="Q15" s="409"/>
    </row>
    <row r="18" spans="3:17" x14ac:dyDescent="0.35">
      <c r="C18" s="7" t="s">
        <v>8</v>
      </c>
      <c r="E18" s="11">
        <f>'KPI 1'!E18</f>
        <v>45839</v>
      </c>
      <c r="F18" s="11">
        <f>'KPI 1'!F18</f>
        <v>45870</v>
      </c>
      <c r="G18" s="11">
        <f>'KPI 1'!G18</f>
        <v>45901</v>
      </c>
      <c r="H18" s="11">
        <f>'KPI 1'!H18</f>
        <v>45931</v>
      </c>
      <c r="I18" s="11">
        <f>'KPI 1'!I18</f>
        <v>45962</v>
      </c>
      <c r="J18" s="11">
        <f>'KPI 1'!J18</f>
        <v>45992</v>
      </c>
      <c r="K18" s="11">
        <f>'KPI 1'!K18</f>
        <v>46023</v>
      </c>
      <c r="L18" s="11">
        <f>'KPI 1'!L18</f>
        <v>46054</v>
      </c>
      <c r="M18" s="11">
        <f>'KPI 1'!M18</f>
        <v>46082</v>
      </c>
      <c r="N18" s="11">
        <f>'KPI 1'!N18</f>
        <v>46113</v>
      </c>
      <c r="O18" s="11">
        <f>'KPI 1'!O18</f>
        <v>46143</v>
      </c>
      <c r="P18" s="11">
        <f>'KPI 1'!P18</f>
        <v>46174</v>
      </c>
      <c r="Q18" s="8" t="s">
        <v>0</v>
      </c>
    </row>
    <row r="19" spans="3:17" x14ac:dyDescent="0.35">
      <c r="D19" s="3" t="str">
        <f>'KPI 1'!D19</f>
        <v>Budget 2025-26</v>
      </c>
      <c r="E19" s="5">
        <f>'budget 2025-26'!D60</f>
        <v>2</v>
      </c>
      <c r="F19" s="5">
        <f>'budget 2025-26'!E60</f>
        <v>2</v>
      </c>
      <c r="G19" s="5">
        <f>'budget 2025-26'!F60</f>
        <v>2</v>
      </c>
      <c r="H19" s="5">
        <f>'budget 2025-26'!G60</f>
        <v>2</v>
      </c>
      <c r="I19" s="5">
        <f>'budget 2025-26'!H60</f>
        <v>2</v>
      </c>
      <c r="J19" s="5">
        <f>'budget 2025-26'!I60</f>
        <v>2</v>
      </c>
      <c r="K19" s="5">
        <f>'budget 2025-26'!J60</f>
        <v>2</v>
      </c>
      <c r="L19" s="5">
        <f>'budget 2025-26'!K60</f>
        <v>2</v>
      </c>
      <c r="M19" s="5">
        <f>'budget 2025-26'!L60</f>
        <v>2</v>
      </c>
      <c r="N19" s="5">
        <f>'budget 2025-26'!M60</f>
        <v>2</v>
      </c>
      <c r="O19" s="5">
        <f>'budget 2025-26'!N60</f>
        <v>2</v>
      </c>
      <c r="P19" s="5">
        <f>'budget 2025-26'!O60</f>
        <v>2</v>
      </c>
      <c r="Q19" s="5">
        <f>SUM(E19:P19)</f>
        <v>24</v>
      </c>
    </row>
    <row r="20" spans="3:17" x14ac:dyDescent="0.35">
      <c r="D20" s="3" t="str">
        <f>'KPI 1'!D20</f>
        <v>Actual 2025-26</v>
      </c>
      <c r="E20" s="5">
        <f>'Input Actual2025-26'!E62</f>
        <v>2</v>
      </c>
      <c r="F20" s="5">
        <f>'Input Actual2025-26'!F62</f>
        <v>2</v>
      </c>
      <c r="G20" s="5">
        <f>'Input Actual2025-26'!G62</f>
        <v>2</v>
      </c>
      <c r="H20" s="5">
        <f>'Input Actual2025-26'!H62</f>
        <v>2</v>
      </c>
      <c r="I20" s="5">
        <f>'Input Actual2025-26'!I62</f>
        <v>2</v>
      </c>
      <c r="J20" s="5">
        <f>'Input Actual2025-26'!J62</f>
        <v>2</v>
      </c>
      <c r="K20" s="5">
        <f>'Input Actual2025-26'!K62</f>
        <v>2</v>
      </c>
      <c r="L20" s="5">
        <f>'Input Actual2025-26'!L62</f>
        <v>2</v>
      </c>
      <c r="M20" s="5">
        <f>'Input Actual2025-26'!M62</f>
        <v>0</v>
      </c>
      <c r="N20" s="5">
        <f>'Input Actual2025-26'!N62</f>
        <v>0</v>
      </c>
      <c r="O20" s="5">
        <f>'Input Actual2025-26'!O62</f>
        <v>0</v>
      </c>
      <c r="P20" s="5">
        <f>'Input Actual2025-26'!P62</f>
        <v>0</v>
      </c>
      <c r="Q20" s="5">
        <f t="shared" ref="Q20:Q22" si="0">SUM(E20:P20)</f>
        <v>16</v>
      </c>
    </row>
    <row r="21" spans="3:17" x14ac:dyDescent="0.35">
      <c r="D21" s="3" t="s">
        <v>424</v>
      </c>
      <c r="E21" s="5">
        <f>'Input Actual2024-25'!E58</f>
        <v>0</v>
      </c>
      <c r="F21" s="5">
        <f>'Input Actual2024-25'!F58</f>
        <v>7</v>
      </c>
      <c r="G21" s="5">
        <f>'Input Actual2024-25'!G58</f>
        <v>7</v>
      </c>
      <c r="H21" s="5">
        <f>'Input Actual2024-25'!H58</f>
        <v>7</v>
      </c>
      <c r="I21" s="5">
        <f>'Input Actual2024-25'!I58</f>
        <v>7</v>
      </c>
      <c r="J21" s="5">
        <f>'Input Actual2024-25'!J58</f>
        <v>7</v>
      </c>
      <c r="K21" s="5">
        <f>'Input Actual2024-25'!K58</f>
        <v>7</v>
      </c>
      <c r="L21" s="5">
        <f>'Input Actual2024-25'!L58</f>
        <v>2</v>
      </c>
      <c r="M21" s="5">
        <f>'Input Actual2024-25'!M58</f>
        <v>2</v>
      </c>
      <c r="N21" s="5">
        <f>'Input Actual2024-25'!N58</f>
        <v>2</v>
      </c>
      <c r="O21" s="5">
        <f>'Input Actual2024-25'!O58</f>
        <v>2</v>
      </c>
      <c r="P21" s="5">
        <f>'Input Actual2024-25'!P58</f>
        <v>2</v>
      </c>
      <c r="Q21" s="5">
        <f t="shared" si="0"/>
        <v>52</v>
      </c>
    </row>
    <row r="22" spans="3:17" x14ac:dyDescent="0.35">
      <c r="D22" s="3" t="s">
        <v>7</v>
      </c>
      <c r="E22" s="5">
        <f t="shared" ref="E22:P22" si="1">IF(E20=0,0,E20-E19)</f>
        <v>0</v>
      </c>
      <c r="F22" s="5">
        <f t="shared" si="1"/>
        <v>0</v>
      </c>
      <c r="G22" s="5">
        <f t="shared" si="1"/>
        <v>0</v>
      </c>
      <c r="H22" s="5">
        <f t="shared" si="1"/>
        <v>0</v>
      </c>
      <c r="I22" s="5">
        <f t="shared" si="1"/>
        <v>0</v>
      </c>
      <c r="J22" s="5">
        <f t="shared" si="1"/>
        <v>0</v>
      </c>
      <c r="K22" s="5">
        <f t="shared" si="1"/>
        <v>0</v>
      </c>
      <c r="L22" s="5">
        <f t="shared" si="1"/>
        <v>0</v>
      </c>
      <c r="M22" s="5">
        <f t="shared" si="1"/>
        <v>0</v>
      </c>
      <c r="N22" s="5">
        <f t="shared" si="1"/>
        <v>0</v>
      </c>
      <c r="O22" s="5">
        <f t="shared" si="1"/>
        <v>0</v>
      </c>
      <c r="P22" s="5">
        <f t="shared" si="1"/>
        <v>0</v>
      </c>
      <c r="Q22" s="5">
        <f t="shared" si="0"/>
        <v>0</v>
      </c>
    </row>
    <row r="23" spans="3:17" x14ac:dyDescent="0.35">
      <c r="D23" s="3" t="s">
        <v>43</v>
      </c>
      <c r="E23" s="9">
        <f>E21/E19</f>
        <v>0</v>
      </c>
      <c r="F23" s="9">
        <f t="shared" ref="F23:P23" si="2">F20/F19</f>
        <v>1</v>
      </c>
      <c r="G23" s="9">
        <f t="shared" si="2"/>
        <v>1</v>
      </c>
      <c r="H23" s="9">
        <f t="shared" si="2"/>
        <v>1</v>
      </c>
      <c r="I23" s="9">
        <f t="shared" si="2"/>
        <v>1</v>
      </c>
      <c r="J23" s="9">
        <f t="shared" si="2"/>
        <v>1</v>
      </c>
      <c r="K23" s="9">
        <f t="shared" si="2"/>
        <v>1</v>
      </c>
      <c r="L23" s="9">
        <f t="shared" si="2"/>
        <v>1</v>
      </c>
      <c r="M23" s="9">
        <f t="shared" si="2"/>
        <v>0</v>
      </c>
      <c r="N23" s="9">
        <f t="shared" si="2"/>
        <v>0</v>
      </c>
      <c r="O23" s="9">
        <f t="shared" si="2"/>
        <v>0</v>
      </c>
      <c r="P23" s="9">
        <f t="shared" si="2"/>
        <v>0</v>
      </c>
    </row>
    <row r="25" spans="3:17" x14ac:dyDescent="0.35">
      <c r="C25" s="7" t="s">
        <v>3</v>
      </c>
      <c r="E25" s="11">
        <f>E18</f>
        <v>45839</v>
      </c>
      <c r="F25" s="11">
        <f t="shared" ref="F25:P28" si="3">F18</f>
        <v>45870</v>
      </c>
      <c r="G25" s="11">
        <f t="shared" si="3"/>
        <v>45901</v>
      </c>
      <c r="H25" s="11">
        <f t="shared" si="3"/>
        <v>45931</v>
      </c>
      <c r="I25" s="11">
        <f t="shared" si="3"/>
        <v>45962</v>
      </c>
      <c r="J25" s="11">
        <f t="shared" si="3"/>
        <v>45992</v>
      </c>
      <c r="K25" s="11">
        <f t="shared" si="3"/>
        <v>46023</v>
      </c>
      <c r="L25" s="11">
        <f t="shared" si="3"/>
        <v>46054</v>
      </c>
      <c r="M25" s="11">
        <f t="shared" si="3"/>
        <v>46082</v>
      </c>
      <c r="N25" s="11">
        <f t="shared" si="3"/>
        <v>46113</v>
      </c>
      <c r="O25" s="11">
        <f t="shared" si="3"/>
        <v>46143</v>
      </c>
      <c r="P25" s="11">
        <f t="shared" si="3"/>
        <v>46174</v>
      </c>
    </row>
    <row r="26" spans="3:17" x14ac:dyDescent="0.35">
      <c r="D26" s="3" t="str">
        <f>D19</f>
        <v>Budget 2025-26</v>
      </c>
      <c r="E26" s="5">
        <f>E19</f>
        <v>2</v>
      </c>
      <c r="F26" s="5">
        <f t="shared" si="3"/>
        <v>2</v>
      </c>
      <c r="G26" s="5">
        <f t="shared" si="3"/>
        <v>2</v>
      </c>
      <c r="H26" s="5">
        <f t="shared" si="3"/>
        <v>2</v>
      </c>
      <c r="I26" s="5">
        <f t="shared" si="3"/>
        <v>2</v>
      </c>
      <c r="J26" s="5">
        <f t="shared" si="3"/>
        <v>2</v>
      </c>
      <c r="K26" s="5">
        <f t="shared" si="3"/>
        <v>2</v>
      </c>
      <c r="L26" s="5">
        <f t="shared" si="3"/>
        <v>2</v>
      </c>
      <c r="M26" s="5">
        <f t="shared" si="3"/>
        <v>2</v>
      </c>
      <c r="N26" s="5">
        <f t="shared" si="3"/>
        <v>2</v>
      </c>
      <c r="O26" s="5">
        <f t="shared" si="3"/>
        <v>2</v>
      </c>
      <c r="P26" s="5">
        <f t="shared" si="3"/>
        <v>2</v>
      </c>
    </row>
    <row r="27" spans="3:17" x14ac:dyDescent="0.35">
      <c r="D27" s="3" t="str">
        <f t="shared" ref="D27:E30" si="4">D20</f>
        <v>Actual 2025-26</v>
      </c>
      <c r="E27" s="5">
        <f t="shared" si="4"/>
        <v>2</v>
      </c>
      <c r="F27" s="5">
        <f t="shared" si="3"/>
        <v>2</v>
      </c>
      <c r="G27" s="5">
        <f t="shared" si="3"/>
        <v>2</v>
      </c>
      <c r="H27" s="5">
        <f t="shared" si="3"/>
        <v>2</v>
      </c>
      <c r="I27" s="5">
        <f t="shared" si="3"/>
        <v>2</v>
      </c>
      <c r="J27" s="5">
        <f t="shared" si="3"/>
        <v>2</v>
      </c>
      <c r="K27" s="5">
        <f t="shared" si="3"/>
        <v>2</v>
      </c>
      <c r="L27" s="5">
        <f t="shared" si="3"/>
        <v>2</v>
      </c>
      <c r="M27" s="5">
        <f t="shared" si="3"/>
        <v>0</v>
      </c>
      <c r="N27" s="5">
        <f t="shared" si="3"/>
        <v>0</v>
      </c>
      <c r="O27" s="5">
        <f t="shared" si="3"/>
        <v>0</v>
      </c>
      <c r="P27" s="5">
        <f t="shared" si="3"/>
        <v>0</v>
      </c>
    </row>
    <row r="28" spans="3:17" x14ac:dyDescent="0.35">
      <c r="D28" s="3" t="str">
        <f t="shared" si="4"/>
        <v>Actual 2024-25</v>
      </c>
      <c r="E28" s="5">
        <f t="shared" si="4"/>
        <v>0</v>
      </c>
      <c r="F28" s="5">
        <f t="shared" si="3"/>
        <v>7</v>
      </c>
      <c r="G28" s="5">
        <f t="shared" si="3"/>
        <v>7</v>
      </c>
      <c r="H28" s="5">
        <f t="shared" si="3"/>
        <v>7</v>
      </c>
      <c r="I28" s="5">
        <f t="shared" si="3"/>
        <v>7</v>
      </c>
      <c r="J28" s="5">
        <f t="shared" si="3"/>
        <v>7</v>
      </c>
      <c r="K28" s="5">
        <f t="shared" si="3"/>
        <v>7</v>
      </c>
      <c r="L28" s="5">
        <f t="shared" si="3"/>
        <v>2</v>
      </c>
      <c r="M28" s="5">
        <f t="shared" si="3"/>
        <v>2</v>
      </c>
      <c r="N28" s="5">
        <f t="shared" si="3"/>
        <v>2</v>
      </c>
      <c r="O28" s="5">
        <f t="shared" si="3"/>
        <v>2</v>
      </c>
      <c r="P28" s="5">
        <f t="shared" si="3"/>
        <v>2</v>
      </c>
    </row>
    <row r="29" spans="3:17" x14ac:dyDescent="0.35">
      <c r="D29" s="3" t="str">
        <f t="shared" si="4"/>
        <v>Difference</v>
      </c>
      <c r="E29" s="5">
        <f>SUM($E22:E22)</f>
        <v>0</v>
      </c>
      <c r="F29" s="5">
        <f>SUM($E22:F22)</f>
        <v>0</v>
      </c>
      <c r="G29" s="5">
        <f>SUM($E22:G22)</f>
        <v>0</v>
      </c>
      <c r="H29" s="5">
        <f>SUM($E22:H22)</f>
        <v>0</v>
      </c>
      <c r="I29" s="5">
        <f>SUM($E22:I22)</f>
        <v>0</v>
      </c>
      <c r="J29" s="5">
        <f>SUM($E22:J22)</f>
        <v>0</v>
      </c>
      <c r="K29" s="5">
        <f>SUM($E22:K22)</f>
        <v>0</v>
      </c>
      <c r="L29" s="5">
        <f>SUM($E22:L22)</f>
        <v>0</v>
      </c>
      <c r="M29" s="5">
        <f>SUM($E22:M22)</f>
        <v>0</v>
      </c>
      <c r="N29" s="5">
        <f>SUM($E22:N22)</f>
        <v>0</v>
      </c>
      <c r="O29" s="5">
        <f>SUM($E22:O22)</f>
        <v>0</v>
      </c>
      <c r="P29" s="5">
        <f>SUM($E22:P22)</f>
        <v>0</v>
      </c>
    </row>
    <row r="30" spans="3:17" x14ac:dyDescent="0.35">
      <c r="D30" s="3" t="str">
        <f t="shared" si="4"/>
        <v>Realisation</v>
      </c>
      <c r="E30" s="9">
        <f>E28/E26</f>
        <v>0</v>
      </c>
      <c r="F30" s="9">
        <f t="shared" ref="F30:P30" si="5">F27/F26</f>
        <v>1</v>
      </c>
      <c r="G30" s="9">
        <f t="shared" si="5"/>
        <v>1</v>
      </c>
      <c r="H30" s="9">
        <f t="shared" si="5"/>
        <v>1</v>
      </c>
      <c r="I30" s="9">
        <f t="shared" si="5"/>
        <v>1</v>
      </c>
      <c r="J30" s="9">
        <f t="shared" si="5"/>
        <v>1</v>
      </c>
      <c r="K30" s="9">
        <f t="shared" si="5"/>
        <v>1</v>
      </c>
      <c r="L30" s="9">
        <f t="shared" si="5"/>
        <v>1</v>
      </c>
      <c r="M30" s="9">
        <f t="shared" si="5"/>
        <v>0</v>
      </c>
      <c r="N30" s="9">
        <f t="shared" si="5"/>
        <v>0</v>
      </c>
      <c r="O30" s="9">
        <f t="shared" si="5"/>
        <v>0</v>
      </c>
      <c r="P30" s="9">
        <f t="shared" si="5"/>
        <v>0</v>
      </c>
    </row>
  </sheetData>
  <mergeCells count="2">
    <mergeCell ref="J4:Q8"/>
    <mergeCell ref="J10:Q15"/>
  </mergeCells>
  <conditionalFormatting sqref="C3">
    <cfRule type="expression" dxfId="401" priority="2">
      <formula>S4&lt;S6</formula>
    </cfRule>
  </conditionalFormatting>
  <conditionalFormatting sqref="C5">
    <cfRule type="expression" dxfId="400" priority="3">
      <formula>S4&gt;=S5</formula>
    </cfRule>
  </conditionalFormatting>
  <conditionalFormatting sqref="C4">
    <cfRule type="expression" dxfId="399" priority="1">
      <formula>AND(S4&gt;=S6,S4&lt;S5)</formula>
    </cfRule>
  </conditionalFormatting>
  <hyperlinks>
    <hyperlink ref="L1" location="Dashboard!A1" display="Dashboard"/>
  </hyperlinks>
  <pageMargins left="0.7" right="0.7" top="0.75" bottom="0.75" header="0.3" footer="0.3"/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591297" r:id="rId3" name="Spinner 1">
              <controlPr defaultSize="0" autoPict="0">
                <anchor moveWithCells="1" sizeWithCells="1">
                  <from>
                    <xdr:col>9</xdr:col>
                    <xdr:colOff>19050</xdr:colOff>
                    <xdr:row>0</xdr:row>
                    <xdr:rowOff>38100</xdr:rowOff>
                  </from>
                  <to>
                    <xdr:col>9</xdr:col>
                    <xdr:colOff>400050</xdr:colOff>
                    <xdr:row>1</xdr:row>
                    <xdr:rowOff>152400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6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50">
    <tabColor rgb="FFFFC000"/>
  </sheetPr>
  <dimension ref="A1:S30"/>
  <sheetViews>
    <sheetView zoomScale="90" zoomScaleNormal="90" workbookViewId="0">
      <selection activeCell="L1" sqref="L1"/>
    </sheetView>
  </sheetViews>
  <sheetFormatPr defaultColWidth="9.1796875" defaultRowHeight="14.5" x14ac:dyDescent="0.35"/>
  <cols>
    <col min="1" max="1" width="9.1796875" style="3"/>
    <col min="2" max="2" width="5.1796875" style="3" customWidth="1"/>
    <col min="3" max="3" width="6.26953125" style="3" customWidth="1"/>
    <col min="4" max="4" width="21.26953125" style="3" bestFit="1" customWidth="1"/>
    <col min="5" max="16" width="11.1796875" style="3" customWidth="1"/>
    <col min="17" max="17" width="12" style="3" bestFit="1" customWidth="1"/>
    <col min="18" max="18" width="9.1796875" style="3" customWidth="1"/>
    <col min="19" max="16384" width="9.1796875" style="3"/>
  </cols>
  <sheetData>
    <row r="1" spans="1:19" ht="21" x14ac:dyDescent="0.5">
      <c r="A1" s="4" t="s">
        <v>4</v>
      </c>
      <c r="B1" s="4">
        <f>Dashboard!A62</f>
        <v>6</v>
      </c>
      <c r="C1" s="4" t="str">
        <f>Dashboard!B62</f>
        <v>LAKEVIEW- SEWER</v>
      </c>
      <c r="G1" s="3" t="s">
        <v>9</v>
      </c>
      <c r="I1" s="12">
        <f>INDEX($E$18:$P$18,Actual_month)</f>
        <v>46054</v>
      </c>
      <c r="L1" s="16" t="s">
        <v>19</v>
      </c>
      <c r="R1" s="5"/>
    </row>
    <row r="2" spans="1:19" x14ac:dyDescent="0.35">
      <c r="A2" s="3" t="s">
        <v>13</v>
      </c>
      <c r="C2" s="3" t="s">
        <v>27</v>
      </c>
      <c r="R2" s="6"/>
    </row>
    <row r="3" spans="1:19" ht="25.5" customHeight="1" thickBot="1" x14ac:dyDescent="0.4">
      <c r="C3" s="1" t="s">
        <v>5</v>
      </c>
      <c r="E3" s="10"/>
      <c r="F3" s="10"/>
      <c r="G3" s="10"/>
      <c r="H3" s="10"/>
      <c r="I3" s="10"/>
      <c r="J3" s="3" t="s">
        <v>6</v>
      </c>
      <c r="K3" s="10"/>
      <c r="M3" s="10"/>
      <c r="N3" s="10"/>
      <c r="O3" s="10"/>
      <c r="P3" s="10"/>
    </row>
    <row r="4" spans="1:19" ht="25.5" customHeight="1" x14ac:dyDescent="0.35">
      <c r="C4" s="1" t="s">
        <v>5</v>
      </c>
      <c r="E4" s="10"/>
      <c r="F4" s="10"/>
      <c r="G4" s="10"/>
      <c r="H4" s="10"/>
      <c r="I4" s="10"/>
      <c r="J4" s="401"/>
      <c r="K4" s="402"/>
      <c r="L4" s="402"/>
      <c r="M4" s="402"/>
      <c r="N4" s="402"/>
      <c r="O4" s="402"/>
      <c r="P4" s="402"/>
      <c r="Q4" s="403"/>
      <c r="R4" s="3" t="s">
        <v>22</v>
      </c>
      <c r="S4" s="5">
        <f>INDEX(E27:P27,Actual_month)</f>
        <v>184</v>
      </c>
    </row>
    <row r="5" spans="1:19" ht="25.5" customHeight="1" x14ac:dyDescent="0.35">
      <c r="C5" s="1" t="s">
        <v>5</v>
      </c>
      <c r="E5" s="10"/>
      <c r="F5" s="10"/>
      <c r="G5" s="10"/>
      <c r="H5" s="10"/>
      <c r="I5" s="10"/>
      <c r="J5" s="404"/>
      <c r="K5" s="405"/>
      <c r="L5" s="405"/>
      <c r="M5" s="405"/>
      <c r="N5" s="405"/>
      <c r="O5" s="405"/>
      <c r="P5" s="405"/>
      <c r="Q5" s="406"/>
      <c r="R5" s="3" t="s">
        <v>23</v>
      </c>
      <c r="S5" s="5">
        <f>INDEX(E26:P26,Actual_month)</f>
        <v>188</v>
      </c>
    </row>
    <row r="6" spans="1:19" x14ac:dyDescent="0.35">
      <c r="J6" s="404"/>
      <c r="K6" s="405"/>
      <c r="L6" s="405"/>
      <c r="M6" s="405"/>
      <c r="N6" s="405"/>
      <c r="O6" s="405"/>
      <c r="P6" s="405"/>
      <c r="Q6" s="406"/>
      <c r="R6" s="6">
        <v>0.9</v>
      </c>
      <c r="S6" s="5">
        <f>+S5*R6</f>
        <v>169.20000000000002</v>
      </c>
    </row>
    <row r="7" spans="1:19" x14ac:dyDescent="0.35">
      <c r="J7" s="404"/>
      <c r="K7" s="405"/>
      <c r="L7" s="405"/>
      <c r="M7" s="405"/>
      <c r="N7" s="405"/>
      <c r="O7" s="405"/>
      <c r="P7" s="405"/>
      <c r="Q7" s="406"/>
    </row>
    <row r="8" spans="1:19" ht="15" thickBot="1" x14ac:dyDescent="0.4">
      <c r="J8" s="407"/>
      <c r="K8" s="408"/>
      <c r="L8" s="408"/>
      <c r="M8" s="408"/>
      <c r="N8" s="408"/>
      <c r="O8" s="408"/>
      <c r="P8" s="408"/>
      <c r="Q8" s="409"/>
    </row>
    <row r="9" spans="1:19" ht="15" thickBot="1" x14ac:dyDescent="0.4">
      <c r="J9" s="3" t="s">
        <v>12</v>
      </c>
    </row>
    <row r="10" spans="1:19" x14ac:dyDescent="0.35">
      <c r="J10" s="401"/>
      <c r="K10" s="402"/>
      <c r="L10" s="402"/>
      <c r="M10" s="402"/>
      <c r="N10" s="402"/>
      <c r="O10" s="402"/>
      <c r="P10" s="402"/>
      <c r="Q10" s="403"/>
    </row>
    <row r="11" spans="1:19" x14ac:dyDescent="0.35">
      <c r="J11" s="404"/>
      <c r="K11" s="405"/>
      <c r="L11" s="405"/>
      <c r="M11" s="405"/>
      <c r="N11" s="405"/>
      <c r="O11" s="405"/>
      <c r="P11" s="405"/>
      <c r="Q11" s="406"/>
    </row>
    <row r="12" spans="1:19" x14ac:dyDescent="0.35">
      <c r="J12" s="404"/>
      <c r="K12" s="405"/>
      <c r="L12" s="405"/>
      <c r="M12" s="405"/>
      <c r="N12" s="405"/>
      <c r="O12" s="405"/>
      <c r="P12" s="405"/>
      <c r="Q12" s="406"/>
    </row>
    <row r="13" spans="1:19" x14ac:dyDescent="0.35">
      <c r="J13" s="404"/>
      <c r="K13" s="405"/>
      <c r="L13" s="405"/>
      <c r="M13" s="405"/>
      <c r="N13" s="405"/>
      <c r="O13" s="405"/>
      <c r="P13" s="405"/>
      <c r="Q13" s="406"/>
    </row>
    <row r="14" spans="1:19" x14ac:dyDescent="0.35">
      <c r="J14" s="404"/>
      <c r="K14" s="405"/>
      <c r="L14" s="405"/>
      <c r="M14" s="405"/>
      <c r="N14" s="405"/>
      <c r="O14" s="405"/>
      <c r="P14" s="405"/>
      <c r="Q14" s="406"/>
    </row>
    <row r="15" spans="1:19" ht="15" thickBot="1" x14ac:dyDescent="0.4">
      <c r="J15" s="407"/>
      <c r="K15" s="408"/>
      <c r="L15" s="408"/>
      <c r="M15" s="408"/>
      <c r="N15" s="408"/>
      <c r="O15" s="408"/>
      <c r="P15" s="408"/>
      <c r="Q15" s="409"/>
    </row>
    <row r="18" spans="3:17" x14ac:dyDescent="0.35">
      <c r="C18" s="7" t="s">
        <v>8</v>
      </c>
      <c r="E18" s="11">
        <f>'KPI 1'!E18</f>
        <v>45839</v>
      </c>
      <c r="F18" s="11">
        <f>'KPI 1'!F18</f>
        <v>45870</v>
      </c>
      <c r="G18" s="11">
        <f>'KPI 1'!G18</f>
        <v>45901</v>
      </c>
      <c r="H18" s="11">
        <f>'KPI 1'!H18</f>
        <v>45931</v>
      </c>
      <c r="I18" s="11">
        <f>'KPI 1'!I18</f>
        <v>45962</v>
      </c>
      <c r="J18" s="11">
        <f>'KPI 1'!J18</f>
        <v>45992</v>
      </c>
      <c r="K18" s="11">
        <f>'KPI 1'!K18</f>
        <v>46023</v>
      </c>
      <c r="L18" s="11">
        <f>'KPI 1'!L18</f>
        <v>46054</v>
      </c>
      <c r="M18" s="11">
        <f>'KPI 1'!M18</f>
        <v>46082</v>
      </c>
      <c r="N18" s="11">
        <f>'KPI 1'!N18</f>
        <v>46113</v>
      </c>
      <c r="O18" s="11">
        <f>'KPI 1'!O18</f>
        <v>46143</v>
      </c>
      <c r="P18" s="11">
        <f>'KPI 1'!P18</f>
        <v>46174</v>
      </c>
      <c r="Q18" s="8" t="s">
        <v>0</v>
      </c>
    </row>
    <row r="19" spans="3:17" x14ac:dyDescent="0.35">
      <c r="D19" s="3" t="str">
        <f>'KPI 1'!D19</f>
        <v>Budget 2025-26</v>
      </c>
      <c r="E19" s="5">
        <f>'budget 2025-26'!D59</f>
        <v>181</v>
      </c>
      <c r="F19" s="5">
        <f>'budget 2025-26'!E59</f>
        <v>182</v>
      </c>
      <c r="G19" s="5">
        <f>'budget 2025-26'!F59</f>
        <v>183</v>
      </c>
      <c r="H19" s="5">
        <f>'budget 2025-26'!G59</f>
        <v>184</v>
      </c>
      <c r="I19" s="5">
        <f>'budget 2025-26'!H59</f>
        <v>185</v>
      </c>
      <c r="J19" s="5">
        <f>'budget 2025-26'!I59</f>
        <v>186</v>
      </c>
      <c r="K19" s="5">
        <f>'budget 2025-26'!J59</f>
        <v>187</v>
      </c>
      <c r="L19" s="5">
        <f>'budget 2025-26'!K59</f>
        <v>188</v>
      </c>
      <c r="M19" s="5">
        <f>'budget 2025-26'!L59</f>
        <v>189</v>
      </c>
      <c r="N19" s="5">
        <f>'budget 2025-26'!M59</f>
        <v>190</v>
      </c>
      <c r="O19" s="5">
        <f>'budget 2025-26'!N59</f>
        <v>191</v>
      </c>
      <c r="P19" s="5">
        <f>'budget 2025-26'!O59</f>
        <v>192</v>
      </c>
      <c r="Q19" s="5">
        <f>SUM(E19:P19)</f>
        <v>2238</v>
      </c>
    </row>
    <row r="20" spans="3:17" x14ac:dyDescent="0.35">
      <c r="D20" s="3" t="str">
        <f>'KPI 1'!D20</f>
        <v>Actual 2025-26</v>
      </c>
      <c r="E20" s="5">
        <f>'Input Actual2025-26'!E61</f>
        <v>180</v>
      </c>
      <c r="F20" s="5">
        <f>'Input Actual2025-26'!F61</f>
        <v>180</v>
      </c>
      <c r="G20" s="5">
        <f>'Input Actual2025-26'!G61</f>
        <v>180</v>
      </c>
      <c r="H20" s="5">
        <f>'Input Actual2025-26'!H61</f>
        <v>179</v>
      </c>
      <c r="I20" s="5">
        <f>'Input Actual2025-26'!I61</f>
        <v>180</v>
      </c>
      <c r="J20" s="5">
        <f>'Input Actual2025-26'!J61</f>
        <v>183</v>
      </c>
      <c r="K20" s="5">
        <f>'Input Actual2025-26'!K61</f>
        <v>184</v>
      </c>
      <c r="L20" s="5">
        <f>'Input Actual2025-26'!L61</f>
        <v>184</v>
      </c>
      <c r="M20" s="5">
        <f>'Input Actual2025-26'!M61</f>
        <v>0</v>
      </c>
      <c r="N20" s="5">
        <f>'Input Actual2025-26'!N61</f>
        <v>0</v>
      </c>
      <c r="O20" s="5">
        <f>'Input Actual2025-26'!O61</f>
        <v>0</v>
      </c>
      <c r="P20" s="5">
        <f>'Input Actual2025-26'!P61</f>
        <v>0</v>
      </c>
      <c r="Q20" s="5">
        <f t="shared" ref="Q20:Q22" si="0">SUM(E20:P20)</f>
        <v>1450</v>
      </c>
    </row>
    <row r="21" spans="3:17" x14ac:dyDescent="0.35">
      <c r="D21" s="3" t="s">
        <v>424</v>
      </c>
      <c r="E21" s="5">
        <f>'Input Actual2024-25'!E57</f>
        <v>184</v>
      </c>
      <c r="F21" s="5">
        <f>'Input Actual2024-25'!F57</f>
        <v>177</v>
      </c>
      <c r="G21" s="5">
        <f>'Input Actual2024-25'!G57</f>
        <v>179</v>
      </c>
      <c r="H21" s="5">
        <f>'Input Actual2024-25'!H57</f>
        <v>179</v>
      </c>
      <c r="I21" s="5">
        <f>'Input Actual2024-25'!I57</f>
        <v>179</v>
      </c>
      <c r="J21" s="5">
        <f>'Input Actual2024-25'!J57</f>
        <v>178</v>
      </c>
      <c r="K21" s="5">
        <f>'Input Actual2024-25'!K57</f>
        <v>178</v>
      </c>
      <c r="L21" s="5">
        <f>'Input Actual2024-25'!L57</f>
        <v>178</v>
      </c>
      <c r="M21" s="5">
        <f>'Input Actual2024-25'!M57</f>
        <v>180</v>
      </c>
      <c r="N21" s="5">
        <f>'Input Actual2024-25'!N57</f>
        <v>180</v>
      </c>
      <c r="O21" s="5">
        <f>'Input Actual2024-25'!O57</f>
        <v>180</v>
      </c>
      <c r="P21" s="5">
        <f>'Input Actual2024-25'!P57</f>
        <v>180</v>
      </c>
      <c r="Q21" s="5">
        <f t="shared" si="0"/>
        <v>2152</v>
      </c>
    </row>
    <row r="22" spans="3:17" x14ac:dyDescent="0.35">
      <c r="D22" s="3" t="s">
        <v>7</v>
      </c>
      <c r="E22" s="5">
        <f t="shared" ref="E22:P22" si="1">IF(E20=0,0,E20-E19)</f>
        <v>-1</v>
      </c>
      <c r="F22" s="5">
        <f t="shared" si="1"/>
        <v>-2</v>
      </c>
      <c r="G22" s="5">
        <f t="shared" si="1"/>
        <v>-3</v>
      </c>
      <c r="H22" s="5">
        <f t="shared" si="1"/>
        <v>-5</v>
      </c>
      <c r="I22" s="5">
        <f t="shared" si="1"/>
        <v>-5</v>
      </c>
      <c r="J22" s="5">
        <f t="shared" si="1"/>
        <v>-3</v>
      </c>
      <c r="K22" s="5">
        <f t="shared" si="1"/>
        <v>-3</v>
      </c>
      <c r="L22" s="5">
        <f t="shared" si="1"/>
        <v>-4</v>
      </c>
      <c r="M22" s="5">
        <f t="shared" si="1"/>
        <v>0</v>
      </c>
      <c r="N22" s="5">
        <f t="shared" si="1"/>
        <v>0</v>
      </c>
      <c r="O22" s="5">
        <f t="shared" si="1"/>
        <v>0</v>
      </c>
      <c r="P22" s="5">
        <f t="shared" si="1"/>
        <v>0</v>
      </c>
      <c r="Q22" s="5">
        <f t="shared" si="0"/>
        <v>-26</v>
      </c>
    </row>
    <row r="23" spans="3:17" x14ac:dyDescent="0.35">
      <c r="D23" s="3" t="s">
        <v>43</v>
      </c>
      <c r="E23" s="9">
        <f>E21/E19</f>
        <v>1.0165745856353592</v>
      </c>
      <c r="F23" s="9">
        <f t="shared" ref="F23:P23" si="2">F20/F19</f>
        <v>0.98901098901098905</v>
      </c>
      <c r="G23" s="9">
        <f t="shared" si="2"/>
        <v>0.98360655737704916</v>
      </c>
      <c r="H23" s="9">
        <f t="shared" si="2"/>
        <v>0.97282608695652173</v>
      </c>
      <c r="I23" s="9">
        <f t="shared" si="2"/>
        <v>0.97297297297297303</v>
      </c>
      <c r="J23" s="9">
        <f t="shared" si="2"/>
        <v>0.9838709677419355</v>
      </c>
      <c r="K23" s="9">
        <f t="shared" si="2"/>
        <v>0.98395721925133695</v>
      </c>
      <c r="L23" s="9">
        <f t="shared" si="2"/>
        <v>0.97872340425531912</v>
      </c>
      <c r="M23" s="9">
        <f t="shared" si="2"/>
        <v>0</v>
      </c>
      <c r="N23" s="9">
        <f t="shared" si="2"/>
        <v>0</v>
      </c>
      <c r="O23" s="9">
        <f t="shared" si="2"/>
        <v>0</v>
      </c>
      <c r="P23" s="9">
        <f t="shared" si="2"/>
        <v>0</v>
      </c>
    </row>
    <row r="25" spans="3:17" x14ac:dyDescent="0.35">
      <c r="C25" s="7" t="s">
        <v>3</v>
      </c>
      <c r="E25" s="11">
        <f>E18</f>
        <v>45839</v>
      </c>
      <c r="F25" s="11">
        <f t="shared" ref="F25:P28" si="3">F18</f>
        <v>45870</v>
      </c>
      <c r="G25" s="11">
        <f t="shared" si="3"/>
        <v>45901</v>
      </c>
      <c r="H25" s="11">
        <f t="shared" si="3"/>
        <v>45931</v>
      </c>
      <c r="I25" s="11">
        <f t="shared" si="3"/>
        <v>45962</v>
      </c>
      <c r="J25" s="11">
        <f t="shared" si="3"/>
        <v>45992</v>
      </c>
      <c r="K25" s="11">
        <f t="shared" si="3"/>
        <v>46023</v>
      </c>
      <c r="L25" s="11">
        <f t="shared" si="3"/>
        <v>46054</v>
      </c>
      <c r="M25" s="11">
        <f t="shared" si="3"/>
        <v>46082</v>
      </c>
      <c r="N25" s="11">
        <f t="shared" si="3"/>
        <v>46113</v>
      </c>
      <c r="O25" s="11">
        <f t="shared" si="3"/>
        <v>46143</v>
      </c>
      <c r="P25" s="11">
        <f t="shared" si="3"/>
        <v>46174</v>
      </c>
    </row>
    <row r="26" spans="3:17" x14ac:dyDescent="0.35">
      <c r="D26" s="3" t="str">
        <f>D19</f>
        <v>Budget 2025-26</v>
      </c>
      <c r="E26" s="5">
        <f>E19</f>
        <v>181</v>
      </c>
      <c r="F26" s="5">
        <f t="shared" si="3"/>
        <v>182</v>
      </c>
      <c r="G26" s="5">
        <f t="shared" si="3"/>
        <v>183</v>
      </c>
      <c r="H26" s="5">
        <f t="shared" si="3"/>
        <v>184</v>
      </c>
      <c r="I26" s="5">
        <f t="shared" si="3"/>
        <v>185</v>
      </c>
      <c r="J26" s="5">
        <f t="shared" si="3"/>
        <v>186</v>
      </c>
      <c r="K26" s="5">
        <f t="shared" si="3"/>
        <v>187</v>
      </c>
      <c r="L26" s="5">
        <f t="shared" si="3"/>
        <v>188</v>
      </c>
      <c r="M26" s="5">
        <f t="shared" si="3"/>
        <v>189</v>
      </c>
      <c r="N26" s="5">
        <f t="shared" si="3"/>
        <v>190</v>
      </c>
      <c r="O26" s="5">
        <f t="shared" si="3"/>
        <v>191</v>
      </c>
      <c r="P26" s="5">
        <f t="shared" si="3"/>
        <v>192</v>
      </c>
    </row>
    <row r="27" spans="3:17" x14ac:dyDescent="0.35">
      <c r="D27" s="3" t="str">
        <f t="shared" ref="D27:E30" si="4">D20</f>
        <v>Actual 2025-26</v>
      </c>
      <c r="E27" s="5">
        <f t="shared" si="4"/>
        <v>180</v>
      </c>
      <c r="F27" s="5">
        <f t="shared" si="3"/>
        <v>180</v>
      </c>
      <c r="G27" s="5">
        <f t="shared" si="3"/>
        <v>180</v>
      </c>
      <c r="H27" s="5">
        <f t="shared" si="3"/>
        <v>179</v>
      </c>
      <c r="I27" s="5">
        <f t="shared" si="3"/>
        <v>180</v>
      </c>
      <c r="J27" s="5">
        <f t="shared" si="3"/>
        <v>183</v>
      </c>
      <c r="K27" s="5">
        <f t="shared" si="3"/>
        <v>184</v>
      </c>
      <c r="L27" s="5">
        <f t="shared" si="3"/>
        <v>184</v>
      </c>
      <c r="M27" s="5">
        <f t="shared" si="3"/>
        <v>0</v>
      </c>
      <c r="N27" s="5">
        <f t="shared" si="3"/>
        <v>0</v>
      </c>
      <c r="O27" s="5">
        <f t="shared" si="3"/>
        <v>0</v>
      </c>
      <c r="P27" s="5">
        <f t="shared" si="3"/>
        <v>0</v>
      </c>
    </row>
    <row r="28" spans="3:17" x14ac:dyDescent="0.35">
      <c r="D28" s="3" t="str">
        <f t="shared" si="4"/>
        <v>Actual 2024-25</v>
      </c>
      <c r="E28" s="5">
        <f t="shared" si="4"/>
        <v>184</v>
      </c>
      <c r="F28" s="5">
        <f t="shared" si="3"/>
        <v>177</v>
      </c>
      <c r="G28" s="5">
        <f t="shared" si="3"/>
        <v>179</v>
      </c>
      <c r="H28" s="5">
        <f t="shared" si="3"/>
        <v>179</v>
      </c>
      <c r="I28" s="5">
        <f t="shared" si="3"/>
        <v>179</v>
      </c>
      <c r="J28" s="5">
        <f t="shared" si="3"/>
        <v>178</v>
      </c>
      <c r="K28" s="5">
        <f t="shared" si="3"/>
        <v>178</v>
      </c>
      <c r="L28" s="5">
        <f t="shared" si="3"/>
        <v>178</v>
      </c>
      <c r="M28" s="5">
        <f t="shared" si="3"/>
        <v>180</v>
      </c>
      <c r="N28" s="5">
        <f t="shared" si="3"/>
        <v>180</v>
      </c>
      <c r="O28" s="5">
        <f t="shared" si="3"/>
        <v>180</v>
      </c>
      <c r="P28" s="5">
        <f t="shared" si="3"/>
        <v>180</v>
      </c>
    </row>
    <row r="29" spans="3:17" x14ac:dyDescent="0.35">
      <c r="D29" s="3" t="str">
        <f t="shared" si="4"/>
        <v>Difference</v>
      </c>
      <c r="E29" s="5">
        <f>SUM($E22:E22)</f>
        <v>-1</v>
      </c>
      <c r="F29" s="5">
        <f>SUM($E22:F22)</f>
        <v>-3</v>
      </c>
      <c r="G29" s="5">
        <f>SUM($E22:G22)</f>
        <v>-6</v>
      </c>
      <c r="H29" s="5">
        <f>SUM($E22:H22)</f>
        <v>-11</v>
      </c>
      <c r="I29" s="5">
        <f>SUM($E22:I22)</f>
        <v>-16</v>
      </c>
      <c r="J29" s="5">
        <f>SUM($E22:J22)</f>
        <v>-19</v>
      </c>
      <c r="K29" s="5">
        <f>SUM($E22:K22)</f>
        <v>-22</v>
      </c>
      <c r="L29" s="5">
        <f>SUM($E22:L22)</f>
        <v>-26</v>
      </c>
      <c r="M29" s="5">
        <f>SUM($E22:M22)</f>
        <v>-26</v>
      </c>
      <c r="N29" s="5">
        <f>SUM($E22:N22)</f>
        <v>-26</v>
      </c>
      <c r="O29" s="5">
        <f>SUM($E22:O22)</f>
        <v>-26</v>
      </c>
      <c r="P29" s="5">
        <f>SUM($E22:P22)</f>
        <v>-26</v>
      </c>
    </row>
    <row r="30" spans="3:17" x14ac:dyDescent="0.35">
      <c r="D30" s="3" t="str">
        <f t="shared" si="4"/>
        <v>Realisation</v>
      </c>
      <c r="E30" s="9">
        <f>E28/E26</f>
        <v>1.0165745856353592</v>
      </c>
      <c r="F30" s="9">
        <f t="shared" ref="F30:P30" si="5">F27/F26</f>
        <v>0.98901098901098905</v>
      </c>
      <c r="G30" s="9">
        <f t="shared" si="5"/>
        <v>0.98360655737704916</v>
      </c>
      <c r="H30" s="9">
        <f t="shared" si="5"/>
        <v>0.97282608695652173</v>
      </c>
      <c r="I30" s="9">
        <f t="shared" si="5"/>
        <v>0.97297297297297303</v>
      </c>
      <c r="J30" s="9">
        <f t="shared" si="5"/>
        <v>0.9838709677419355</v>
      </c>
      <c r="K30" s="9">
        <f t="shared" si="5"/>
        <v>0.98395721925133695</v>
      </c>
      <c r="L30" s="9">
        <f t="shared" si="5"/>
        <v>0.97872340425531912</v>
      </c>
      <c r="M30" s="9">
        <f t="shared" si="5"/>
        <v>0</v>
      </c>
      <c r="N30" s="9">
        <f t="shared" si="5"/>
        <v>0</v>
      </c>
      <c r="O30" s="9">
        <f t="shared" si="5"/>
        <v>0</v>
      </c>
      <c r="P30" s="9">
        <f t="shared" si="5"/>
        <v>0</v>
      </c>
    </row>
  </sheetData>
  <mergeCells count="2">
    <mergeCell ref="J4:Q8"/>
    <mergeCell ref="J10:Q15"/>
  </mergeCells>
  <conditionalFormatting sqref="C3">
    <cfRule type="expression" dxfId="398" priority="2">
      <formula>S4&lt;S6</formula>
    </cfRule>
  </conditionalFormatting>
  <conditionalFormatting sqref="C5">
    <cfRule type="expression" dxfId="397" priority="3">
      <formula>S4&gt;=S5</formula>
    </cfRule>
  </conditionalFormatting>
  <conditionalFormatting sqref="C4">
    <cfRule type="expression" dxfId="396" priority="1">
      <formula>AND(S4&gt;=S6,S4&lt;S5)</formula>
    </cfRule>
  </conditionalFormatting>
  <hyperlinks>
    <hyperlink ref="L1" location="Dashboard!A1" display="Dashboard"/>
  </hyperlinks>
  <pageMargins left="0.7" right="0.7" top="0.75" bottom="0.75" header="0.3" footer="0.3"/>
  <pageSetup orientation="portrait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986113" r:id="rId4" name="Spinner 1">
              <controlPr defaultSize="0" autoPict="0">
                <anchor moveWithCells="1" sizeWithCells="1">
                  <from>
                    <xdr:col>9</xdr:col>
                    <xdr:colOff>19050</xdr:colOff>
                    <xdr:row>0</xdr:row>
                    <xdr:rowOff>38100</xdr:rowOff>
                  </from>
                  <to>
                    <xdr:col>9</xdr:col>
                    <xdr:colOff>400050</xdr:colOff>
                    <xdr:row>1</xdr:row>
                    <xdr:rowOff>152400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6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51"/>
  <dimension ref="A1:S30"/>
  <sheetViews>
    <sheetView zoomScale="90" zoomScaleNormal="90" workbookViewId="0">
      <selection activeCell="L1" sqref="L1"/>
    </sheetView>
  </sheetViews>
  <sheetFormatPr defaultColWidth="9.1796875" defaultRowHeight="14.5" x14ac:dyDescent="0.35"/>
  <cols>
    <col min="1" max="1" width="9.1796875" style="3"/>
    <col min="2" max="2" width="5.1796875" style="3" customWidth="1"/>
    <col min="3" max="3" width="6.26953125" style="3" customWidth="1"/>
    <col min="4" max="4" width="21.26953125" style="3" bestFit="1" customWidth="1"/>
    <col min="5" max="16" width="11.1796875" style="3" customWidth="1"/>
    <col min="17" max="17" width="12" style="3" bestFit="1" customWidth="1"/>
    <col min="18" max="18" width="9.1796875" style="3" customWidth="1"/>
    <col min="19" max="16384" width="9.1796875" style="3"/>
  </cols>
  <sheetData>
    <row r="1" spans="1:19" ht="21" x14ac:dyDescent="0.5">
      <c r="A1" s="4" t="s">
        <v>4</v>
      </c>
      <c r="B1" s="4">
        <f>Dashboard!A68</f>
        <v>3</v>
      </c>
      <c r="C1" s="4" t="str">
        <f>Dashboard!B68</f>
        <v>MAI-MAHIU-SEWER</v>
      </c>
      <c r="G1" s="3" t="s">
        <v>9</v>
      </c>
      <c r="I1" s="12">
        <f>INDEX($E$18:$P$18,Actual_month)</f>
        <v>46054</v>
      </c>
      <c r="L1" s="16" t="s">
        <v>19</v>
      </c>
      <c r="R1" s="5"/>
    </row>
    <row r="2" spans="1:19" x14ac:dyDescent="0.35">
      <c r="A2" s="3" t="s">
        <v>13</v>
      </c>
      <c r="C2" s="3" t="s">
        <v>27</v>
      </c>
      <c r="R2" s="6"/>
    </row>
    <row r="3" spans="1:19" ht="25.5" customHeight="1" thickBot="1" x14ac:dyDescent="0.4">
      <c r="C3" s="1" t="s">
        <v>5</v>
      </c>
      <c r="E3" s="10"/>
      <c r="F3" s="10"/>
      <c r="G3" s="10"/>
      <c r="H3" s="10"/>
      <c r="I3" s="10"/>
      <c r="J3" s="3" t="s">
        <v>6</v>
      </c>
      <c r="K3" s="10"/>
      <c r="M3" s="10"/>
      <c r="N3" s="10"/>
      <c r="O3" s="10"/>
      <c r="P3" s="10"/>
    </row>
    <row r="4" spans="1:19" ht="25.5" customHeight="1" x14ac:dyDescent="0.35">
      <c r="C4" s="1" t="s">
        <v>5</v>
      </c>
      <c r="E4" s="10"/>
      <c r="F4" s="10"/>
      <c r="G4" s="10"/>
      <c r="H4" s="10"/>
      <c r="I4" s="10"/>
      <c r="J4" s="401"/>
      <c r="K4" s="402"/>
      <c r="L4" s="402"/>
      <c r="M4" s="402"/>
      <c r="N4" s="402"/>
      <c r="O4" s="402"/>
      <c r="P4" s="402"/>
      <c r="Q4" s="403"/>
      <c r="R4" s="3" t="s">
        <v>22</v>
      </c>
      <c r="S4" s="5">
        <f>INDEX(E27:P27,Actual_month)</f>
        <v>0</v>
      </c>
    </row>
    <row r="5" spans="1:19" ht="25.5" customHeight="1" x14ac:dyDescent="0.35">
      <c r="C5" s="1" t="s">
        <v>5</v>
      </c>
      <c r="E5" s="10"/>
      <c r="F5" s="10"/>
      <c r="G5" s="10"/>
      <c r="H5" s="10"/>
      <c r="I5" s="10"/>
      <c r="J5" s="404"/>
      <c r="K5" s="405"/>
      <c r="L5" s="405"/>
      <c r="M5" s="405"/>
      <c r="N5" s="405"/>
      <c r="O5" s="405"/>
      <c r="P5" s="405"/>
      <c r="Q5" s="406"/>
      <c r="R5" s="3" t="s">
        <v>23</v>
      </c>
      <c r="S5" s="5">
        <f>INDEX(E26:P26,Actual_month)</f>
        <v>0</v>
      </c>
    </row>
    <row r="6" spans="1:19" x14ac:dyDescent="0.35">
      <c r="J6" s="404"/>
      <c r="K6" s="405"/>
      <c r="L6" s="405"/>
      <c r="M6" s="405"/>
      <c r="N6" s="405"/>
      <c r="O6" s="405"/>
      <c r="P6" s="405"/>
      <c r="Q6" s="406"/>
      <c r="R6" s="6">
        <v>0.9</v>
      </c>
      <c r="S6" s="5">
        <f>+S5*R6</f>
        <v>0</v>
      </c>
    </row>
    <row r="7" spans="1:19" x14ac:dyDescent="0.35">
      <c r="J7" s="404"/>
      <c r="K7" s="405"/>
      <c r="L7" s="405"/>
      <c r="M7" s="405"/>
      <c r="N7" s="405"/>
      <c r="O7" s="405"/>
      <c r="P7" s="405"/>
      <c r="Q7" s="406"/>
    </row>
    <row r="8" spans="1:19" ht="15" thickBot="1" x14ac:dyDescent="0.4">
      <c r="J8" s="407"/>
      <c r="K8" s="408"/>
      <c r="L8" s="408"/>
      <c r="M8" s="408"/>
      <c r="N8" s="408"/>
      <c r="O8" s="408"/>
      <c r="P8" s="408"/>
      <c r="Q8" s="409"/>
    </row>
    <row r="9" spans="1:19" ht="15" thickBot="1" x14ac:dyDescent="0.4">
      <c r="J9" s="3" t="s">
        <v>12</v>
      </c>
    </row>
    <row r="10" spans="1:19" x14ac:dyDescent="0.35">
      <c r="J10" s="401"/>
      <c r="K10" s="402"/>
      <c r="L10" s="402"/>
      <c r="M10" s="402"/>
      <c r="N10" s="402"/>
      <c r="O10" s="402"/>
      <c r="P10" s="402"/>
      <c r="Q10" s="403"/>
    </row>
    <row r="11" spans="1:19" x14ac:dyDescent="0.35">
      <c r="J11" s="404"/>
      <c r="K11" s="405"/>
      <c r="L11" s="405"/>
      <c r="M11" s="405"/>
      <c r="N11" s="405"/>
      <c r="O11" s="405"/>
      <c r="P11" s="405"/>
      <c r="Q11" s="406"/>
    </row>
    <row r="12" spans="1:19" x14ac:dyDescent="0.35">
      <c r="J12" s="404"/>
      <c r="K12" s="405"/>
      <c r="L12" s="405"/>
      <c r="M12" s="405"/>
      <c r="N12" s="405"/>
      <c r="O12" s="405"/>
      <c r="P12" s="405"/>
      <c r="Q12" s="406"/>
    </row>
    <row r="13" spans="1:19" x14ac:dyDescent="0.35">
      <c r="J13" s="404"/>
      <c r="K13" s="405"/>
      <c r="L13" s="405"/>
      <c r="M13" s="405"/>
      <c r="N13" s="405"/>
      <c r="O13" s="405"/>
      <c r="P13" s="405"/>
      <c r="Q13" s="406"/>
    </row>
    <row r="14" spans="1:19" x14ac:dyDescent="0.35">
      <c r="J14" s="404"/>
      <c r="K14" s="405"/>
      <c r="L14" s="405"/>
      <c r="M14" s="405"/>
      <c r="N14" s="405"/>
      <c r="O14" s="405"/>
      <c r="P14" s="405"/>
      <c r="Q14" s="406"/>
    </row>
    <row r="15" spans="1:19" ht="15" thickBot="1" x14ac:dyDescent="0.4">
      <c r="J15" s="407"/>
      <c r="K15" s="408"/>
      <c r="L15" s="408"/>
      <c r="M15" s="408"/>
      <c r="N15" s="408"/>
      <c r="O15" s="408"/>
      <c r="P15" s="408"/>
      <c r="Q15" s="409"/>
    </row>
    <row r="18" spans="3:17" x14ac:dyDescent="0.35">
      <c r="C18" s="7" t="s">
        <v>8</v>
      </c>
      <c r="E18" s="11">
        <f>'KPI 1'!E18</f>
        <v>45839</v>
      </c>
      <c r="F18" s="11">
        <f>'KPI 1'!F18</f>
        <v>45870</v>
      </c>
      <c r="G18" s="11">
        <f>'KPI 1'!G18</f>
        <v>45901</v>
      </c>
      <c r="H18" s="11">
        <f>'KPI 1'!H18</f>
        <v>45931</v>
      </c>
      <c r="I18" s="11">
        <f>'KPI 1'!I18</f>
        <v>45962</v>
      </c>
      <c r="J18" s="11">
        <f>'KPI 1'!J18</f>
        <v>45992</v>
      </c>
      <c r="K18" s="11">
        <f>'KPI 1'!K18</f>
        <v>46023</v>
      </c>
      <c r="L18" s="11">
        <f>'KPI 1'!L18</f>
        <v>46054</v>
      </c>
      <c r="M18" s="11">
        <f>'KPI 1'!M18</f>
        <v>46082</v>
      </c>
      <c r="N18" s="11">
        <f>'KPI 1'!N18</f>
        <v>46113</v>
      </c>
      <c r="O18" s="11">
        <f>'KPI 1'!O18</f>
        <v>46143</v>
      </c>
      <c r="P18" s="11">
        <f>'KPI 1'!P18</f>
        <v>46174</v>
      </c>
      <c r="Q18" s="8" t="s">
        <v>0</v>
      </c>
    </row>
    <row r="19" spans="3:17" x14ac:dyDescent="0.35">
      <c r="D19" s="3" t="str">
        <f>'KPI 1'!D19</f>
        <v>Budget 2025-26</v>
      </c>
      <c r="E19" s="5">
        <f>'budget 2025-26'!D64</f>
        <v>0</v>
      </c>
      <c r="F19" s="5">
        <f>'budget 2025-26'!E64</f>
        <v>0</v>
      </c>
      <c r="G19" s="5">
        <f>'budget 2025-26'!F64</f>
        <v>0</v>
      </c>
      <c r="H19" s="5">
        <f>'budget 2025-26'!G64</f>
        <v>0</v>
      </c>
      <c r="I19" s="5">
        <f>'budget 2025-26'!H64</f>
        <v>0</v>
      </c>
      <c r="J19" s="5">
        <f>'budget 2025-26'!I64</f>
        <v>0</v>
      </c>
      <c r="K19" s="5">
        <f>'budget 2025-26'!J64</f>
        <v>0</v>
      </c>
      <c r="L19" s="5">
        <f>'budget 2025-26'!K64</f>
        <v>0</v>
      </c>
      <c r="M19" s="5">
        <f>'budget 2025-26'!L64</f>
        <v>0</v>
      </c>
      <c r="N19" s="5">
        <f>'budget 2025-26'!M64</f>
        <v>0</v>
      </c>
      <c r="O19" s="5">
        <f>'budget 2025-26'!N64</f>
        <v>0</v>
      </c>
      <c r="P19" s="5">
        <f>'budget 2025-26'!O64</f>
        <v>0</v>
      </c>
      <c r="Q19" s="5">
        <f>SUM(E19:P19)</f>
        <v>0</v>
      </c>
    </row>
    <row r="20" spans="3:17" x14ac:dyDescent="0.35">
      <c r="D20" s="3" t="str">
        <f>'KPI 1'!D20</f>
        <v>Actual 2025-26</v>
      </c>
      <c r="E20" s="5">
        <f>'Input Actual2025-26'!E66</f>
        <v>0</v>
      </c>
      <c r="F20" s="5">
        <f>'Input Actual2025-26'!F66</f>
        <v>0</v>
      </c>
      <c r="G20" s="5">
        <f>'Input Actual2025-26'!G66</f>
        <v>0</v>
      </c>
      <c r="H20" s="5">
        <f>'Input Actual2025-26'!H66</f>
        <v>0</v>
      </c>
      <c r="I20" s="5">
        <f>'Input Actual2025-26'!I66</f>
        <v>0</v>
      </c>
      <c r="J20" s="5">
        <f>'Input Actual2025-26'!J66</f>
        <v>0</v>
      </c>
      <c r="K20" s="5">
        <f>'Input Actual2025-26'!K66</f>
        <v>0</v>
      </c>
      <c r="L20" s="5">
        <f>'Input Actual2025-26'!L66</f>
        <v>0</v>
      </c>
      <c r="M20" s="5">
        <f>'Input Actual2025-26'!M66</f>
        <v>0</v>
      </c>
      <c r="N20" s="5">
        <f>'Input Actual2025-26'!N66</f>
        <v>0</v>
      </c>
      <c r="O20" s="5">
        <f>'Input Actual2025-26'!O66</f>
        <v>0</v>
      </c>
      <c r="P20" s="5">
        <f>'Input Actual2025-26'!P66</f>
        <v>0</v>
      </c>
      <c r="Q20" s="5">
        <f t="shared" ref="Q20:Q22" si="0">SUM(E20:P20)</f>
        <v>0</v>
      </c>
    </row>
    <row r="21" spans="3:17" x14ac:dyDescent="0.35">
      <c r="D21" s="3" t="s">
        <v>424</v>
      </c>
      <c r="E21" s="5">
        <f>'Input Actual2024-25'!E62</f>
        <v>0</v>
      </c>
      <c r="F21" s="5">
        <f>'Input Actual2024-25'!F62</f>
        <v>0</v>
      </c>
      <c r="G21" s="5">
        <f>'Input Actual2024-25'!G62</f>
        <v>0</v>
      </c>
      <c r="H21" s="5">
        <f>'Input Actual2024-25'!H62</f>
        <v>0</v>
      </c>
      <c r="I21" s="5">
        <f>'Input Actual2024-25'!I62</f>
        <v>0</v>
      </c>
      <c r="J21" s="5">
        <f>'Input Actual2024-25'!J62</f>
        <v>0</v>
      </c>
      <c r="K21" s="5">
        <f>'Input Actual2024-25'!K62</f>
        <v>0</v>
      </c>
      <c r="L21" s="5">
        <f>'Input Actual2024-25'!L62</f>
        <v>0</v>
      </c>
      <c r="M21" s="5">
        <f>'Input Actual2024-25'!M62</f>
        <v>0</v>
      </c>
      <c r="N21" s="5">
        <f>'Input Actual2024-25'!N62</f>
        <v>0</v>
      </c>
      <c r="O21" s="5">
        <f>'Input Actual2024-25'!O62</f>
        <v>0</v>
      </c>
      <c r="P21" s="5">
        <f>'Input Actual2024-25'!P62</f>
        <v>0</v>
      </c>
      <c r="Q21" s="5">
        <f>'Input Actual2024-25'!Q62</f>
        <v>0</v>
      </c>
    </row>
    <row r="22" spans="3:17" x14ac:dyDescent="0.35">
      <c r="D22" s="3" t="s">
        <v>7</v>
      </c>
      <c r="E22" s="5">
        <f t="shared" ref="E22:P22" si="1">IF(E20=0,0,E20-E19)</f>
        <v>0</v>
      </c>
      <c r="F22" s="5">
        <f t="shared" si="1"/>
        <v>0</v>
      </c>
      <c r="G22" s="5">
        <f t="shared" si="1"/>
        <v>0</v>
      </c>
      <c r="H22" s="5">
        <f t="shared" si="1"/>
        <v>0</v>
      </c>
      <c r="I22" s="5">
        <f t="shared" si="1"/>
        <v>0</v>
      </c>
      <c r="J22" s="5">
        <f t="shared" si="1"/>
        <v>0</v>
      </c>
      <c r="K22" s="5">
        <f t="shared" si="1"/>
        <v>0</v>
      </c>
      <c r="L22" s="5">
        <f t="shared" si="1"/>
        <v>0</v>
      </c>
      <c r="M22" s="5">
        <f t="shared" si="1"/>
        <v>0</v>
      </c>
      <c r="N22" s="5">
        <f t="shared" si="1"/>
        <v>0</v>
      </c>
      <c r="O22" s="5">
        <f t="shared" si="1"/>
        <v>0</v>
      </c>
      <c r="P22" s="5">
        <f t="shared" si="1"/>
        <v>0</v>
      </c>
      <c r="Q22" s="5">
        <f t="shared" si="0"/>
        <v>0</v>
      </c>
    </row>
    <row r="23" spans="3:17" x14ac:dyDescent="0.35">
      <c r="D23" s="3" t="s">
        <v>43</v>
      </c>
      <c r="E23" s="9" t="e">
        <f>E21/E19</f>
        <v>#DIV/0!</v>
      </c>
      <c r="F23" s="9" t="e">
        <f t="shared" ref="F23:P23" si="2">F20/F19</f>
        <v>#DIV/0!</v>
      </c>
      <c r="G23" s="9" t="e">
        <f t="shared" si="2"/>
        <v>#DIV/0!</v>
      </c>
      <c r="H23" s="9" t="e">
        <f t="shared" si="2"/>
        <v>#DIV/0!</v>
      </c>
      <c r="I23" s="9" t="e">
        <f t="shared" si="2"/>
        <v>#DIV/0!</v>
      </c>
      <c r="J23" s="9" t="e">
        <f t="shared" si="2"/>
        <v>#DIV/0!</v>
      </c>
      <c r="K23" s="9" t="e">
        <f t="shared" si="2"/>
        <v>#DIV/0!</v>
      </c>
      <c r="L23" s="9" t="e">
        <f t="shared" si="2"/>
        <v>#DIV/0!</v>
      </c>
      <c r="M23" s="9" t="e">
        <f t="shared" si="2"/>
        <v>#DIV/0!</v>
      </c>
      <c r="N23" s="9" t="e">
        <f t="shared" si="2"/>
        <v>#DIV/0!</v>
      </c>
      <c r="O23" s="9" t="e">
        <f t="shared" si="2"/>
        <v>#DIV/0!</v>
      </c>
      <c r="P23" s="9" t="e">
        <f t="shared" si="2"/>
        <v>#DIV/0!</v>
      </c>
    </row>
    <row r="25" spans="3:17" x14ac:dyDescent="0.35">
      <c r="C25" s="7" t="s">
        <v>3</v>
      </c>
      <c r="E25" s="11">
        <f>E18</f>
        <v>45839</v>
      </c>
      <c r="F25" s="11">
        <f t="shared" ref="F25:P28" si="3">F18</f>
        <v>45870</v>
      </c>
      <c r="G25" s="11">
        <f t="shared" si="3"/>
        <v>45901</v>
      </c>
      <c r="H25" s="11">
        <f t="shared" si="3"/>
        <v>45931</v>
      </c>
      <c r="I25" s="11">
        <f t="shared" si="3"/>
        <v>45962</v>
      </c>
      <c r="J25" s="11">
        <f t="shared" si="3"/>
        <v>45992</v>
      </c>
      <c r="K25" s="11">
        <f t="shared" si="3"/>
        <v>46023</v>
      </c>
      <c r="L25" s="11">
        <f t="shared" si="3"/>
        <v>46054</v>
      </c>
      <c r="M25" s="11">
        <f t="shared" si="3"/>
        <v>46082</v>
      </c>
      <c r="N25" s="11">
        <f t="shared" si="3"/>
        <v>46113</v>
      </c>
      <c r="O25" s="11">
        <f t="shared" si="3"/>
        <v>46143</v>
      </c>
      <c r="P25" s="11">
        <f t="shared" si="3"/>
        <v>46174</v>
      </c>
    </row>
    <row r="26" spans="3:17" x14ac:dyDescent="0.35">
      <c r="D26" s="3" t="str">
        <f>D19</f>
        <v>Budget 2025-26</v>
      </c>
      <c r="E26" s="5">
        <f>E19</f>
        <v>0</v>
      </c>
      <c r="F26" s="5">
        <f t="shared" si="3"/>
        <v>0</v>
      </c>
      <c r="G26" s="5">
        <f t="shared" si="3"/>
        <v>0</v>
      </c>
      <c r="H26" s="5">
        <f t="shared" si="3"/>
        <v>0</v>
      </c>
      <c r="I26" s="5">
        <f t="shared" si="3"/>
        <v>0</v>
      </c>
      <c r="J26" s="5">
        <f t="shared" si="3"/>
        <v>0</v>
      </c>
      <c r="K26" s="5">
        <f t="shared" si="3"/>
        <v>0</v>
      </c>
      <c r="L26" s="5">
        <f t="shared" si="3"/>
        <v>0</v>
      </c>
      <c r="M26" s="5">
        <f t="shared" si="3"/>
        <v>0</v>
      </c>
      <c r="N26" s="5">
        <f t="shared" si="3"/>
        <v>0</v>
      </c>
      <c r="O26" s="5">
        <f t="shared" si="3"/>
        <v>0</v>
      </c>
      <c r="P26" s="5">
        <f t="shared" si="3"/>
        <v>0</v>
      </c>
    </row>
    <row r="27" spans="3:17" x14ac:dyDescent="0.35">
      <c r="D27" s="3" t="str">
        <f t="shared" ref="D27:E30" si="4">D20</f>
        <v>Actual 2025-26</v>
      </c>
      <c r="E27" s="5">
        <f t="shared" si="4"/>
        <v>0</v>
      </c>
      <c r="F27" s="5">
        <f t="shared" si="3"/>
        <v>0</v>
      </c>
      <c r="G27" s="5">
        <f t="shared" si="3"/>
        <v>0</v>
      </c>
      <c r="H27" s="5">
        <f t="shared" si="3"/>
        <v>0</v>
      </c>
      <c r="I27" s="5">
        <f t="shared" si="3"/>
        <v>0</v>
      </c>
      <c r="J27" s="5">
        <f t="shared" si="3"/>
        <v>0</v>
      </c>
      <c r="K27" s="5">
        <f t="shared" si="3"/>
        <v>0</v>
      </c>
      <c r="L27" s="5">
        <f t="shared" si="3"/>
        <v>0</v>
      </c>
      <c r="M27" s="5">
        <f t="shared" si="3"/>
        <v>0</v>
      </c>
      <c r="N27" s="5">
        <f t="shared" si="3"/>
        <v>0</v>
      </c>
      <c r="O27" s="5">
        <f t="shared" si="3"/>
        <v>0</v>
      </c>
      <c r="P27" s="5">
        <f t="shared" si="3"/>
        <v>0</v>
      </c>
    </row>
    <row r="28" spans="3:17" x14ac:dyDescent="0.35">
      <c r="D28" s="3" t="str">
        <f t="shared" si="4"/>
        <v>Actual 2024-25</v>
      </c>
      <c r="E28" s="5">
        <f t="shared" si="4"/>
        <v>0</v>
      </c>
      <c r="F28" s="5">
        <f t="shared" si="3"/>
        <v>0</v>
      </c>
      <c r="G28" s="5">
        <f t="shared" si="3"/>
        <v>0</v>
      </c>
      <c r="H28" s="5">
        <f t="shared" si="3"/>
        <v>0</v>
      </c>
      <c r="I28" s="5">
        <f t="shared" si="3"/>
        <v>0</v>
      </c>
      <c r="J28" s="5">
        <f t="shared" si="3"/>
        <v>0</v>
      </c>
      <c r="K28" s="5">
        <f t="shared" si="3"/>
        <v>0</v>
      </c>
      <c r="L28" s="5">
        <f t="shared" si="3"/>
        <v>0</v>
      </c>
      <c r="M28" s="5">
        <f t="shared" si="3"/>
        <v>0</v>
      </c>
      <c r="N28" s="5">
        <f t="shared" si="3"/>
        <v>0</v>
      </c>
      <c r="O28" s="5">
        <f t="shared" si="3"/>
        <v>0</v>
      </c>
      <c r="P28" s="5">
        <f t="shared" si="3"/>
        <v>0</v>
      </c>
    </row>
    <row r="29" spans="3:17" x14ac:dyDescent="0.35">
      <c r="D29" s="3" t="str">
        <f t="shared" si="4"/>
        <v>Difference</v>
      </c>
      <c r="E29" s="5">
        <f>SUM($E22:E22)</f>
        <v>0</v>
      </c>
      <c r="F29" s="5">
        <f>SUM($E22:F22)</f>
        <v>0</v>
      </c>
      <c r="G29" s="5">
        <f>SUM($E22:G22)</f>
        <v>0</v>
      </c>
      <c r="H29" s="5">
        <f>SUM($E22:H22)</f>
        <v>0</v>
      </c>
      <c r="I29" s="5">
        <f>SUM($E22:I22)</f>
        <v>0</v>
      </c>
      <c r="J29" s="5">
        <f>SUM($E22:J22)</f>
        <v>0</v>
      </c>
      <c r="K29" s="5">
        <f>SUM($E22:K22)</f>
        <v>0</v>
      </c>
      <c r="L29" s="5">
        <f>SUM($E22:L22)</f>
        <v>0</v>
      </c>
      <c r="M29" s="5">
        <f>SUM($E22:M22)</f>
        <v>0</v>
      </c>
      <c r="N29" s="5">
        <f>SUM($E22:N22)</f>
        <v>0</v>
      </c>
      <c r="O29" s="5">
        <f>SUM($E22:O22)</f>
        <v>0</v>
      </c>
      <c r="P29" s="5">
        <f>SUM($E22:P22)</f>
        <v>0</v>
      </c>
    </row>
    <row r="30" spans="3:17" x14ac:dyDescent="0.35">
      <c r="D30" s="3" t="str">
        <f t="shared" si="4"/>
        <v>Realisation</v>
      </c>
      <c r="E30" s="9" t="e">
        <f>E28/E26</f>
        <v>#DIV/0!</v>
      </c>
      <c r="F30" s="9" t="e">
        <f t="shared" ref="F30:P30" si="5">F27/F26</f>
        <v>#DIV/0!</v>
      </c>
      <c r="G30" s="9" t="e">
        <f t="shared" si="5"/>
        <v>#DIV/0!</v>
      </c>
      <c r="H30" s="9" t="e">
        <f t="shared" si="5"/>
        <v>#DIV/0!</v>
      </c>
      <c r="I30" s="9" t="e">
        <f t="shared" si="5"/>
        <v>#DIV/0!</v>
      </c>
      <c r="J30" s="9" t="e">
        <f t="shared" si="5"/>
        <v>#DIV/0!</v>
      </c>
      <c r="K30" s="9" t="e">
        <f t="shared" si="5"/>
        <v>#DIV/0!</v>
      </c>
      <c r="L30" s="9" t="e">
        <f t="shared" si="5"/>
        <v>#DIV/0!</v>
      </c>
      <c r="M30" s="9" t="e">
        <f t="shared" si="5"/>
        <v>#DIV/0!</v>
      </c>
      <c r="N30" s="9" t="e">
        <f t="shared" si="5"/>
        <v>#DIV/0!</v>
      </c>
      <c r="O30" s="9" t="e">
        <f t="shared" si="5"/>
        <v>#DIV/0!</v>
      </c>
      <c r="P30" s="9" t="e">
        <f t="shared" si="5"/>
        <v>#DIV/0!</v>
      </c>
    </row>
  </sheetData>
  <mergeCells count="2">
    <mergeCell ref="J4:Q8"/>
    <mergeCell ref="J10:Q15"/>
  </mergeCells>
  <conditionalFormatting sqref="C3">
    <cfRule type="expression" dxfId="395" priority="2">
      <formula>S4&lt;S6</formula>
    </cfRule>
  </conditionalFormatting>
  <conditionalFormatting sqref="C5">
    <cfRule type="expression" dxfId="394" priority="3">
      <formula>S4&gt;=S5</formula>
    </cfRule>
  </conditionalFormatting>
  <conditionalFormatting sqref="C4">
    <cfRule type="expression" dxfId="393" priority="1">
      <formula>AND(S4&gt;=S6,S4&lt;S5)</formula>
    </cfRule>
  </conditionalFormatting>
  <hyperlinks>
    <hyperlink ref="L1" location="Dashboard!A1" display="Dashboard"/>
  </hyperlinks>
  <pageMargins left="0.7" right="0.7" top="0.75" bottom="0.75" header="0.3" footer="0.3"/>
  <pageSetup orientation="portrait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987137" r:id="rId4" name="Spinner 1">
              <controlPr defaultSize="0" autoPict="0">
                <anchor moveWithCells="1" sizeWithCells="1">
                  <from>
                    <xdr:col>9</xdr:col>
                    <xdr:colOff>19050</xdr:colOff>
                    <xdr:row>0</xdr:row>
                    <xdr:rowOff>38100</xdr:rowOff>
                  </from>
                  <to>
                    <xdr:col>9</xdr:col>
                    <xdr:colOff>400050</xdr:colOff>
                    <xdr:row>1</xdr:row>
                    <xdr:rowOff>152400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6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52"/>
  <dimension ref="A1:S30"/>
  <sheetViews>
    <sheetView topLeftCell="A13" zoomScale="90" zoomScaleNormal="90" workbookViewId="0">
      <selection activeCell="M23" sqref="M23"/>
    </sheetView>
  </sheetViews>
  <sheetFormatPr defaultColWidth="9.1796875" defaultRowHeight="14.5" x14ac:dyDescent="0.35"/>
  <cols>
    <col min="1" max="1" width="9.1796875" style="3"/>
    <col min="2" max="2" width="5.1796875" style="3" customWidth="1"/>
    <col min="3" max="3" width="6.26953125" style="3" customWidth="1"/>
    <col min="4" max="4" width="21.26953125" style="3" bestFit="1" customWidth="1"/>
    <col min="5" max="16" width="11.1796875" style="3" customWidth="1"/>
    <col min="17" max="17" width="12" style="3" bestFit="1" customWidth="1"/>
    <col min="18" max="18" width="9.1796875" style="3" customWidth="1"/>
    <col min="19" max="16384" width="9.1796875" style="3"/>
  </cols>
  <sheetData>
    <row r="1" spans="1:19" ht="21" x14ac:dyDescent="0.5">
      <c r="A1" s="4" t="s">
        <v>4</v>
      </c>
      <c r="B1" s="4">
        <f>Dashboard!A69</f>
        <v>0</v>
      </c>
      <c r="C1" s="4" t="str">
        <f>Dashboard!B69</f>
        <v>TOTAL SEWER CONNECTION SOUTHERNREGION</v>
      </c>
      <c r="G1" s="3" t="s">
        <v>9</v>
      </c>
      <c r="I1" s="12">
        <f>INDEX($E$18:$P$18,Actual_month)</f>
        <v>46054</v>
      </c>
      <c r="L1" s="16" t="s">
        <v>19</v>
      </c>
      <c r="R1" s="5"/>
    </row>
    <row r="2" spans="1:19" x14ac:dyDescent="0.35">
      <c r="A2" s="3" t="s">
        <v>13</v>
      </c>
      <c r="C2" s="3" t="s">
        <v>27</v>
      </c>
      <c r="R2" s="6"/>
    </row>
    <row r="3" spans="1:19" ht="25.5" customHeight="1" thickBot="1" x14ac:dyDescent="0.4">
      <c r="C3" s="1" t="s">
        <v>5</v>
      </c>
      <c r="E3" s="10"/>
      <c r="F3" s="10"/>
      <c r="G3" s="10"/>
      <c r="H3" s="10"/>
      <c r="I3" s="10"/>
      <c r="J3" s="3" t="s">
        <v>6</v>
      </c>
      <c r="K3" s="10"/>
      <c r="M3" s="10"/>
      <c r="N3" s="10"/>
      <c r="O3" s="10"/>
      <c r="P3" s="10"/>
    </row>
    <row r="4" spans="1:19" ht="25.5" customHeight="1" x14ac:dyDescent="0.35">
      <c r="C4" s="1" t="s">
        <v>5</v>
      </c>
      <c r="E4" s="10"/>
      <c r="F4" s="10"/>
      <c r="G4" s="10"/>
      <c r="H4" s="10"/>
      <c r="I4" s="10"/>
      <c r="J4" s="401"/>
      <c r="K4" s="402"/>
      <c r="L4" s="402"/>
      <c r="M4" s="402"/>
      <c r="N4" s="402"/>
      <c r="O4" s="402"/>
      <c r="P4" s="402"/>
      <c r="Q4" s="403"/>
      <c r="R4" s="3" t="s">
        <v>22</v>
      </c>
      <c r="S4" s="5">
        <f>INDEX(E27:P27,Actual_month)</f>
        <v>0</v>
      </c>
    </row>
    <row r="5" spans="1:19" ht="25.5" customHeight="1" x14ac:dyDescent="0.35">
      <c r="C5" s="1" t="s">
        <v>5</v>
      </c>
      <c r="E5" s="10"/>
      <c r="F5" s="10"/>
      <c r="G5" s="10"/>
      <c r="H5" s="10"/>
      <c r="I5" s="10"/>
      <c r="J5" s="404"/>
      <c r="K5" s="405"/>
      <c r="L5" s="405"/>
      <c r="M5" s="405"/>
      <c r="N5" s="405"/>
      <c r="O5" s="405"/>
      <c r="P5" s="405"/>
      <c r="Q5" s="406"/>
      <c r="R5" s="3" t="s">
        <v>23</v>
      </c>
      <c r="S5" s="5">
        <f>INDEX(E26:P26,Actual_month)</f>
        <v>0</v>
      </c>
    </row>
    <row r="6" spans="1:19" x14ac:dyDescent="0.35">
      <c r="J6" s="404"/>
      <c r="K6" s="405"/>
      <c r="L6" s="405"/>
      <c r="M6" s="405"/>
      <c r="N6" s="405"/>
      <c r="O6" s="405"/>
      <c r="P6" s="405"/>
      <c r="Q6" s="406"/>
      <c r="R6" s="6">
        <v>0.9</v>
      </c>
      <c r="S6" s="5">
        <f>+S5*R6</f>
        <v>0</v>
      </c>
    </row>
    <row r="7" spans="1:19" x14ac:dyDescent="0.35">
      <c r="J7" s="404"/>
      <c r="K7" s="405"/>
      <c r="L7" s="405"/>
      <c r="M7" s="405"/>
      <c r="N7" s="405"/>
      <c r="O7" s="405"/>
      <c r="P7" s="405"/>
      <c r="Q7" s="406"/>
    </row>
    <row r="8" spans="1:19" ht="15" thickBot="1" x14ac:dyDescent="0.4">
      <c r="J8" s="407"/>
      <c r="K8" s="408"/>
      <c r="L8" s="408"/>
      <c r="M8" s="408"/>
      <c r="N8" s="408"/>
      <c r="O8" s="408"/>
      <c r="P8" s="408"/>
      <c r="Q8" s="409"/>
    </row>
    <row r="9" spans="1:19" ht="15" thickBot="1" x14ac:dyDescent="0.4">
      <c r="J9" s="3" t="s">
        <v>12</v>
      </c>
    </row>
    <row r="10" spans="1:19" x14ac:dyDescent="0.35">
      <c r="J10" s="401"/>
      <c r="K10" s="402"/>
      <c r="L10" s="402"/>
      <c r="M10" s="402"/>
      <c r="N10" s="402"/>
      <c r="O10" s="402"/>
      <c r="P10" s="402"/>
      <c r="Q10" s="403"/>
    </row>
    <row r="11" spans="1:19" x14ac:dyDescent="0.35">
      <c r="J11" s="404"/>
      <c r="K11" s="405"/>
      <c r="L11" s="405"/>
      <c r="M11" s="405"/>
      <c r="N11" s="405"/>
      <c r="O11" s="405"/>
      <c r="P11" s="405"/>
      <c r="Q11" s="406"/>
    </row>
    <row r="12" spans="1:19" x14ac:dyDescent="0.35">
      <c r="J12" s="404"/>
      <c r="K12" s="405"/>
      <c r="L12" s="405"/>
      <c r="M12" s="405"/>
      <c r="N12" s="405"/>
      <c r="O12" s="405"/>
      <c r="P12" s="405"/>
      <c r="Q12" s="406"/>
    </row>
    <row r="13" spans="1:19" x14ac:dyDescent="0.35">
      <c r="J13" s="404"/>
      <c r="K13" s="405"/>
      <c r="L13" s="405"/>
      <c r="M13" s="405"/>
      <c r="N13" s="405"/>
      <c r="O13" s="405"/>
      <c r="P13" s="405"/>
      <c r="Q13" s="406"/>
    </row>
    <row r="14" spans="1:19" x14ac:dyDescent="0.35">
      <c r="J14" s="404"/>
      <c r="K14" s="405"/>
      <c r="L14" s="405"/>
      <c r="M14" s="405"/>
      <c r="N14" s="405"/>
      <c r="O14" s="405"/>
      <c r="P14" s="405"/>
      <c r="Q14" s="406"/>
    </row>
    <row r="15" spans="1:19" ht="15" thickBot="1" x14ac:dyDescent="0.4">
      <c r="J15" s="407"/>
      <c r="K15" s="408"/>
      <c r="L15" s="408"/>
      <c r="M15" s="408"/>
      <c r="N15" s="408"/>
      <c r="O15" s="408"/>
      <c r="P15" s="408"/>
      <c r="Q15" s="409"/>
    </row>
    <row r="18" spans="3:17" x14ac:dyDescent="0.35">
      <c r="C18" s="7" t="s">
        <v>8</v>
      </c>
      <c r="E18" s="11">
        <f>'KPI 1'!E18</f>
        <v>45839</v>
      </c>
      <c r="F18" s="11">
        <f>'KPI 1'!F18</f>
        <v>45870</v>
      </c>
      <c r="G18" s="11">
        <f>'KPI 1'!G18</f>
        <v>45901</v>
      </c>
      <c r="H18" s="11">
        <f>'KPI 1'!H18</f>
        <v>45931</v>
      </c>
      <c r="I18" s="11">
        <f>'KPI 1'!I18</f>
        <v>45962</v>
      </c>
      <c r="J18" s="11">
        <f>'KPI 1'!J18</f>
        <v>45992</v>
      </c>
      <c r="K18" s="11">
        <f>'KPI 1'!K18</f>
        <v>46023</v>
      </c>
      <c r="L18" s="11">
        <f>'KPI 1'!L18</f>
        <v>46054</v>
      </c>
      <c r="M18" s="11">
        <f>'KPI 1'!M18</f>
        <v>46082</v>
      </c>
      <c r="N18" s="11">
        <f>'KPI 1'!N18</f>
        <v>46113</v>
      </c>
      <c r="O18" s="11">
        <f>'KPI 1'!O18</f>
        <v>46143</v>
      </c>
      <c r="P18" s="11">
        <f>'KPI 1'!P18</f>
        <v>46174</v>
      </c>
      <c r="Q18" s="8" t="s">
        <v>0</v>
      </c>
    </row>
    <row r="19" spans="3:17" x14ac:dyDescent="0.35">
      <c r="D19" s="3" t="str">
        <f>'KPI 1'!D19</f>
        <v>Budget 2025-26</v>
      </c>
      <c r="E19" s="5">
        <f>'budget 2025-26'!D96</f>
        <v>0</v>
      </c>
      <c r="F19" s="5">
        <f>'budget 2025-26'!E96</f>
        <v>0</v>
      </c>
      <c r="G19" s="5">
        <f>'budget 2025-26'!F96</f>
        <v>0</v>
      </c>
      <c r="H19" s="5">
        <f>'budget 2025-26'!G96</f>
        <v>0</v>
      </c>
      <c r="I19" s="5">
        <f>'budget 2025-26'!H96</f>
        <v>0</v>
      </c>
      <c r="J19" s="5">
        <f>'budget 2025-26'!I96</f>
        <v>0</v>
      </c>
      <c r="K19" s="5">
        <f>'budget 2025-26'!J96</f>
        <v>0</v>
      </c>
      <c r="L19" s="5">
        <f>'budget 2025-26'!K96</f>
        <v>0</v>
      </c>
      <c r="M19" s="5">
        <f>'budget 2025-26'!L96</f>
        <v>0</v>
      </c>
      <c r="N19" s="5">
        <f>'budget 2025-26'!M96</f>
        <v>0</v>
      </c>
      <c r="O19" s="5">
        <f>'budget 2025-26'!N96</f>
        <v>0</v>
      </c>
      <c r="P19" s="5">
        <f>'budget 2025-26'!O96</f>
        <v>0</v>
      </c>
      <c r="Q19" s="5">
        <f>SUM(E19:P19)</f>
        <v>0</v>
      </c>
    </row>
    <row r="20" spans="3:17" x14ac:dyDescent="0.35">
      <c r="D20" s="3" t="str">
        <f>'KPI 1'!D20</f>
        <v>Actual 2025-26</v>
      </c>
      <c r="E20" s="5">
        <f>'actual 2022-23'!D57</f>
        <v>0</v>
      </c>
      <c r="F20" s="5">
        <f>'actual 2022-23'!E57</f>
        <v>0</v>
      </c>
      <c r="G20" s="5">
        <f>'actual 2022-23'!F57</f>
        <v>0</v>
      </c>
      <c r="H20" s="5">
        <f>'actual 2022-23'!G57</f>
        <v>0</v>
      </c>
      <c r="I20" s="5">
        <f>'actual 2022-23'!H57</f>
        <v>0</v>
      </c>
      <c r="J20" s="5">
        <f>'actual 2022-23'!I57</f>
        <v>0</v>
      </c>
      <c r="K20" s="5">
        <f>'actual 2022-23'!J57</f>
        <v>0</v>
      </c>
      <c r="L20" s="5">
        <f>'actual 2022-23'!K57</f>
        <v>0</v>
      </c>
      <c r="M20" s="5">
        <f>'actual 2022-23'!L57</f>
        <v>0</v>
      </c>
      <c r="N20" s="5">
        <f>'actual 2022-23'!M57</f>
        <v>0</v>
      </c>
      <c r="O20" s="5">
        <f>'actual 2022-23'!N57</f>
        <v>0</v>
      </c>
      <c r="P20" s="5">
        <f>'actual 2022-23'!O57</f>
        <v>0</v>
      </c>
      <c r="Q20" s="5">
        <f t="shared" ref="Q20:Q22" si="0">SUM(E20:P20)</f>
        <v>0</v>
      </c>
    </row>
    <row r="21" spans="3:17" x14ac:dyDescent="0.35">
      <c r="D21" s="3" t="s">
        <v>42</v>
      </c>
      <c r="E21" s="5">
        <f>'actual 2021-22'!D56</f>
        <v>142</v>
      </c>
      <c r="F21" s="5">
        <f>'actual 2021-22'!E56</f>
        <v>144</v>
      </c>
      <c r="G21" s="5">
        <f>'actual 2021-22'!F56</f>
        <v>144</v>
      </c>
      <c r="H21" s="5">
        <f>'actual 2021-22'!G56</f>
        <v>150</v>
      </c>
      <c r="I21" s="5">
        <f>'actual 2021-22'!H56</f>
        <v>152</v>
      </c>
      <c r="J21" s="5">
        <f>'actual 2021-22'!I56</f>
        <v>151</v>
      </c>
      <c r="K21" s="5">
        <f>'actual 2021-22'!J56</f>
        <v>151</v>
      </c>
      <c r="L21" s="5">
        <f>'actual 2021-22'!K56</f>
        <v>152</v>
      </c>
      <c r="M21" s="5">
        <f>'actual 2021-22'!L56</f>
        <v>219</v>
      </c>
      <c r="N21" s="5">
        <f>'actual 2021-22'!M56</f>
        <v>219</v>
      </c>
      <c r="O21" s="5">
        <f>'actual 2021-22'!N56</f>
        <v>219</v>
      </c>
      <c r="P21" s="5">
        <f>'actual 2021-22'!O56</f>
        <v>219</v>
      </c>
      <c r="Q21" s="5">
        <f t="shared" si="0"/>
        <v>2062</v>
      </c>
    </row>
    <row r="22" spans="3:17" x14ac:dyDescent="0.35">
      <c r="D22" s="3" t="s">
        <v>7</v>
      </c>
      <c r="E22" s="5">
        <f t="shared" ref="E22:P22" si="1">IF(E20=0,0,E20-E19)</f>
        <v>0</v>
      </c>
      <c r="F22" s="5">
        <f t="shared" si="1"/>
        <v>0</v>
      </c>
      <c r="G22" s="5">
        <f t="shared" si="1"/>
        <v>0</v>
      </c>
      <c r="H22" s="5">
        <f t="shared" si="1"/>
        <v>0</v>
      </c>
      <c r="I22" s="5">
        <f t="shared" si="1"/>
        <v>0</v>
      </c>
      <c r="J22" s="5">
        <f t="shared" si="1"/>
        <v>0</v>
      </c>
      <c r="K22" s="5">
        <f t="shared" si="1"/>
        <v>0</v>
      </c>
      <c r="L22" s="5">
        <f t="shared" si="1"/>
        <v>0</v>
      </c>
      <c r="M22" s="5">
        <f t="shared" si="1"/>
        <v>0</v>
      </c>
      <c r="N22" s="5">
        <f t="shared" si="1"/>
        <v>0</v>
      </c>
      <c r="O22" s="5">
        <f t="shared" si="1"/>
        <v>0</v>
      </c>
      <c r="P22" s="5">
        <f t="shared" si="1"/>
        <v>0</v>
      </c>
      <c r="Q22" s="5">
        <f t="shared" si="0"/>
        <v>0</v>
      </c>
    </row>
    <row r="23" spans="3:17" x14ac:dyDescent="0.35">
      <c r="D23" s="3" t="s">
        <v>43</v>
      </c>
      <c r="E23" s="9" t="e">
        <f>E21/E19</f>
        <v>#DIV/0!</v>
      </c>
      <c r="F23" s="9" t="e">
        <f t="shared" ref="F23:P23" si="2">F20/F19</f>
        <v>#DIV/0!</v>
      </c>
      <c r="G23" s="9" t="e">
        <f t="shared" si="2"/>
        <v>#DIV/0!</v>
      </c>
      <c r="H23" s="9" t="e">
        <f t="shared" si="2"/>
        <v>#DIV/0!</v>
      </c>
      <c r="I23" s="9" t="e">
        <f t="shared" si="2"/>
        <v>#DIV/0!</v>
      </c>
      <c r="J23" s="9" t="e">
        <f t="shared" si="2"/>
        <v>#DIV/0!</v>
      </c>
      <c r="K23" s="9" t="e">
        <f t="shared" si="2"/>
        <v>#DIV/0!</v>
      </c>
      <c r="L23" s="9" t="e">
        <f t="shared" si="2"/>
        <v>#DIV/0!</v>
      </c>
      <c r="M23" s="9" t="e">
        <f t="shared" si="2"/>
        <v>#DIV/0!</v>
      </c>
      <c r="N23" s="9" t="e">
        <f t="shared" si="2"/>
        <v>#DIV/0!</v>
      </c>
      <c r="O23" s="9" t="e">
        <f t="shared" si="2"/>
        <v>#DIV/0!</v>
      </c>
      <c r="P23" s="9" t="e">
        <f t="shared" si="2"/>
        <v>#DIV/0!</v>
      </c>
    </row>
    <row r="25" spans="3:17" x14ac:dyDescent="0.35">
      <c r="C25" s="7" t="s">
        <v>3</v>
      </c>
      <c r="E25" s="11">
        <f>E18</f>
        <v>45839</v>
      </c>
      <c r="F25" s="11">
        <f t="shared" ref="F25:P28" si="3">F18</f>
        <v>45870</v>
      </c>
      <c r="G25" s="11">
        <f t="shared" si="3"/>
        <v>45901</v>
      </c>
      <c r="H25" s="11">
        <f t="shared" si="3"/>
        <v>45931</v>
      </c>
      <c r="I25" s="11">
        <f t="shared" si="3"/>
        <v>45962</v>
      </c>
      <c r="J25" s="11">
        <f t="shared" si="3"/>
        <v>45992</v>
      </c>
      <c r="K25" s="11">
        <f t="shared" si="3"/>
        <v>46023</v>
      </c>
      <c r="L25" s="11">
        <f t="shared" si="3"/>
        <v>46054</v>
      </c>
      <c r="M25" s="11">
        <f t="shared" si="3"/>
        <v>46082</v>
      </c>
      <c r="N25" s="11">
        <f t="shared" si="3"/>
        <v>46113</v>
      </c>
      <c r="O25" s="11">
        <f t="shared" si="3"/>
        <v>46143</v>
      </c>
      <c r="P25" s="11">
        <f t="shared" si="3"/>
        <v>46174</v>
      </c>
    </row>
    <row r="26" spans="3:17" x14ac:dyDescent="0.35">
      <c r="D26" s="3" t="str">
        <f>D19</f>
        <v>Budget 2025-26</v>
      </c>
      <c r="E26" s="5">
        <f>E19</f>
        <v>0</v>
      </c>
      <c r="F26" s="5">
        <f t="shared" si="3"/>
        <v>0</v>
      </c>
      <c r="G26" s="5">
        <f t="shared" si="3"/>
        <v>0</v>
      </c>
      <c r="H26" s="5">
        <f t="shared" si="3"/>
        <v>0</v>
      </c>
      <c r="I26" s="5">
        <f t="shared" si="3"/>
        <v>0</v>
      </c>
      <c r="J26" s="5">
        <f t="shared" si="3"/>
        <v>0</v>
      </c>
      <c r="K26" s="5">
        <f t="shared" si="3"/>
        <v>0</v>
      </c>
      <c r="L26" s="5">
        <f t="shared" si="3"/>
        <v>0</v>
      </c>
      <c r="M26" s="5">
        <f t="shared" si="3"/>
        <v>0</v>
      </c>
      <c r="N26" s="5">
        <f t="shared" si="3"/>
        <v>0</v>
      </c>
      <c r="O26" s="5">
        <f t="shared" si="3"/>
        <v>0</v>
      </c>
      <c r="P26" s="5">
        <f t="shared" si="3"/>
        <v>0</v>
      </c>
    </row>
    <row r="27" spans="3:17" x14ac:dyDescent="0.35">
      <c r="D27" s="3" t="str">
        <f t="shared" ref="D27:E30" si="4">D20</f>
        <v>Actual 2025-26</v>
      </c>
      <c r="E27" s="5">
        <f t="shared" si="4"/>
        <v>0</v>
      </c>
      <c r="F27" s="5">
        <f t="shared" si="3"/>
        <v>0</v>
      </c>
      <c r="G27" s="5">
        <f t="shared" si="3"/>
        <v>0</v>
      </c>
      <c r="H27" s="5">
        <f t="shared" si="3"/>
        <v>0</v>
      </c>
      <c r="I27" s="5">
        <f t="shared" si="3"/>
        <v>0</v>
      </c>
      <c r="J27" s="5">
        <f t="shared" si="3"/>
        <v>0</v>
      </c>
      <c r="K27" s="5">
        <f t="shared" si="3"/>
        <v>0</v>
      </c>
      <c r="L27" s="5">
        <f t="shared" si="3"/>
        <v>0</v>
      </c>
      <c r="M27" s="5">
        <f t="shared" si="3"/>
        <v>0</v>
      </c>
      <c r="N27" s="5">
        <f t="shared" si="3"/>
        <v>0</v>
      </c>
      <c r="O27" s="5">
        <f t="shared" si="3"/>
        <v>0</v>
      </c>
      <c r="P27" s="5">
        <f t="shared" si="3"/>
        <v>0</v>
      </c>
    </row>
    <row r="28" spans="3:17" x14ac:dyDescent="0.35">
      <c r="D28" s="3" t="str">
        <f t="shared" si="4"/>
        <v>Actual 2021-22</v>
      </c>
      <c r="E28" s="5">
        <f t="shared" si="4"/>
        <v>142</v>
      </c>
      <c r="F28" s="5">
        <f t="shared" si="3"/>
        <v>144</v>
      </c>
      <c r="G28" s="5">
        <f t="shared" si="3"/>
        <v>144</v>
      </c>
      <c r="H28" s="5">
        <f t="shared" si="3"/>
        <v>150</v>
      </c>
      <c r="I28" s="5">
        <f t="shared" si="3"/>
        <v>152</v>
      </c>
      <c r="J28" s="5">
        <f t="shared" si="3"/>
        <v>151</v>
      </c>
      <c r="K28" s="5">
        <f t="shared" si="3"/>
        <v>151</v>
      </c>
      <c r="L28" s="5">
        <f t="shared" si="3"/>
        <v>152</v>
      </c>
      <c r="M28" s="5">
        <f t="shared" si="3"/>
        <v>219</v>
      </c>
      <c r="N28" s="5">
        <f t="shared" si="3"/>
        <v>219</v>
      </c>
      <c r="O28" s="5">
        <f t="shared" si="3"/>
        <v>219</v>
      </c>
      <c r="P28" s="5">
        <f t="shared" si="3"/>
        <v>219</v>
      </c>
    </row>
    <row r="29" spans="3:17" x14ac:dyDescent="0.35">
      <c r="D29" s="3" t="str">
        <f t="shared" si="4"/>
        <v>Difference</v>
      </c>
      <c r="E29" s="5">
        <f>SUM($E22:E22)</f>
        <v>0</v>
      </c>
      <c r="F29" s="5">
        <f>SUM($E22:F22)</f>
        <v>0</v>
      </c>
      <c r="G29" s="5">
        <f>SUM($E22:G22)</f>
        <v>0</v>
      </c>
      <c r="H29" s="5">
        <f>SUM($E22:H22)</f>
        <v>0</v>
      </c>
      <c r="I29" s="5">
        <f>SUM($E22:I22)</f>
        <v>0</v>
      </c>
      <c r="J29" s="5">
        <f>SUM($E22:J22)</f>
        <v>0</v>
      </c>
      <c r="K29" s="5">
        <f>SUM($E22:K22)</f>
        <v>0</v>
      </c>
      <c r="L29" s="5">
        <f>SUM($E22:L22)</f>
        <v>0</v>
      </c>
      <c r="M29" s="5">
        <f>SUM($E22:M22)</f>
        <v>0</v>
      </c>
      <c r="N29" s="5">
        <f>SUM($E22:N22)</f>
        <v>0</v>
      </c>
      <c r="O29" s="5">
        <f>SUM($E22:O22)</f>
        <v>0</v>
      </c>
      <c r="P29" s="5">
        <f>SUM($E22:P22)</f>
        <v>0</v>
      </c>
    </row>
    <row r="30" spans="3:17" x14ac:dyDescent="0.35">
      <c r="D30" s="3" t="str">
        <f t="shared" si="4"/>
        <v>Realisation</v>
      </c>
      <c r="E30" s="9" t="e">
        <f>E28/E26</f>
        <v>#DIV/0!</v>
      </c>
      <c r="F30" s="9" t="e">
        <f t="shared" ref="F30:P30" si="5">F27/F26</f>
        <v>#DIV/0!</v>
      </c>
      <c r="G30" s="9" t="e">
        <f t="shared" si="5"/>
        <v>#DIV/0!</v>
      </c>
      <c r="H30" s="9" t="e">
        <f t="shared" si="5"/>
        <v>#DIV/0!</v>
      </c>
      <c r="I30" s="9" t="e">
        <f t="shared" si="5"/>
        <v>#DIV/0!</v>
      </c>
      <c r="J30" s="9" t="e">
        <f t="shared" si="5"/>
        <v>#DIV/0!</v>
      </c>
      <c r="K30" s="9" t="e">
        <f t="shared" si="5"/>
        <v>#DIV/0!</v>
      </c>
      <c r="L30" s="9" t="e">
        <f t="shared" si="5"/>
        <v>#DIV/0!</v>
      </c>
      <c r="M30" s="9" t="e">
        <f t="shared" si="5"/>
        <v>#DIV/0!</v>
      </c>
      <c r="N30" s="9" t="e">
        <f t="shared" si="5"/>
        <v>#DIV/0!</v>
      </c>
      <c r="O30" s="9" t="e">
        <f t="shared" si="5"/>
        <v>#DIV/0!</v>
      </c>
      <c r="P30" s="9" t="e">
        <f t="shared" si="5"/>
        <v>#DIV/0!</v>
      </c>
    </row>
  </sheetData>
  <mergeCells count="2">
    <mergeCell ref="J4:Q8"/>
    <mergeCell ref="J10:Q15"/>
  </mergeCells>
  <conditionalFormatting sqref="C3">
    <cfRule type="expression" dxfId="392" priority="2">
      <formula>S4&lt;S6</formula>
    </cfRule>
  </conditionalFormatting>
  <conditionalFormatting sqref="C5">
    <cfRule type="expression" dxfId="391" priority="3">
      <formula>S4&gt;=S5</formula>
    </cfRule>
  </conditionalFormatting>
  <conditionalFormatting sqref="C4">
    <cfRule type="expression" dxfId="390" priority="1">
      <formula>AND(S4&gt;=S6,S4&lt;S5)</formula>
    </cfRule>
  </conditionalFormatting>
  <hyperlinks>
    <hyperlink ref="L1" location="Dashboard!A1" display="Dashboard"/>
  </hyperlinks>
  <pageMargins left="0.7" right="0.7" top="0.75" bottom="0.75" header="0.3" footer="0.3"/>
  <pageSetup orientation="portrait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988161" r:id="rId4" name="Spinner 1">
              <controlPr defaultSize="0" autoPict="0">
                <anchor moveWithCells="1" sizeWithCells="1">
                  <from>
                    <xdr:col>9</xdr:col>
                    <xdr:colOff>19050</xdr:colOff>
                    <xdr:row>0</xdr:row>
                    <xdr:rowOff>38100</xdr:rowOff>
                  </from>
                  <to>
                    <xdr:col>9</xdr:col>
                    <xdr:colOff>400050</xdr:colOff>
                    <xdr:row>1</xdr:row>
                    <xdr:rowOff>152400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6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53">
    <tabColor rgb="FFFFC000"/>
  </sheetPr>
  <dimension ref="A1:S30"/>
  <sheetViews>
    <sheetView zoomScale="90" zoomScaleNormal="90" workbookViewId="0">
      <selection activeCell="L1" sqref="L1"/>
    </sheetView>
  </sheetViews>
  <sheetFormatPr defaultColWidth="9.1796875" defaultRowHeight="14.5" x14ac:dyDescent="0.35"/>
  <cols>
    <col min="1" max="1" width="9.1796875" style="3"/>
    <col min="2" max="2" width="5.1796875" style="3" customWidth="1"/>
    <col min="3" max="3" width="6.26953125" style="3" customWidth="1"/>
    <col min="4" max="4" width="21.26953125" style="3" bestFit="1" customWidth="1"/>
    <col min="5" max="16" width="11.1796875" style="3" customWidth="1"/>
    <col min="17" max="17" width="12" style="3" bestFit="1" customWidth="1"/>
    <col min="18" max="18" width="9.1796875" style="3" customWidth="1"/>
    <col min="19" max="16384" width="9.1796875" style="3"/>
  </cols>
  <sheetData>
    <row r="1" spans="1:19" ht="21" x14ac:dyDescent="0.5">
      <c r="A1" s="4" t="s">
        <v>4</v>
      </c>
      <c r="B1" s="4">
        <f>Dashboard!A73</f>
        <v>1</v>
      </c>
      <c r="C1" s="4" t="str">
        <f>Dashboard!B73</f>
        <v>CBD- ACTIVE WATER</v>
      </c>
      <c r="D1" s="4"/>
      <c r="G1" s="3" t="s">
        <v>9</v>
      </c>
      <c r="I1" s="12">
        <f>INDEX($E$18:$P$18,Actual_month)</f>
        <v>46054</v>
      </c>
      <c r="L1" s="16" t="s">
        <v>19</v>
      </c>
      <c r="R1" s="5"/>
    </row>
    <row r="2" spans="1:19" x14ac:dyDescent="0.35">
      <c r="A2" s="3" t="s">
        <v>13</v>
      </c>
      <c r="C2" s="3" t="s">
        <v>27</v>
      </c>
      <c r="R2" s="6"/>
    </row>
    <row r="3" spans="1:19" ht="25.5" customHeight="1" thickBot="1" x14ac:dyDescent="0.4">
      <c r="C3" s="1" t="s">
        <v>5</v>
      </c>
      <c r="E3" s="10"/>
      <c r="F3" s="10"/>
      <c r="G3" s="10"/>
      <c r="H3" s="10"/>
      <c r="I3" s="10"/>
      <c r="J3" s="3" t="s">
        <v>6</v>
      </c>
      <c r="K3" s="10"/>
      <c r="M3" s="10"/>
      <c r="N3" s="10"/>
      <c r="O3" s="10"/>
      <c r="P3" s="10"/>
    </row>
    <row r="4" spans="1:19" ht="25.5" customHeight="1" x14ac:dyDescent="0.35">
      <c r="C4" s="1" t="s">
        <v>5</v>
      </c>
      <c r="E4" s="10"/>
      <c r="F4" s="10"/>
      <c r="G4" s="10"/>
      <c r="H4" s="10"/>
      <c r="I4" s="10"/>
      <c r="J4" s="401"/>
      <c r="K4" s="402"/>
      <c r="L4" s="402"/>
      <c r="M4" s="402"/>
      <c r="N4" s="402"/>
      <c r="O4" s="402"/>
      <c r="P4" s="402"/>
      <c r="Q4" s="403"/>
      <c r="R4" s="3" t="s">
        <v>22</v>
      </c>
      <c r="S4" s="5">
        <f>INDEX(E27:P27,Actual_month)</f>
        <v>600</v>
      </c>
    </row>
    <row r="5" spans="1:19" ht="25.5" customHeight="1" x14ac:dyDescent="0.35">
      <c r="C5" s="1" t="s">
        <v>5</v>
      </c>
      <c r="E5" s="10"/>
      <c r="F5" s="10"/>
      <c r="G5" s="10"/>
      <c r="H5" s="10"/>
      <c r="I5" s="10"/>
      <c r="J5" s="404"/>
      <c r="K5" s="405"/>
      <c r="L5" s="405"/>
      <c r="M5" s="405"/>
      <c r="N5" s="405"/>
      <c r="O5" s="405"/>
      <c r="P5" s="405"/>
      <c r="Q5" s="406"/>
      <c r="R5" s="3" t="s">
        <v>23</v>
      </c>
      <c r="S5" s="5">
        <f>INDEX(E26:P26,Actual_month)</f>
        <v>604</v>
      </c>
    </row>
    <row r="6" spans="1:19" x14ac:dyDescent="0.35">
      <c r="J6" s="404"/>
      <c r="K6" s="405"/>
      <c r="L6" s="405"/>
      <c r="M6" s="405"/>
      <c r="N6" s="405"/>
      <c r="O6" s="405"/>
      <c r="P6" s="405"/>
      <c r="Q6" s="406"/>
      <c r="R6" s="6">
        <v>0.9</v>
      </c>
      <c r="S6" s="5">
        <f>+S5*R6</f>
        <v>543.6</v>
      </c>
    </row>
    <row r="7" spans="1:19" x14ac:dyDescent="0.35">
      <c r="J7" s="404"/>
      <c r="K7" s="405"/>
      <c r="L7" s="405"/>
      <c r="M7" s="405"/>
      <c r="N7" s="405"/>
      <c r="O7" s="405"/>
      <c r="P7" s="405"/>
      <c r="Q7" s="406"/>
    </row>
    <row r="8" spans="1:19" ht="15" thickBot="1" x14ac:dyDescent="0.4">
      <c r="J8" s="407"/>
      <c r="K8" s="408"/>
      <c r="L8" s="408"/>
      <c r="M8" s="408"/>
      <c r="N8" s="408"/>
      <c r="O8" s="408"/>
      <c r="P8" s="408"/>
      <c r="Q8" s="409"/>
    </row>
    <row r="9" spans="1:19" ht="15" thickBot="1" x14ac:dyDescent="0.4">
      <c r="J9" s="3" t="s">
        <v>12</v>
      </c>
    </row>
    <row r="10" spans="1:19" x14ac:dyDescent="0.35">
      <c r="J10" s="401"/>
      <c r="K10" s="402"/>
      <c r="L10" s="402"/>
      <c r="M10" s="402"/>
      <c r="N10" s="402"/>
      <c r="O10" s="402"/>
      <c r="P10" s="402"/>
      <c r="Q10" s="403"/>
    </row>
    <row r="11" spans="1:19" x14ac:dyDescent="0.35">
      <c r="J11" s="404"/>
      <c r="K11" s="405"/>
      <c r="L11" s="405"/>
      <c r="M11" s="405"/>
      <c r="N11" s="405"/>
      <c r="O11" s="405"/>
      <c r="P11" s="405"/>
      <c r="Q11" s="406"/>
    </row>
    <row r="12" spans="1:19" x14ac:dyDescent="0.35">
      <c r="J12" s="404"/>
      <c r="K12" s="405"/>
      <c r="L12" s="405"/>
      <c r="M12" s="405"/>
      <c r="N12" s="405"/>
      <c r="O12" s="405"/>
      <c r="P12" s="405"/>
      <c r="Q12" s="406"/>
    </row>
    <row r="13" spans="1:19" x14ac:dyDescent="0.35">
      <c r="J13" s="404"/>
      <c r="K13" s="405"/>
      <c r="L13" s="405"/>
      <c r="M13" s="405"/>
      <c r="N13" s="405"/>
      <c r="O13" s="405"/>
      <c r="P13" s="405"/>
      <c r="Q13" s="406"/>
    </row>
    <row r="14" spans="1:19" x14ac:dyDescent="0.35">
      <c r="J14" s="404"/>
      <c r="K14" s="405"/>
      <c r="L14" s="405"/>
      <c r="M14" s="405"/>
      <c r="N14" s="405"/>
      <c r="O14" s="405"/>
      <c r="P14" s="405"/>
      <c r="Q14" s="406"/>
    </row>
    <row r="15" spans="1:19" ht="15" thickBot="1" x14ac:dyDescent="0.4">
      <c r="J15" s="407"/>
      <c r="K15" s="408"/>
      <c r="L15" s="408"/>
      <c r="M15" s="408"/>
      <c r="N15" s="408"/>
      <c r="O15" s="408"/>
      <c r="P15" s="408"/>
      <c r="Q15" s="409"/>
    </row>
    <row r="18" spans="3:17" x14ac:dyDescent="0.35">
      <c r="C18" s="7" t="s">
        <v>8</v>
      </c>
      <c r="E18" s="11">
        <f>'KPI 1'!E18</f>
        <v>45839</v>
      </c>
      <c r="F18" s="11">
        <f>'KPI 1'!F18</f>
        <v>45870</v>
      </c>
      <c r="G18" s="11">
        <f>'KPI 1'!G18</f>
        <v>45901</v>
      </c>
      <c r="H18" s="11">
        <f>'KPI 1'!H18</f>
        <v>45931</v>
      </c>
      <c r="I18" s="11">
        <f>'KPI 1'!I18</f>
        <v>45962</v>
      </c>
      <c r="J18" s="11">
        <f>'KPI 1'!J18</f>
        <v>45992</v>
      </c>
      <c r="K18" s="11">
        <f>'KPI 1'!K18</f>
        <v>46023</v>
      </c>
      <c r="L18" s="11">
        <f>'KPI 1'!L18</f>
        <v>46054</v>
      </c>
      <c r="M18" s="11">
        <f>'KPI 1'!M18</f>
        <v>46082</v>
      </c>
      <c r="N18" s="11">
        <f>'KPI 1'!N18</f>
        <v>46113</v>
      </c>
      <c r="O18" s="11">
        <f>'KPI 1'!O18</f>
        <v>46143</v>
      </c>
      <c r="P18" s="11">
        <f>'KPI 1'!P18</f>
        <v>46174</v>
      </c>
      <c r="Q18" s="8" t="s">
        <v>0</v>
      </c>
    </row>
    <row r="19" spans="3:17" x14ac:dyDescent="0.35">
      <c r="D19" s="3" t="str">
        <f>'KPI 1'!D19</f>
        <v>Budget 2025-26</v>
      </c>
      <c r="E19" s="5">
        <f>'budget 2025-26'!D68</f>
        <v>597</v>
      </c>
      <c r="F19" s="5">
        <f>'budget 2025-26'!E68</f>
        <v>598</v>
      </c>
      <c r="G19" s="5">
        <f>'budget 2025-26'!F68</f>
        <v>599</v>
      </c>
      <c r="H19" s="5">
        <f>'budget 2025-26'!G68</f>
        <v>600</v>
      </c>
      <c r="I19" s="5">
        <f>'budget 2025-26'!H68</f>
        <v>601</v>
      </c>
      <c r="J19" s="5">
        <f>'budget 2025-26'!I68</f>
        <v>602</v>
      </c>
      <c r="K19" s="5">
        <f>'budget 2025-26'!J68</f>
        <v>603</v>
      </c>
      <c r="L19" s="5">
        <f>'budget 2025-26'!K68</f>
        <v>604</v>
      </c>
      <c r="M19" s="5">
        <f>'budget 2025-26'!L68</f>
        <v>605</v>
      </c>
      <c r="N19" s="5">
        <f>'budget 2025-26'!M68</f>
        <v>606</v>
      </c>
      <c r="O19" s="5">
        <f>'budget 2025-26'!N68</f>
        <v>607</v>
      </c>
      <c r="P19" s="5">
        <f>'budget 2025-26'!O68</f>
        <v>608</v>
      </c>
      <c r="Q19" s="5">
        <f>SUM(E19:P19)</f>
        <v>7230</v>
      </c>
    </row>
    <row r="20" spans="3:17" x14ac:dyDescent="0.35">
      <c r="D20" s="3" t="str">
        <f>'KPI 1'!D20</f>
        <v>Actual 2025-26</v>
      </c>
      <c r="E20" s="5">
        <f>'Input Actual2025-26'!E70</f>
        <v>595</v>
      </c>
      <c r="F20" s="5">
        <f>'Input Actual2025-26'!F70</f>
        <v>596</v>
      </c>
      <c r="G20" s="5">
        <f>'Input Actual2025-26'!G70</f>
        <v>596</v>
      </c>
      <c r="H20" s="5">
        <f>'Input Actual2025-26'!H70</f>
        <v>598</v>
      </c>
      <c r="I20" s="5">
        <f>'Input Actual2025-26'!I70</f>
        <v>598</v>
      </c>
      <c r="J20" s="5">
        <f>'Input Actual2025-26'!J70</f>
        <v>599</v>
      </c>
      <c r="K20" s="5">
        <f>'Input Actual2025-26'!K70</f>
        <v>598</v>
      </c>
      <c r="L20" s="5">
        <f>'Input Actual2025-26'!L70</f>
        <v>600</v>
      </c>
      <c r="M20" s="5">
        <f>'Input Actual2025-26'!M70</f>
        <v>0</v>
      </c>
      <c r="N20" s="5">
        <f>'Input Actual2025-26'!N70</f>
        <v>0</v>
      </c>
      <c r="O20" s="5">
        <f>'Input Actual2025-26'!O70</f>
        <v>0</v>
      </c>
      <c r="P20" s="5">
        <f>'Input Actual2025-26'!P70</f>
        <v>0</v>
      </c>
      <c r="Q20" s="5">
        <f t="shared" ref="Q20:Q22" si="0">SUM(E20:P20)</f>
        <v>4780</v>
      </c>
    </row>
    <row r="21" spans="3:17" x14ac:dyDescent="0.35">
      <c r="D21" s="3" t="s">
        <v>424</v>
      </c>
      <c r="E21" s="5">
        <f>'Input Actual2024-25'!E66</f>
        <v>596</v>
      </c>
      <c r="F21" s="5">
        <f>'Input Actual2024-25'!F66</f>
        <v>598</v>
      </c>
      <c r="G21" s="5">
        <f>'Input Actual2024-25'!G66</f>
        <v>599</v>
      </c>
      <c r="H21" s="5">
        <f>'Input Actual2024-25'!H66</f>
        <v>600</v>
      </c>
      <c r="I21" s="5">
        <f>'Input Actual2024-25'!I66</f>
        <v>598</v>
      </c>
      <c r="J21" s="5">
        <f>'Input Actual2024-25'!J66</f>
        <v>598</v>
      </c>
      <c r="K21" s="5">
        <f>'Input Actual2024-25'!K66</f>
        <v>598</v>
      </c>
      <c r="L21" s="5">
        <f>'Input Actual2024-25'!L66</f>
        <v>599</v>
      </c>
      <c r="M21" s="5">
        <f>'Input Actual2024-25'!M66</f>
        <v>598</v>
      </c>
      <c r="N21" s="5">
        <f>'Input Actual2024-25'!N66</f>
        <v>598</v>
      </c>
      <c r="O21" s="5">
        <f>'Input Actual2024-25'!O66</f>
        <v>597</v>
      </c>
      <c r="P21" s="5">
        <f>'Input Actual2024-25'!P66</f>
        <v>596</v>
      </c>
      <c r="Q21" s="5">
        <f t="shared" si="0"/>
        <v>7175</v>
      </c>
    </row>
    <row r="22" spans="3:17" x14ac:dyDescent="0.35">
      <c r="D22" s="3" t="s">
        <v>7</v>
      </c>
      <c r="E22" s="5">
        <f t="shared" ref="E22:P22" si="1">IF(E20=0,0,E20-E19)</f>
        <v>-2</v>
      </c>
      <c r="F22" s="5">
        <f t="shared" si="1"/>
        <v>-2</v>
      </c>
      <c r="G22" s="5">
        <f t="shared" si="1"/>
        <v>-3</v>
      </c>
      <c r="H22" s="5">
        <f t="shared" si="1"/>
        <v>-2</v>
      </c>
      <c r="I22" s="5">
        <f t="shared" si="1"/>
        <v>-3</v>
      </c>
      <c r="J22" s="5">
        <f t="shared" si="1"/>
        <v>-3</v>
      </c>
      <c r="K22" s="5">
        <f t="shared" si="1"/>
        <v>-5</v>
      </c>
      <c r="L22" s="5">
        <f t="shared" si="1"/>
        <v>-4</v>
      </c>
      <c r="M22" s="5">
        <f t="shared" si="1"/>
        <v>0</v>
      </c>
      <c r="N22" s="5">
        <f t="shared" si="1"/>
        <v>0</v>
      </c>
      <c r="O22" s="5">
        <f t="shared" si="1"/>
        <v>0</v>
      </c>
      <c r="P22" s="5">
        <f t="shared" si="1"/>
        <v>0</v>
      </c>
      <c r="Q22" s="5">
        <f t="shared" si="0"/>
        <v>-24</v>
      </c>
    </row>
    <row r="23" spans="3:17" x14ac:dyDescent="0.35">
      <c r="D23" s="3" t="s">
        <v>43</v>
      </c>
      <c r="E23" s="9">
        <f>E21/E19</f>
        <v>0.99832495812395305</v>
      </c>
      <c r="F23" s="9">
        <f t="shared" ref="F23:P23" si="2">F20/F19</f>
        <v>0.99665551839464883</v>
      </c>
      <c r="G23" s="9">
        <f t="shared" si="2"/>
        <v>0.994991652754591</v>
      </c>
      <c r="H23" s="9">
        <f t="shared" si="2"/>
        <v>0.9966666666666667</v>
      </c>
      <c r="I23" s="9">
        <f t="shared" si="2"/>
        <v>0.99500831946755408</v>
      </c>
      <c r="J23" s="9">
        <f t="shared" si="2"/>
        <v>0.99501661129568109</v>
      </c>
      <c r="K23" s="9">
        <f t="shared" si="2"/>
        <v>0.99170812603648428</v>
      </c>
      <c r="L23" s="9">
        <f t="shared" si="2"/>
        <v>0.99337748344370858</v>
      </c>
      <c r="M23" s="9">
        <f t="shared" si="2"/>
        <v>0</v>
      </c>
      <c r="N23" s="9">
        <f t="shared" si="2"/>
        <v>0</v>
      </c>
      <c r="O23" s="9">
        <f t="shared" si="2"/>
        <v>0</v>
      </c>
      <c r="P23" s="9">
        <f t="shared" si="2"/>
        <v>0</v>
      </c>
    </row>
    <row r="25" spans="3:17" x14ac:dyDescent="0.35">
      <c r="C25" s="7" t="s">
        <v>3</v>
      </c>
      <c r="E25" s="11">
        <f>E18</f>
        <v>45839</v>
      </c>
      <c r="F25" s="11">
        <f t="shared" ref="F25:P28" si="3">F18</f>
        <v>45870</v>
      </c>
      <c r="G25" s="11">
        <f t="shared" si="3"/>
        <v>45901</v>
      </c>
      <c r="H25" s="11">
        <f t="shared" si="3"/>
        <v>45931</v>
      </c>
      <c r="I25" s="11">
        <f t="shared" si="3"/>
        <v>45962</v>
      </c>
      <c r="J25" s="11">
        <f t="shared" si="3"/>
        <v>45992</v>
      </c>
      <c r="K25" s="11">
        <f t="shared" si="3"/>
        <v>46023</v>
      </c>
      <c r="L25" s="11">
        <f t="shared" si="3"/>
        <v>46054</v>
      </c>
      <c r="M25" s="11">
        <f t="shared" si="3"/>
        <v>46082</v>
      </c>
      <c r="N25" s="11">
        <f t="shared" si="3"/>
        <v>46113</v>
      </c>
      <c r="O25" s="11">
        <f t="shared" si="3"/>
        <v>46143</v>
      </c>
      <c r="P25" s="11">
        <f t="shared" si="3"/>
        <v>46174</v>
      </c>
    </row>
    <row r="26" spans="3:17" x14ac:dyDescent="0.35">
      <c r="D26" s="3" t="str">
        <f>D19</f>
        <v>Budget 2025-26</v>
      </c>
      <c r="E26" s="5">
        <f>E19</f>
        <v>597</v>
      </c>
      <c r="F26" s="5">
        <f t="shared" si="3"/>
        <v>598</v>
      </c>
      <c r="G26" s="5">
        <f t="shared" si="3"/>
        <v>599</v>
      </c>
      <c r="H26" s="5">
        <f t="shared" si="3"/>
        <v>600</v>
      </c>
      <c r="I26" s="5">
        <f t="shared" si="3"/>
        <v>601</v>
      </c>
      <c r="J26" s="5">
        <f t="shared" si="3"/>
        <v>602</v>
      </c>
      <c r="K26" s="5">
        <f t="shared" si="3"/>
        <v>603</v>
      </c>
      <c r="L26" s="5">
        <f t="shared" si="3"/>
        <v>604</v>
      </c>
      <c r="M26" s="5">
        <f t="shared" si="3"/>
        <v>605</v>
      </c>
      <c r="N26" s="5">
        <f t="shared" si="3"/>
        <v>606</v>
      </c>
      <c r="O26" s="5">
        <f t="shared" si="3"/>
        <v>607</v>
      </c>
      <c r="P26" s="5">
        <f t="shared" si="3"/>
        <v>608</v>
      </c>
    </row>
    <row r="27" spans="3:17" x14ac:dyDescent="0.35">
      <c r="D27" s="3" t="str">
        <f t="shared" ref="D27:E30" si="4">D20</f>
        <v>Actual 2025-26</v>
      </c>
      <c r="E27" s="5">
        <f t="shared" si="4"/>
        <v>595</v>
      </c>
      <c r="F27" s="5">
        <f t="shared" si="3"/>
        <v>596</v>
      </c>
      <c r="G27" s="5">
        <f t="shared" si="3"/>
        <v>596</v>
      </c>
      <c r="H27" s="5">
        <f t="shared" si="3"/>
        <v>598</v>
      </c>
      <c r="I27" s="5">
        <f t="shared" si="3"/>
        <v>598</v>
      </c>
      <c r="J27" s="5">
        <f t="shared" si="3"/>
        <v>599</v>
      </c>
      <c r="K27" s="5">
        <f t="shared" si="3"/>
        <v>598</v>
      </c>
      <c r="L27" s="5">
        <f t="shared" si="3"/>
        <v>600</v>
      </c>
      <c r="M27" s="5">
        <f t="shared" si="3"/>
        <v>0</v>
      </c>
      <c r="N27" s="5">
        <f t="shared" si="3"/>
        <v>0</v>
      </c>
      <c r="O27" s="5">
        <f t="shared" si="3"/>
        <v>0</v>
      </c>
      <c r="P27" s="5">
        <f t="shared" si="3"/>
        <v>0</v>
      </c>
    </row>
    <row r="28" spans="3:17" x14ac:dyDescent="0.35">
      <c r="D28" s="3" t="str">
        <f t="shared" si="4"/>
        <v>Actual 2024-25</v>
      </c>
      <c r="E28" s="5">
        <f t="shared" si="4"/>
        <v>596</v>
      </c>
      <c r="F28" s="5">
        <f t="shared" si="3"/>
        <v>598</v>
      </c>
      <c r="G28" s="5">
        <f t="shared" si="3"/>
        <v>599</v>
      </c>
      <c r="H28" s="5">
        <f t="shared" si="3"/>
        <v>600</v>
      </c>
      <c r="I28" s="5">
        <f t="shared" si="3"/>
        <v>598</v>
      </c>
      <c r="J28" s="5">
        <f t="shared" si="3"/>
        <v>598</v>
      </c>
      <c r="K28" s="5">
        <f t="shared" si="3"/>
        <v>598</v>
      </c>
      <c r="L28" s="5">
        <f t="shared" si="3"/>
        <v>599</v>
      </c>
      <c r="M28" s="5">
        <f t="shared" si="3"/>
        <v>598</v>
      </c>
      <c r="N28" s="5">
        <f t="shared" si="3"/>
        <v>598</v>
      </c>
      <c r="O28" s="5">
        <f t="shared" si="3"/>
        <v>597</v>
      </c>
      <c r="P28" s="5">
        <f t="shared" si="3"/>
        <v>596</v>
      </c>
    </row>
    <row r="29" spans="3:17" x14ac:dyDescent="0.35">
      <c r="D29" s="3" t="str">
        <f t="shared" si="4"/>
        <v>Difference</v>
      </c>
      <c r="E29" s="5">
        <f>SUM($E22:E22)</f>
        <v>-2</v>
      </c>
      <c r="F29" s="5">
        <f>SUM($E22:F22)</f>
        <v>-4</v>
      </c>
      <c r="G29" s="5">
        <f>SUM($E22:G22)</f>
        <v>-7</v>
      </c>
      <c r="H29" s="5">
        <f>SUM($E22:H22)</f>
        <v>-9</v>
      </c>
      <c r="I29" s="5">
        <f>SUM($E22:I22)</f>
        <v>-12</v>
      </c>
      <c r="J29" s="5">
        <f>SUM($E22:J22)</f>
        <v>-15</v>
      </c>
      <c r="K29" s="5">
        <f>SUM($E22:K22)</f>
        <v>-20</v>
      </c>
      <c r="L29" s="5">
        <f>SUM($E22:L22)</f>
        <v>-24</v>
      </c>
      <c r="M29" s="5">
        <f>SUM($E22:M22)</f>
        <v>-24</v>
      </c>
      <c r="N29" s="5">
        <f>SUM($E22:N22)</f>
        <v>-24</v>
      </c>
      <c r="O29" s="5">
        <f>SUM($E22:O22)</f>
        <v>-24</v>
      </c>
      <c r="P29" s="5">
        <f>SUM($E22:P22)</f>
        <v>-24</v>
      </c>
    </row>
    <row r="30" spans="3:17" x14ac:dyDescent="0.35">
      <c r="D30" s="3" t="str">
        <f t="shared" si="4"/>
        <v>Realisation</v>
      </c>
      <c r="E30" s="9">
        <f>E28/E26</f>
        <v>0.99832495812395305</v>
      </c>
      <c r="F30" s="9">
        <f t="shared" ref="F30:P30" si="5">F27/F26</f>
        <v>0.99665551839464883</v>
      </c>
      <c r="G30" s="9">
        <f t="shared" si="5"/>
        <v>0.994991652754591</v>
      </c>
      <c r="H30" s="9">
        <f t="shared" si="5"/>
        <v>0.9966666666666667</v>
      </c>
      <c r="I30" s="9">
        <f t="shared" si="5"/>
        <v>0.99500831946755408</v>
      </c>
      <c r="J30" s="9">
        <f t="shared" si="5"/>
        <v>0.99501661129568109</v>
      </c>
      <c r="K30" s="9">
        <f t="shared" si="5"/>
        <v>0.99170812603648428</v>
      </c>
      <c r="L30" s="9">
        <f t="shared" si="5"/>
        <v>0.99337748344370858</v>
      </c>
      <c r="M30" s="9">
        <f t="shared" si="5"/>
        <v>0</v>
      </c>
      <c r="N30" s="9">
        <f t="shared" si="5"/>
        <v>0</v>
      </c>
      <c r="O30" s="9">
        <f t="shared" si="5"/>
        <v>0</v>
      </c>
      <c r="P30" s="9">
        <f t="shared" si="5"/>
        <v>0</v>
      </c>
    </row>
  </sheetData>
  <mergeCells count="2">
    <mergeCell ref="J4:Q8"/>
    <mergeCell ref="J10:Q15"/>
  </mergeCells>
  <conditionalFormatting sqref="C3">
    <cfRule type="expression" dxfId="389" priority="2">
      <formula>S4&lt;S6</formula>
    </cfRule>
  </conditionalFormatting>
  <conditionalFormatting sqref="C5">
    <cfRule type="expression" dxfId="388" priority="3">
      <formula>S4&gt;=S5</formula>
    </cfRule>
  </conditionalFormatting>
  <conditionalFormatting sqref="C4">
    <cfRule type="expression" dxfId="387" priority="1">
      <formula>AND(S4&gt;=S6,S4&lt;S5)</formula>
    </cfRule>
  </conditionalFormatting>
  <hyperlinks>
    <hyperlink ref="L1" location="Dashboard!A1" display="Dashboard"/>
  </hyperlinks>
  <pageMargins left="0.7" right="0.7" top="0.75" bottom="0.75" header="0.3" footer="0.3"/>
  <pageSetup orientation="portrait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989185" r:id="rId4" name="Spinner 1">
              <controlPr defaultSize="0" autoPict="0">
                <anchor moveWithCells="1" sizeWithCells="1">
                  <from>
                    <xdr:col>9</xdr:col>
                    <xdr:colOff>19050</xdr:colOff>
                    <xdr:row>0</xdr:row>
                    <xdr:rowOff>38100</xdr:rowOff>
                  </from>
                  <to>
                    <xdr:col>9</xdr:col>
                    <xdr:colOff>400050</xdr:colOff>
                    <xdr:row>1</xdr:row>
                    <xdr:rowOff>152400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7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54">
    <tabColor rgb="FFFFC000"/>
  </sheetPr>
  <dimension ref="A1:S30"/>
  <sheetViews>
    <sheetView zoomScale="90" zoomScaleNormal="90" workbookViewId="0">
      <selection activeCell="L1" sqref="L1"/>
    </sheetView>
  </sheetViews>
  <sheetFormatPr defaultColWidth="9.1796875" defaultRowHeight="14.5" x14ac:dyDescent="0.35"/>
  <cols>
    <col min="1" max="1" width="9.1796875" style="3"/>
    <col min="2" max="2" width="5.1796875" style="3" customWidth="1"/>
    <col min="3" max="3" width="6.26953125" style="3" customWidth="1"/>
    <col min="4" max="4" width="21.26953125" style="3" bestFit="1" customWidth="1"/>
    <col min="5" max="16" width="11.1796875" style="3" customWidth="1"/>
    <col min="17" max="17" width="12" style="3" bestFit="1" customWidth="1"/>
    <col min="18" max="18" width="9.1796875" style="3" customWidth="1"/>
    <col min="19" max="16384" width="9.1796875" style="3"/>
  </cols>
  <sheetData>
    <row r="1" spans="1:19" ht="21" x14ac:dyDescent="0.5">
      <c r="A1" s="4" t="s">
        <v>4</v>
      </c>
      <c r="B1" s="4">
        <f>Dashboard!A74</f>
        <v>2</v>
      </c>
      <c r="C1" s="4" t="str">
        <f>Dashboard!B74</f>
        <v>CCCR- ACTIVE WATER</v>
      </c>
      <c r="D1" s="4"/>
      <c r="G1" s="3" t="s">
        <v>9</v>
      </c>
      <c r="I1" s="12">
        <f>INDEX($E$18:$P$18,Actual_month)</f>
        <v>46054</v>
      </c>
      <c r="L1" s="16" t="s">
        <v>19</v>
      </c>
      <c r="R1" s="5"/>
    </row>
    <row r="2" spans="1:19" x14ac:dyDescent="0.35">
      <c r="A2" s="3" t="s">
        <v>13</v>
      </c>
      <c r="C2" s="3" t="s">
        <v>27</v>
      </c>
      <c r="R2" s="6"/>
    </row>
    <row r="3" spans="1:19" ht="25.5" customHeight="1" thickBot="1" x14ac:dyDescent="0.4">
      <c r="C3" s="1" t="s">
        <v>5</v>
      </c>
      <c r="E3" s="10"/>
      <c r="F3" s="10"/>
      <c r="G3" s="10"/>
      <c r="H3" s="10"/>
      <c r="I3" s="10"/>
      <c r="J3" s="3" t="s">
        <v>6</v>
      </c>
      <c r="K3" s="10"/>
      <c r="M3" s="10"/>
      <c r="N3" s="10"/>
      <c r="O3" s="10"/>
      <c r="P3" s="10"/>
    </row>
    <row r="4" spans="1:19" ht="25.5" customHeight="1" x14ac:dyDescent="0.35">
      <c r="C4" s="1" t="s">
        <v>5</v>
      </c>
      <c r="E4" s="10"/>
      <c r="F4" s="10"/>
      <c r="G4" s="10"/>
      <c r="H4" s="10"/>
      <c r="I4" s="10"/>
      <c r="J4" s="401"/>
      <c r="K4" s="402"/>
      <c r="L4" s="402"/>
      <c r="M4" s="402"/>
      <c r="N4" s="402"/>
      <c r="O4" s="402"/>
      <c r="P4" s="402"/>
      <c r="Q4" s="403"/>
      <c r="R4" s="3" t="s">
        <v>22</v>
      </c>
      <c r="S4" s="5">
        <f>INDEX(E27:P27,Actual_month)</f>
        <v>716</v>
      </c>
    </row>
    <row r="5" spans="1:19" ht="25.5" customHeight="1" x14ac:dyDescent="0.35">
      <c r="C5" s="1" t="s">
        <v>5</v>
      </c>
      <c r="E5" s="10"/>
      <c r="F5" s="10"/>
      <c r="G5" s="10"/>
      <c r="H5" s="10"/>
      <c r="I5" s="10"/>
      <c r="J5" s="404"/>
      <c r="K5" s="405"/>
      <c r="L5" s="405"/>
      <c r="M5" s="405"/>
      <c r="N5" s="405"/>
      <c r="O5" s="405"/>
      <c r="P5" s="405"/>
      <c r="Q5" s="406"/>
      <c r="R5" s="3" t="s">
        <v>23</v>
      </c>
      <c r="S5" s="5">
        <f>INDEX(E26:P26,Actual_month)</f>
        <v>779</v>
      </c>
    </row>
    <row r="6" spans="1:19" x14ac:dyDescent="0.35">
      <c r="J6" s="404"/>
      <c r="K6" s="405"/>
      <c r="L6" s="405"/>
      <c r="M6" s="405"/>
      <c r="N6" s="405"/>
      <c r="O6" s="405"/>
      <c r="P6" s="405"/>
      <c r="Q6" s="406"/>
      <c r="R6" s="6">
        <v>0.9</v>
      </c>
      <c r="S6" s="5">
        <f>+S5*R6</f>
        <v>701.1</v>
      </c>
    </row>
    <row r="7" spans="1:19" x14ac:dyDescent="0.35">
      <c r="J7" s="404"/>
      <c r="K7" s="405"/>
      <c r="L7" s="405"/>
      <c r="M7" s="405"/>
      <c r="N7" s="405"/>
      <c r="O7" s="405"/>
      <c r="P7" s="405"/>
      <c r="Q7" s="406"/>
    </row>
    <row r="8" spans="1:19" ht="15" thickBot="1" x14ac:dyDescent="0.4">
      <c r="J8" s="407"/>
      <c r="K8" s="408"/>
      <c r="L8" s="408"/>
      <c r="M8" s="408"/>
      <c r="N8" s="408"/>
      <c r="O8" s="408"/>
      <c r="P8" s="408"/>
      <c r="Q8" s="409"/>
    </row>
    <row r="9" spans="1:19" ht="15" thickBot="1" x14ac:dyDescent="0.4">
      <c r="J9" s="3" t="s">
        <v>12</v>
      </c>
    </row>
    <row r="10" spans="1:19" x14ac:dyDescent="0.35">
      <c r="J10" s="401"/>
      <c r="K10" s="402"/>
      <c r="L10" s="402"/>
      <c r="M10" s="402"/>
      <c r="N10" s="402"/>
      <c r="O10" s="402"/>
      <c r="P10" s="402"/>
      <c r="Q10" s="403"/>
    </row>
    <row r="11" spans="1:19" x14ac:dyDescent="0.35">
      <c r="J11" s="404"/>
      <c r="K11" s="405"/>
      <c r="L11" s="405"/>
      <c r="M11" s="405"/>
      <c r="N11" s="405"/>
      <c r="O11" s="405"/>
      <c r="P11" s="405"/>
      <c r="Q11" s="406"/>
    </row>
    <row r="12" spans="1:19" x14ac:dyDescent="0.35">
      <c r="J12" s="404"/>
      <c r="K12" s="405"/>
      <c r="L12" s="405"/>
      <c r="M12" s="405"/>
      <c r="N12" s="405"/>
      <c r="O12" s="405"/>
      <c r="P12" s="405"/>
      <c r="Q12" s="406"/>
    </row>
    <row r="13" spans="1:19" x14ac:dyDescent="0.35">
      <c r="J13" s="404"/>
      <c r="K13" s="405"/>
      <c r="L13" s="405"/>
      <c r="M13" s="405"/>
      <c r="N13" s="405"/>
      <c r="O13" s="405"/>
      <c r="P13" s="405"/>
      <c r="Q13" s="406"/>
    </row>
    <row r="14" spans="1:19" x14ac:dyDescent="0.35">
      <c r="J14" s="404"/>
      <c r="K14" s="405"/>
      <c r="L14" s="405"/>
      <c r="M14" s="405"/>
      <c r="N14" s="405"/>
      <c r="O14" s="405"/>
      <c r="P14" s="405"/>
      <c r="Q14" s="406"/>
    </row>
    <row r="15" spans="1:19" ht="15" thickBot="1" x14ac:dyDescent="0.4">
      <c r="J15" s="407"/>
      <c r="K15" s="408"/>
      <c r="L15" s="408"/>
      <c r="M15" s="408"/>
      <c r="N15" s="408"/>
      <c r="O15" s="408"/>
      <c r="P15" s="408"/>
      <c r="Q15" s="409"/>
    </row>
    <row r="18" spans="3:17" x14ac:dyDescent="0.35">
      <c r="C18" s="7" t="s">
        <v>8</v>
      </c>
      <c r="E18" s="11">
        <f>'KPI 1'!E18</f>
        <v>45839</v>
      </c>
      <c r="F18" s="11">
        <f>'KPI 1'!F18</f>
        <v>45870</v>
      </c>
      <c r="G18" s="11">
        <f>'KPI 1'!G18</f>
        <v>45901</v>
      </c>
      <c r="H18" s="11">
        <f>'KPI 1'!H18</f>
        <v>45931</v>
      </c>
      <c r="I18" s="11">
        <f>'KPI 1'!I18</f>
        <v>45962</v>
      </c>
      <c r="J18" s="11">
        <f>'KPI 1'!J18</f>
        <v>45992</v>
      </c>
      <c r="K18" s="11">
        <f>'KPI 1'!K18</f>
        <v>46023</v>
      </c>
      <c r="L18" s="11">
        <f>'KPI 1'!L18</f>
        <v>46054</v>
      </c>
      <c r="M18" s="11">
        <f>'KPI 1'!M18</f>
        <v>46082</v>
      </c>
      <c r="N18" s="11">
        <f>'KPI 1'!N18</f>
        <v>46113</v>
      </c>
      <c r="O18" s="11">
        <f>'KPI 1'!O18</f>
        <v>46143</v>
      </c>
      <c r="P18" s="11">
        <f>'KPI 1'!P18</f>
        <v>46174</v>
      </c>
      <c r="Q18" s="8" t="s">
        <v>0</v>
      </c>
    </row>
    <row r="19" spans="3:17" x14ac:dyDescent="0.35">
      <c r="D19" s="3" t="str">
        <f>'KPI 1'!D19</f>
        <v>Budget 2025-26</v>
      </c>
      <c r="E19" s="5">
        <f>'budget 2025-26'!D69</f>
        <v>709</v>
      </c>
      <c r="F19" s="5">
        <f>'budget 2025-26'!E69</f>
        <v>719</v>
      </c>
      <c r="G19" s="5">
        <f>'budget 2025-26'!F69</f>
        <v>729</v>
      </c>
      <c r="H19" s="5">
        <f>'budget 2025-26'!G69</f>
        <v>739</v>
      </c>
      <c r="I19" s="5">
        <f>'budget 2025-26'!H69</f>
        <v>749</v>
      </c>
      <c r="J19" s="5">
        <f>'budget 2025-26'!I69</f>
        <v>759</v>
      </c>
      <c r="K19" s="5">
        <f>'budget 2025-26'!J69</f>
        <v>769</v>
      </c>
      <c r="L19" s="5">
        <f>'budget 2025-26'!K69</f>
        <v>779</v>
      </c>
      <c r="M19" s="5">
        <f>'budget 2025-26'!L69</f>
        <v>789</v>
      </c>
      <c r="N19" s="5">
        <f>'budget 2025-26'!M69</f>
        <v>799</v>
      </c>
      <c r="O19" s="5">
        <f>'budget 2025-26'!N69</f>
        <v>809</v>
      </c>
      <c r="P19" s="5">
        <f>'budget 2025-26'!O69</f>
        <v>819</v>
      </c>
      <c r="Q19" s="5">
        <f>SUM(E19:P19)</f>
        <v>9168</v>
      </c>
    </row>
    <row r="20" spans="3:17" x14ac:dyDescent="0.35">
      <c r="D20" s="3" t="str">
        <f>'KPI 1'!D20</f>
        <v>Actual 2025-26</v>
      </c>
      <c r="E20" s="5">
        <f>'Input Actual2025-26'!E71</f>
        <v>700</v>
      </c>
      <c r="F20" s="5">
        <f>'Input Actual2025-26'!F71</f>
        <v>702</v>
      </c>
      <c r="G20" s="5">
        <f>'Input Actual2025-26'!G71</f>
        <v>705</v>
      </c>
      <c r="H20" s="5">
        <f>'Input Actual2025-26'!H71</f>
        <v>705</v>
      </c>
      <c r="I20" s="5">
        <f>'Input Actual2025-26'!I71</f>
        <v>710</v>
      </c>
      <c r="J20" s="5">
        <f>'Input Actual2025-26'!J71</f>
        <v>709</v>
      </c>
      <c r="K20" s="5">
        <f>'Input Actual2025-26'!K71</f>
        <v>709</v>
      </c>
      <c r="L20" s="5">
        <f>'Input Actual2025-26'!L71</f>
        <v>716</v>
      </c>
      <c r="M20" s="5">
        <f>'Input Actual2025-26'!M71</f>
        <v>0</v>
      </c>
      <c r="N20" s="5">
        <f>'Input Actual2025-26'!N71</f>
        <v>0</v>
      </c>
      <c r="O20" s="5">
        <f>'Input Actual2025-26'!O71</f>
        <v>0</v>
      </c>
      <c r="P20" s="5">
        <f>'Input Actual2025-26'!P71</f>
        <v>0</v>
      </c>
      <c r="Q20" s="5">
        <f t="shared" ref="Q20:Q22" si="0">SUM(E20:P20)</f>
        <v>5656</v>
      </c>
    </row>
    <row r="21" spans="3:17" x14ac:dyDescent="0.35">
      <c r="D21" s="3" t="s">
        <v>424</v>
      </c>
      <c r="E21" s="5">
        <f>'Input Actual2024-25'!E67</f>
        <v>676</v>
      </c>
      <c r="F21" s="5">
        <f>'Input Actual2024-25'!F67</f>
        <v>676</v>
      </c>
      <c r="G21" s="5">
        <f>'Input Actual2024-25'!G67</f>
        <v>681</v>
      </c>
      <c r="H21" s="5">
        <f>'Input Actual2024-25'!H67</f>
        <v>680</v>
      </c>
      <c r="I21" s="5">
        <f>'Input Actual2024-25'!I67</f>
        <v>683</v>
      </c>
      <c r="J21" s="5">
        <f>'Input Actual2024-25'!J67</f>
        <v>683</v>
      </c>
      <c r="K21" s="5">
        <f>'Input Actual2024-25'!K67</f>
        <v>687</v>
      </c>
      <c r="L21" s="5">
        <f>'Input Actual2024-25'!L67</f>
        <v>692</v>
      </c>
      <c r="M21" s="5">
        <f>'Input Actual2024-25'!M67</f>
        <v>697</v>
      </c>
      <c r="N21" s="5">
        <f>'Input Actual2024-25'!N67</f>
        <v>697</v>
      </c>
      <c r="O21" s="5">
        <f>'Input Actual2024-25'!O67</f>
        <v>696</v>
      </c>
      <c r="P21" s="5">
        <f>'Input Actual2024-25'!P67</f>
        <v>700</v>
      </c>
      <c r="Q21" s="5">
        <f t="shared" si="0"/>
        <v>8248</v>
      </c>
    </row>
    <row r="22" spans="3:17" x14ac:dyDescent="0.35">
      <c r="D22" s="3" t="s">
        <v>7</v>
      </c>
      <c r="E22" s="5">
        <f t="shared" ref="E22:P22" si="1">IF(E20=0,0,E20-E19)</f>
        <v>-9</v>
      </c>
      <c r="F22" s="5">
        <f t="shared" si="1"/>
        <v>-17</v>
      </c>
      <c r="G22" s="5">
        <f t="shared" si="1"/>
        <v>-24</v>
      </c>
      <c r="H22" s="5">
        <f t="shared" si="1"/>
        <v>-34</v>
      </c>
      <c r="I22" s="5">
        <f t="shared" si="1"/>
        <v>-39</v>
      </c>
      <c r="J22" s="5">
        <f t="shared" si="1"/>
        <v>-50</v>
      </c>
      <c r="K22" s="5">
        <f t="shared" si="1"/>
        <v>-60</v>
      </c>
      <c r="L22" s="5">
        <f t="shared" si="1"/>
        <v>-63</v>
      </c>
      <c r="M22" s="5">
        <f t="shared" si="1"/>
        <v>0</v>
      </c>
      <c r="N22" s="5">
        <f t="shared" si="1"/>
        <v>0</v>
      </c>
      <c r="O22" s="5">
        <f t="shared" si="1"/>
        <v>0</v>
      </c>
      <c r="P22" s="5">
        <f t="shared" si="1"/>
        <v>0</v>
      </c>
      <c r="Q22" s="5">
        <f t="shared" si="0"/>
        <v>-296</v>
      </c>
    </row>
    <row r="23" spans="3:17" x14ac:dyDescent="0.35">
      <c r="D23" s="3" t="s">
        <v>43</v>
      </c>
      <c r="E23" s="9">
        <f>E21/E19</f>
        <v>0.95345557122708036</v>
      </c>
      <c r="F23" s="9">
        <f t="shared" ref="F23:P23" si="2">F20/F19</f>
        <v>0.97635605006954107</v>
      </c>
      <c r="G23" s="9">
        <f t="shared" si="2"/>
        <v>0.96707818930041156</v>
      </c>
      <c r="H23" s="9">
        <f t="shared" si="2"/>
        <v>0.95399188092016241</v>
      </c>
      <c r="I23" s="9">
        <f t="shared" si="2"/>
        <v>0.94793057409879844</v>
      </c>
      <c r="J23" s="9">
        <f t="shared" si="2"/>
        <v>0.93412384716732544</v>
      </c>
      <c r="K23" s="9">
        <f t="shared" si="2"/>
        <v>0.92197659297789336</v>
      </c>
      <c r="L23" s="9">
        <f t="shared" si="2"/>
        <v>0.91912708600770221</v>
      </c>
      <c r="M23" s="9">
        <f t="shared" si="2"/>
        <v>0</v>
      </c>
      <c r="N23" s="9">
        <f t="shared" si="2"/>
        <v>0</v>
      </c>
      <c r="O23" s="9">
        <f t="shared" si="2"/>
        <v>0</v>
      </c>
      <c r="P23" s="9">
        <f t="shared" si="2"/>
        <v>0</v>
      </c>
    </row>
    <row r="25" spans="3:17" x14ac:dyDescent="0.35">
      <c r="C25" s="7" t="s">
        <v>3</v>
      </c>
      <c r="E25" s="11">
        <f>E18</f>
        <v>45839</v>
      </c>
      <c r="F25" s="11">
        <f t="shared" ref="F25:P28" si="3">F18</f>
        <v>45870</v>
      </c>
      <c r="G25" s="11">
        <f t="shared" si="3"/>
        <v>45901</v>
      </c>
      <c r="H25" s="11">
        <f t="shared" si="3"/>
        <v>45931</v>
      </c>
      <c r="I25" s="11">
        <f t="shared" si="3"/>
        <v>45962</v>
      </c>
      <c r="J25" s="11">
        <f t="shared" si="3"/>
        <v>45992</v>
      </c>
      <c r="K25" s="11">
        <f t="shared" si="3"/>
        <v>46023</v>
      </c>
      <c r="L25" s="11">
        <f t="shared" si="3"/>
        <v>46054</v>
      </c>
      <c r="M25" s="11">
        <f t="shared" si="3"/>
        <v>46082</v>
      </c>
      <c r="N25" s="11">
        <f t="shared" si="3"/>
        <v>46113</v>
      </c>
      <c r="O25" s="11">
        <f t="shared" si="3"/>
        <v>46143</v>
      </c>
      <c r="P25" s="11">
        <f t="shared" si="3"/>
        <v>46174</v>
      </c>
    </row>
    <row r="26" spans="3:17" x14ac:dyDescent="0.35">
      <c r="D26" s="3" t="str">
        <f>D19</f>
        <v>Budget 2025-26</v>
      </c>
      <c r="E26" s="5">
        <f>E19</f>
        <v>709</v>
      </c>
      <c r="F26" s="5">
        <f t="shared" si="3"/>
        <v>719</v>
      </c>
      <c r="G26" s="5">
        <f t="shared" si="3"/>
        <v>729</v>
      </c>
      <c r="H26" s="5">
        <f t="shared" si="3"/>
        <v>739</v>
      </c>
      <c r="I26" s="5">
        <f t="shared" si="3"/>
        <v>749</v>
      </c>
      <c r="J26" s="5">
        <f t="shared" si="3"/>
        <v>759</v>
      </c>
      <c r="K26" s="5">
        <f t="shared" si="3"/>
        <v>769</v>
      </c>
      <c r="L26" s="5">
        <f t="shared" si="3"/>
        <v>779</v>
      </c>
      <c r="M26" s="5">
        <f t="shared" si="3"/>
        <v>789</v>
      </c>
      <c r="N26" s="5">
        <f t="shared" si="3"/>
        <v>799</v>
      </c>
      <c r="O26" s="5">
        <f t="shared" si="3"/>
        <v>809</v>
      </c>
      <c r="P26" s="5">
        <f t="shared" si="3"/>
        <v>819</v>
      </c>
    </row>
    <row r="27" spans="3:17" x14ac:dyDescent="0.35">
      <c r="D27" s="3" t="str">
        <f t="shared" ref="D27:E30" si="4">D20</f>
        <v>Actual 2025-26</v>
      </c>
      <c r="E27" s="5">
        <f t="shared" si="4"/>
        <v>700</v>
      </c>
      <c r="F27" s="5">
        <f t="shared" si="3"/>
        <v>702</v>
      </c>
      <c r="G27" s="5">
        <f t="shared" si="3"/>
        <v>705</v>
      </c>
      <c r="H27" s="5">
        <f t="shared" si="3"/>
        <v>705</v>
      </c>
      <c r="I27" s="5">
        <f t="shared" si="3"/>
        <v>710</v>
      </c>
      <c r="J27" s="5">
        <f t="shared" si="3"/>
        <v>709</v>
      </c>
      <c r="K27" s="5">
        <f t="shared" si="3"/>
        <v>709</v>
      </c>
      <c r="L27" s="5">
        <f t="shared" si="3"/>
        <v>716</v>
      </c>
      <c r="M27" s="5">
        <f t="shared" si="3"/>
        <v>0</v>
      </c>
      <c r="N27" s="5">
        <f t="shared" si="3"/>
        <v>0</v>
      </c>
      <c r="O27" s="5">
        <f t="shared" si="3"/>
        <v>0</v>
      </c>
      <c r="P27" s="5">
        <f t="shared" si="3"/>
        <v>0</v>
      </c>
    </row>
    <row r="28" spans="3:17" x14ac:dyDescent="0.35">
      <c r="D28" s="3" t="str">
        <f t="shared" si="4"/>
        <v>Actual 2024-25</v>
      </c>
      <c r="E28" s="5">
        <f t="shared" si="4"/>
        <v>676</v>
      </c>
      <c r="F28" s="5">
        <f t="shared" si="3"/>
        <v>676</v>
      </c>
      <c r="G28" s="5">
        <f t="shared" si="3"/>
        <v>681</v>
      </c>
      <c r="H28" s="5">
        <f t="shared" si="3"/>
        <v>680</v>
      </c>
      <c r="I28" s="5">
        <f t="shared" si="3"/>
        <v>683</v>
      </c>
      <c r="J28" s="5">
        <f t="shared" si="3"/>
        <v>683</v>
      </c>
      <c r="K28" s="5">
        <f t="shared" si="3"/>
        <v>687</v>
      </c>
      <c r="L28" s="5">
        <f t="shared" si="3"/>
        <v>692</v>
      </c>
      <c r="M28" s="5">
        <f t="shared" si="3"/>
        <v>697</v>
      </c>
      <c r="N28" s="5">
        <f t="shared" si="3"/>
        <v>697</v>
      </c>
      <c r="O28" s="5">
        <f t="shared" si="3"/>
        <v>696</v>
      </c>
      <c r="P28" s="5">
        <f t="shared" si="3"/>
        <v>700</v>
      </c>
    </row>
    <row r="29" spans="3:17" x14ac:dyDescent="0.35">
      <c r="D29" s="3" t="str">
        <f t="shared" si="4"/>
        <v>Difference</v>
      </c>
      <c r="E29" s="5">
        <f>SUM($E22:E22)</f>
        <v>-9</v>
      </c>
      <c r="F29" s="5">
        <f>SUM($E22:F22)</f>
        <v>-26</v>
      </c>
      <c r="G29" s="5">
        <f>SUM($E22:G22)</f>
        <v>-50</v>
      </c>
      <c r="H29" s="5">
        <f>SUM($E22:H22)</f>
        <v>-84</v>
      </c>
      <c r="I29" s="5">
        <f>SUM($E22:I22)</f>
        <v>-123</v>
      </c>
      <c r="J29" s="5">
        <f>SUM($E22:J22)</f>
        <v>-173</v>
      </c>
      <c r="K29" s="5">
        <f>SUM($E22:K22)</f>
        <v>-233</v>
      </c>
      <c r="L29" s="5">
        <f>SUM($E22:L22)</f>
        <v>-296</v>
      </c>
      <c r="M29" s="5">
        <f>SUM($E22:M22)</f>
        <v>-296</v>
      </c>
      <c r="N29" s="5">
        <f>SUM($E22:N22)</f>
        <v>-296</v>
      </c>
      <c r="O29" s="5">
        <f>SUM($E22:O22)</f>
        <v>-296</v>
      </c>
      <c r="P29" s="5">
        <f>SUM($E22:P22)</f>
        <v>-296</v>
      </c>
    </row>
    <row r="30" spans="3:17" x14ac:dyDescent="0.35">
      <c r="D30" s="3" t="str">
        <f t="shared" si="4"/>
        <v>Realisation</v>
      </c>
      <c r="E30" s="9">
        <f>E28/E26</f>
        <v>0.95345557122708036</v>
      </c>
      <c r="F30" s="9">
        <f t="shared" ref="F30:P30" si="5">F27/F26</f>
        <v>0.97635605006954107</v>
      </c>
      <c r="G30" s="9">
        <f t="shared" si="5"/>
        <v>0.96707818930041156</v>
      </c>
      <c r="H30" s="9">
        <f t="shared" si="5"/>
        <v>0.95399188092016241</v>
      </c>
      <c r="I30" s="9">
        <f t="shared" si="5"/>
        <v>0.94793057409879844</v>
      </c>
      <c r="J30" s="9">
        <f t="shared" si="5"/>
        <v>0.93412384716732544</v>
      </c>
      <c r="K30" s="9">
        <f t="shared" si="5"/>
        <v>0.92197659297789336</v>
      </c>
      <c r="L30" s="9">
        <f t="shared" si="5"/>
        <v>0.91912708600770221</v>
      </c>
      <c r="M30" s="9">
        <f t="shared" si="5"/>
        <v>0</v>
      </c>
      <c r="N30" s="9">
        <f t="shared" si="5"/>
        <v>0</v>
      </c>
      <c r="O30" s="9">
        <f t="shared" si="5"/>
        <v>0</v>
      </c>
      <c r="P30" s="9">
        <f t="shared" si="5"/>
        <v>0</v>
      </c>
    </row>
  </sheetData>
  <mergeCells count="2">
    <mergeCell ref="J4:Q8"/>
    <mergeCell ref="J10:Q15"/>
  </mergeCells>
  <conditionalFormatting sqref="C3">
    <cfRule type="expression" dxfId="386" priority="2">
      <formula>S4&lt;S6</formula>
    </cfRule>
  </conditionalFormatting>
  <conditionalFormatting sqref="C5">
    <cfRule type="expression" dxfId="385" priority="3">
      <formula>S4&gt;=S5</formula>
    </cfRule>
  </conditionalFormatting>
  <conditionalFormatting sqref="C4">
    <cfRule type="expression" dxfId="384" priority="1">
      <formula>AND(S4&gt;=S6,S4&lt;S5)</formula>
    </cfRule>
  </conditionalFormatting>
  <hyperlinks>
    <hyperlink ref="L1" location="Dashboard!A1" display="Dashboard"/>
  </hyperlinks>
  <pageMargins left="0.7" right="0.7" top="0.75" bottom="0.75" header="0.3" footer="0.3"/>
  <pageSetup orientation="portrait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990209" r:id="rId4" name="Spinner 1">
              <controlPr defaultSize="0" autoPict="0">
                <anchor moveWithCells="1" sizeWithCells="1">
                  <from>
                    <xdr:col>9</xdr:col>
                    <xdr:colOff>19050</xdr:colOff>
                    <xdr:row>0</xdr:row>
                    <xdr:rowOff>38100</xdr:rowOff>
                  </from>
                  <to>
                    <xdr:col>9</xdr:col>
                    <xdr:colOff>400050</xdr:colOff>
                    <xdr:row>1</xdr:row>
                    <xdr:rowOff>152400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7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55">
    <tabColor rgb="FFFFC000"/>
  </sheetPr>
  <dimension ref="A1:S30"/>
  <sheetViews>
    <sheetView zoomScale="90" zoomScaleNormal="90" workbookViewId="0">
      <selection activeCell="L1" sqref="L1"/>
    </sheetView>
  </sheetViews>
  <sheetFormatPr defaultColWidth="9.1796875" defaultRowHeight="14.5" x14ac:dyDescent="0.35"/>
  <cols>
    <col min="1" max="1" width="9.1796875" style="3"/>
    <col min="2" max="2" width="5.1796875" style="3" customWidth="1"/>
    <col min="3" max="3" width="6.26953125" style="3" customWidth="1"/>
    <col min="4" max="4" width="21.26953125" style="3" bestFit="1" customWidth="1"/>
    <col min="5" max="16" width="11.1796875" style="3" customWidth="1"/>
    <col min="17" max="17" width="12" style="3" bestFit="1" customWidth="1"/>
    <col min="18" max="18" width="9.1796875" style="3" customWidth="1"/>
    <col min="19" max="16384" width="9.1796875" style="3"/>
  </cols>
  <sheetData>
    <row r="1" spans="1:19" ht="21" x14ac:dyDescent="0.5">
      <c r="A1" s="4" t="s">
        <v>4</v>
      </c>
      <c r="B1" s="4">
        <f>Dashboard!A75</f>
        <v>3</v>
      </c>
      <c r="C1" s="4" t="str">
        <f>Dashboard!B75</f>
        <v>KABATI- ACTIVE WATER</v>
      </c>
      <c r="D1" s="4"/>
      <c r="G1" s="3" t="s">
        <v>9</v>
      </c>
      <c r="I1" s="12">
        <f>INDEX($E$18:$P$18,Actual_month)</f>
        <v>46054</v>
      </c>
      <c r="L1" s="16" t="s">
        <v>19</v>
      </c>
      <c r="R1" s="5"/>
    </row>
    <row r="2" spans="1:19" x14ac:dyDescent="0.35">
      <c r="A2" s="3" t="s">
        <v>13</v>
      </c>
      <c r="C2" s="3" t="s">
        <v>27</v>
      </c>
      <c r="R2" s="6"/>
    </row>
    <row r="3" spans="1:19" ht="25.5" customHeight="1" thickBot="1" x14ac:dyDescent="0.4">
      <c r="C3" s="1" t="s">
        <v>5</v>
      </c>
      <c r="E3" s="10"/>
      <c r="F3" s="10"/>
      <c r="G3" s="10"/>
      <c r="H3" s="10"/>
      <c r="I3" s="10"/>
      <c r="J3" s="3" t="s">
        <v>6</v>
      </c>
      <c r="K3" s="10"/>
      <c r="M3" s="10"/>
      <c r="N3" s="10"/>
      <c r="O3" s="10"/>
      <c r="P3" s="10"/>
    </row>
    <row r="4" spans="1:19" ht="25.5" customHeight="1" x14ac:dyDescent="0.35">
      <c r="C4" s="1" t="s">
        <v>5</v>
      </c>
      <c r="E4" s="10"/>
      <c r="F4" s="10"/>
      <c r="G4" s="10"/>
      <c r="H4" s="10"/>
      <c r="I4" s="10"/>
      <c r="J4" s="401"/>
      <c r="K4" s="402"/>
      <c r="L4" s="402"/>
      <c r="M4" s="402"/>
      <c r="N4" s="402"/>
      <c r="O4" s="402"/>
      <c r="P4" s="402"/>
      <c r="Q4" s="403"/>
      <c r="R4" s="3" t="s">
        <v>22</v>
      </c>
      <c r="S4" s="5">
        <f>INDEX(E27:P27,Actual_month)</f>
        <v>870</v>
      </c>
    </row>
    <row r="5" spans="1:19" ht="25.5" customHeight="1" x14ac:dyDescent="0.35">
      <c r="C5" s="1" t="s">
        <v>5</v>
      </c>
      <c r="E5" s="10"/>
      <c r="F5" s="10"/>
      <c r="G5" s="10"/>
      <c r="H5" s="10"/>
      <c r="I5" s="10"/>
      <c r="J5" s="404"/>
      <c r="K5" s="405"/>
      <c r="L5" s="405"/>
      <c r="M5" s="405"/>
      <c r="N5" s="405"/>
      <c r="O5" s="405"/>
      <c r="P5" s="405"/>
      <c r="Q5" s="406"/>
      <c r="R5" s="3" t="s">
        <v>23</v>
      </c>
      <c r="S5" s="5">
        <f>INDEX(E26:P26,Actual_month)</f>
        <v>894</v>
      </c>
    </row>
    <row r="6" spans="1:19" x14ac:dyDescent="0.35">
      <c r="J6" s="404"/>
      <c r="K6" s="405"/>
      <c r="L6" s="405"/>
      <c r="M6" s="405"/>
      <c r="N6" s="405"/>
      <c r="O6" s="405"/>
      <c r="P6" s="405"/>
      <c r="Q6" s="406"/>
      <c r="R6" s="6">
        <v>0.9</v>
      </c>
      <c r="S6" s="5">
        <f>+S5*R6</f>
        <v>804.6</v>
      </c>
    </row>
    <row r="7" spans="1:19" x14ac:dyDescent="0.35">
      <c r="J7" s="404"/>
      <c r="K7" s="405"/>
      <c r="L7" s="405"/>
      <c r="M7" s="405"/>
      <c r="N7" s="405"/>
      <c r="O7" s="405"/>
      <c r="P7" s="405"/>
      <c r="Q7" s="406"/>
    </row>
    <row r="8" spans="1:19" ht="15" thickBot="1" x14ac:dyDescent="0.4">
      <c r="J8" s="407"/>
      <c r="K8" s="408"/>
      <c r="L8" s="408"/>
      <c r="M8" s="408"/>
      <c r="N8" s="408"/>
      <c r="O8" s="408"/>
      <c r="P8" s="408"/>
      <c r="Q8" s="409"/>
    </row>
    <row r="9" spans="1:19" ht="15" thickBot="1" x14ac:dyDescent="0.4">
      <c r="J9" s="3" t="s">
        <v>12</v>
      </c>
    </row>
    <row r="10" spans="1:19" x14ac:dyDescent="0.35">
      <c r="J10" s="401"/>
      <c r="K10" s="402"/>
      <c r="L10" s="402"/>
      <c r="M10" s="402"/>
      <c r="N10" s="402"/>
      <c r="O10" s="402"/>
      <c r="P10" s="402"/>
      <c r="Q10" s="403"/>
    </row>
    <row r="11" spans="1:19" x14ac:dyDescent="0.35">
      <c r="J11" s="404"/>
      <c r="K11" s="405"/>
      <c r="L11" s="405"/>
      <c r="M11" s="405"/>
      <c r="N11" s="405"/>
      <c r="O11" s="405"/>
      <c r="P11" s="405"/>
      <c r="Q11" s="406"/>
    </row>
    <row r="12" spans="1:19" x14ac:dyDescent="0.35">
      <c r="J12" s="404"/>
      <c r="K12" s="405"/>
      <c r="L12" s="405"/>
      <c r="M12" s="405"/>
      <c r="N12" s="405"/>
      <c r="O12" s="405"/>
      <c r="P12" s="405"/>
      <c r="Q12" s="406"/>
    </row>
    <row r="13" spans="1:19" x14ac:dyDescent="0.35">
      <c r="J13" s="404"/>
      <c r="K13" s="405"/>
      <c r="L13" s="405"/>
      <c r="M13" s="405"/>
      <c r="N13" s="405"/>
      <c r="O13" s="405"/>
      <c r="P13" s="405"/>
      <c r="Q13" s="406"/>
    </row>
    <row r="14" spans="1:19" x14ac:dyDescent="0.35">
      <c r="J14" s="404"/>
      <c r="K14" s="405"/>
      <c r="L14" s="405"/>
      <c r="M14" s="405"/>
      <c r="N14" s="405"/>
      <c r="O14" s="405"/>
      <c r="P14" s="405"/>
      <c r="Q14" s="406"/>
    </row>
    <row r="15" spans="1:19" ht="15" thickBot="1" x14ac:dyDescent="0.4">
      <c r="J15" s="407"/>
      <c r="K15" s="408"/>
      <c r="L15" s="408"/>
      <c r="M15" s="408"/>
      <c r="N15" s="408"/>
      <c r="O15" s="408"/>
      <c r="P15" s="408"/>
      <c r="Q15" s="409"/>
    </row>
    <row r="18" spans="3:17" x14ac:dyDescent="0.35">
      <c r="C18" s="7" t="s">
        <v>8</v>
      </c>
      <c r="E18" s="11">
        <f>'KPI 1'!E18</f>
        <v>45839</v>
      </c>
      <c r="F18" s="11">
        <f>'KPI 1'!F18</f>
        <v>45870</v>
      </c>
      <c r="G18" s="11">
        <f>'KPI 1'!G18</f>
        <v>45901</v>
      </c>
      <c r="H18" s="11">
        <f>'KPI 1'!H18</f>
        <v>45931</v>
      </c>
      <c r="I18" s="11">
        <f>'KPI 1'!I18</f>
        <v>45962</v>
      </c>
      <c r="J18" s="11">
        <f>'KPI 1'!J18</f>
        <v>45992</v>
      </c>
      <c r="K18" s="11">
        <f>'KPI 1'!K18</f>
        <v>46023</v>
      </c>
      <c r="L18" s="11">
        <f>'KPI 1'!L18</f>
        <v>46054</v>
      </c>
      <c r="M18" s="11">
        <f>'KPI 1'!M18</f>
        <v>46082</v>
      </c>
      <c r="N18" s="11">
        <f>'KPI 1'!N18</f>
        <v>46113</v>
      </c>
      <c r="O18" s="11">
        <f>'KPI 1'!O18</f>
        <v>46143</v>
      </c>
      <c r="P18" s="11">
        <f>'KPI 1'!P18</f>
        <v>46174</v>
      </c>
      <c r="Q18" s="8" t="s">
        <v>0</v>
      </c>
    </row>
    <row r="19" spans="3:17" x14ac:dyDescent="0.35">
      <c r="D19" s="3" t="str">
        <f>'KPI 1'!D19</f>
        <v>Budget 2025-26</v>
      </c>
      <c r="E19" s="5">
        <f>'budget 2025-26'!D70</f>
        <v>866</v>
      </c>
      <c r="F19" s="5">
        <f>'budget 2025-26'!E70</f>
        <v>870</v>
      </c>
      <c r="G19" s="5">
        <f>'budget 2025-26'!F70</f>
        <v>874</v>
      </c>
      <c r="H19" s="5">
        <f>'budget 2025-26'!G70</f>
        <v>878</v>
      </c>
      <c r="I19" s="5">
        <f>'budget 2025-26'!H70</f>
        <v>882</v>
      </c>
      <c r="J19" s="5">
        <f>'budget 2025-26'!I70</f>
        <v>886</v>
      </c>
      <c r="K19" s="5">
        <f>'budget 2025-26'!J70</f>
        <v>890</v>
      </c>
      <c r="L19" s="5">
        <f>'budget 2025-26'!K70</f>
        <v>894</v>
      </c>
      <c r="M19" s="5">
        <f>'budget 2025-26'!L70</f>
        <v>898</v>
      </c>
      <c r="N19" s="5">
        <f>'budget 2025-26'!M70</f>
        <v>902</v>
      </c>
      <c r="O19" s="5">
        <f>'budget 2025-26'!N70</f>
        <v>906</v>
      </c>
      <c r="P19" s="5">
        <f>'budget 2025-26'!O70</f>
        <v>910</v>
      </c>
      <c r="Q19" s="5">
        <f>SUM(E19:P19)</f>
        <v>10656</v>
      </c>
    </row>
    <row r="20" spans="3:17" x14ac:dyDescent="0.35">
      <c r="D20" s="3" t="str">
        <f>'KPI 1'!D20</f>
        <v>Actual 2025-26</v>
      </c>
      <c r="E20" s="5">
        <f>'Input Actual2025-26'!E72</f>
        <v>864</v>
      </c>
      <c r="F20" s="5">
        <f>'Input Actual2025-26'!F72</f>
        <v>864</v>
      </c>
      <c r="G20" s="5">
        <f>'Input Actual2025-26'!G72</f>
        <v>868</v>
      </c>
      <c r="H20" s="5">
        <f>'Input Actual2025-26'!H72</f>
        <v>868</v>
      </c>
      <c r="I20" s="5">
        <f>'Input Actual2025-26'!I72</f>
        <v>868</v>
      </c>
      <c r="J20" s="5">
        <f>'Input Actual2025-26'!J72</f>
        <v>868</v>
      </c>
      <c r="K20" s="5">
        <f>'Input Actual2025-26'!K72</f>
        <v>868</v>
      </c>
      <c r="L20" s="5">
        <f>'Input Actual2025-26'!L72</f>
        <v>870</v>
      </c>
      <c r="M20" s="5">
        <f>'Input Actual2025-26'!M72</f>
        <v>0</v>
      </c>
      <c r="N20" s="5">
        <f>'Input Actual2025-26'!N72</f>
        <v>0</v>
      </c>
      <c r="O20" s="5">
        <f>'Input Actual2025-26'!O72</f>
        <v>0</v>
      </c>
      <c r="P20" s="5">
        <f>'Input Actual2025-26'!P72</f>
        <v>0</v>
      </c>
      <c r="Q20" s="5">
        <f t="shared" ref="Q20:Q22" si="0">SUM(E20:P20)</f>
        <v>6938</v>
      </c>
    </row>
    <row r="21" spans="3:17" x14ac:dyDescent="0.35">
      <c r="D21" s="3" t="s">
        <v>424</v>
      </c>
      <c r="E21" s="5">
        <f>'Input Actual2024-25'!E68</f>
        <v>844</v>
      </c>
      <c r="F21" s="5">
        <f>'Input Actual2024-25'!F68</f>
        <v>847</v>
      </c>
      <c r="G21" s="5">
        <f>'Input Actual2024-25'!G68</f>
        <v>851</v>
      </c>
      <c r="H21" s="5">
        <f>'Input Actual2024-25'!H68</f>
        <v>851</v>
      </c>
      <c r="I21" s="5">
        <f>'Input Actual2024-25'!I68</f>
        <v>853</v>
      </c>
      <c r="J21" s="5">
        <f>'Input Actual2024-25'!J68</f>
        <v>852</v>
      </c>
      <c r="K21" s="5">
        <f>'Input Actual2024-25'!K68</f>
        <v>852</v>
      </c>
      <c r="L21" s="5">
        <f>'Input Actual2024-25'!L68</f>
        <v>856</v>
      </c>
      <c r="M21" s="5">
        <f>'Input Actual2024-25'!M68</f>
        <v>859</v>
      </c>
      <c r="N21" s="5">
        <f>'Input Actual2024-25'!N68</f>
        <v>860</v>
      </c>
      <c r="O21" s="5">
        <f>'Input Actual2024-25'!O68</f>
        <v>862</v>
      </c>
      <c r="P21" s="5">
        <f>'Input Actual2024-25'!P68</f>
        <v>862</v>
      </c>
      <c r="Q21" s="5">
        <f t="shared" si="0"/>
        <v>10249</v>
      </c>
    </row>
    <row r="22" spans="3:17" x14ac:dyDescent="0.35">
      <c r="D22" s="3" t="s">
        <v>7</v>
      </c>
      <c r="E22" s="5">
        <f t="shared" ref="E22:P22" si="1">IF(E20=0,0,E20-E19)</f>
        <v>-2</v>
      </c>
      <c r="F22" s="5">
        <f t="shared" si="1"/>
        <v>-6</v>
      </c>
      <c r="G22" s="5">
        <f t="shared" si="1"/>
        <v>-6</v>
      </c>
      <c r="H22" s="5">
        <f t="shared" si="1"/>
        <v>-10</v>
      </c>
      <c r="I22" s="5">
        <f t="shared" si="1"/>
        <v>-14</v>
      </c>
      <c r="J22" s="5">
        <f t="shared" si="1"/>
        <v>-18</v>
      </c>
      <c r="K22" s="5">
        <f t="shared" si="1"/>
        <v>-22</v>
      </c>
      <c r="L22" s="5">
        <f t="shared" si="1"/>
        <v>-24</v>
      </c>
      <c r="M22" s="5">
        <f t="shared" si="1"/>
        <v>0</v>
      </c>
      <c r="N22" s="5">
        <f t="shared" si="1"/>
        <v>0</v>
      </c>
      <c r="O22" s="5">
        <f t="shared" si="1"/>
        <v>0</v>
      </c>
      <c r="P22" s="5">
        <f t="shared" si="1"/>
        <v>0</v>
      </c>
      <c r="Q22" s="5">
        <f t="shared" si="0"/>
        <v>-102</v>
      </c>
    </row>
    <row r="23" spans="3:17" x14ac:dyDescent="0.35">
      <c r="D23" s="3" t="s">
        <v>43</v>
      </c>
      <c r="E23" s="9">
        <f>E21/E19</f>
        <v>0.97459584295612012</v>
      </c>
      <c r="F23" s="9">
        <f t="shared" ref="F23:P23" si="2">F20/F19</f>
        <v>0.99310344827586206</v>
      </c>
      <c r="G23" s="9">
        <f t="shared" si="2"/>
        <v>0.99313501144164762</v>
      </c>
      <c r="H23" s="9">
        <f t="shared" si="2"/>
        <v>0.9886104783599089</v>
      </c>
      <c r="I23" s="9">
        <f t="shared" si="2"/>
        <v>0.98412698412698407</v>
      </c>
      <c r="J23" s="9">
        <f t="shared" si="2"/>
        <v>0.97968397291196385</v>
      </c>
      <c r="K23" s="9">
        <f t="shared" si="2"/>
        <v>0.97528089887640446</v>
      </c>
      <c r="L23" s="9">
        <f t="shared" si="2"/>
        <v>0.97315436241610742</v>
      </c>
      <c r="M23" s="9">
        <f t="shared" si="2"/>
        <v>0</v>
      </c>
      <c r="N23" s="9">
        <f t="shared" si="2"/>
        <v>0</v>
      </c>
      <c r="O23" s="9">
        <f t="shared" si="2"/>
        <v>0</v>
      </c>
      <c r="P23" s="9">
        <f t="shared" si="2"/>
        <v>0</v>
      </c>
    </row>
    <row r="25" spans="3:17" x14ac:dyDescent="0.35">
      <c r="C25" s="7" t="s">
        <v>3</v>
      </c>
      <c r="E25" s="11">
        <f>E18</f>
        <v>45839</v>
      </c>
      <c r="F25" s="11">
        <f t="shared" ref="F25:P28" si="3">F18</f>
        <v>45870</v>
      </c>
      <c r="G25" s="11">
        <f t="shared" si="3"/>
        <v>45901</v>
      </c>
      <c r="H25" s="11">
        <f t="shared" si="3"/>
        <v>45931</v>
      </c>
      <c r="I25" s="11">
        <f t="shared" si="3"/>
        <v>45962</v>
      </c>
      <c r="J25" s="11">
        <f t="shared" si="3"/>
        <v>45992</v>
      </c>
      <c r="K25" s="11">
        <f t="shared" si="3"/>
        <v>46023</v>
      </c>
      <c r="L25" s="11">
        <f t="shared" si="3"/>
        <v>46054</v>
      </c>
      <c r="M25" s="11">
        <f t="shared" si="3"/>
        <v>46082</v>
      </c>
      <c r="N25" s="11">
        <f t="shared" si="3"/>
        <v>46113</v>
      </c>
      <c r="O25" s="11">
        <f t="shared" si="3"/>
        <v>46143</v>
      </c>
      <c r="P25" s="11">
        <f t="shared" si="3"/>
        <v>46174</v>
      </c>
    </row>
    <row r="26" spans="3:17" x14ac:dyDescent="0.35">
      <c r="D26" s="3" t="str">
        <f>D19</f>
        <v>Budget 2025-26</v>
      </c>
      <c r="E26" s="5">
        <f>E19</f>
        <v>866</v>
      </c>
      <c r="F26" s="5">
        <f t="shared" si="3"/>
        <v>870</v>
      </c>
      <c r="G26" s="5">
        <f t="shared" si="3"/>
        <v>874</v>
      </c>
      <c r="H26" s="5">
        <f t="shared" si="3"/>
        <v>878</v>
      </c>
      <c r="I26" s="5">
        <f t="shared" si="3"/>
        <v>882</v>
      </c>
      <c r="J26" s="5">
        <f t="shared" si="3"/>
        <v>886</v>
      </c>
      <c r="K26" s="5">
        <f t="shared" si="3"/>
        <v>890</v>
      </c>
      <c r="L26" s="5">
        <f t="shared" si="3"/>
        <v>894</v>
      </c>
      <c r="M26" s="5">
        <f t="shared" si="3"/>
        <v>898</v>
      </c>
      <c r="N26" s="5">
        <f t="shared" si="3"/>
        <v>902</v>
      </c>
      <c r="O26" s="5">
        <f t="shared" si="3"/>
        <v>906</v>
      </c>
      <c r="P26" s="5">
        <f t="shared" si="3"/>
        <v>910</v>
      </c>
    </row>
    <row r="27" spans="3:17" x14ac:dyDescent="0.35">
      <c r="D27" s="3" t="str">
        <f t="shared" ref="D27:E30" si="4">D20</f>
        <v>Actual 2025-26</v>
      </c>
      <c r="E27" s="5">
        <f t="shared" si="4"/>
        <v>864</v>
      </c>
      <c r="F27" s="5">
        <f t="shared" si="3"/>
        <v>864</v>
      </c>
      <c r="G27" s="5">
        <f t="shared" si="3"/>
        <v>868</v>
      </c>
      <c r="H27" s="5">
        <f t="shared" si="3"/>
        <v>868</v>
      </c>
      <c r="I27" s="5">
        <f t="shared" si="3"/>
        <v>868</v>
      </c>
      <c r="J27" s="5">
        <f t="shared" si="3"/>
        <v>868</v>
      </c>
      <c r="K27" s="5">
        <f t="shared" si="3"/>
        <v>868</v>
      </c>
      <c r="L27" s="5">
        <f t="shared" si="3"/>
        <v>870</v>
      </c>
      <c r="M27" s="5">
        <f t="shared" si="3"/>
        <v>0</v>
      </c>
      <c r="N27" s="5">
        <f t="shared" si="3"/>
        <v>0</v>
      </c>
      <c r="O27" s="5">
        <f t="shared" si="3"/>
        <v>0</v>
      </c>
      <c r="P27" s="5">
        <f t="shared" si="3"/>
        <v>0</v>
      </c>
    </row>
    <row r="28" spans="3:17" x14ac:dyDescent="0.35">
      <c r="D28" s="3" t="str">
        <f t="shared" si="4"/>
        <v>Actual 2024-25</v>
      </c>
      <c r="E28" s="5">
        <f t="shared" si="4"/>
        <v>844</v>
      </c>
      <c r="F28" s="5">
        <f t="shared" si="3"/>
        <v>847</v>
      </c>
      <c r="G28" s="5">
        <f t="shared" si="3"/>
        <v>851</v>
      </c>
      <c r="H28" s="5">
        <f t="shared" si="3"/>
        <v>851</v>
      </c>
      <c r="I28" s="5">
        <f t="shared" si="3"/>
        <v>853</v>
      </c>
      <c r="J28" s="5">
        <f t="shared" si="3"/>
        <v>852</v>
      </c>
      <c r="K28" s="5">
        <f t="shared" si="3"/>
        <v>852</v>
      </c>
      <c r="L28" s="5">
        <f t="shared" si="3"/>
        <v>856</v>
      </c>
      <c r="M28" s="5">
        <f t="shared" si="3"/>
        <v>859</v>
      </c>
      <c r="N28" s="5">
        <f t="shared" si="3"/>
        <v>860</v>
      </c>
      <c r="O28" s="5">
        <f t="shared" si="3"/>
        <v>862</v>
      </c>
      <c r="P28" s="5">
        <f t="shared" si="3"/>
        <v>862</v>
      </c>
    </row>
    <row r="29" spans="3:17" x14ac:dyDescent="0.35">
      <c r="D29" s="3" t="str">
        <f t="shared" si="4"/>
        <v>Difference</v>
      </c>
      <c r="E29" s="5">
        <f>SUM($E22:E22)</f>
        <v>-2</v>
      </c>
      <c r="F29" s="5">
        <f>SUM($E22:F22)</f>
        <v>-8</v>
      </c>
      <c r="G29" s="5">
        <f>SUM($E22:G22)</f>
        <v>-14</v>
      </c>
      <c r="H29" s="5">
        <f>SUM($E22:H22)</f>
        <v>-24</v>
      </c>
      <c r="I29" s="5">
        <f>SUM($E22:I22)</f>
        <v>-38</v>
      </c>
      <c r="J29" s="5">
        <f>SUM($E22:J22)</f>
        <v>-56</v>
      </c>
      <c r="K29" s="5">
        <f>SUM($E22:K22)</f>
        <v>-78</v>
      </c>
      <c r="L29" s="5">
        <f>SUM($E22:L22)</f>
        <v>-102</v>
      </c>
      <c r="M29" s="5">
        <f>SUM($E22:M22)</f>
        <v>-102</v>
      </c>
      <c r="N29" s="5">
        <f>SUM($E22:N22)</f>
        <v>-102</v>
      </c>
      <c r="O29" s="5">
        <f>SUM($E22:O22)</f>
        <v>-102</v>
      </c>
      <c r="P29" s="5">
        <f>SUM($E22:P22)</f>
        <v>-102</v>
      </c>
    </row>
    <row r="30" spans="3:17" x14ac:dyDescent="0.35">
      <c r="D30" s="3" t="str">
        <f t="shared" si="4"/>
        <v>Realisation</v>
      </c>
      <c r="E30" s="9">
        <f>E28/E26</f>
        <v>0.97459584295612012</v>
      </c>
      <c r="F30" s="9">
        <f t="shared" ref="F30:P30" si="5">F27/F26</f>
        <v>0.99310344827586206</v>
      </c>
      <c r="G30" s="9">
        <f t="shared" si="5"/>
        <v>0.99313501144164762</v>
      </c>
      <c r="H30" s="9">
        <f t="shared" si="5"/>
        <v>0.9886104783599089</v>
      </c>
      <c r="I30" s="9">
        <f t="shared" si="5"/>
        <v>0.98412698412698407</v>
      </c>
      <c r="J30" s="9">
        <f t="shared" si="5"/>
        <v>0.97968397291196385</v>
      </c>
      <c r="K30" s="9">
        <f t="shared" si="5"/>
        <v>0.97528089887640446</v>
      </c>
      <c r="L30" s="9">
        <f t="shared" si="5"/>
        <v>0.97315436241610742</v>
      </c>
      <c r="M30" s="9">
        <f t="shared" si="5"/>
        <v>0</v>
      </c>
      <c r="N30" s="9">
        <f t="shared" si="5"/>
        <v>0</v>
      </c>
      <c r="O30" s="9">
        <f t="shared" si="5"/>
        <v>0</v>
      </c>
      <c r="P30" s="9">
        <f t="shared" si="5"/>
        <v>0</v>
      </c>
    </row>
  </sheetData>
  <mergeCells count="2">
    <mergeCell ref="J4:Q8"/>
    <mergeCell ref="J10:Q15"/>
  </mergeCells>
  <conditionalFormatting sqref="C3">
    <cfRule type="expression" dxfId="383" priority="2">
      <formula>S4&lt;S6</formula>
    </cfRule>
  </conditionalFormatting>
  <conditionalFormatting sqref="C5">
    <cfRule type="expression" dxfId="382" priority="3">
      <formula>S4&gt;=S5</formula>
    </cfRule>
  </conditionalFormatting>
  <conditionalFormatting sqref="C4">
    <cfRule type="expression" dxfId="381" priority="1">
      <formula>AND(S4&gt;=S6,S4&lt;S5)</formula>
    </cfRule>
  </conditionalFormatting>
  <hyperlinks>
    <hyperlink ref="L1" location="Dashboard!A1" display="Dashboard"/>
  </hyperlinks>
  <pageMargins left="0.7" right="0.7" top="0.75" bottom="0.75" header="0.3" footer="0.3"/>
  <pageSetup orientation="portrait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991233" r:id="rId4" name="Spinner 1">
              <controlPr defaultSize="0" autoPict="0">
                <anchor moveWithCells="1" sizeWithCells="1">
                  <from>
                    <xdr:col>9</xdr:col>
                    <xdr:colOff>19050</xdr:colOff>
                    <xdr:row>0</xdr:row>
                    <xdr:rowOff>38100</xdr:rowOff>
                  </from>
                  <to>
                    <xdr:col>9</xdr:col>
                    <xdr:colOff>400050</xdr:colOff>
                    <xdr:row>1</xdr:row>
                    <xdr:rowOff>152400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7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56">
    <tabColor rgb="FFFFC000"/>
  </sheetPr>
  <dimension ref="A1:S30"/>
  <sheetViews>
    <sheetView zoomScale="90" zoomScaleNormal="90" workbookViewId="0">
      <selection activeCell="L1" sqref="L1"/>
    </sheetView>
  </sheetViews>
  <sheetFormatPr defaultColWidth="9.1796875" defaultRowHeight="14.5" x14ac:dyDescent="0.35"/>
  <cols>
    <col min="1" max="1" width="9.1796875" style="3"/>
    <col min="2" max="2" width="5.1796875" style="3" customWidth="1"/>
    <col min="3" max="3" width="6.26953125" style="3" customWidth="1"/>
    <col min="4" max="4" width="21.26953125" style="3" bestFit="1" customWidth="1"/>
    <col min="5" max="16" width="11.1796875" style="3" customWidth="1"/>
    <col min="17" max="17" width="12" style="3" bestFit="1" customWidth="1"/>
    <col min="18" max="18" width="9.1796875" style="3" customWidth="1"/>
    <col min="19" max="16384" width="9.1796875" style="3"/>
  </cols>
  <sheetData>
    <row r="1" spans="1:19" ht="21" x14ac:dyDescent="0.5">
      <c r="A1" s="4" t="s">
        <v>4</v>
      </c>
      <c r="B1" s="4">
        <f>Dashboard!A76</f>
        <v>4</v>
      </c>
      <c r="C1" s="4" t="str">
        <f>Dashboard!B76</f>
        <v>SITE- ACTIVE WATER</v>
      </c>
      <c r="D1" s="4"/>
      <c r="G1" s="3" t="s">
        <v>9</v>
      </c>
      <c r="I1" s="12">
        <f>INDEX($E$18:$P$18,Actual_month)</f>
        <v>46054</v>
      </c>
      <c r="L1" s="16" t="s">
        <v>19</v>
      </c>
      <c r="R1" s="5"/>
    </row>
    <row r="2" spans="1:19" x14ac:dyDescent="0.35">
      <c r="A2" s="3" t="s">
        <v>13</v>
      </c>
      <c r="C2" s="3" t="s">
        <v>27</v>
      </c>
      <c r="R2" s="6"/>
    </row>
    <row r="3" spans="1:19" ht="25.5" customHeight="1" thickBot="1" x14ac:dyDescent="0.4">
      <c r="C3" s="1" t="s">
        <v>5</v>
      </c>
      <c r="E3" s="10"/>
      <c r="F3" s="10"/>
      <c r="G3" s="10"/>
      <c r="H3" s="10"/>
      <c r="I3" s="10"/>
      <c r="J3" s="3" t="s">
        <v>6</v>
      </c>
      <c r="K3" s="10"/>
      <c r="M3" s="10"/>
      <c r="N3" s="10"/>
      <c r="O3" s="10"/>
      <c r="P3" s="10"/>
    </row>
    <row r="4" spans="1:19" ht="25.5" customHeight="1" x14ac:dyDescent="0.35">
      <c r="C4" s="1" t="s">
        <v>5</v>
      </c>
      <c r="E4" s="10"/>
      <c r="F4" s="10"/>
      <c r="G4" s="10"/>
      <c r="H4" s="10"/>
      <c r="I4" s="10"/>
      <c r="J4" s="401"/>
      <c r="K4" s="402"/>
      <c r="L4" s="402"/>
      <c r="M4" s="402"/>
      <c r="N4" s="402"/>
      <c r="O4" s="402"/>
      <c r="P4" s="402"/>
      <c r="Q4" s="403"/>
      <c r="R4" s="3" t="s">
        <v>22</v>
      </c>
      <c r="S4" s="5">
        <f>INDEX(E27:P27,Actual_month)</f>
        <v>842</v>
      </c>
    </row>
    <row r="5" spans="1:19" ht="25.5" customHeight="1" x14ac:dyDescent="0.35">
      <c r="C5" s="1" t="s">
        <v>5</v>
      </c>
      <c r="E5" s="10"/>
      <c r="F5" s="10"/>
      <c r="G5" s="10"/>
      <c r="H5" s="10"/>
      <c r="I5" s="10"/>
      <c r="J5" s="404"/>
      <c r="K5" s="405"/>
      <c r="L5" s="405"/>
      <c r="M5" s="405"/>
      <c r="N5" s="405"/>
      <c r="O5" s="405"/>
      <c r="P5" s="405"/>
      <c r="Q5" s="406"/>
      <c r="R5" s="3" t="s">
        <v>23</v>
      </c>
      <c r="S5" s="5">
        <f>INDEX(E26:P26,Actual_month)</f>
        <v>844</v>
      </c>
    </row>
    <row r="6" spans="1:19" x14ac:dyDescent="0.35">
      <c r="J6" s="404"/>
      <c r="K6" s="405"/>
      <c r="L6" s="405"/>
      <c r="M6" s="405"/>
      <c r="N6" s="405"/>
      <c r="O6" s="405"/>
      <c r="P6" s="405"/>
      <c r="Q6" s="406"/>
      <c r="R6" s="6">
        <v>0.9</v>
      </c>
      <c r="S6" s="5">
        <f>+S5*R6</f>
        <v>759.6</v>
      </c>
    </row>
    <row r="7" spans="1:19" x14ac:dyDescent="0.35">
      <c r="J7" s="404"/>
      <c r="K7" s="405"/>
      <c r="L7" s="405"/>
      <c r="M7" s="405"/>
      <c r="N7" s="405"/>
      <c r="O7" s="405"/>
      <c r="P7" s="405"/>
      <c r="Q7" s="406"/>
    </row>
    <row r="8" spans="1:19" ht="15" thickBot="1" x14ac:dyDescent="0.4">
      <c r="J8" s="407"/>
      <c r="K8" s="408"/>
      <c r="L8" s="408"/>
      <c r="M8" s="408"/>
      <c r="N8" s="408"/>
      <c r="O8" s="408"/>
      <c r="P8" s="408"/>
      <c r="Q8" s="409"/>
    </row>
    <row r="9" spans="1:19" ht="15" thickBot="1" x14ac:dyDescent="0.4">
      <c r="J9" s="3" t="s">
        <v>12</v>
      </c>
    </row>
    <row r="10" spans="1:19" x14ac:dyDescent="0.35">
      <c r="J10" s="401"/>
      <c r="K10" s="402"/>
      <c r="L10" s="402"/>
      <c r="M10" s="402"/>
      <c r="N10" s="402"/>
      <c r="O10" s="402"/>
      <c r="P10" s="402"/>
      <c r="Q10" s="403"/>
    </row>
    <row r="11" spans="1:19" x14ac:dyDescent="0.35">
      <c r="J11" s="404"/>
      <c r="K11" s="405"/>
      <c r="L11" s="405"/>
      <c r="M11" s="405"/>
      <c r="N11" s="405"/>
      <c r="O11" s="405"/>
      <c r="P11" s="405"/>
      <c r="Q11" s="406"/>
    </row>
    <row r="12" spans="1:19" x14ac:dyDescent="0.35">
      <c r="J12" s="404"/>
      <c r="K12" s="405"/>
      <c r="L12" s="405"/>
      <c r="M12" s="405"/>
      <c r="N12" s="405"/>
      <c r="O12" s="405"/>
      <c r="P12" s="405"/>
      <c r="Q12" s="406"/>
    </row>
    <row r="13" spans="1:19" x14ac:dyDescent="0.35">
      <c r="J13" s="404"/>
      <c r="K13" s="405"/>
      <c r="L13" s="405"/>
      <c r="M13" s="405"/>
      <c r="N13" s="405"/>
      <c r="O13" s="405"/>
      <c r="P13" s="405"/>
      <c r="Q13" s="406"/>
    </row>
    <row r="14" spans="1:19" x14ac:dyDescent="0.35">
      <c r="J14" s="404"/>
      <c r="K14" s="405"/>
      <c r="L14" s="405"/>
      <c r="M14" s="405"/>
      <c r="N14" s="405"/>
      <c r="O14" s="405"/>
      <c r="P14" s="405"/>
      <c r="Q14" s="406"/>
    </row>
    <row r="15" spans="1:19" ht="15" thickBot="1" x14ac:dyDescent="0.4">
      <c r="J15" s="407"/>
      <c r="K15" s="408"/>
      <c r="L15" s="408"/>
      <c r="M15" s="408"/>
      <c r="N15" s="408"/>
      <c r="O15" s="408"/>
      <c r="P15" s="408"/>
      <c r="Q15" s="409"/>
    </row>
    <row r="18" spans="3:17" x14ac:dyDescent="0.35">
      <c r="C18" s="7" t="s">
        <v>8</v>
      </c>
      <c r="E18" s="11">
        <f>'KPI 1'!E18</f>
        <v>45839</v>
      </c>
      <c r="F18" s="11">
        <f>'KPI 1'!F18</f>
        <v>45870</v>
      </c>
      <c r="G18" s="11">
        <f>'KPI 1'!G18</f>
        <v>45901</v>
      </c>
      <c r="H18" s="11">
        <f>'KPI 1'!H18</f>
        <v>45931</v>
      </c>
      <c r="I18" s="11">
        <f>'KPI 1'!I18</f>
        <v>45962</v>
      </c>
      <c r="J18" s="11">
        <f>'KPI 1'!J18</f>
        <v>45992</v>
      </c>
      <c r="K18" s="11">
        <f>'KPI 1'!K18</f>
        <v>46023</v>
      </c>
      <c r="L18" s="11">
        <f>'KPI 1'!L18</f>
        <v>46054</v>
      </c>
      <c r="M18" s="11">
        <f>'KPI 1'!M18</f>
        <v>46082</v>
      </c>
      <c r="N18" s="11">
        <f>'KPI 1'!N18</f>
        <v>46113</v>
      </c>
      <c r="O18" s="11">
        <f>'KPI 1'!O18</f>
        <v>46143</v>
      </c>
      <c r="P18" s="11">
        <f>'KPI 1'!P18</f>
        <v>46174</v>
      </c>
      <c r="Q18" s="8" t="s">
        <v>0</v>
      </c>
    </row>
    <row r="19" spans="3:17" x14ac:dyDescent="0.35">
      <c r="D19" s="3" t="str">
        <f>'KPI 1'!D19</f>
        <v>Budget 2025-26</v>
      </c>
      <c r="E19" s="5">
        <f>'budget 2025-26'!D71</f>
        <v>837</v>
      </c>
      <c r="F19" s="5">
        <f>'budget 2025-26'!E71</f>
        <v>838</v>
      </c>
      <c r="G19" s="5">
        <f>'budget 2025-26'!F71</f>
        <v>839</v>
      </c>
      <c r="H19" s="5">
        <f>'budget 2025-26'!G71</f>
        <v>840</v>
      </c>
      <c r="I19" s="5">
        <f>'budget 2025-26'!H71</f>
        <v>841</v>
      </c>
      <c r="J19" s="5">
        <f>'budget 2025-26'!I71</f>
        <v>842</v>
      </c>
      <c r="K19" s="5">
        <f>'budget 2025-26'!J71</f>
        <v>843</v>
      </c>
      <c r="L19" s="5">
        <f>'budget 2025-26'!K71</f>
        <v>844</v>
      </c>
      <c r="M19" s="5">
        <f>'budget 2025-26'!L71</f>
        <v>845</v>
      </c>
      <c r="N19" s="5">
        <f>'budget 2025-26'!M71</f>
        <v>846</v>
      </c>
      <c r="O19" s="5">
        <f>'budget 2025-26'!N71</f>
        <v>847</v>
      </c>
      <c r="P19" s="5">
        <f>'budget 2025-26'!O71</f>
        <v>848</v>
      </c>
      <c r="Q19" s="5">
        <f>SUM(E19:P19)</f>
        <v>10110</v>
      </c>
    </row>
    <row r="20" spans="3:17" x14ac:dyDescent="0.35">
      <c r="D20" s="3" t="str">
        <f>'KPI 1'!D20</f>
        <v>Actual 2025-26</v>
      </c>
      <c r="E20" s="5">
        <f>'Input Actual2025-26'!E73</f>
        <v>836</v>
      </c>
      <c r="F20" s="5">
        <f>'Input Actual2025-26'!F73</f>
        <v>836</v>
      </c>
      <c r="G20" s="5">
        <f>'Input Actual2025-26'!G73</f>
        <v>837</v>
      </c>
      <c r="H20" s="5">
        <f>'Input Actual2025-26'!H73</f>
        <v>840</v>
      </c>
      <c r="I20" s="5">
        <f>'Input Actual2025-26'!I73</f>
        <v>840</v>
      </c>
      <c r="J20" s="5">
        <f>'Input Actual2025-26'!J73</f>
        <v>840</v>
      </c>
      <c r="K20" s="5">
        <f>'Input Actual2025-26'!K73</f>
        <v>840</v>
      </c>
      <c r="L20" s="5">
        <f>'Input Actual2025-26'!L73</f>
        <v>842</v>
      </c>
      <c r="M20" s="5">
        <f>'Input Actual2025-26'!M73</f>
        <v>0</v>
      </c>
      <c r="N20" s="5">
        <f>'Input Actual2025-26'!N73</f>
        <v>0</v>
      </c>
      <c r="O20" s="5">
        <f>'Input Actual2025-26'!O73</f>
        <v>0</v>
      </c>
      <c r="P20" s="5">
        <f>'Input Actual2025-26'!P73</f>
        <v>0</v>
      </c>
      <c r="Q20" s="5">
        <f t="shared" ref="Q20:Q22" si="0">SUM(E20:P20)</f>
        <v>6711</v>
      </c>
    </row>
    <row r="21" spans="3:17" x14ac:dyDescent="0.35">
      <c r="D21" s="3" t="s">
        <v>424</v>
      </c>
      <c r="E21" s="5">
        <f>'Input Actual2024-25'!E69</f>
        <v>830</v>
      </c>
      <c r="F21" s="5">
        <f>'Input Actual2024-25'!F69</f>
        <v>830</v>
      </c>
      <c r="G21" s="5">
        <f>'Input Actual2024-25'!G69</f>
        <v>831</v>
      </c>
      <c r="H21" s="5">
        <f>'Input Actual2024-25'!H69</f>
        <v>831</v>
      </c>
      <c r="I21" s="5">
        <f>'Input Actual2024-25'!I69</f>
        <v>831</v>
      </c>
      <c r="J21" s="5">
        <f>'Input Actual2024-25'!J69</f>
        <v>831</v>
      </c>
      <c r="K21" s="5">
        <f>'Input Actual2024-25'!K69</f>
        <v>831</v>
      </c>
      <c r="L21" s="5">
        <f>'Input Actual2024-25'!L69</f>
        <v>833</v>
      </c>
      <c r="M21" s="5">
        <f>'Input Actual2024-25'!M69</f>
        <v>834</v>
      </c>
      <c r="N21" s="5">
        <f>'Input Actual2024-25'!N69</f>
        <v>834</v>
      </c>
      <c r="O21" s="5">
        <f>'Input Actual2024-25'!O69</f>
        <v>834</v>
      </c>
      <c r="P21" s="5">
        <f>'Input Actual2024-25'!P69</f>
        <v>836</v>
      </c>
      <c r="Q21" s="5">
        <f t="shared" si="0"/>
        <v>9986</v>
      </c>
    </row>
    <row r="22" spans="3:17" x14ac:dyDescent="0.35">
      <c r="D22" s="3" t="s">
        <v>7</v>
      </c>
      <c r="E22" s="5">
        <f t="shared" ref="E22:P22" si="1">IF(E20=0,0,E20-E19)</f>
        <v>-1</v>
      </c>
      <c r="F22" s="5">
        <f t="shared" si="1"/>
        <v>-2</v>
      </c>
      <c r="G22" s="5">
        <f t="shared" si="1"/>
        <v>-2</v>
      </c>
      <c r="H22" s="5">
        <f t="shared" si="1"/>
        <v>0</v>
      </c>
      <c r="I22" s="5">
        <f t="shared" si="1"/>
        <v>-1</v>
      </c>
      <c r="J22" s="5">
        <f t="shared" si="1"/>
        <v>-2</v>
      </c>
      <c r="K22" s="5">
        <f t="shared" si="1"/>
        <v>-3</v>
      </c>
      <c r="L22" s="5">
        <f t="shared" si="1"/>
        <v>-2</v>
      </c>
      <c r="M22" s="5">
        <f t="shared" si="1"/>
        <v>0</v>
      </c>
      <c r="N22" s="5">
        <f t="shared" si="1"/>
        <v>0</v>
      </c>
      <c r="O22" s="5">
        <f t="shared" si="1"/>
        <v>0</v>
      </c>
      <c r="P22" s="5">
        <f t="shared" si="1"/>
        <v>0</v>
      </c>
      <c r="Q22" s="5">
        <f t="shared" si="0"/>
        <v>-13</v>
      </c>
    </row>
    <row r="23" spans="3:17" x14ac:dyDescent="0.35">
      <c r="D23" s="3" t="s">
        <v>43</v>
      </c>
      <c r="E23" s="9">
        <f>E21/E19</f>
        <v>0.99163679808841099</v>
      </c>
      <c r="F23" s="9">
        <f t="shared" ref="F23:P23" si="2">F20/F19</f>
        <v>0.99761336515513122</v>
      </c>
      <c r="G23" s="9">
        <f t="shared" si="2"/>
        <v>0.99761620977353993</v>
      </c>
      <c r="H23" s="9">
        <f t="shared" si="2"/>
        <v>1</v>
      </c>
      <c r="I23" s="9">
        <f t="shared" si="2"/>
        <v>0.99881093935790721</v>
      </c>
      <c r="J23" s="9">
        <f t="shared" si="2"/>
        <v>0.99762470308788598</v>
      </c>
      <c r="K23" s="9">
        <f t="shared" si="2"/>
        <v>0.99644128113879005</v>
      </c>
      <c r="L23" s="9">
        <f t="shared" si="2"/>
        <v>0.99763033175355453</v>
      </c>
      <c r="M23" s="9">
        <f t="shared" si="2"/>
        <v>0</v>
      </c>
      <c r="N23" s="9">
        <f t="shared" si="2"/>
        <v>0</v>
      </c>
      <c r="O23" s="9">
        <f t="shared" si="2"/>
        <v>0</v>
      </c>
      <c r="P23" s="9">
        <f t="shared" si="2"/>
        <v>0</v>
      </c>
    </row>
    <row r="25" spans="3:17" x14ac:dyDescent="0.35">
      <c r="C25" s="7" t="s">
        <v>3</v>
      </c>
      <c r="E25" s="11">
        <f>E18</f>
        <v>45839</v>
      </c>
      <c r="F25" s="11">
        <f t="shared" ref="F25:P28" si="3">F18</f>
        <v>45870</v>
      </c>
      <c r="G25" s="11">
        <f t="shared" si="3"/>
        <v>45901</v>
      </c>
      <c r="H25" s="11">
        <f t="shared" si="3"/>
        <v>45931</v>
      </c>
      <c r="I25" s="11">
        <f t="shared" si="3"/>
        <v>45962</v>
      </c>
      <c r="J25" s="11">
        <f t="shared" si="3"/>
        <v>45992</v>
      </c>
      <c r="K25" s="11">
        <f t="shared" si="3"/>
        <v>46023</v>
      </c>
      <c r="L25" s="11">
        <f t="shared" si="3"/>
        <v>46054</v>
      </c>
      <c r="M25" s="11">
        <f t="shared" si="3"/>
        <v>46082</v>
      </c>
      <c r="N25" s="11">
        <f t="shared" si="3"/>
        <v>46113</v>
      </c>
      <c r="O25" s="11">
        <f t="shared" si="3"/>
        <v>46143</v>
      </c>
      <c r="P25" s="11">
        <f t="shared" si="3"/>
        <v>46174</v>
      </c>
    </row>
    <row r="26" spans="3:17" x14ac:dyDescent="0.35">
      <c r="D26" s="3" t="str">
        <f>D19</f>
        <v>Budget 2025-26</v>
      </c>
      <c r="E26" s="5">
        <f>E19</f>
        <v>837</v>
      </c>
      <c r="F26" s="5">
        <f t="shared" si="3"/>
        <v>838</v>
      </c>
      <c r="G26" s="5">
        <f t="shared" si="3"/>
        <v>839</v>
      </c>
      <c r="H26" s="5">
        <f t="shared" si="3"/>
        <v>840</v>
      </c>
      <c r="I26" s="5">
        <f t="shared" si="3"/>
        <v>841</v>
      </c>
      <c r="J26" s="5">
        <f t="shared" si="3"/>
        <v>842</v>
      </c>
      <c r="K26" s="5">
        <f t="shared" si="3"/>
        <v>843</v>
      </c>
      <c r="L26" s="5">
        <f t="shared" si="3"/>
        <v>844</v>
      </c>
      <c r="M26" s="5">
        <f t="shared" si="3"/>
        <v>845</v>
      </c>
      <c r="N26" s="5">
        <f t="shared" si="3"/>
        <v>846</v>
      </c>
      <c r="O26" s="5">
        <f t="shared" si="3"/>
        <v>847</v>
      </c>
      <c r="P26" s="5">
        <f t="shared" si="3"/>
        <v>848</v>
      </c>
    </row>
    <row r="27" spans="3:17" x14ac:dyDescent="0.35">
      <c r="D27" s="3" t="str">
        <f t="shared" ref="D27:E30" si="4">D20</f>
        <v>Actual 2025-26</v>
      </c>
      <c r="E27" s="5">
        <f t="shared" si="4"/>
        <v>836</v>
      </c>
      <c r="F27" s="5">
        <f t="shared" si="3"/>
        <v>836</v>
      </c>
      <c r="G27" s="5">
        <f t="shared" si="3"/>
        <v>837</v>
      </c>
      <c r="H27" s="5">
        <f t="shared" si="3"/>
        <v>840</v>
      </c>
      <c r="I27" s="5">
        <f t="shared" si="3"/>
        <v>840</v>
      </c>
      <c r="J27" s="5">
        <f t="shared" si="3"/>
        <v>840</v>
      </c>
      <c r="K27" s="5">
        <f t="shared" si="3"/>
        <v>840</v>
      </c>
      <c r="L27" s="5">
        <f t="shared" si="3"/>
        <v>842</v>
      </c>
      <c r="M27" s="5">
        <f t="shared" si="3"/>
        <v>0</v>
      </c>
      <c r="N27" s="5">
        <f t="shared" si="3"/>
        <v>0</v>
      </c>
      <c r="O27" s="5">
        <f t="shared" si="3"/>
        <v>0</v>
      </c>
      <c r="P27" s="5">
        <f t="shared" si="3"/>
        <v>0</v>
      </c>
    </row>
    <row r="28" spans="3:17" x14ac:dyDescent="0.35">
      <c r="D28" s="3" t="str">
        <f t="shared" si="4"/>
        <v>Actual 2024-25</v>
      </c>
      <c r="E28" s="5">
        <f t="shared" si="4"/>
        <v>830</v>
      </c>
      <c r="F28" s="5">
        <f t="shared" si="3"/>
        <v>830</v>
      </c>
      <c r="G28" s="5">
        <f t="shared" si="3"/>
        <v>831</v>
      </c>
      <c r="H28" s="5">
        <f t="shared" si="3"/>
        <v>831</v>
      </c>
      <c r="I28" s="5">
        <f t="shared" si="3"/>
        <v>831</v>
      </c>
      <c r="J28" s="5">
        <f t="shared" si="3"/>
        <v>831</v>
      </c>
      <c r="K28" s="5">
        <f t="shared" si="3"/>
        <v>831</v>
      </c>
      <c r="L28" s="5">
        <f t="shared" si="3"/>
        <v>833</v>
      </c>
      <c r="M28" s="5">
        <f t="shared" si="3"/>
        <v>834</v>
      </c>
      <c r="N28" s="5">
        <f t="shared" si="3"/>
        <v>834</v>
      </c>
      <c r="O28" s="5">
        <f t="shared" si="3"/>
        <v>834</v>
      </c>
      <c r="P28" s="5">
        <f t="shared" si="3"/>
        <v>836</v>
      </c>
    </row>
    <row r="29" spans="3:17" x14ac:dyDescent="0.35">
      <c r="D29" s="3" t="str">
        <f t="shared" si="4"/>
        <v>Difference</v>
      </c>
      <c r="E29" s="5">
        <f>SUM($E22:E22)</f>
        <v>-1</v>
      </c>
      <c r="F29" s="5">
        <f>SUM($E22:F22)</f>
        <v>-3</v>
      </c>
      <c r="G29" s="5">
        <f>SUM($E22:G22)</f>
        <v>-5</v>
      </c>
      <c r="H29" s="5">
        <f>SUM($E22:H22)</f>
        <v>-5</v>
      </c>
      <c r="I29" s="5">
        <f>SUM($E22:I22)</f>
        <v>-6</v>
      </c>
      <c r="J29" s="5">
        <f>SUM($E22:J22)</f>
        <v>-8</v>
      </c>
      <c r="K29" s="5">
        <f>SUM($E22:K22)</f>
        <v>-11</v>
      </c>
      <c r="L29" s="5">
        <f>SUM($E22:L22)</f>
        <v>-13</v>
      </c>
      <c r="M29" s="5">
        <f>SUM($E22:M22)</f>
        <v>-13</v>
      </c>
      <c r="N29" s="5">
        <f>SUM($E22:N22)</f>
        <v>-13</v>
      </c>
      <c r="O29" s="5">
        <f>SUM($E22:O22)</f>
        <v>-13</v>
      </c>
      <c r="P29" s="5">
        <f>SUM($E22:P22)</f>
        <v>-13</v>
      </c>
    </row>
    <row r="30" spans="3:17" x14ac:dyDescent="0.35">
      <c r="D30" s="3" t="str">
        <f t="shared" si="4"/>
        <v>Realisation</v>
      </c>
      <c r="E30" s="9">
        <f>E28/E26</f>
        <v>0.99163679808841099</v>
      </c>
      <c r="F30" s="9">
        <f t="shared" ref="F30:P30" si="5">F27/F26</f>
        <v>0.99761336515513122</v>
      </c>
      <c r="G30" s="9">
        <f t="shared" si="5"/>
        <v>0.99761620977353993</v>
      </c>
      <c r="H30" s="9">
        <f t="shared" si="5"/>
        <v>1</v>
      </c>
      <c r="I30" s="9">
        <f t="shared" si="5"/>
        <v>0.99881093935790721</v>
      </c>
      <c r="J30" s="9">
        <f t="shared" si="5"/>
        <v>0.99762470308788598</v>
      </c>
      <c r="K30" s="9">
        <f t="shared" si="5"/>
        <v>0.99644128113879005</v>
      </c>
      <c r="L30" s="9">
        <f t="shared" si="5"/>
        <v>0.99763033175355453</v>
      </c>
      <c r="M30" s="9">
        <f t="shared" si="5"/>
        <v>0</v>
      </c>
      <c r="N30" s="9">
        <f t="shared" si="5"/>
        <v>0</v>
      </c>
      <c r="O30" s="9">
        <f t="shared" si="5"/>
        <v>0</v>
      </c>
      <c r="P30" s="9">
        <f t="shared" si="5"/>
        <v>0</v>
      </c>
    </row>
  </sheetData>
  <mergeCells count="2">
    <mergeCell ref="J4:Q8"/>
    <mergeCell ref="J10:Q15"/>
  </mergeCells>
  <conditionalFormatting sqref="C3">
    <cfRule type="expression" dxfId="380" priority="2">
      <formula>S4&lt;S6</formula>
    </cfRule>
  </conditionalFormatting>
  <conditionalFormatting sqref="C5">
    <cfRule type="expression" dxfId="379" priority="3">
      <formula>S4&gt;=S5</formula>
    </cfRule>
  </conditionalFormatting>
  <conditionalFormatting sqref="C4">
    <cfRule type="expression" dxfId="378" priority="1">
      <formula>AND(S4&gt;=S6,S4&lt;S5)</formula>
    </cfRule>
  </conditionalFormatting>
  <hyperlinks>
    <hyperlink ref="L1" location="Dashboard!A1" display="Dashboard"/>
  </hyperlinks>
  <pageMargins left="0.7" right="0.7" top="0.75" bottom="0.75" header="0.3" footer="0.3"/>
  <pageSetup orientation="portrait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992257" r:id="rId4" name="Spinner 1">
              <controlPr defaultSize="0" autoPict="0">
                <anchor moveWithCells="1" sizeWithCells="1">
                  <from>
                    <xdr:col>9</xdr:col>
                    <xdr:colOff>19050</xdr:colOff>
                    <xdr:row>0</xdr:row>
                    <xdr:rowOff>38100</xdr:rowOff>
                  </from>
                  <to>
                    <xdr:col>9</xdr:col>
                    <xdr:colOff>400050</xdr:colOff>
                    <xdr:row>1</xdr:row>
                    <xdr:rowOff>152400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7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57">
    <tabColor rgb="FFFFC000"/>
  </sheetPr>
  <dimension ref="A1:S30"/>
  <sheetViews>
    <sheetView zoomScale="90" zoomScaleNormal="90" workbookViewId="0">
      <selection activeCell="L1" sqref="L1"/>
    </sheetView>
  </sheetViews>
  <sheetFormatPr defaultColWidth="9.1796875" defaultRowHeight="14.5" x14ac:dyDescent="0.35"/>
  <cols>
    <col min="1" max="1" width="9.1796875" style="3"/>
    <col min="2" max="2" width="5.1796875" style="3" customWidth="1"/>
    <col min="3" max="3" width="6.26953125" style="3" customWidth="1"/>
    <col min="4" max="4" width="21.26953125" style="3" bestFit="1" customWidth="1"/>
    <col min="5" max="16" width="11.1796875" style="3" customWidth="1"/>
    <col min="17" max="17" width="12" style="3" bestFit="1" customWidth="1"/>
    <col min="18" max="18" width="9.1796875" style="3" customWidth="1"/>
    <col min="19" max="16384" width="9.1796875" style="3"/>
  </cols>
  <sheetData>
    <row r="1" spans="1:19" ht="21" x14ac:dyDescent="0.5">
      <c r="A1" s="4" t="s">
        <v>4</v>
      </c>
      <c r="B1" s="4">
        <f>Dashboard!A77</f>
        <v>5</v>
      </c>
      <c r="C1" s="4" t="str">
        <f>Dashboard!B77</f>
        <v>KIHOTO-ACTIVE WATER</v>
      </c>
      <c r="D1" s="4"/>
      <c r="G1" s="3" t="s">
        <v>9</v>
      </c>
      <c r="I1" s="12">
        <f>INDEX($E$18:$P$18,Actual_month)</f>
        <v>46054</v>
      </c>
      <c r="L1" s="16" t="s">
        <v>19</v>
      </c>
      <c r="R1" s="5"/>
    </row>
    <row r="2" spans="1:19" x14ac:dyDescent="0.35">
      <c r="A2" s="3" t="s">
        <v>13</v>
      </c>
      <c r="C2" s="3" t="s">
        <v>27</v>
      </c>
      <c r="R2" s="6"/>
    </row>
    <row r="3" spans="1:19" ht="25.5" customHeight="1" thickBot="1" x14ac:dyDescent="0.4">
      <c r="C3" s="1" t="s">
        <v>5</v>
      </c>
      <c r="E3" s="10"/>
      <c r="F3" s="10"/>
      <c r="G3" s="10"/>
      <c r="H3" s="10"/>
      <c r="I3" s="10"/>
      <c r="J3" s="3" t="s">
        <v>6</v>
      </c>
      <c r="K3" s="10"/>
      <c r="M3" s="10"/>
      <c r="N3" s="10"/>
      <c r="O3" s="10"/>
      <c r="P3" s="10"/>
    </row>
    <row r="4" spans="1:19" ht="25.5" customHeight="1" x14ac:dyDescent="0.35">
      <c r="C4" s="1" t="s">
        <v>5</v>
      </c>
      <c r="E4" s="10"/>
      <c r="F4" s="10"/>
      <c r="G4" s="10"/>
      <c r="H4" s="10"/>
      <c r="I4" s="10"/>
      <c r="J4" s="401"/>
      <c r="K4" s="402"/>
      <c r="L4" s="402"/>
      <c r="M4" s="402"/>
      <c r="N4" s="402"/>
      <c r="O4" s="402"/>
      <c r="P4" s="402"/>
      <c r="Q4" s="403"/>
      <c r="R4" s="3" t="s">
        <v>22</v>
      </c>
      <c r="S4" s="5">
        <f>INDEX(E27:P27,Actual_month)</f>
        <v>176</v>
      </c>
    </row>
    <row r="5" spans="1:19" ht="25.5" customHeight="1" x14ac:dyDescent="0.35">
      <c r="C5" s="1" t="s">
        <v>5</v>
      </c>
      <c r="E5" s="10"/>
      <c r="F5" s="10"/>
      <c r="G5" s="10"/>
      <c r="H5" s="10"/>
      <c r="I5" s="10"/>
      <c r="J5" s="404"/>
      <c r="K5" s="405"/>
      <c r="L5" s="405"/>
      <c r="M5" s="405"/>
      <c r="N5" s="405"/>
      <c r="O5" s="405"/>
      <c r="P5" s="405"/>
      <c r="Q5" s="406"/>
      <c r="R5" s="3" t="s">
        <v>23</v>
      </c>
      <c r="S5" s="5">
        <f>INDEX(E26:P26,Actual_month)</f>
        <v>183</v>
      </c>
    </row>
    <row r="6" spans="1:19" x14ac:dyDescent="0.35">
      <c r="J6" s="404"/>
      <c r="K6" s="405"/>
      <c r="L6" s="405"/>
      <c r="M6" s="405"/>
      <c r="N6" s="405"/>
      <c r="O6" s="405"/>
      <c r="P6" s="405"/>
      <c r="Q6" s="406"/>
      <c r="R6" s="6">
        <v>0.9</v>
      </c>
      <c r="S6" s="5">
        <f>+S5*R6</f>
        <v>164.70000000000002</v>
      </c>
    </row>
    <row r="7" spans="1:19" x14ac:dyDescent="0.35">
      <c r="J7" s="404"/>
      <c r="K7" s="405"/>
      <c r="L7" s="405"/>
      <c r="M7" s="405"/>
      <c r="N7" s="405"/>
      <c r="O7" s="405"/>
      <c r="P7" s="405"/>
      <c r="Q7" s="406"/>
    </row>
    <row r="8" spans="1:19" ht="15" thickBot="1" x14ac:dyDescent="0.4">
      <c r="J8" s="407"/>
      <c r="K8" s="408"/>
      <c r="L8" s="408"/>
      <c r="M8" s="408"/>
      <c r="N8" s="408"/>
      <c r="O8" s="408"/>
      <c r="P8" s="408"/>
      <c r="Q8" s="409"/>
    </row>
    <row r="9" spans="1:19" ht="15" thickBot="1" x14ac:dyDescent="0.4">
      <c r="J9" s="3" t="s">
        <v>12</v>
      </c>
    </row>
    <row r="10" spans="1:19" x14ac:dyDescent="0.35">
      <c r="J10" s="401"/>
      <c r="K10" s="402"/>
      <c r="L10" s="402"/>
      <c r="M10" s="402"/>
      <c r="N10" s="402"/>
      <c r="O10" s="402"/>
      <c r="P10" s="402"/>
      <c r="Q10" s="403"/>
    </row>
    <row r="11" spans="1:19" x14ac:dyDescent="0.35">
      <c r="J11" s="404"/>
      <c r="K11" s="405"/>
      <c r="L11" s="405"/>
      <c r="M11" s="405"/>
      <c r="N11" s="405"/>
      <c r="O11" s="405"/>
      <c r="P11" s="405"/>
      <c r="Q11" s="406"/>
    </row>
    <row r="12" spans="1:19" x14ac:dyDescent="0.35">
      <c r="J12" s="404"/>
      <c r="K12" s="405"/>
      <c r="L12" s="405"/>
      <c r="M12" s="405"/>
      <c r="N12" s="405"/>
      <c r="O12" s="405"/>
      <c r="P12" s="405"/>
      <c r="Q12" s="406"/>
    </row>
    <row r="13" spans="1:19" x14ac:dyDescent="0.35">
      <c r="J13" s="404"/>
      <c r="K13" s="405"/>
      <c r="L13" s="405"/>
      <c r="M13" s="405"/>
      <c r="N13" s="405"/>
      <c r="O13" s="405"/>
      <c r="P13" s="405"/>
      <c r="Q13" s="406"/>
    </row>
    <row r="14" spans="1:19" x14ac:dyDescent="0.35">
      <c r="J14" s="404"/>
      <c r="K14" s="405"/>
      <c r="L14" s="405"/>
      <c r="M14" s="405"/>
      <c r="N14" s="405"/>
      <c r="O14" s="405"/>
      <c r="P14" s="405"/>
      <c r="Q14" s="406"/>
    </row>
    <row r="15" spans="1:19" ht="15" thickBot="1" x14ac:dyDescent="0.4">
      <c r="J15" s="407"/>
      <c r="K15" s="408"/>
      <c r="L15" s="408"/>
      <c r="M15" s="408"/>
      <c r="N15" s="408"/>
      <c r="O15" s="408"/>
      <c r="P15" s="408"/>
      <c r="Q15" s="409"/>
    </row>
    <row r="18" spans="3:17" x14ac:dyDescent="0.35">
      <c r="C18" s="7" t="s">
        <v>8</v>
      </c>
      <c r="E18" s="11">
        <f>'KPI 1'!E18</f>
        <v>45839</v>
      </c>
      <c r="F18" s="11">
        <f>'KPI 1'!F18</f>
        <v>45870</v>
      </c>
      <c r="G18" s="11">
        <f>'KPI 1'!G18</f>
        <v>45901</v>
      </c>
      <c r="H18" s="11">
        <f>'KPI 1'!H18</f>
        <v>45931</v>
      </c>
      <c r="I18" s="11">
        <f>'KPI 1'!I18</f>
        <v>45962</v>
      </c>
      <c r="J18" s="11">
        <f>'KPI 1'!J18</f>
        <v>45992</v>
      </c>
      <c r="K18" s="11">
        <f>'KPI 1'!K18</f>
        <v>46023</v>
      </c>
      <c r="L18" s="11">
        <f>'KPI 1'!L18</f>
        <v>46054</v>
      </c>
      <c r="M18" s="11">
        <f>'KPI 1'!M18</f>
        <v>46082</v>
      </c>
      <c r="N18" s="11">
        <f>'KPI 1'!N18</f>
        <v>46113</v>
      </c>
      <c r="O18" s="11">
        <f>'KPI 1'!O18</f>
        <v>46143</v>
      </c>
      <c r="P18" s="11">
        <f>'KPI 1'!P18</f>
        <v>46174</v>
      </c>
      <c r="Q18" s="8" t="s">
        <v>0</v>
      </c>
    </row>
    <row r="19" spans="3:17" x14ac:dyDescent="0.35">
      <c r="D19" s="3" t="str">
        <f>'KPI 1'!D19</f>
        <v>Budget 2025-26</v>
      </c>
      <c r="E19" s="5">
        <f>'budget 2025-26'!D72</f>
        <v>176</v>
      </c>
      <c r="F19" s="5">
        <f>'budget 2025-26'!E72</f>
        <v>177</v>
      </c>
      <c r="G19" s="5">
        <f>'budget 2025-26'!F72</f>
        <v>178</v>
      </c>
      <c r="H19" s="5">
        <f>'budget 2025-26'!G72</f>
        <v>179</v>
      </c>
      <c r="I19" s="5">
        <f>'budget 2025-26'!H72</f>
        <v>180</v>
      </c>
      <c r="J19" s="5">
        <f>'budget 2025-26'!I72</f>
        <v>181</v>
      </c>
      <c r="K19" s="5">
        <f>'budget 2025-26'!J72</f>
        <v>182</v>
      </c>
      <c r="L19" s="5">
        <f>'budget 2025-26'!K72</f>
        <v>183</v>
      </c>
      <c r="M19" s="5">
        <f>'budget 2025-26'!L72</f>
        <v>184</v>
      </c>
      <c r="N19" s="5">
        <f>'budget 2025-26'!M72</f>
        <v>185</v>
      </c>
      <c r="O19" s="5">
        <f>'budget 2025-26'!N72</f>
        <v>186</v>
      </c>
      <c r="P19" s="5">
        <f>'budget 2025-26'!O72</f>
        <v>187</v>
      </c>
      <c r="Q19" s="5">
        <f>SUM(E19:P19)</f>
        <v>2178</v>
      </c>
    </row>
    <row r="20" spans="3:17" x14ac:dyDescent="0.35">
      <c r="D20" s="3" t="str">
        <f>'KPI 1'!D20</f>
        <v>Actual 2025-26</v>
      </c>
      <c r="E20" s="5">
        <f>'Input Actual2025-26'!E74</f>
        <v>176</v>
      </c>
      <c r="F20" s="5">
        <f>'Input Actual2025-26'!F74</f>
        <v>176</v>
      </c>
      <c r="G20" s="5">
        <f>'Input Actual2025-26'!G74</f>
        <v>176</v>
      </c>
      <c r="H20" s="5">
        <f>'Input Actual2025-26'!H74</f>
        <v>176</v>
      </c>
      <c r="I20" s="5">
        <f>'Input Actual2025-26'!I74</f>
        <v>176</v>
      </c>
      <c r="J20" s="5">
        <f>'Input Actual2025-26'!J74</f>
        <v>176</v>
      </c>
      <c r="K20" s="5">
        <f>'Input Actual2025-26'!K74</f>
        <v>176</v>
      </c>
      <c r="L20" s="5">
        <f>'Input Actual2025-26'!L74</f>
        <v>176</v>
      </c>
      <c r="M20" s="5">
        <f>'Input Actual2025-26'!M74</f>
        <v>0</v>
      </c>
      <c r="N20" s="5">
        <f>'Input Actual2025-26'!N74</f>
        <v>0</v>
      </c>
      <c r="O20" s="5">
        <f>'Input Actual2025-26'!O74</f>
        <v>0</v>
      </c>
      <c r="P20" s="5">
        <f>'Input Actual2025-26'!P74</f>
        <v>0</v>
      </c>
      <c r="Q20" s="5">
        <f t="shared" ref="Q20:Q22" si="0">SUM(E20:P20)</f>
        <v>1408</v>
      </c>
    </row>
    <row r="21" spans="3:17" x14ac:dyDescent="0.35">
      <c r="D21" s="3" t="s">
        <v>424</v>
      </c>
      <c r="E21" s="5">
        <f>'Input Actual2024-25'!E70</f>
        <v>171</v>
      </c>
      <c r="F21" s="5">
        <f>'Input Actual2024-25'!F70</f>
        <v>172</v>
      </c>
      <c r="G21" s="5">
        <f>'Input Actual2024-25'!G70</f>
        <v>173</v>
      </c>
      <c r="H21" s="5">
        <f>'Input Actual2024-25'!H70</f>
        <v>172</v>
      </c>
      <c r="I21" s="5">
        <f>'Input Actual2024-25'!I70</f>
        <v>172</v>
      </c>
      <c r="J21" s="5">
        <f>'Input Actual2024-25'!J70</f>
        <v>172</v>
      </c>
      <c r="K21" s="5">
        <f>'Input Actual2024-25'!K70</f>
        <v>172</v>
      </c>
      <c r="L21" s="5">
        <f>'Input Actual2024-25'!L70</f>
        <v>172</v>
      </c>
      <c r="M21" s="5">
        <f>'Input Actual2024-25'!M70</f>
        <v>173</v>
      </c>
      <c r="N21" s="5">
        <f>'Input Actual2024-25'!N70</f>
        <v>173</v>
      </c>
      <c r="O21" s="5">
        <f>'Input Actual2024-25'!O70</f>
        <v>173</v>
      </c>
      <c r="P21" s="5">
        <f>'Input Actual2024-25'!P70</f>
        <v>175</v>
      </c>
      <c r="Q21" s="5">
        <f t="shared" si="0"/>
        <v>2070</v>
      </c>
    </row>
    <row r="22" spans="3:17" x14ac:dyDescent="0.35">
      <c r="D22" s="3" t="s">
        <v>7</v>
      </c>
      <c r="E22" s="5">
        <f t="shared" ref="E22:P22" si="1">IF(E20=0,0,E20-E19)</f>
        <v>0</v>
      </c>
      <c r="F22" s="5">
        <f t="shared" si="1"/>
        <v>-1</v>
      </c>
      <c r="G22" s="5">
        <f t="shared" si="1"/>
        <v>-2</v>
      </c>
      <c r="H22" s="5">
        <f t="shared" si="1"/>
        <v>-3</v>
      </c>
      <c r="I22" s="5">
        <f t="shared" si="1"/>
        <v>-4</v>
      </c>
      <c r="J22" s="5">
        <f t="shared" si="1"/>
        <v>-5</v>
      </c>
      <c r="K22" s="5">
        <f t="shared" si="1"/>
        <v>-6</v>
      </c>
      <c r="L22" s="5">
        <f t="shared" si="1"/>
        <v>-7</v>
      </c>
      <c r="M22" s="5">
        <f t="shared" si="1"/>
        <v>0</v>
      </c>
      <c r="N22" s="5">
        <f t="shared" si="1"/>
        <v>0</v>
      </c>
      <c r="O22" s="5">
        <f t="shared" si="1"/>
        <v>0</v>
      </c>
      <c r="P22" s="5">
        <f t="shared" si="1"/>
        <v>0</v>
      </c>
      <c r="Q22" s="5">
        <f t="shared" si="0"/>
        <v>-28</v>
      </c>
    </row>
    <row r="23" spans="3:17" x14ac:dyDescent="0.35">
      <c r="D23" s="3" t="s">
        <v>43</v>
      </c>
      <c r="E23" s="9">
        <f>E21/E19</f>
        <v>0.97159090909090906</v>
      </c>
      <c r="F23" s="9">
        <f t="shared" ref="F23:P23" si="2">F20/F19</f>
        <v>0.99435028248587576</v>
      </c>
      <c r="G23" s="9">
        <f t="shared" si="2"/>
        <v>0.9887640449438202</v>
      </c>
      <c r="H23" s="9">
        <f t="shared" si="2"/>
        <v>0.98324022346368711</v>
      </c>
      <c r="I23" s="9">
        <f t="shared" si="2"/>
        <v>0.97777777777777775</v>
      </c>
      <c r="J23" s="9">
        <f t="shared" si="2"/>
        <v>0.97237569060773477</v>
      </c>
      <c r="K23" s="9">
        <f t="shared" si="2"/>
        <v>0.96703296703296704</v>
      </c>
      <c r="L23" s="9">
        <f t="shared" si="2"/>
        <v>0.96174863387978138</v>
      </c>
      <c r="M23" s="9">
        <f t="shared" si="2"/>
        <v>0</v>
      </c>
      <c r="N23" s="9">
        <f t="shared" si="2"/>
        <v>0</v>
      </c>
      <c r="O23" s="9">
        <f t="shared" si="2"/>
        <v>0</v>
      </c>
      <c r="P23" s="9">
        <f t="shared" si="2"/>
        <v>0</v>
      </c>
    </row>
    <row r="25" spans="3:17" x14ac:dyDescent="0.35">
      <c r="C25" s="7" t="s">
        <v>3</v>
      </c>
      <c r="E25" s="11">
        <f>E18</f>
        <v>45839</v>
      </c>
      <c r="F25" s="11">
        <f t="shared" ref="F25:P28" si="3">F18</f>
        <v>45870</v>
      </c>
      <c r="G25" s="11">
        <f t="shared" si="3"/>
        <v>45901</v>
      </c>
      <c r="H25" s="11">
        <f t="shared" si="3"/>
        <v>45931</v>
      </c>
      <c r="I25" s="11">
        <f t="shared" si="3"/>
        <v>45962</v>
      </c>
      <c r="J25" s="11">
        <f t="shared" si="3"/>
        <v>45992</v>
      </c>
      <c r="K25" s="11">
        <f t="shared" si="3"/>
        <v>46023</v>
      </c>
      <c r="L25" s="11">
        <f t="shared" si="3"/>
        <v>46054</v>
      </c>
      <c r="M25" s="11">
        <f t="shared" si="3"/>
        <v>46082</v>
      </c>
      <c r="N25" s="11">
        <f t="shared" si="3"/>
        <v>46113</v>
      </c>
      <c r="O25" s="11">
        <f t="shared" si="3"/>
        <v>46143</v>
      </c>
      <c r="P25" s="11">
        <f t="shared" si="3"/>
        <v>46174</v>
      </c>
    </row>
    <row r="26" spans="3:17" x14ac:dyDescent="0.35">
      <c r="D26" s="3" t="str">
        <f>D19</f>
        <v>Budget 2025-26</v>
      </c>
      <c r="E26" s="5">
        <f>E19</f>
        <v>176</v>
      </c>
      <c r="F26" s="5">
        <f t="shared" si="3"/>
        <v>177</v>
      </c>
      <c r="G26" s="5">
        <f t="shared" si="3"/>
        <v>178</v>
      </c>
      <c r="H26" s="5">
        <f t="shared" si="3"/>
        <v>179</v>
      </c>
      <c r="I26" s="5">
        <f t="shared" si="3"/>
        <v>180</v>
      </c>
      <c r="J26" s="5">
        <f t="shared" si="3"/>
        <v>181</v>
      </c>
      <c r="K26" s="5">
        <f t="shared" si="3"/>
        <v>182</v>
      </c>
      <c r="L26" s="5">
        <f t="shared" si="3"/>
        <v>183</v>
      </c>
      <c r="M26" s="5">
        <f t="shared" si="3"/>
        <v>184</v>
      </c>
      <c r="N26" s="5">
        <f t="shared" si="3"/>
        <v>185</v>
      </c>
      <c r="O26" s="5">
        <f t="shared" si="3"/>
        <v>186</v>
      </c>
      <c r="P26" s="5">
        <f t="shared" si="3"/>
        <v>187</v>
      </c>
    </row>
    <row r="27" spans="3:17" x14ac:dyDescent="0.35">
      <c r="D27" s="3" t="str">
        <f t="shared" ref="D27:E30" si="4">D20</f>
        <v>Actual 2025-26</v>
      </c>
      <c r="E27" s="5">
        <f t="shared" si="4"/>
        <v>176</v>
      </c>
      <c r="F27" s="5">
        <f t="shared" si="3"/>
        <v>176</v>
      </c>
      <c r="G27" s="5">
        <f t="shared" si="3"/>
        <v>176</v>
      </c>
      <c r="H27" s="5">
        <f t="shared" si="3"/>
        <v>176</v>
      </c>
      <c r="I27" s="5">
        <f t="shared" si="3"/>
        <v>176</v>
      </c>
      <c r="J27" s="5">
        <f t="shared" si="3"/>
        <v>176</v>
      </c>
      <c r="K27" s="5">
        <f t="shared" si="3"/>
        <v>176</v>
      </c>
      <c r="L27" s="5">
        <f t="shared" si="3"/>
        <v>176</v>
      </c>
      <c r="M27" s="5">
        <f t="shared" si="3"/>
        <v>0</v>
      </c>
      <c r="N27" s="5">
        <f t="shared" si="3"/>
        <v>0</v>
      </c>
      <c r="O27" s="5">
        <f t="shared" si="3"/>
        <v>0</v>
      </c>
      <c r="P27" s="5">
        <f t="shared" si="3"/>
        <v>0</v>
      </c>
    </row>
    <row r="28" spans="3:17" x14ac:dyDescent="0.35">
      <c r="D28" s="3" t="str">
        <f t="shared" si="4"/>
        <v>Actual 2024-25</v>
      </c>
      <c r="E28" s="5">
        <f t="shared" si="4"/>
        <v>171</v>
      </c>
      <c r="F28" s="5">
        <f t="shared" si="3"/>
        <v>172</v>
      </c>
      <c r="G28" s="5">
        <f t="shared" si="3"/>
        <v>173</v>
      </c>
      <c r="H28" s="5">
        <f t="shared" si="3"/>
        <v>172</v>
      </c>
      <c r="I28" s="5">
        <f t="shared" si="3"/>
        <v>172</v>
      </c>
      <c r="J28" s="5">
        <f t="shared" si="3"/>
        <v>172</v>
      </c>
      <c r="K28" s="5">
        <f t="shared" si="3"/>
        <v>172</v>
      </c>
      <c r="L28" s="5">
        <f t="shared" si="3"/>
        <v>172</v>
      </c>
      <c r="M28" s="5">
        <f t="shared" si="3"/>
        <v>173</v>
      </c>
      <c r="N28" s="5">
        <f t="shared" si="3"/>
        <v>173</v>
      </c>
      <c r="O28" s="5">
        <f t="shared" si="3"/>
        <v>173</v>
      </c>
      <c r="P28" s="5">
        <f t="shared" si="3"/>
        <v>175</v>
      </c>
    </row>
    <row r="29" spans="3:17" x14ac:dyDescent="0.35">
      <c r="D29" s="3" t="str">
        <f t="shared" si="4"/>
        <v>Difference</v>
      </c>
      <c r="E29" s="5">
        <f>SUM($E22:E22)</f>
        <v>0</v>
      </c>
      <c r="F29" s="5">
        <f>SUM($E22:F22)</f>
        <v>-1</v>
      </c>
      <c r="G29" s="5">
        <f>SUM($E22:G22)</f>
        <v>-3</v>
      </c>
      <c r="H29" s="5">
        <f>SUM($E22:H22)</f>
        <v>-6</v>
      </c>
      <c r="I29" s="5">
        <f>SUM($E22:I22)</f>
        <v>-10</v>
      </c>
      <c r="J29" s="5">
        <f>SUM($E22:J22)</f>
        <v>-15</v>
      </c>
      <c r="K29" s="5">
        <f>SUM($E22:K22)</f>
        <v>-21</v>
      </c>
      <c r="L29" s="5">
        <f>SUM($E22:L22)</f>
        <v>-28</v>
      </c>
      <c r="M29" s="5">
        <f>SUM($E22:M22)</f>
        <v>-28</v>
      </c>
      <c r="N29" s="5">
        <f>SUM($E22:N22)</f>
        <v>-28</v>
      </c>
      <c r="O29" s="5">
        <f>SUM($E22:O22)</f>
        <v>-28</v>
      </c>
      <c r="P29" s="5">
        <f>SUM($E22:P22)</f>
        <v>-28</v>
      </c>
    </row>
    <row r="30" spans="3:17" x14ac:dyDescent="0.35">
      <c r="D30" s="3" t="str">
        <f t="shared" si="4"/>
        <v>Realisation</v>
      </c>
      <c r="E30" s="9">
        <f>E28/E26</f>
        <v>0.97159090909090906</v>
      </c>
      <c r="F30" s="9">
        <f t="shared" ref="F30:P30" si="5">F27/F26</f>
        <v>0.99435028248587576</v>
      </c>
      <c r="G30" s="9">
        <f t="shared" si="5"/>
        <v>0.9887640449438202</v>
      </c>
      <c r="H30" s="9">
        <f t="shared" si="5"/>
        <v>0.98324022346368711</v>
      </c>
      <c r="I30" s="9">
        <f t="shared" si="5"/>
        <v>0.97777777777777775</v>
      </c>
      <c r="J30" s="9">
        <f t="shared" si="5"/>
        <v>0.97237569060773477</v>
      </c>
      <c r="K30" s="9">
        <f t="shared" si="5"/>
        <v>0.96703296703296704</v>
      </c>
      <c r="L30" s="9">
        <f t="shared" si="5"/>
        <v>0.96174863387978138</v>
      </c>
      <c r="M30" s="9">
        <f t="shared" si="5"/>
        <v>0</v>
      </c>
      <c r="N30" s="9">
        <f t="shared" si="5"/>
        <v>0</v>
      </c>
      <c r="O30" s="9">
        <f t="shared" si="5"/>
        <v>0</v>
      </c>
      <c r="P30" s="9">
        <f t="shared" si="5"/>
        <v>0</v>
      </c>
    </row>
  </sheetData>
  <mergeCells count="2">
    <mergeCell ref="J4:Q8"/>
    <mergeCell ref="J10:Q15"/>
  </mergeCells>
  <conditionalFormatting sqref="C3">
    <cfRule type="expression" dxfId="377" priority="2">
      <formula>S4&lt;S6</formula>
    </cfRule>
  </conditionalFormatting>
  <conditionalFormatting sqref="C5">
    <cfRule type="expression" dxfId="376" priority="3">
      <formula>S4&gt;=S5</formula>
    </cfRule>
  </conditionalFormatting>
  <conditionalFormatting sqref="C4">
    <cfRule type="expression" dxfId="375" priority="1">
      <formula>AND(S4&gt;=S6,S4&lt;S5)</formula>
    </cfRule>
  </conditionalFormatting>
  <hyperlinks>
    <hyperlink ref="L1" location="Dashboard!A1" display="Dashboard"/>
  </hyperlinks>
  <pageMargins left="0.7" right="0.7" top="0.75" bottom="0.75" header="0.3" footer="0.3"/>
  <pageSetup orientation="portrait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993281" r:id="rId4" name="Spinner 1">
              <controlPr defaultSize="0" autoPict="0">
                <anchor moveWithCells="1" sizeWithCells="1">
                  <from>
                    <xdr:col>9</xdr:col>
                    <xdr:colOff>19050</xdr:colOff>
                    <xdr:row>0</xdr:row>
                    <xdr:rowOff>38100</xdr:rowOff>
                  </from>
                  <to>
                    <xdr:col>9</xdr:col>
                    <xdr:colOff>400050</xdr:colOff>
                    <xdr:row>1</xdr:row>
                    <xdr:rowOff>152400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7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58">
    <tabColor rgb="FFFFC000"/>
  </sheetPr>
  <dimension ref="A1:S30"/>
  <sheetViews>
    <sheetView zoomScale="90" zoomScaleNormal="90" workbookViewId="0">
      <selection activeCell="L1" sqref="L1"/>
    </sheetView>
  </sheetViews>
  <sheetFormatPr defaultColWidth="9.1796875" defaultRowHeight="14.5" x14ac:dyDescent="0.35"/>
  <cols>
    <col min="1" max="1" width="9.1796875" style="3"/>
    <col min="2" max="2" width="5.1796875" style="3" customWidth="1"/>
    <col min="3" max="3" width="6.26953125" style="3" customWidth="1"/>
    <col min="4" max="4" width="21.26953125" style="3" bestFit="1" customWidth="1"/>
    <col min="5" max="16" width="11.1796875" style="3" customWidth="1"/>
    <col min="17" max="17" width="12" style="3" bestFit="1" customWidth="1"/>
    <col min="18" max="18" width="9.1796875" style="3" customWidth="1"/>
    <col min="19" max="16384" width="9.1796875" style="3"/>
  </cols>
  <sheetData>
    <row r="1" spans="1:19" ht="21" x14ac:dyDescent="0.5">
      <c r="A1" s="4" t="s">
        <v>4</v>
      </c>
      <c r="B1" s="4">
        <f>Dashboard!A80</f>
        <v>0</v>
      </c>
      <c r="C1" s="4" t="str">
        <f>Dashboard!B80</f>
        <v>TOTAL ACTIVE WATER CONNECTION CENTRAL REGION</v>
      </c>
      <c r="D1" s="4"/>
      <c r="G1" s="3" t="s">
        <v>9</v>
      </c>
      <c r="I1" s="12">
        <f>INDEX($E$18:$P$18,Actual_month)</f>
        <v>46054</v>
      </c>
      <c r="L1" s="16" t="s">
        <v>19</v>
      </c>
      <c r="R1" s="5"/>
    </row>
    <row r="2" spans="1:19" x14ac:dyDescent="0.35">
      <c r="A2" s="3" t="s">
        <v>13</v>
      </c>
      <c r="C2" s="3" t="s">
        <v>27</v>
      </c>
      <c r="R2" s="6"/>
    </row>
    <row r="3" spans="1:19" ht="25.5" customHeight="1" thickBot="1" x14ac:dyDescent="0.4">
      <c r="C3" s="1" t="s">
        <v>5</v>
      </c>
      <c r="E3" s="10"/>
      <c r="F3" s="10"/>
      <c r="G3" s="10"/>
      <c r="H3" s="10"/>
      <c r="I3" s="10"/>
      <c r="J3" s="3" t="s">
        <v>6</v>
      </c>
      <c r="K3" s="10"/>
      <c r="M3" s="10"/>
      <c r="N3" s="10"/>
      <c r="O3" s="10"/>
      <c r="P3" s="10"/>
    </row>
    <row r="4" spans="1:19" ht="25.5" customHeight="1" x14ac:dyDescent="0.35">
      <c r="C4" s="1" t="s">
        <v>5</v>
      </c>
      <c r="E4" s="10"/>
      <c r="F4" s="10"/>
      <c r="G4" s="10"/>
      <c r="H4" s="10"/>
      <c r="I4" s="10"/>
      <c r="J4" s="401"/>
      <c r="K4" s="402"/>
      <c r="L4" s="402"/>
      <c r="M4" s="402"/>
      <c r="N4" s="402"/>
      <c r="O4" s="402"/>
      <c r="P4" s="402"/>
      <c r="Q4" s="403"/>
      <c r="R4" s="3" t="s">
        <v>22</v>
      </c>
      <c r="S4" s="5">
        <f>INDEX(E27:P27,Actual_month)</f>
        <v>4547</v>
      </c>
    </row>
    <row r="5" spans="1:19" ht="25.5" customHeight="1" x14ac:dyDescent="0.35">
      <c r="C5" s="1" t="s">
        <v>5</v>
      </c>
      <c r="E5" s="10"/>
      <c r="F5" s="10"/>
      <c r="G5" s="10"/>
      <c r="H5" s="10"/>
      <c r="I5" s="10"/>
      <c r="J5" s="404"/>
      <c r="K5" s="405"/>
      <c r="L5" s="405"/>
      <c r="M5" s="405"/>
      <c r="N5" s="405"/>
      <c r="O5" s="405"/>
      <c r="P5" s="405"/>
      <c r="Q5" s="406"/>
      <c r="R5" s="3" t="s">
        <v>23</v>
      </c>
      <c r="S5" s="5">
        <f>INDEX(E26:P26,Actual_month)</f>
        <v>4612</v>
      </c>
    </row>
    <row r="6" spans="1:19" x14ac:dyDescent="0.35">
      <c r="J6" s="404"/>
      <c r="K6" s="405"/>
      <c r="L6" s="405"/>
      <c r="M6" s="405"/>
      <c r="N6" s="405"/>
      <c r="O6" s="405"/>
      <c r="P6" s="405"/>
      <c r="Q6" s="406"/>
      <c r="R6" s="6">
        <v>0.9</v>
      </c>
      <c r="S6" s="5">
        <f>+S5*R6</f>
        <v>4150.8</v>
      </c>
    </row>
    <row r="7" spans="1:19" x14ac:dyDescent="0.35">
      <c r="J7" s="404"/>
      <c r="K7" s="405"/>
      <c r="L7" s="405"/>
      <c r="M7" s="405"/>
      <c r="N7" s="405"/>
      <c r="O7" s="405"/>
      <c r="P7" s="405"/>
      <c r="Q7" s="406"/>
    </row>
    <row r="8" spans="1:19" ht="15" thickBot="1" x14ac:dyDescent="0.4">
      <c r="J8" s="407"/>
      <c r="K8" s="408"/>
      <c r="L8" s="408"/>
      <c r="M8" s="408"/>
      <c r="N8" s="408"/>
      <c r="O8" s="408"/>
      <c r="P8" s="408"/>
      <c r="Q8" s="409"/>
    </row>
    <row r="9" spans="1:19" ht="15" thickBot="1" x14ac:dyDescent="0.4">
      <c r="J9" s="3" t="s">
        <v>12</v>
      </c>
    </row>
    <row r="10" spans="1:19" x14ac:dyDescent="0.35">
      <c r="J10" s="401"/>
      <c r="K10" s="402"/>
      <c r="L10" s="402"/>
      <c r="M10" s="402"/>
      <c r="N10" s="402"/>
      <c r="O10" s="402"/>
      <c r="P10" s="402"/>
      <c r="Q10" s="403"/>
    </row>
    <row r="11" spans="1:19" x14ac:dyDescent="0.35">
      <c r="J11" s="404"/>
      <c r="K11" s="405"/>
      <c r="L11" s="405"/>
      <c r="M11" s="405"/>
      <c r="N11" s="405"/>
      <c r="O11" s="405"/>
      <c r="P11" s="405"/>
      <c r="Q11" s="406"/>
    </row>
    <row r="12" spans="1:19" x14ac:dyDescent="0.35">
      <c r="J12" s="404"/>
      <c r="K12" s="405"/>
      <c r="L12" s="405"/>
      <c r="M12" s="405"/>
      <c r="N12" s="405"/>
      <c r="O12" s="405"/>
      <c r="P12" s="405"/>
      <c r="Q12" s="406"/>
    </row>
    <row r="13" spans="1:19" x14ac:dyDescent="0.35">
      <c r="J13" s="404"/>
      <c r="K13" s="405"/>
      <c r="L13" s="405"/>
      <c r="M13" s="405"/>
      <c r="N13" s="405"/>
      <c r="O13" s="405"/>
      <c r="P13" s="405"/>
      <c r="Q13" s="406"/>
    </row>
    <row r="14" spans="1:19" x14ac:dyDescent="0.35">
      <c r="J14" s="404"/>
      <c r="K14" s="405"/>
      <c r="L14" s="405"/>
      <c r="M14" s="405"/>
      <c r="N14" s="405"/>
      <c r="O14" s="405"/>
      <c r="P14" s="405"/>
      <c r="Q14" s="406"/>
    </row>
    <row r="15" spans="1:19" ht="15" thickBot="1" x14ac:dyDescent="0.4">
      <c r="J15" s="407"/>
      <c r="K15" s="408"/>
      <c r="L15" s="408"/>
      <c r="M15" s="408"/>
      <c r="N15" s="408"/>
      <c r="O15" s="408"/>
      <c r="P15" s="408"/>
      <c r="Q15" s="409"/>
    </row>
    <row r="18" spans="3:17" x14ac:dyDescent="0.35">
      <c r="C18" s="7" t="s">
        <v>8</v>
      </c>
      <c r="E18" s="11">
        <f>'KPI 1'!E18</f>
        <v>45839</v>
      </c>
      <c r="F18" s="11">
        <f>'KPI 1'!F18</f>
        <v>45870</v>
      </c>
      <c r="G18" s="11">
        <f>'KPI 1'!G18</f>
        <v>45901</v>
      </c>
      <c r="H18" s="11">
        <f>'KPI 1'!H18</f>
        <v>45931</v>
      </c>
      <c r="I18" s="11">
        <f>'KPI 1'!I18</f>
        <v>45962</v>
      </c>
      <c r="J18" s="11">
        <f>'KPI 1'!J18</f>
        <v>45992</v>
      </c>
      <c r="K18" s="11">
        <f>'KPI 1'!K18</f>
        <v>46023</v>
      </c>
      <c r="L18" s="11">
        <f>'KPI 1'!L18</f>
        <v>46054</v>
      </c>
      <c r="M18" s="11">
        <f>'KPI 1'!M18</f>
        <v>46082</v>
      </c>
      <c r="N18" s="11">
        <f>'KPI 1'!N18</f>
        <v>46113</v>
      </c>
      <c r="O18" s="11">
        <f>'KPI 1'!O18</f>
        <v>46143</v>
      </c>
      <c r="P18" s="11">
        <f>'KPI 1'!P18</f>
        <v>46174</v>
      </c>
      <c r="Q18" s="8" t="s">
        <v>0</v>
      </c>
    </row>
    <row r="19" spans="3:17" x14ac:dyDescent="0.35">
      <c r="D19" s="3" t="str">
        <f>'KPI 1'!D19</f>
        <v>Budget 2025-26</v>
      </c>
      <c r="E19" s="5">
        <f>'budget 2025-26'!D75</f>
        <v>4465</v>
      </c>
      <c r="F19" s="5">
        <f>'budget 2025-26'!E75</f>
        <v>4486</v>
      </c>
      <c r="G19" s="5">
        <f>'budget 2025-26'!F75</f>
        <v>4507</v>
      </c>
      <c r="H19" s="5">
        <f>'budget 2025-26'!G75</f>
        <v>4528</v>
      </c>
      <c r="I19" s="5">
        <f>'budget 2025-26'!H75</f>
        <v>4549</v>
      </c>
      <c r="J19" s="5">
        <f>'budget 2025-26'!I75</f>
        <v>4570</v>
      </c>
      <c r="K19" s="5">
        <f>'budget 2025-26'!J75</f>
        <v>4591</v>
      </c>
      <c r="L19" s="5">
        <f>'budget 2025-26'!K75</f>
        <v>4612</v>
      </c>
      <c r="M19" s="5">
        <f>'budget 2025-26'!L75</f>
        <v>4633</v>
      </c>
      <c r="N19" s="5">
        <f>'budget 2025-26'!M75</f>
        <v>4654</v>
      </c>
      <c r="O19" s="5">
        <f>'budget 2025-26'!N75</f>
        <v>4675</v>
      </c>
      <c r="P19" s="5">
        <f>'budget 2025-26'!O75</f>
        <v>4696</v>
      </c>
      <c r="Q19" s="5">
        <f>SUM(E19:P19)</f>
        <v>54966</v>
      </c>
    </row>
    <row r="20" spans="3:17" x14ac:dyDescent="0.35">
      <c r="D20" s="3" t="str">
        <f>'KPI 1'!D20</f>
        <v>Actual 2025-26</v>
      </c>
      <c r="E20" s="5">
        <f>'Input Actual2025-26'!E77</f>
        <v>4450</v>
      </c>
      <c r="F20" s="5">
        <f>'Input Actual2025-26'!F77</f>
        <v>4461</v>
      </c>
      <c r="G20" s="5">
        <f>'Input Actual2025-26'!G77</f>
        <v>4473</v>
      </c>
      <c r="H20" s="5">
        <f>'Input Actual2025-26'!H77</f>
        <v>4479</v>
      </c>
      <c r="I20" s="5">
        <f>'Input Actual2025-26'!I77</f>
        <v>4488</v>
      </c>
      <c r="J20" s="5">
        <f>'Input Actual2025-26'!J77</f>
        <v>4491</v>
      </c>
      <c r="K20" s="5">
        <f>'Input Actual2025-26'!K77</f>
        <v>4529</v>
      </c>
      <c r="L20" s="5">
        <f>'Input Actual2025-26'!L77</f>
        <v>4547</v>
      </c>
      <c r="M20" s="5">
        <f>'Input Actual2025-26'!M77</f>
        <v>0</v>
      </c>
      <c r="N20" s="5">
        <f>'Input Actual2025-26'!N77</f>
        <v>0</v>
      </c>
      <c r="O20" s="5">
        <f>'Input Actual2025-26'!O77</f>
        <v>0</v>
      </c>
      <c r="P20" s="5">
        <f>'Input Actual2025-26'!P77</f>
        <v>0</v>
      </c>
      <c r="Q20" s="5">
        <f t="shared" ref="Q20:Q22" si="0">SUM(E20:P20)</f>
        <v>35918</v>
      </c>
    </row>
    <row r="21" spans="3:17" x14ac:dyDescent="0.35">
      <c r="D21" s="3" t="s">
        <v>424</v>
      </c>
      <c r="E21" s="5">
        <f>'Input Actual2024-25'!E73</f>
        <v>4367</v>
      </c>
      <c r="F21" s="5">
        <f>'Input Actual2024-25'!F73</f>
        <v>4375</v>
      </c>
      <c r="G21" s="5">
        <f>'Input Actual2024-25'!G73</f>
        <v>4388</v>
      </c>
      <c r="H21" s="5">
        <f>'Input Actual2024-25'!H73</f>
        <v>4390</v>
      </c>
      <c r="I21" s="5">
        <f>'Input Actual2024-25'!I73</f>
        <v>4395</v>
      </c>
      <c r="J21" s="5">
        <f>'Input Actual2024-25'!J73</f>
        <v>4395</v>
      </c>
      <c r="K21" s="5">
        <f>'Input Actual2024-25'!K73</f>
        <v>4401</v>
      </c>
      <c r="L21" s="5">
        <f>'Input Actual2024-25'!L73</f>
        <v>4418</v>
      </c>
      <c r="M21" s="5">
        <f>'Input Actual2024-25'!M73</f>
        <v>4431</v>
      </c>
      <c r="N21" s="5">
        <f>'Input Actual2024-25'!N73</f>
        <v>4437</v>
      </c>
      <c r="O21" s="5">
        <f>'Input Actual2024-25'!O73</f>
        <v>4437</v>
      </c>
      <c r="P21" s="5">
        <f>'Input Actual2024-25'!P73</f>
        <v>4445</v>
      </c>
      <c r="Q21" s="5">
        <f t="shared" si="0"/>
        <v>52879</v>
      </c>
    </row>
    <row r="22" spans="3:17" x14ac:dyDescent="0.35">
      <c r="D22" s="3" t="s">
        <v>7</v>
      </c>
      <c r="E22" s="5">
        <f t="shared" ref="E22:P22" si="1">IF(E20=0,0,E20-E19)</f>
        <v>-15</v>
      </c>
      <c r="F22" s="5">
        <f t="shared" si="1"/>
        <v>-25</v>
      </c>
      <c r="G22" s="5">
        <f t="shared" si="1"/>
        <v>-34</v>
      </c>
      <c r="H22" s="5">
        <f t="shared" si="1"/>
        <v>-49</v>
      </c>
      <c r="I22" s="5">
        <f t="shared" si="1"/>
        <v>-61</v>
      </c>
      <c r="J22" s="5">
        <f t="shared" si="1"/>
        <v>-79</v>
      </c>
      <c r="K22" s="5">
        <f t="shared" si="1"/>
        <v>-62</v>
      </c>
      <c r="L22" s="5">
        <f t="shared" si="1"/>
        <v>-65</v>
      </c>
      <c r="M22" s="5">
        <f t="shared" si="1"/>
        <v>0</v>
      </c>
      <c r="N22" s="5">
        <f t="shared" si="1"/>
        <v>0</v>
      </c>
      <c r="O22" s="5">
        <f t="shared" si="1"/>
        <v>0</v>
      </c>
      <c r="P22" s="5">
        <f t="shared" si="1"/>
        <v>0</v>
      </c>
      <c r="Q22" s="5">
        <f t="shared" si="0"/>
        <v>-390</v>
      </c>
    </row>
    <row r="23" spans="3:17" x14ac:dyDescent="0.35">
      <c r="D23" s="3" t="s">
        <v>43</v>
      </c>
      <c r="E23" s="9">
        <f>E21/E19</f>
        <v>0.97805151175811866</v>
      </c>
      <c r="F23" s="9">
        <f t="shared" ref="F23:P23" si="2">F20/F19</f>
        <v>0.99442710655372268</v>
      </c>
      <c r="G23" s="9">
        <f t="shared" si="2"/>
        <v>0.99245617927668073</v>
      </c>
      <c r="H23" s="9">
        <f t="shared" si="2"/>
        <v>0.98917844522968201</v>
      </c>
      <c r="I23" s="9">
        <f t="shared" si="2"/>
        <v>0.98659045944163548</v>
      </c>
      <c r="J23" s="9">
        <f t="shared" si="2"/>
        <v>0.98271334792122533</v>
      </c>
      <c r="K23" s="9">
        <f t="shared" si="2"/>
        <v>0.98649531692441739</v>
      </c>
      <c r="L23" s="9">
        <f t="shared" si="2"/>
        <v>0.98590633130962702</v>
      </c>
      <c r="M23" s="9">
        <f t="shared" si="2"/>
        <v>0</v>
      </c>
      <c r="N23" s="9">
        <f t="shared" si="2"/>
        <v>0</v>
      </c>
      <c r="O23" s="9">
        <f t="shared" si="2"/>
        <v>0</v>
      </c>
      <c r="P23" s="9">
        <f t="shared" si="2"/>
        <v>0</v>
      </c>
    </row>
    <row r="25" spans="3:17" x14ac:dyDescent="0.35">
      <c r="C25" s="7" t="s">
        <v>3</v>
      </c>
      <c r="E25" s="11">
        <f>E18</f>
        <v>45839</v>
      </c>
      <c r="F25" s="11">
        <f t="shared" ref="F25:P28" si="3">F18</f>
        <v>45870</v>
      </c>
      <c r="G25" s="11">
        <f t="shared" si="3"/>
        <v>45901</v>
      </c>
      <c r="H25" s="11">
        <f t="shared" si="3"/>
        <v>45931</v>
      </c>
      <c r="I25" s="11">
        <f t="shared" si="3"/>
        <v>45962</v>
      </c>
      <c r="J25" s="11">
        <f t="shared" si="3"/>
        <v>45992</v>
      </c>
      <c r="K25" s="11">
        <f t="shared" si="3"/>
        <v>46023</v>
      </c>
      <c r="L25" s="11">
        <f t="shared" si="3"/>
        <v>46054</v>
      </c>
      <c r="M25" s="11">
        <f t="shared" si="3"/>
        <v>46082</v>
      </c>
      <c r="N25" s="11">
        <f t="shared" si="3"/>
        <v>46113</v>
      </c>
      <c r="O25" s="11">
        <f t="shared" si="3"/>
        <v>46143</v>
      </c>
      <c r="P25" s="11">
        <f t="shared" si="3"/>
        <v>46174</v>
      </c>
    </row>
    <row r="26" spans="3:17" x14ac:dyDescent="0.35">
      <c r="D26" s="3" t="str">
        <f>D19</f>
        <v>Budget 2025-26</v>
      </c>
      <c r="E26" s="5">
        <f>E19</f>
        <v>4465</v>
      </c>
      <c r="F26" s="5">
        <f t="shared" si="3"/>
        <v>4486</v>
      </c>
      <c r="G26" s="5">
        <f t="shared" si="3"/>
        <v>4507</v>
      </c>
      <c r="H26" s="5">
        <f t="shared" si="3"/>
        <v>4528</v>
      </c>
      <c r="I26" s="5">
        <f t="shared" si="3"/>
        <v>4549</v>
      </c>
      <c r="J26" s="5">
        <f t="shared" si="3"/>
        <v>4570</v>
      </c>
      <c r="K26" s="5">
        <f t="shared" si="3"/>
        <v>4591</v>
      </c>
      <c r="L26" s="5">
        <f t="shared" si="3"/>
        <v>4612</v>
      </c>
      <c r="M26" s="5">
        <f t="shared" si="3"/>
        <v>4633</v>
      </c>
      <c r="N26" s="5">
        <f t="shared" si="3"/>
        <v>4654</v>
      </c>
      <c r="O26" s="5">
        <f t="shared" si="3"/>
        <v>4675</v>
      </c>
      <c r="P26" s="5">
        <f t="shared" si="3"/>
        <v>4696</v>
      </c>
    </row>
    <row r="27" spans="3:17" x14ac:dyDescent="0.35">
      <c r="D27" s="3" t="str">
        <f t="shared" ref="D27:E30" si="4">D20</f>
        <v>Actual 2025-26</v>
      </c>
      <c r="E27" s="5">
        <f t="shared" si="4"/>
        <v>4450</v>
      </c>
      <c r="F27" s="5">
        <f t="shared" si="3"/>
        <v>4461</v>
      </c>
      <c r="G27" s="5">
        <f t="shared" si="3"/>
        <v>4473</v>
      </c>
      <c r="H27" s="5">
        <f t="shared" si="3"/>
        <v>4479</v>
      </c>
      <c r="I27" s="5">
        <f t="shared" si="3"/>
        <v>4488</v>
      </c>
      <c r="J27" s="5">
        <f t="shared" si="3"/>
        <v>4491</v>
      </c>
      <c r="K27" s="5">
        <f t="shared" si="3"/>
        <v>4529</v>
      </c>
      <c r="L27" s="5">
        <f t="shared" si="3"/>
        <v>4547</v>
      </c>
      <c r="M27" s="5">
        <f t="shared" si="3"/>
        <v>0</v>
      </c>
      <c r="N27" s="5">
        <f t="shared" si="3"/>
        <v>0</v>
      </c>
      <c r="O27" s="5">
        <f t="shared" si="3"/>
        <v>0</v>
      </c>
      <c r="P27" s="5">
        <f t="shared" si="3"/>
        <v>0</v>
      </c>
    </row>
    <row r="28" spans="3:17" x14ac:dyDescent="0.35">
      <c r="D28" s="3" t="str">
        <f t="shared" si="4"/>
        <v>Actual 2024-25</v>
      </c>
      <c r="E28" s="5">
        <f t="shared" si="4"/>
        <v>4367</v>
      </c>
      <c r="F28" s="5">
        <f t="shared" si="3"/>
        <v>4375</v>
      </c>
      <c r="G28" s="5">
        <f t="shared" si="3"/>
        <v>4388</v>
      </c>
      <c r="H28" s="5">
        <f t="shared" si="3"/>
        <v>4390</v>
      </c>
      <c r="I28" s="5">
        <f t="shared" si="3"/>
        <v>4395</v>
      </c>
      <c r="J28" s="5">
        <f t="shared" si="3"/>
        <v>4395</v>
      </c>
      <c r="K28" s="5">
        <f t="shared" si="3"/>
        <v>4401</v>
      </c>
      <c r="L28" s="5">
        <f t="shared" si="3"/>
        <v>4418</v>
      </c>
      <c r="M28" s="5">
        <f t="shared" si="3"/>
        <v>4431</v>
      </c>
      <c r="N28" s="5">
        <f t="shared" si="3"/>
        <v>4437</v>
      </c>
      <c r="O28" s="5">
        <f t="shared" si="3"/>
        <v>4437</v>
      </c>
      <c r="P28" s="5">
        <f t="shared" si="3"/>
        <v>4445</v>
      </c>
    </row>
    <row r="29" spans="3:17" x14ac:dyDescent="0.35">
      <c r="D29" s="3" t="str">
        <f t="shared" si="4"/>
        <v>Difference</v>
      </c>
      <c r="E29" s="5">
        <f>SUM($E22:E22)</f>
        <v>-15</v>
      </c>
      <c r="F29" s="5">
        <f>SUM($E22:F22)</f>
        <v>-40</v>
      </c>
      <c r="G29" s="5">
        <f>SUM($E22:G22)</f>
        <v>-74</v>
      </c>
      <c r="H29" s="5">
        <f>SUM($E22:H22)</f>
        <v>-123</v>
      </c>
      <c r="I29" s="5">
        <f>SUM($E22:I22)</f>
        <v>-184</v>
      </c>
      <c r="J29" s="5">
        <f>SUM($E22:J22)</f>
        <v>-263</v>
      </c>
      <c r="K29" s="5">
        <f>SUM($E22:K22)</f>
        <v>-325</v>
      </c>
      <c r="L29" s="5">
        <f>SUM($E22:L22)</f>
        <v>-390</v>
      </c>
      <c r="M29" s="5">
        <f>SUM($E22:M22)</f>
        <v>-390</v>
      </c>
      <c r="N29" s="5">
        <f>SUM($E22:N22)</f>
        <v>-390</v>
      </c>
      <c r="O29" s="5">
        <f>SUM($E22:O22)</f>
        <v>-390</v>
      </c>
      <c r="P29" s="5">
        <f>SUM($E22:P22)</f>
        <v>-390</v>
      </c>
    </row>
    <row r="30" spans="3:17" x14ac:dyDescent="0.35">
      <c r="D30" s="3" t="str">
        <f t="shared" si="4"/>
        <v>Realisation</v>
      </c>
      <c r="E30" s="9">
        <f>E28/E26</f>
        <v>0.97805151175811866</v>
      </c>
      <c r="F30" s="9">
        <f t="shared" ref="F30:P30" si="5">F27/F26</f>
        <v>0.99442710655372268</v>
      </c>
      <c r="G30" s="9">
        <f t="shared" si="5"/>
        <v>0.99245617927668073</v>
      </c>
      <c r="H30" s="9">
        <f t="shared" si="5"/>
        <v>0.98917844522968201</v>
      </c>
      <c r="I30" s="9">
        <f t="shared" si="5"/>
        <v>0.98659045944163548</v>
      </c>
      <c r="J30" s="9">
        <f t="shared" si="5"/>
        <v>0.98271334792122533</v>
      </c>
      <c r="K30" s="9">
        <f t="shared" si="5"/>
        <v>0.98649531692441739</v>
      </c>
      <c r="L30" s="9">
        <f t="shared" si="5"/>
        <v>0.98590633130962702</v>
      </c>
      <c r="M30" s="9">
        <f t="shared" si="5"/>
        <v>0</v>
      </c>
      <c r="N30" s="9">
        <f t="shared" si="5"/>
        <v>0</v>
      </c>
      <c r="O30" s="9">
        <f t="shared" si="5"/>
        <v>0</v>
      </c>
      <c r="P30" s="9">
        <f t="shared" si="5"/>
        <v>0</v>
      </c>
    </row>
  </sheetData>
  <mergeCells count="2">
    <mergeCell ref="J4:Q8"/>
    <mergeCell ref="J10:Q15"/>
  </mergeCells>
  <conditionalFormatting sqref="C3">
    <cfRule type="expression" dxfId="374" priority="2">
      <formula>S4&lt;S6</formula>
    </cfRule>
  </conditionalFormatting>
  <conditionalFormatting sqref="C5">
    <cfRule type="expression" dxfId="373" priority="3">
      <formula>S4&gt;=S5</formula>
    </cfRule>
  </conditionalFormatting>
  <conditionalFormatting sqref="C4">
    <cfRule type="expression" dxfId="372" priority="1">
      <formula>AND(S4&gt;=S6,S4&lt;S5)</formula>
    </cfRule>
  </conditionalFormatting>
  <hyperlinks>
    <hyperlink ref="L1" location="Dashboard!A1" display="Dashboard"/>
  </hyperlinks>
  <pageMargins left="0.7" right="0.7" top="0.75" bottom="0.75" header="0.3" footer="0.3"/>
  <pageSetup orientation="portrait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994305" r:id="rId4" name="Spinner 1">
              <controlPr defaultSize="0" autoPict="0">
                <anchor moveWithCells="1" sizeWithCells="1">
                  <from>
                    <xdr:col>9</xdr:col>
                    <xdr:colOff>19050</xdr:colOff>
                    <xdr:row>0</xdr:row>
                    <xdr:rowOff>38100</xdr:rowOff>
                  </from>
                  <to>
                    <xdr:col>9</xdr:col>
                    <xdr:colOff>400050</xdr:colOff>
                    <xdr:row>1</xdr:row>
                    <xdr:rowOff>152400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7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59">
    <tabColor rgb="FFFFC000"/>
  </sheetPr>
  <dimension ref="A1:S30"/>
  <sheetViews>
    <sheetView zoomScale="90" zoomScaleNormal="90" workbookViewId="0">
      <selection activeCell="L1" sqref="L1"/>
    </sheetView>
  </sheetViews>
  <sheetFormatPr defaultColWidth="9.1796875" defaultRowHeight="14.5" x14ac:dyDescent="0.35"/>
  <cols>
    <col min="1" max="1" width="9.1796875" style="3"/>
    <col min="2" max="2" width="5.1796875" style="3" customWidth="1"/>
    <col min="3" max="3" width="6.26953125" style="3" customWidth="1"/>
    <col min="4" max="4" width="21.26953125" style="3" bestFit="1" customWidth="1"/>
    <col min="5" max="16" width="11.1796875" style="3" customWidth="1"/>
    <col min="17" max="17" width="12" style="3" bestFit="1" customWidth="1"/>
    <col min="18" max="18" width="9.1796875" style="3" customWidth="1"/>
    <col min="19" max="16384" width="9.1796875" style="3"/>
  </cols>
  <sheetData>
    <row r="1" spans="1:19" ht="21" x14ac:dyDescent="0.5">
      <c r="A1" s="4" t="s">
        <v>4</v>
      </c>
      <c r="B1" s="4">
        <f>Dashboard!A81</f>
        <v>1</v>
      </c>
      <c r="C1" s="4" t="str">
        <f>Dashboard!B81</f>
        <v>HELLSGATE- ACTIVE WATER</v>
      </c>
      <c r="D1" s="4"/>
      <c r="G1" s="3" t="s">
        <v>9</v>
      </c>
      <c r="I1" s="12">
        <f>INDEX($E$18:$P$18,Actual_month)</f>
        <v>46054</v>
      </c>
      <c r="L1" s="16" t="s">
        <v>19</v>
      </c>
      <c r="R1" s="5"/>
    </row>
    <row r="2" spans="1:19" x14ac:dyDescent="0.35">
      <c r="A2" s="3" t="s">
        <v>13</v>
      </c>
      <c r="C2" s="3" t="s">
        <v>27</v>
      </c>
      <c r="R2" s="6"/>
    </row>
    <row r="3" spans="1:19" ht="25.5" customHeight="1" thickBot="1" x14ac:dyDescent="0.4">
      <c r="C3" s="1" t="s">
        <v>5</v>
      </c>
      <c r="E3" s="10"/>
      <c r="F3" s="10"/>
      <c r="G3" s="10"/>
      <c r="H3" s="10"/>
      <c r="I3" s="10"/>
      <c r="J3" s="3" t="s">
        <v>6</v>
      </c>
      <c r="K3" s="10"/>
      <c r="M3" s="10"/>
      <c r="N3" s="10"/>
      <c r="O3" s="10"/>
      <c r="P3" s="10"/>
    </row>
    <row r="4" spans="1:19" ht="25.5" customHeight="1" x14ac:dyDescent="0.35">
      <c r="C4" s="1" t="s">
        <v>5</v>
      </c>
      <c r="E4" s="10"/>
      <c r="F4" s="10"/>
      <c r="G4" s="10"/>
      <c r="H4" s="10"/>
      <c r="I4" s="10"/>
      <c r="J4" s="401"/>
      <c r="K4" s="402"/>
      <c r="L4" s="402"/>
      <c r="M4" s="402"/>
      <c r="N4" s="402"/>
      <c r="O4" s="402"/>
      <c r="P4" s="402"/>
      <c r="Q4" s="403"/>
      <c r="R4" s="3" t="s">
        <v>22</v>
      </c>
      <c r="S4" s="5">
        <f>INDEX(E27:P27,Actual_month)</f>
        <v>1719</v>
      </c>
    </row>
    <row r="5" spans="1:19" ht="25.5" customHeight="1" x14ac:dyDescent="0.35">
      <c r="C5" s="1" t="s">
        <v>5</v>
      </c>
      <c r="E5" s="10"/>
      <c r="F5" s="10"/>
      <c r="G5" s="10"/>
      <c r="H5" s="10"/>
      <c r="I5" s="10"/>
      <c r="J5" s="404"/>
      <c r="K5" s="405"/>
      <c r="L5" s="405"/>
      <c r="M5" s="405"/>
      <c r="N5" s="405"/>
      <c r="O5" s="405"/>
      <c r="P5" s="405"/>
      <c r="Q5" s="406"/>
      <c r="R5" s="3" t="s">
        <v>23</v>
      </c>
      <c r="S5" s="5">
        <f>INDEX(E26:P26,Actual_month)</f>
        <v>1859</v>
      </c>
    </row>
    <row r="6" spans="1:19" x14ac:dyDescent="0.35">
      <c r="J6" s="404"/>
      <c r="K6" s="405"/>
      <c r="L6" s="405"/>
      <c r="M6" s="405"/>
      <c r="N6" s="405"/>
      <c r="O6" s="405"/>
      <c r="P6" s="405"/>
      <c r="Q6" s="406"/>
      <c r="R6" s="6">
        <v>0.9</v>
      </c>
      <c r="S6" s="5">
        <f>+S5*R6</f>
        <v>1673.1000000000001</v>
      </c>
    </row>
    <row r="7" spans="1:19" x14ac:dyDescent="0.35">
      <c r="J7" s="404"/>
      <c r="K7" s="405"/>
      <c r="L7" s="405"/>
      <c r="M7" s="405"/>
      <c r="N7" s="405"/>
      <c r="O7" s="405"/>
      <c r="P7" s="405"/>
      <c r="Q7" s="406"/>
    </row>
    <row r="8" spans="1:19" ht="15" thickBot="1" x14ac:dyDescent="0.4">
      <c r="J8" s="407"/>
      <c r="K8" s="408"/>
      <c r="L8" s="408"/>
      <c r="M8" s="408"/>
      <c r="N8" s="408"/>
      <c r="O8" s="408"/>
      <c r="P8" s="408"/>
      <c r="Q8" s="409"/>
    </row>
    <row r="9" spans="1:19" ht="15" thickBot="1" x14ac:dyDescent="0.4">
      <c r="J9" s="3" t="s">
        <v>12</v>
      </c>
    </row>
    <row r="10" spans="1:19" x14ac:dyDescent="0.35">
      <c r="J10" s="401"/>
      <c r="K10" s="402"/>
      <c r="L10" s="402"/>
      <c r="M10" s="402"/>
      <c r="N10" s="402"/>
      <c r="O10" s="402"/>
      <c r="P10" s="402"/>
      <c r="Q10" s="403"/>
    </row>
    <row r="11" spans="1:19" x14ac:dyDescent="0.35">
      <c r="J11" s="404"/>
      <c r="K11" s="405"/>
      <c r="L11" s="405"/>
      <c r="M11" s="405"/>
      <c r="N11" s="405"/>
      <c r="O11" s="405"/>
      <c r="P11" s="405"/>
      <c r="Q11" s="406"/>
    </row>
    <row r="12" spans="1:19" x14ac:dyDescent="0.35">
      <c r="J12" s="404"/>
      <c r="K12" s="405"/>
      <c r="L12" s="405"/>
      <c r="M12" s="405"/>
      <c r="N12" s="405"/>
      <c r="O12" s="405"/>
      <c r="P12" s="405"/>
      <c r="Q12" s="406"/>
    </row>
    <row r="13" spans="1:19" x14ac:dyDescent="0.35">
      <c r="J13" s="404"/>
      <c r="K13" s="405"/>
      <c r="L13" s="405"/>
      <c r="M13" s="405"/>
      <c r="N13" s="405"/>
      <c r="O13" s="405"/>
      <c r="P13" s="405"/>
      <c r="Q13" s="406"/>
    </row>
    <row r="14" spans="1:19" x14ac:dyDescent="0.35">
      <c r="J14" s="404"/>
      <c r="K14" s="405"/>
      <c r="L14" s="405"/>
      <c r="M14" s="405"/>
      <c r="N14" s="405"/>
      <c r="O14" s="405"/>
      <c r="P14" s="405"/>
      <c r="Q14" s="406"/>
    </row>
    <row r="15" spans="1:19" ht="15" thickBot="1" x14ac:dyDescent="0.4">
      <c r="J15" s="407"/>
      <c r="K15" s="408"/>
      <c r="L15" s="408"/>
      <c r="M15" s="408"/>
      <c r="N15" s="408"/>
      <c r="O15" s="408"/>
      <c r="P15" s="408"/>
      <c r="Q15" s="409"/>
    </row>
    <row r="18" spans="3:17" x14ac:dyDescent="0.35">
      <c r="C18" s="7" t="s">
        <v>8</v>
      </c>
      <c r="E18" s="11">
        <f>'KPI 1'!E18</f>
        <v>45839</v>
      </c>
      <c r="F18" s="11">
        <f>'KPI 1'!F18</f>
        <v>45870</v>
      </c>
      <c r="G18" s="11">
        <f>'KPI 1'!G18</f>
        <v>45901</v>
      </c>
      <c r="H18" s="11">
        <f>'KPI 1'!H18</f>
        <v>45931</v>
      </c>
      <c r="I18" s="11">
        <f>'KPI 1'!I18</f>
        <v>45962</v>
      </c>
      <c r="J18" s="11">
        <f>'KPI 1'!J18</f>
        <v>45992</v>
      </c>
      <c r="K18" s="11">
        <f>'KPI 1'!K18</f>
        <v>46023</v>
      </c>
      <c r="L18" s="11">
        <f>'KPI 1'!L18</f>
        <v>46054</v>
      </c>
      <c r="M18" s="11">
        <f>'KPI 1'!M18</f>
        <v>46082</v>
      </c>
      <c r="N18" s="11">
        <f>'KPI 1'!N18</f>
        <v>46113</v>
      </c>
      <c r="O18" s="11">
        <f>'KPI 1'!O18</f>
        <v>46143</v>
      </c>
      <c r="P18" s="11">
        <f>'KPI 1'!P18</f>
        <v>46174</v>
      </c>
      <c r="Q18" s="8" t="s">
        <v>0</v>
      </c>
    </row>
    <row r="19" spans="3:17" x14ac:dyDescent="0.35">
      <c r="D19" s="3" t="str">
        <f>'KPI 1'!D19</f>
        <v>Budget 2025-26</v>
      </c>
      <c r="E19" s="5">
        <f>'budget 2025-26'!D76</f>
        <v>1591</v>
      </c>
      <c r="F19" s="5">
        <f>'budget 2025-26'!E76</f>
        <v>1599</v>
      </c>
      <c r="G19" s="5">
        <f>'budget 2025-26'!F76</f>
        <v>1619</v>
      </c>
      <c r="H19" s="5">
        <f>'budget 2025-26'!G76</f>
        <v>1669</v>
      </c>
      <c r="I19" s="5">
        <f>'budget 2025-26'!H76</f>
        <v>1719</v>
      </c>
      <c r="J19" s="5">
        <f>'budget 2025-26'!I76</f>
        <v>1769</v>
      </c>
      <c r="K19" s="5">
        <f>'budget 2025-26'!J76</f>
        <v>1814</v>
      </c>
      <c r="L19" s="5">
        <f>'budget 2025-26'!K76</f>
        <v>1859</v>
      </c>
      <c r="M19" s="5">
        <f>'budget 2025-26'!L76</f>
        <v>1894</v>
      </c>
      <c r="N19" s="5">
        <f>'budget 2025-26'!M76</f>
        <v>1924</v>
      </c>
      <c r="O19" s="5">
        <f>'budget 2025-26'!N76</f>
        <v>1954</v>
      </c>
      <c r="P19" s="5">
        <f>'budget 2025-26'!O76</f>
        <v>1982</v>
      </c>
      <c r="Q19" s="5">
        <f>SUM(E19:P19)</f>
        <v>21393</v>
      </c>
    </row>
    <row r="20" spans="3:17" x14ac:dyDescent="0.35">
      <c r="D20" s="3" t="str">
        <f>'KPI 1'!D20</f>
        <v>Actual 2025-26</v>
      </c>
      <c r="E20" s="5">
        <f>'Input Actual2025-26'!E78</f>
        <v>1600</v>
      </c>
      <c r="F20" s="5">
        <f>'Input Actual2025-26'!F78</f>
        <v>1622</v>
      </c>
      <c r="G20" s="5">
        <f>'Input Actual2025-26'!G78</f>
        <v>1633</v>
      </c>
      <c r="H20" s="5">
        <f>'Input Actual2025-26'!H78</f>
        <v>1658</v>
      </c>
      <c r="I20" s="5">
        <f>'Input Actual2025-26'!I78</f>
        <v>1670</v>
      </c>
      <c r="J20" s="5">
        <f>'Input Actual2025-26'!J78</f>
        <v>1683</v>
      </c>
      <c r="K20" s="5">
        <f>'Input Actual2025-26'!K78</f>
        <v>1696</v>
      </c>
      <c r="L20" s="5">
        <f>'Input Actual2025-26'!L78</f>
        <v>1719</v>
      </c>
      <c r="M20" s="5">
        <f>'Input Actual2025-26'!M78</f>
        <v>0</v>
      </c>
      <c r="N20" s="5">
        <f>'Input Actual2025-26'!N78</f>
        <v>0</v>
      </c>
      <c r="O20" s="5">
        <f>'Input Actual2025-26'!O78</f>
        <v>0</v>
      </c>
      <c r="P20" s="5">
        <f>'Input Actual2025-26'!P78</f>
        <v>0</v>
      </c>
      <c r="Q20" s="5">
        <f t="shared" ref="Q20:Q22" si="0">SUM(E20:P20)</f>
        <v>13281</v>
      </c>
    </row>
    <row r="21" spans="3:17" x14ac:dyDescent="0.35">
      <c r="D21" s="3" t="s">
        <v>424</v>
      </c>
      <c r="E21" s="5">
        <f>'Input Actual2024-25'!E74</f>
        <v>1522</v>
      </c>
      <c r="F21" s="5">
        <f>'Input Actual2024-25'!F74</f>
        <v>1530</v>
      </c>
      <c r="G21" s="5">
        <f>'Input Actual2024-25'!G74</f>
        <v>1532</v>
      </c>
      <c r="H21" s="5">
        <f>'Input Actual2024-25'!H74</f>
        <v>1533</v>
      </c>
      <c r="I21" s="5">
        <f>'Input Actual2024-25'!I74</f>
        <v>1535</v>
      </c>
      <c r="J21" s="5">
        <f>'Input Actual2024-25'!J74</f>
        <v>1536</v>
      </c>
      <c r="K21" s="5">
        <f>'Input Actual2024-25'!K74</f>
        <v>1538</v>
      </c>
      <c r="L21" s="5">
        <f>'Input Actual2024-25'!L74</f>
        <v>1554</v>
      </c>
      <c r="M21" s="5">
        <f>'Input Actual2024-25'!M74</f>
        <v>1559</v>
      </c>
      <c r="N21" s="5">
        <f>'Input Actual2024-25'!N74</f>
        <v>1567</v>
      </c>
      <c r="O21" s="5">
        <f>'Input Actual2024-25'!O74</f>
        <v>1580</v>
      </c>
      <c r="P21" s="5">
        <f>'Input Actual2024-25'!P74</f>
        <v>1583</v>
      </c>
      <c r="Q21" s="5">
        <f t="shared" si="0"/>
        <v>18569</v>
      </c>
    </row>
    <row r="22" spans="3:17" x14ac:dyDescent="0.35">
      <c r="D22" s="3" t="s">
        <v>7</v>
      </c>
      <c r="E22" s="5">
        <f t="shared" ref="E22:P22" si="1">IF(E20=0,0,E20-E19)</f>
        <v>9</v>
      </c>
      <c r="F22" s="5">
        <f t="shared" si="1"/>
        <v>23</v>
      </c>
      <c r="G22" s="5">
        <f t="shared" si="1"/>
        <v>14</v>
      </c>
      <c r="H22" s="5">
        <f t="shared" si="1"/>
        <v>-11</v>
      </c>
      <c r="I22" s="5">
        <f t="shared" si="1"/>
        <v>-49</v>
      </c>
      <c r="J22" s="5">
        <f t="shared" si="1"/>
        <v>-86</v>
      </c>
      <c r="K22" s="5">
        <f t="shared" si="1"/>
        <v>-118</v>
      </c>
      <c r="L22" s="5">
        <f t="shared" si="1"/>
        <v>-140</v>
      </c>
      <c r="M22" s="5">
        <f t="shared" si="1"/>
        <v>0</v>
      </c>
      <c r="N22" s="5">
        <f t="shared" si="1"/>
        <v>0</v>
      </c>
      <c r="O22" s="5">
        <f t="shared" si="1"/>
        <v>0</v>
      </c>
      <c r="P22" s="5">
        <f t="shared" si="1"/>
        <v>0</v>
      </c>
      <c r="Q22" s="5">
        <f t="shared" si="0"/>
        <v>-358</v>
      </c>
    </row>
    <row r="23" spans="3:17" x14ac:dyDescent="0.35">
      <c r="D23" s="3" t="s">
        <v>43</v>
      </c>
      <c r="E23" s="9">
        <f>E21/E19</f>
        <v>0.95663104965430545</v>
      </c>
      <c r="F23" s="9">
        <f t="shared" ref="F23:P23" si="2">F20/F19</f>
        <v>1.0143839899937461</v>
      </c>
      <c r="G23" s="9">
        <f t="shared" si="2"/>
        <v>1.0086473131562692</v>
      </c>
      <c r="H23" s="9">
        <f t="shared" si="2"/>
        <v>0.99340922708208512</v>
      </c>
      <c r="I23" s="9">
        <f t="shared" si="2"/>
        <v>0.97149505526468882</v>
      </c>
      <c r="J23" s="9">
        <f t="shared" si="2"/>
        <v>0.95138496325607691</v>
      </c>
      <c r="K23" s="9">
        <f t="shared" si="2"/>
        <v>0.93495038588754131</v>
      </c>
      <c r="L23" s="9">
        <f t="shared" si="2"/>
        <v>0.92469069392146319</v>
      </c>
      <c r="M23" s="9">
        <f t="shared" si="2"/>
        <v>0</v>
      </c>
      <c r="N23" s="9">
        <f t="shared" si="2"/>
        <v>0</v>
      </c>
      <c r="O23" s="9">
        <f t="shared" si="2"/>
        <v>0</v>
      </c>
      <c r="P23" s="9">
        <f t="shared" si="2"/>
        <v>0</v>
      </c>
    </row>
    <row r="25" spans="3:17" x14ac:dyDescent="0.35">
      <c r="C25" s="7" t="s">
        <v>3</v>
      </c>
      <c r="E25" s="11">
        <f>E18</f>
        <v>45839</v>
      </c>
      <c r="F25" s="11">
        <f t="shared" ref="F25:P28" si="3">F18</f>
        <v>45870</v>
      </c>
      <c r="G25" s="11">
        <f t="shared" si="3"/>
        <v>45901</v>
      </c>
      <c r="H25" s="11">
        <f t="shared" si="3"/>
        <v>45931</v>
      </c>
      <c r="I25" s="11">
        <f t="shared" si="3"/>
        <v>45962</v>
      </c>
      <c r="J25" s="11">
        <f t="shared" si="3"/>
        <v>45992</v>
      </c>
      <c r="K25" s="11">
        <f t="shared" si="3"/>
        <v>46023</v>
      </c>
      <c r="L25" s="11">
        <f t="shared" si="3"/>
        <v>46054</v>
      </c>
      <c r="M25" s="11">
        <f t="shared" si="3"/>
        <v>46082</v>
      </c>
      <c r="N25" s="11">
        <f t="shared" si="3"/>
        <v>46113</v>
      </c>
      <c r="O25" s="11">
        <f t="shared" si="3"/>
        <v>46143</v>
      </c>
      <c r="P25" s="11">
        <f t="shared" si="3"/>
        <v>46174</v>
      </c>
    </row>
    <row r="26" spans="3:17" x14ac:dyDescent="0.35">
      <c r="D26" s="3" t="str">
        <f>D19</f>
        <v>Budget 2025-26</v>
      </c>
      <c r="E26" s="5">
        <f>E19</f>
        <v>1591</v>
      </c>
      <c r="F26" s="5">
        <f t="shared" si="3"/>
        <v>1599</v>
      </c>
      <c r="G26" s="5">
        <f t="shared" si="3"/>
        <v>1619</v>
      </c>
      <c r="H26" s="5">
        <f t="shared" si="3"/>
        <v>1669</v>
      </c>
      <c r="I26" s="5">
        <f t="shared" si="3"/>
        <v>1719</v>
      </c>
      <c r="J26" s="5">
        <f t="shared" si="3"/>
        <v>1769</v>
      </c>
      <c r="K26" s="5">
        <f t="shared" si="3"/>
        <v>1814</v>
      </c>
      <c r="L26" s="5">
        <f t="shared" si="3"/>
        <v>1859</v>
      </c>
      <c r="M26" s="5">
        <f t="shared" si="3"/>
        <v>1894</v>
      </c>
      <c r="N26" s="5">
        <f t="shared" si="3"/>
        <v>1924</v>
      </c>
      <c r="O26" s="5">
        <f t="shared" si="3"/>
        <v>1954</v>
      </c>
      <c r="P26" s="5">
        <f t="shared" si="3"/>
        <v>1982</v>
      </c>
    </row>
    <row r="27" spans="3:17" x14ac:dyDescent="0.35">
      <c r="D27" s="3" t="str">
        <f t="shared" ref="D27:E30" si="4">D20</f>
        <v>Actual 2025-26</v>
      </c>
      <c r="E27" s="5">
        <f t="shared" si="4"/>
        <v>1600</v>
      </c>
      <c r="F27" s="5">
        <f t="shared" si="3"/>
        <v>1622</v>
      </c>
      <c r="G27" s="5">
        <f t="shared" si="3"/>
        <v>1633</v>
      </c>
      <c r="H27" s="5">
        <f t="shared" si="3"/>
        <v>1658</v>
      </c>
      <c r="I27" s="5">
        <f t="shared" si="3"/>
        <v>1670</v>
      </c>
      <c r="J27" s="5">
        <f t="shared" si="3"/>
        <v>1683</v>
      </c>
      <c r="K27" s="5">
        <f t="shared" si="3"/>
        <v>1696</v>
      </c>
      <c r="L27" s="5">
        <f t="shared" si="3"/>
        <v>1719</v>
      </c>
      <c r="M27" s="5">
        <f t="shared" si="3"/>
        <v>0</v>
      </c>
      <c r="N27" s="5">
        <f t="shared" si="3"/>
        <v>0</v>
      </c>
      <c r="O27" s="5">
        <f t="shared" si="3"/>
        <v>0</v>
      </c>
      <c r="P27" s="5">
        <f t="shared" si="3"/>
        <v>0</v>
      </c>
    </row>
    <row r="28" spans="3:17" x14ac:dyDescent="0.35">
      <c r="D28" s="3" t="str">
        <f t="shared" si="4"/>
        <v>Actual 2024-25</v>
      </c>
      <c r="E28" s="5">
        <f t="shared" si="4"/>
        <v>1522</v>
      </c>
      <c r="F28" s="5">
        <f t="shared" si="3"/>
        <v>1530</v>
      </c>
      <c r="G28" s="5">
        <f t="shared" si="3"/>
        <v>1532</v>
      </c>
      <c r="H28" s="5">
        <f t="shared" si="3"/>
        <v>1533</v>
      </c>
      <c r="I28" s="5">
        <f t="shared" si="3"/>
        <v>1535</v>
      </c>
      <c r="J28" s="5">
        <f t="shared" si="3"/>
        <v>1536</v>
      </c>
      <c r="K28" s="5">
        <f t="shared" si="3"/>
        <v>1538</v>
      </c>
      <c r="L28" s="5">
        <f t="shared" si="3"/>
        <v>1554</v>
      </c>
      <c r="M28" s="5">
        <f t="shared" si="3"/>
        <v>1559</v>
      </c>
      <c r="N28" s="5">
        <f t="shared" si="3"/>
        <v>1567</v>
      </c>
      <c r="O28" s="5">
        <f t="shared" si="3"/>
        <v>1580</v>
      </c>
      <c r="P28" s="5">
        <f t="shared" si="3"/>
        <v>1583</v>
      </c>
    </row>
    <row r="29" spans="3:17" x14ac:dyDescent="0.35">
      <c r="D29" s="3" t="str">
        <f t="shared" si="4"/>
        <v>Difference</v>
      </c>
      <c r="E29" s="5">
        <f>SUM($E22:E22)</f>
        <v>9</v>
      </c>
      <c r="F29" s="5">
        <f>SUM($E22:F22)</f>
        <v>32</v>
      </c>
      <c r="G29" s="5">
        <f>SUM($E22:G22)</f>
        <v>46</v>
      </c>
      <c r="H29" s="5">
        <f>SUM($E22:H22)</f>
        <v>35</v>
      </c>
      <c r="I29" s="5">
        <f>SUM($E22:I22)</f>
        <v>-14</v>
      </c>
      <c r="J29" s="5">
        <f>SUM($E22:J22)</f>
        <v>-100</v>
      </c>
      <c r="K29" s="5">
        <f>SUM($E22:K22)</f>
        <v>-218</v>
      </c>
      <c r="L29" s="5">
        <f>SUM($E22:L22)</f>
        <v>-358</v>
      </c>
      <c r="M29" s="5">
        <f>SUM($E22:M22)</f>
        <v>-358</v>
      </c>
      <c r="N29" s="5">
        <f>SUM($E22:N22)</f>
        <v>-358</v>
      </c>
      <c r="O29" s="5">
        <f>SUM($E22:O22)</f>
        <v>-358</v>
      </c>
      <c r="P29" s="5">
        <f>SUM($E22:P22)</f>
        <v>-358</v>
      </c>
    </row>
    <row r="30" spans="3:17" x14ac:dyDescent="0.35">
      <c r="D30" s="3" t="str">
        <f t="shared" si="4"/>
        <v>Realisation</v>
      </c>
      <c r="E30" s="9">
        <f>E28/E26</f>
        <v>0.95663104965430545</v>
      </c>
      <c r="F30" s="9">
        <f t="shared" ref="F30:P30" si="5">F27/F26</f>
        <v>1.0143839899937461</v>
      </c>
      <c r="G30" s="9">
        <f t="shared" si="5"/>
        <v>1.0086473131562692</v>
      </c>
      <c r="H30" s="9">
        <f t="shared" si="5"/>
        <v>0.99340922708208512</v>
      </c>
      <c r="I30" s="9">
        <f t="shared" si="5"/>
        <v>0.97149505526468882</v>
      </c>
      <c r="J30" s="9">
        <f t="shared" si="5"/>
        <v>0.95138496325607691</v>
      </c>
      <c r="K30" s="9">
        <f t="shared" si="5"/>
        <v>0.93495038588754131</v>
      </c>
      <c r="L30" s="9">
        <f t="shared" si="5"/>
        <v>0.92469069392146319</v>
      </c>
      <c r="M30" s="9">
        <f t="shared" si="5"/>
        <v>0</v>
      </c>
      <c r="N30" s="9">
        <f t="shared" si="5"/>
        <v>0</v>
      </c>
      <c r="O30" s="9">
        <f t="shared" si="5"/>
        <v>0</v>
      </c>
      <c r="P30" s="9">
        <f t="shared" si="5"/>
        <v>0</v>
      </c>
    </row>
  </sheetData>
  <mergeCells count="2">
    <mergeCell ref="J4:Q8"/>
    <mergeCell ref="J10:Q15"/>
  </mergeCells>
  <conditionalFormatting sqref="C3">
    <cfRule type="expression" dxfId="371" priority="2">
      <formula>S4&lt;S6</formula>
    </cfRule>
  </conditionalFormatting>
  <conditionalFormatting sqref="C5">
    <cfRule type="expression" dxfId="370" priority="3">
      <formula>S4&gt;=S5</formula>
    </cfRule>
  </conditionalFormatting>
  <conditionalFormatting sqref="C4">
    <cfRule type="expression" dxfId="369" priority="1">
      <formula>AND(S4&gt;=S6,S4&lt;S5)</formula>
    </cfRule>
  </conditionalFormatting>
  <hyperlinks>
    <hyperlink ref="L1" location="Dashboard!A1" display="Dashboard"/>
  </hyperlinks>
  <pageMargins left="0.7" right="0.7" top="0.75" bottom="0.75" header="0.3" footer="0.3"/>
  <pageSetup orientation="portrait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995329" r:id="rId4" name="Spinner 1">
              <controlPr defaultSize="0" autoPict="0">
                <anchor moveWithCells="1" sizeWithCells="1">
                  <from>
                    <xdr:col>9</xdr:col>
                    <xdr:colOff>19050</xdr:colOff>
                    <xdr:row>0</xdr:row>
                    <xdr:rowOff>38100</xdr:rowOff>
                  </from>
                  <to>
                    <xdr:col>9</xdr:col>
                    <xdr:colOff>400050</xdr:colOff>
                    <xdr:row>1</xdr:row>
                    <xdr:rowOff>152400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7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60">
    <tabColor rgb="FFFFC000"/>
  </sheetPr>
  <dimension ref="A1:S30"/>
  <sheetViews>
    <sheetView zoomScale="90" zoomScaleNormal="90" workbookViewId="0">
      <selection activeCell="L1" sqref="L1"/>
    </sheetView>
  </sheetViews>
  <sheetFormatPr defaultColWidth="9.1796875" defaultRowHeight="14.5" x14ac:dyDescent="0.35"/>
  <cols>
    <col min="1" max="1" width="9.1796875" style="3"/>
    <col min="2" max="2" width="5.1796875" style="3" customWidth="1"/>
    <col min="3" max="3" width="6.26953125" style="3" customWidth="1"/>
    <col min="4" max="4" width="21.26953125" style="3" bestFit="1" customWidth="1"/>
    <col min="5" max="16" width="11.1796875" style="3" customWidth="1"/>
    <col min="17" max="17" width="12" style="3" bestFit="1" customWidth="1"/>
    <col min="18" max="18" width="9.1796875" style="3" customWidth="1"/>
    <col min="19" max="16384" width="9.1796875" style="3"/>
  </cols>
  <sheetData>
    <row r="1" spans="1:19" ht="21" x14ac:dyDescent="0.5">
      <c r="A1" s="4" t="s">
        <v>4</v>
      </c>
      <c r="B1" s="4">
        <f>Dashboard!A82</f>
        <v>2</v>
      </c>
      <c r="C1" s="4" t="str">
        <f>Dashboard!B82</f>
        <v>KAMERE- ACTIVE WATER</v>
      </c>
      <c r="D1" s="4"/>
      <c r="G1" s="3" t="s">
        <v>9</v>
      </c>
      <c r="I1" s="12">
        <f>INDEX($E$18:$P$18,Actual_month)</f>
        <v>46054</v>
      </c>
      <c r="L1" s="16" t="s">
        <v>19</v>
      </c>
      <c r="R1" s="5"/>
    </row>
    <row r="2" spans="1:19" x14ac:dyDescent="0.35">
      <c r="A2" s="3" t="s">
        <v>13</v>
      </c>
      <c r="C2" s="3" t="s">
        <v>27</v>
      </c>
      <c r="R2" s="6"/>
    </row>
    <row r="3" spans="1:19" ht="25.5" customHeight="1" thickBot="1" x14ac:dyDescent="0.4">
      <c r="C3" s="1" t="s">
        <v>5</v>
      </c>
      <c r="E3" s="10"/>
      <c r="F3" s="10"/>
      <c r="G3" s="10"/>
      <c r="H3" s="10"/>
      <c r="I3" s="10"/>
      <c r="J3" s="3" t="s">
        <v>6</v>
      </c>
      <c r="K3" s="10"/>
      <c r="M3" s="10"/>
      <c r="N3" s="10"/>
      <c r="O3" s="10"/>
      <c r="P3" s="10"/>
    </row>
    <row r="4" spans="1:19" ht="25.5" customHeight="1" x14ac:dyDescent="0.35">
      <c r="C4" s="1" t="s">
        <v>5</v>
      </c>
      <c r="E4" s="10"/>
      <c r="F4" s="10"/>
      <c r="G4" s="10"/>
      <c r="H4" s="10"/>
      <c r="I4" s="10"/>
      <c r="J4" s="401"/>
      <c r="K4" s="402"/>
      <c r="L4" s="402"/>
      <c r="M4" s="402"/>
      <c r="N4" s="402"/>
      <c r="O4" s="402"/>
      <c r="P4" s="402"/>
      <c r="Q4" s="403"/>
      <c r="R4" s="3" t="s">
        <v>22</v>
      </c>
      <c r="S4" s="5">
        <f>INDEX(E27:P27,Actual_month)</f>
        <v>296</v>
      </c>
    </row>
    <row r="5" spans="1:19" ht="25.5" customHeight="1" x14ac:dyDescent="0.35">
      <c r="C5" s="1" t="s">
        <v>5</v>
      </c>
      <c r="E5" s="10"/>
      <c r="F5" s="10"/>
      <c r="G5" s="10"/>
      <c r="H5" s="10"/>
      <c r="I5" s="10"/>
      <c r="J5" s="404"/>
      <c r="K5" s="405"/>
      <c r="L5" s="405"/>
      <c r="M5" s="405"/>
      <c r="N5" s="405"/>
      <c r="O5" s="405"/>
      <c r="P5" s="405"/>
      <c r="Q5" s="406"/>
      <c r="R5" s="3" t="s">
        <v>23</v>
      </c>
      <c r="S5" s="5">
        <f>INDEX(E26:P26,Actual_month)</f>
        <v>332</v>
      </c>
    </row>
    <row r="6" spans="1:19" x14ac:dyDescent="0.35">
      <c r="J6" s="404"/>
      <c r="K6" s="405"/>
      <c r="L6" s="405"/>
      <c r="M6" s="405"/>
      <c r="N6" s="405"/>
      <c r="O6" s="405"/>
      <c r="P6" s="405"/>
      <c r="Q6" s="406"/>
      <c r="R6" s="6">
        <v>0.9</v>
      </c>
      <c r="S6" s="5">
        <f>+S5*R6</f>
        <v>298.8</v>
      </c>
    </row>
    <row r="7" spans="1:19" x14ac:dyDescent="0.35">
      <c r="J7" s="404"/>
      <c r="K7" s="405"/>
      <c r="L7" s="405"/>
      <c r="M7" s="405"/>
      <c r="N7" s="405"/>
      <c r="O7" s="405"/>
      <c r="P7" s="405"/>
      <c r="Q7" s="406"/>
    </row>
    <row r="8" spans="1:19" ht="15" thickBot="1" x14ac:dyDescent="0.4">
      <c r="J8" s="407"/>
      <c r="K8" s="408"/>
      <c r="L8" s="408"/>
      <c r="M8" s="408"/>
      <c r="N8" s="408"/>
      <c r="O8" s="408"/>
      <c r="P8" s="408"/>
      <c r="Q8" s="409"/>
    </row>
    <row r="9" spans="1:19" ht="15" thickBot="1" x14ac:dyDescent="0.4">
      <c r="J9" s="3" t="s">
        <v>12</v>
      </c>
    </row>
    <row r="10" spans="1:19" x14ac:dyDescent="0.35">
      <c r="J10" s="401"/>
      <c r="K10" s="402"/>
      <c r="L10" s="402"/>
      <c r="M10" s="402"/>
      <c r="N10" s="402"/>
      <c r="O10" s="402"/>
      <c r="P10" s="402"/>
      <c r="Q10" s="403"/>
    </row>
    <row r="11" spans="1:19" x14ac:dyDescent="0.35">
      <c r="J11" s="404"/>
      <c r="K11" s="405"/>
      <c r="L11" s="405"/>
      <c r="M11" s="405"/>
      <c r="N11" s="405"/>
      <c r="O11" s="405"/>
      <c r="P11" s="405"/>
      <c r="Q11" s="406"/>
    </row>
    <row r="12" spans="1:19" x14ac:dyDescent="0.35">
      <c r="J12" s="404"/>
      <c r="K12" s="405"/>
      <c r="L12" s="405"/>
      <c r="M12" s="405"/>
      <c r="N12" s="405"/>
      <c r="O12" s="405"/>
      <c r="P12" s="405"/>
      <c r="Q12" s="406"/>
    </row>
    <row r="13" spans="1:19" x14ac:dyDescent="0.35">
      <c r="J13" s="404"/>
      <c r="K13" s="405"/>
      <c r="L13" s="405"/>
      <c r="M13" s="405"/>
      <c r="N13" s="405"/>
      <c r="O13" s="405"/>
      <c r="P13" s="405"/>
      <c r="Q13" s="406"/>
    </row>
    <row r="14" spans="1:19" x14ac:dyDescent="0.35">
      <c r="J14" s="404"/>
      <c r="K14" s="405"/>
      <c r="L14" s="405"/>
      <c r="M14" s="405"/>
      <c r="N14" s="405"/>
      <c r="O14" s="405"/>
      <c r="P14" s="405"/>
      <c r="Q14" s="406"/>
    </row>
    <row r="15" spans="1:19" ht="15" thickBot="1" x14ac:dyDescent="0.4">
      <c r="J15" s="407"/>
      <c r="K15" s="408"/>
      <c r="L15" s="408"/>
      <c r="M15" s="408"/>
      <c r="N15" s="408"/>
      <c r="O15" s="408"/>
      <c r="P15" s="408"/>
      <c r="Q15" s="409"/>
    </row>
    <row r="18" spans="3:17" x14ac:dyDescent="0.35">
      <c r="C18" s="7" t="s">
        <v>8</v>
      </c>
      <c r="E18" s="11">
        <f>'KPI 1'!E18</f>
        <v>45839</v>
      </c>
      <c r="F18" s="11">
        <f>'KPI 1'!F18</f>
        <v>45870</v>
      </c>
      <c r="G18" s="11">
        <f>'KPI 1'!G18</f>
        <v>45901</v>
      </c>
      <c r="H18" s="11">
        <f>'KPI 1'!H18</f>
        <v>45931</v>
      </c>
      <c r="I18" s="11">
        <f>'KPI 1'!I18</f>
        <v>45962</v>
      </c>
      <c r="J18" s="11">
        <f>'KPI 1'!J18</f>
        <v>45992</v>
      </c>
      <c r="K18" s="11">
        <f>'KPI 1'!K18</f>
        <v>46023</v>
      </c>
      <c r="L18" s="11">
        <f>'KPI 1'!L18</f>
        <v>46054</v>
      </c>
      <c r="M18" s="11">
        <f>'KPI 1'!M18</f>
        <v>46082</v>
      </c>
      <c r="N18" s="11">
        <f>'KPI 1'!N18</f>
        <v>46113</v>
      </c>
      <c r="O18" s="11">
        <f>'KPI 1'!O18</f>
        <v>46143</v>
      </c>
      <c r="P18" s="11">
        <f>'KPI 1'!P18</f>
        <v>46174</v>
      </c>
      <c r="Q18" s="8" t="s">
        <v>0</v>
      </c>
    </row>
    <row r="19" spans="3:17" x14ac:dyDescent="0.35">
      <c r="D19" s="3" t="str">
        <f>'KPI 1'!D19</f>
        <v>Budget 2025-26</v>
      </c>
      <c r="E19" s="5">
        <f>'budget 2025-26'!D77</f>
        <v>265</v>
      </c>
      <c r="F19" s="5">
        <f>'budget 2025-26'!E77</f>
        <v>266</v>
      </c>
      <c r="G19" s="5">
        <f>'budget 2025-26'!F77</f>
        <v>267</v>
      </c>
      <c r="H19" s="5">
        <f>'budget 2025-26'!G77</f>
        <v>288</v>
      </c>
      <c r="I19" s="5">
        <f>'budget 2025-26'!H77</f>
        <v>299</v>
      </c>
      <c r="J19" s="5">
        <f>'budget 2025-26'!I77</f>
        <v>310</v>
      </c>
      <c r="K19" s="5">
        <f>'budget 2025-26'!J77</f>
        <v>321</v>
      </c>
      <c r="L19" s="5">
        <f>'budget 2025-26'!K77</f>
        <v>332</v>
      </c>
      <c r="M19" s="5">
        <f>'budget 2025-26'!L77</f>
        <v>343</v>
      </c>
      <c r="N19" s="5">
        <f>'budget 2025-26'!M77</f>
        <v>354</v>
      </c>
      <c r="O19" s="5">
        <f>'budget 2025-26'!N77</f>
        <v>365</v>
      </c>
      <c r="P19" s="5">
        <f>'budget 2025-26'!O77</f>
        <v>376</v>
      </c>
      <c r="Q19" s="5">
        <f>SUM(E19:P19)</f>
        <v>3786</v>
      </c>
    </row>
    <row r="20" spans="3:17" x14ac:dyDescent="0.35">
      <c r="D20" s="3" t="str">
        <f>'KPI 1'!D20</f>
        <v>Actual 2025-26</v>
      </c>
      <c r="E20" s="5">
        <f>'Input Actual2025-26'!E79</f>
        <v>264</v>
      </c>
      <c r="F20" s="5">
        <f>'Input Actual2025-26'!F79</f>
        <v>267</v>
      </c>
      <c r="G20" s="5">
        <f>'Input Actual2025-26'!G79</f>
        <v>269</v>
      </c>
      <c r="H20" s="5">
        <f>'Input Actual2025-26'!H79</f>
        <v>269</v>
      </c>
      <c r="I20" s="5">
        <f>'Input Actual2025-26'!I79</f>
        <v>271</v>
      </c>
      <c r="J20" s="5">
        <f>'Input Actual2025-26'!J79</f>
        <v>286</v>
      </c>
      <c r="K20" s="5">
        <f>'Input Actual2025-26'!K79</f>
        <v>292</v>
      </c>
      <c r="L20" s="5">
        <f>'Input Actual2025-26'!L79</f>
        <v>296</v>
      </c>
      <c r="M20" s="5">
        <f>'Input Actual2025-26'!M79</f>
        <v>0</v>
      </c>
      <c r="N20" s="5">
        <f>'Input Actual2025-26'!N79</f>
        <v>0</v>
      </c>
      <c r="O20" s="5">
        <f>'Input Actual2025-26'!O79</f>
        <v>0</v>
      </c>
      <c r="P20" s="5">
        <f>'Input Actual2025-26'!P79</f>
        <v>0</v>
      </c>
      <c r="Q20" s="5">
        <f t="shared" ref="Q20:Q22" si="0">SUM(E20:P20)</f>
        <v>2214</v>
      </c>
    </row>
    <row r="21" spans="3:17" x14ac:dyDescent="0.35">
      <c r="D21" s="3" t="s">
        <v>424</v>
      </c>
      <c r="E21" s="5">
        <f>'Input Actual2024-25'!E75</f>
        <v>252</v>
      </c>
      <c r="F21" s="5">
        <f>'Input Actual2024-25'!F75</f>
        <v>254</v>
      </c>
      <c r="G21" s="5">
        <f>'Input Actual2024-25'!G75</f>
        <v>254</v>
      </c>
      <c r="H21" s="5">
        <f>'Input Actual2024-25'!H75</f>
        <v>255</v>
      </c>
      <c r="I21" s="5">
        <f>'Input Actual2024-25'!I75</f>
        <v>255</v>
      </c>
      <c r="J21" s="5">
        <f>'Input Actual2024-25'!J75</f>
        <v>255</v>
      </c>
      <c r="K21" s="5">
        <f>'Input Actual2024-25'!K75</f>
        <v>256</v>
      </c>
      <c r="L21" s="5">
        <f>'Input Actual2024-25'!L75</f>
        <v>256</v>
      </c>
      <c r="M21" s="5">
        <f>'Input Actual2024-25'!M75</f>
        <v>259</v>
      </c>
      <c r="N21" s="5">
        <f>'Input Actual2024-25'!N75</f>
        <v>260</v>
      </c>
      <c r="O21" s="5">
        <f>'Input Actual2024-25'!O75</f>
        <v>263</v>
      </c>
      <c r="P21" s="5">
        <f>'Input Actual2024-25'!P75</f>
        <v>264</v>
      </c>
      <c r="Q21" s="5">
        <f t="shared" si="0"/>
        <v>3083</v>
      </c>
    </row>
    <row r="22" spans="3:17" x14ac:dyDescent="0.35">
      <c r="D22" s="3" t="s">
        <v>7</v>
      </c>
      <c r="E22" s="5">
        <f t="shared" ref="E22:P22" si="1">IF(E20=0,0,E20-E19)</f>
        <v>-1</v>
      </c>
      <c r="F22" s="5">
        <f t="shared" si="1"/>
        <v>1</v>
      </c>
      <c r="G22" s="5">
        <f t="shared" si="1"/>
        <v>2</v>
      </c>
      <c r="H22" s="5">
        <f t="shared" si="1"/>
        <v>-19</v>
      </c>
      <c r="I22" s="5">
        <f t="shared" si="1"/>
        <v>-28</v>
      </c>
      <c r="J22" s="5">
        <f t="shared" si="1"/>
        <v>-24</v>
      </c>
      <c r="K22" s="5">
        <f t="shared" si="1"/>
        <v>-29</v>
      </c>
      <c r="L22" s="5">
        <f t="shared" si="1"/>
        <v>-36</v>
      </c>
      <c r="M22" s="5">
        <f t="shared" si="1"/>
        <v>0</v>
      </c>
      <c r="N22" s="5">
        <f t="shared" si="1"/>
        <v>0</v>
      </c>
      <c r="O22" s="5">
        <f t="shared" si="1"/>
        <v>0</v>
      </c>
      <c r="P22" s="5">
        <f t="shared" si="1"/>
        <v>0</v>
      </c>
      <c r="Q22" s="5">
        <f t="shared" si="0"/>
        <v>-134</v>
      </c>
    </row>
    <row r="23" spans="3:17" x14ac:dyDescent="0.35">
      <c r="D23" s="3" t="s">
        <v>43</v>
      </c>
      <c r="E23" s="9">
        <f>E21/E19</f>
        <v>0.95094339622641511</v>
      </c>
      <c r="F23" s="9">
        <f t="shared" ref="F23:P23" si="2">F20/F19</f>
        <v>1.0037593984962405</v>
      </c>
      <c r="G23" s="9">
        <f t="shared" si="2"/>
        <v>1.0074906367041199</v>
      </c>
      <c r="H23" s="9">
        <f t="shared" si="2"/>
        <v>0.93402777777777779</v>
      </c>
      <c r="I23" s="9">
        <f t="shared" si="2"/>
        <v>0.90635451505016718</v>
      </c>
      <c r="J23" s="9">
        <f t="shared" si="2"/>
        <v>0.92258064516129035</v>
      </c>
      <c r="K23" s="9">
        <f t="shared" si="2"/>
        <v>0.90965732087227413</v>
      </c>
      <c r="L23" s="9">
        <f t="shared" si="2"/>
        <v>0.89156626506024095</v>
      </c>
      <c r="M23" s="9">
        <f t="shared" si="2"/>
        <v>0</v>
      </c>
      <c r="N23" s="9">
        <f t="shared" si="2"/>
        <v>0</v>
      </c>
      <c r="O23" s="9">
        <f t="shared" si="2"/>
        <v>0</v>
      </c>
      <c r="P23" s="9">
        <f t="shared" si="2"/>
        <v>0</v>
      </c>
    </row>
    <row r="25" spans="3:17" x14ac:dyDescent="0.35">
      <c r="C25" s="7" t="s">
        <v>3</v>
      </c>
      <c r="E25" s="11">
        <f>E18</f>
        <v>45839</v>
      </c>
      <c r="F25" s="11">
        <f t="shared" ref="F25:P28" si="3">F18</f>
        <v>45870</v>
      </c>
      <c r="G25" s="11">
        <f t="shared" si="3"/>
        <v>45901</v>
      </c>
      <c r="H25" s="11">
        <f t="shared" si="3"/>
        <v>45931</v>
      </c>
      <c r="I25" s="11">
        <f t="shared" si="3"/>
        <v>45962</v>
      </c>
      <c r="J25" s="11">
        <f t="shared" si="3"/>
        <v>45992</v>
      </c>
      <c r="K25" s="11">
        <f t="shared" si="3"/>
        <v>46023</v>
      </c>
      <c r="L25" s="11">
        <f t="shared" si="3"/>
        <v>46054</v>
      </c>
      <c r="M25" s="11">
        <f t="shared" si="3"/>
        <v>46082</v>
      </c>
      <c r="N25" s="11">
        <f t="shared" si="3"/>
        <v>46113</v>
      </c>
      <c r="O25" s="11">
        <f t="shared" si="3"/>
        <v>46143</v>
      </c>
      <c r="P25" s="11">
        <f t="shared" si="3"/>
        <v>46174</v>
      </c>
    </row>
    <row r="26" spans="3:17" x14ac:dyDescent="0.35">
      <c r="D26" s="3" t="str">
        <f>D19</f>
        <v>Budget 2025-26</v>
      </c>
      <c r="E26" s="5">
        <f>E19</f>
        <v>265</v>
      </c>
      <c r="F26" s="5">
        <f t="shared" si="3"/>
        <v>266</v>
      </c>
      <c r="G26" s="5">
        <f t="shared" si="3"/>
        <v>267</v>
      </c>
      <c r="H26" s="5">
        <f t="shared" si="3"/>
        <v>288</v>
      </c>
      <c r="I26" s="5">
        <f t="shared" si="3"/>
        <v>299</v>
      </c>
      <c r="J26" s="5">
        <f t="shared" si="3"/>
        <v>310</v>
      </c>
      <c r="K26" s="5">
        <f t="shared" si="3"/>
        <v>321</v>
      </c>
      <c r="L26" s="5">
        <f t="shared" si="3"/>
        <v>332</v>
      </c>
      <c r="M26" s="5">
        <f t="shared" si="3"/>
        <v>343</v>
      </c>
      <c r="N26" s="5">
        <f t="shared" si="3"/>
        <v>354</v>
      </c>
      <c r="O26" s="5">
        <f t="shared" si="3"/>
        <v>365</v>
      </c>
      <c r="P26" s="5">
        <f t="shared" si="3"/>
        <v>376</v>
      </c>
    </row>
    <row r="27" spans="3:17" x14ac:dyDescent="0.35">
      <c r="D27" s="3" t="str">
        <f t="shared" ref="D27:E30" si="4">D20</f>
        <v>Actual 2025-26</v>
      </c>
      <c r="E27" s="5">
        <f t="shared" si="4"/>
        <v>264</v>
      </c>
      <c r="F27" s="5">
        <f t="shared" si="3"/>
        <v>267</v>
      </c>
      <c r="G27" s="5">
        <f t="shared" si="3"/>
        <v>269</v>
      </c>
      <c r="H27" s="5">
        <f t="shared" si="3"/>
        <v>269</v>
      </c>
      <c r="I27" s="5">
        <f t="shared" si="3"/>
        <v>271</v>
      </c>
      <c r="J27" s="5">
        <f t="shared" si="3"/>
        <v>286</v>
      </c>
      <c r="K27" s="5">
        <f t="shared" si="3"/>
        <v>292</v>
      </c>
      <c r="L27" s="5">
        <f t="shared" si="3"/>
        <v>296</v>
      </c>
      <c r="M27" s="5">
        <f t="shared" si="3"/>
        <v>0</v>
      </c>
      <c r="N27" s="5">
        <f t="shared" si="3"/>
        <v>0</v>
      </c>
      <c r="O27" s="5">
        <f t="shared" si="3"/>
        <v>0</v>
      </c>
      <c r="P27" s="5">
        <f t="shared" si="3"/>
        <v>0</v>
      </c>
    </row>
    <row r="28" spans="3:17" x14ac:dyDescent="0.35">
      <c r="D28" s="3" t="str">
        <f t="shared" si="4"/>
        <v>Actual 2024-25</v>
      </c>
      <c r="E28" s="5">
        <f t="shared" si="4"/>
        <v>252</v>
      </c>
      <c r="F28" s="5">
        <f t="shared" si="3"/>
        <v>254</v>
      </c>
      <c r="G28" s="5">
        <f t="shared" si="3"/>
        <v>254</v>
      </c>
      <c r="H28" s="5">
        <f t="shared" si="3"/>
        <v>255</v>
      </c>
      <c r="I28" s="5">
        <f t="shared" si="3"/>
        <v>255</v>
      </c>
      <c r="J28" s="5">
        <f t="shared" si="3"/>
        <v>255</v>
      </c>
      <c r="K28" s="5">
        <f t="shared" si="3"/>
        <v>256</v>
      </c>
      <c r="L28" s="5">
        <f t="shared" si="3"/>
        <v>256</v>
      </c>
      <c r="M28" s="5">
        <f t="shared" si="3"/>
        <v>259</v>
      </c>
      <c r="N28" s="5">
        <f t="shared" si="3"/>
        <v>260</v>
      </c>
      <c r="O28" s="5">
        <f t="shared" si="3"/>
        <v>263</v>
      </c>
      <c r="P28" s="5">
        <f t="shared" si="3"/>
        <v>264</v>
      </c>
    </row>
    <row r="29" spans="3:17" x14ac:dyDescent="0.35">
      <c r="D29" s="3" t="str">
        <f t="shared" si="4"/>
        <v>Difference</v>
      </c>
      <c r="E29" s="5">
        <f>SUM($E22:E22)</f>
        <v>-1</v>
      </c>
      <c r="F29" s="5">
        <f>SUM($E22:F22)</f>
        <v>0</v>
      </c>
      <c r="G29" s="5">
        <f>SUM($E22:G22)</f>
        <v>2</v>
      </c>
      <c r="H29" s="5">
        <f>SUM($E22:H22)</f>
        <v>-17</v>
      </c>
      <c r="I29" s="5">
        <f>SUM($E22:I22)</f>
        <v>-45</v>
      </c>
      <c r="J29" s="5">
        <f>SUM($E22:J22)</f>
        <v>-69</v>
      </c>
      <c r="K29" s="5">
        <f>SUM($E22:K22)</f>
        <v>-98</v>
      </c>
      <c r="L29" s="5">
        <f>SUM($E22:L22)</f>
        <v>-134</v>
      </c>
      <c r="M29" s="5">
        <f>SUM($E22:M22)</f>
        <v>-134</v>
      </c>
      <c r="N29" s="5">
        <f>SUM($E22:N22)</f>
        <v>-134</v>
      </c>
      <c r="O29" s="5">
        <f>SUM($E22:O22)</f>
        <v>-134</v>
      </c>
      <c r="P29" s="5">
        <f>SUM($E22:P22)</f>
        <v>-134</v>
      </c>
    </row>
    <row r="30" spans="3:17" x14ac:dyDescent="0.35">
      <c r="D30" s="3" t="str">
        <f t="shared" si="4"/>
        <v>Realisation</v>
      </c>
      <c r="E30" s="9">
        <f>E28/E26</f>
        <v>0.95094339622641511</v>
      </c>
      <c r="F30" s="9">
        <f t="shared" ref="F30:P30" si="5">F27/F26</f>
        <v>1.0037593984962405</v>
      </c>
      <c r="G30" s="9">
        <f t="shared" si="5"/>
        <v>1.0074906367041199</v>
      </c>
      <c r="H30" s="9">
        <f t="shared" si="5"/>
        <v>0.93402777777777779</v>
      </c>
      <c r="I30" s="9">
        <f t="shared" si="5"/>
        <v>0.90635451505016718</v>
      </c>
      <c r="J30" s="9">
        <f t="shared" si="5"/>
        <v>0.92258064516129035</v>
      </c>
      <c r="K30" s="9">
        <f t="shared" si="5"/>
        <v>0.90965732087227413</v>
      </c>
      <c r="L30" s="9">
        <f t="shared" si="5"/>
        <v>0.89156626506024095</v>
      </c>
      <c r="M30" s="9">
        <f t="shared" si="5"/>
        <v>0</v>
      </c>
      <c r="N30" s="9">
        <f t="shared" si="5"/>
        <v>0</v>
      </c>
      <c r="O30" s="9">
        <f t="shared" si="5"/>
        <v>0</v>
      </c>
      <c r="P30" s="9">
        <f t="shared" si="5"/>
        <v>0</v>
      </c>
    </row>
  </sheetData>
  <mergeCells count="2">
    <mergeCell ref="J4:Q8"/>
    <mergeCell ref="J10:Q15"/>
  </mergeCells>
  <conditionalFormatting sqref="C3">
    <cfRule type="expression" dxfId="368" priority="2">
      <formula>S4&lt;S6</formula>
    </cfRule>
  </conditionalFormatting>
  <conditionalFormatting sqref="C5">
    <cfRule type="expression" dxfId="367" priority="3">
      <formula>S4&gt;=S5</formula>
    </cfRule>
  </conditionalFormatting>
  <conditionalFormatting sqref="C4">
    <cfRule type="expression" dxfId="366" priority="1">
      <formula>AND(S4&gt;=S6,S4&lt;S5)</formula>
    </cfRule>
  </conditionalFormatting>
  <hyperlinks>
    <hyperlink ref="L1" location="Dashboard!A1" display="Dashboard"/>
  </hyperlinks>
  <pageMargins left="0.7" right="0.7" top="0.75" bottom="0.75" header="0.3" footer="0.3"/>
  <pageSetup orientation="portrait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996353" r:id="rId4" name="Spinner 1">
              <controlPr defaultSize="0" autoPict="0">
                <anchor moveWithCells="1" sizeWithCells="1">
                  <from>
                    <xdr:col>9</xdr:col>
                    <xdr:colOff>19050</xdr:colOff>
                    <xdr:row>0</xdr:row>
                    <xdr:rowOff>38100</xdr:rowOff>
                  </from>
                  <to>
                    <xdr:col>9</xdr:col>
                    <xdr:colOff>400050</xdr:colOff>
                    <xdr:row>1</xdr:row>
                    <xdr:rowOff>152400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7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FFC000"/>
  </sheetPr>
  <dimension ref="A1:S30"/>
  <sheetViews>
    <sheetView topLeftCell="A7" workbookViewId="0">
      <selection activeCell="E20" sqref="E20:P20"/>
    </sheetView>
  </sheetViews>
  <sheetFormatPr defaultColWidth="9.1796875" defaultRowHeight="14.5" x14ac:dyDescent="0.35"/>
  <cols>
    <col min="1" max="1" width="9.1796875" style="3"/>
    <col min="2" max="2" width="5.1796875" style="3" customWidth="1"/>
    <col min="3" max="3" width="6.26953125" style="3" customWidth="1"/>
    <col min="4" max="4" width="21.26953125" style="3" bestFit="1" customWidth="1"/>
    <col min="5" max="16" width="11.1796875" style="3" customWidth="1"/>
    <col min="17" max="17" width="12" style="3" bestFit="1" customWidth="1"/>
    <col min="18" max="18" width="9.1796875" style="3" customWidth="1"/>
    <col min="19" max="16384" width="9.1796875" style="3"/>
  </cols>
  <sheetData>
    <row r="1" spans="1:19" ht="21" x14ac:dyDescent="0.5">
      <c r="A1" s="4" t="s">
        <v>4</v>
      </c>
      <c r="B1" s="4">
        <f>Dashboard!A87</f>
        <v>1</v>
      </c>
      <c r="C1" s="4" t="str">
        <f>Dashboard!B88</f>
        <v>IHINDU- ACTIVE WATER</v>
      </c>
      <c r="D1" s="4"/>
      <c r="G1" s="3" t="s">
        <v>9</v>
      </c>
      <c r="I1" s="12">
        <f>INDEX($E$18:$P$18,Actual_month)</f>
        <v>46054</v>
      </c>
      <c r="L1" s="16" t="s">
        <v>19</v>
      </c>
      <c r="R1" s="5"/>
    </row>
    <row r="2" spans="1:19" x14ac:dyDescent="0.35">
      <c r="A2" s="3" t="s">
        <v>13</v>
      </c>
      <c r="C2" s="3" t="s">
        <v>27</v>
      </c>
      <c r="R2" s="6"/>
    </row>
    <row r="3" spans="1:19" ht="25.5" customHeight="1" thickBot="1" x14ac:dyDescent="0.4">
      <c r="C3" s="1" t="s">
        <v>5</v>
      </c>
      <c r="E3" s="10"/>
      <c r="F3" s="10"/>
      <c r="G3" s="10"/>
      <c r="H3" s="10"/>
      <c r="I3" s="10"/>
      <c r="J3" s="3" t="s">
        <v>6</v>
      </c>
      <c r="K3" s="10"/>
      <c r="M3" s="10"/>
      <c r="N3" s="10"/>
      <c r="O3" s="10"/>
      <c r="P3" s="10"/>
    </row>
    <row r="4" spans="1:19" ht="25.5" customHeight="1" x14ac:dyDescent="0.35">
      <c r="C4" s="1" t="s">
        <v>5</v>
      </c>
      <c r="E4" s="10"/>
      <c r="F4" s="10"/>
      <c r="G4" s="10"/>
      <c r="H4" s="10"/>
      <c r="I4" s="10"/>
      <c r="J4" s="401"/>
      <c r="K4" s="402"/>
      <c r="L4" s="402"/>
      <c r="M4" s="402"/>
      <c r="N4" s="402"/>
      <c r="O4" s="402"/>
      <c r="P4" s="402"/>
      <c r="Q4" s="403"/>
      <c r="R4" s="3" t="s">
        <v>22</v>
      </c>
      <c r="S4" s="5">
        <f>INDEX(E27:P27,Actual_month)</f>
        <v>17</v>
      </c>
    </row>
    <row r="5" spans="1:19" ht="25.5" customHeight="1" x14ac:dyDescent="0.35">
      <c r="C5" s="1" t="s">
        <v>5</v>
      </c>
      <c r="E5" s="10"/>
      <c r="F5" s="10"/>
      <c r="G5" s="10"/>
      <c r="H5" s="10"/>
      <c r="I5" s="10"/>
      <c r="J5" s="404"/>
      <c r="K5" s="405"/>
      <c r="L5" s="405"/>
      <c r="M5" s="405"/>
      <c r="N5" s="405"/>
      <c r="O5" s="405"/>
      <c r="P5" s="405"/>
      <c r="Q5" s="406"/>
      <c r="R5" s="3" t="s">
        <v>23</v>
      </c>
      <c r="S5" s="5">
        <f>INDEX(E26:P26,Actual_month)</f>
        <v>242</v>
      </c>
    </row>
    <row r="6" spans="1:19" x14ac:dyDescent="0.35">
      <c r="J6" s="404"/>
      <c r="K6" s="405"/>
      <c r="L6" s="405"/>
      <c r="M6" s="405"/>
      <c r="N6" s="405"/>
      <c r="O6" s="405"/>
      <c r="P6" s="405"/>
      <c r="Q6" s="406"/>
      <c r="R6" s="6">
        <v>0.9</v>
      </c>
      <c r="S6" s="5">
        <f>+S5*R6</f>
        <v>217.8</v>
      </c>
    </row>
    <row r="7" spans="1:19" x14ac:dyDescent="0.35">
      <c r="J7" s="404"/>
      <c r="K7" s="405"/>
      <c r="L7" s="405"/>
      <c r="M7" s="405"/>
      <c r="N7" s="405"/>
      <c r="O7" s="405"/>
      <c r="P7" s="405"/>
      <c r="Q7" s="406"/>
    </row>
    <row r="8" spans="1:19" ht="15" thickBot="1" x14ac:dyDescent="0.4">
      <c r="J8" s="407"/>
      <c r="K8" s="408"/>
      <c r="L8" s="408"/>
      <c r="M8" s="408"/>
      <c r="N8" s="408"/>
      <c r="O8" s="408"/>
      <c r="P8" s="408"/>
      <c r="Q8" s="409"/>
    </row>
    <row r="9" spans="1:19" ht="15" thickBot="1" x14ac:dyDescent="0.4">
      <c r="J9" s="3" t="s">
        <v>12</v>
      </c>
    </row>
    <row r="10" spans="1:19" x14ac:dyDescent="0.35">
      <c r="J10" s="401"/>
      <c r="K10" s="402"/>
      <c r="L10" s="402"/>
      <c r="M10" s="402"/>
      <c r="N10" s="402"/>
      <c r="O10" s="402"/>
      <c r="P10" s="402"/>
      <c r="Q10" s="403"/>
    </row>
    <row r="11" spans="1:19" x14ac:dyDescent="0.35">
      <c r="J11" s="404"/>
      <c r="K11" s="405"/>
      <c r="L11" s="405"/>
      <c r="M11" s="405"/>
      <c r="N11" s="405"/>
      <c r="O11" s="405"/>
      <c r="P11" s="405"/>
      <c r="Q11" s="406"/>
    </row>
    <row r="12" spans="1:19" x14ac:dyDescent="0.35">
      <c r="J12" s="404"/>
      <c r="K12" s="405"/>
      <c r="L12" s="405"/>
      <c r="M12" s="405"/>
      <c r="N12" s="405"/>
      <c r="O12" s="405"/>
      <c r="P12" s="405"/>
      <c r="Q12" s="406"/>
    </row>
    <row r="13" spans="1:19" x14ac:dyDescent="0.35">
      <c r="J13" s="404"/>
      <c r="K13" s="405"/>
      <c r="L13" s="405"/>
      <c r="M13" s="405"/>
      <c r="N13" s="405"/>
      <c r="O13" s="405"/>
      <c r="P13" s="405"/>
      <c r="Q13" s="406"/>
    </row>
    <row r="14" spans="1:19" x14ac:dyDescent="0.35">
      <c r="J14" s="404"/>
      <c r="K14" s="405"/>
      <c r="L14" s="405"/>
      <c r="M14" s="405"/>
      <c r="N14" s="405"/>
      <c r="O14" s="405"/>
      <c r="P14" s="405"/>
      <c r="Q14" s="406"/>
    </row>
    <row r="15" spans="1:19" ht="15" thickBot="1" x14ac:dyDescent="0.4">
      <c r="J15" s="407"/>
      <c r="K15" s="408"/>
      <c r="L15" s="408"/>
      <c r="M15" s="408"/>
      <c r="N15" s="408"/>
      <c r="O15" s="408"/>
      <c r="P15" s="408"/>
      <c r="Q15" s="409"/>
    </row>
    <row r="18" spans="3:17" x14ac:dyDescent="0.35">
      <c r="C18" s="7" t="s">
        <v>8</v>
      </c>
      <c r="E18" s="11">
        <f>'KPI 1'!E18</f>
        <v>45839</v>
      </c>
      <c r="F18" s="11">
        <f>'KPI 1'!F18</f>
        <v>45870</v>
      </c>
      <c r="G18" s="11">
        <f>'KPI 1'!G18</f>
        <v>45901</v>
      </c>
      <c r="H18" s="11">
        <f>'KPI 1'!H18</f>
        <v>45931</v>
      </c>
      <c r="I18" s="11">
        <f>'KPI 1'!I18</f>
        <v>45962</v>
      </c>
      <c r="J18" s="11">
        <f>'KPI 1'!J18</f>
        <v>45992</v>
      </c>
      <c r="K18" s="11">
        <f>'KPI 1'!K18</f>
        <v>46023</v>
      </c>
      <c r="L18" s="11">
        <f>'KPI 1'!L18</f>
        <v>46054</v>
      </c>
      <c r="M18" s="11">
        <f>'KPI 1'!M18</f>
        <v>46082</v>
      </c>
      <c r="N18" s="11">
        <f>'KPI 1'!N18</f>
        <v>46113</v>
      </c>
      <c r="O18" s="11">
        <f>'KPI 1'!O18</f>
        <v>46143</v>
      </c>
      <c r="P18" s="11">
        <f>'KPI 1'!P18</f>
        <v>46174</v>
      </c>
      <c r="Q18" s="8" t="s">
        <v>0</v>
      </c>
    </row>
    <row r="19" spans="3:17" x14ac:dyDescent="0.35">
      <c r="D19" s="3" t="str">
        <f>'KPI 1'!D19</f>
        <v>Budget 2025-26</v>
      </c>
      <c r="E19" s="5">
        <f>'budget 2025-26'!D82</f>
        <v>51</v>
      </c>
      <c r="F19" s="5">
        <f>'budget 2025-26'!E82</f>
        <v>89</v>
      </c>
      <c r="G19" s="5">
        <f>'budget 2025-26'!F82</f>
        <v>122</v>
      </c>
      <c r="H19" s="5">
        <f>'budget 2025-26'!G82</f>
        <v>150</v>
      </c>
      <c r="I19" s="5">
        <f>'budget 2025-26'!H82</f>
        <v>178</v>
      </c>
      <c r="J19" s="5">
        <f>'budget 2025-26'!I82</f>
        <v>201</v>
      </c>
      <c r="K19" s="5">
        <f>'budget 2025-26'!J82</f>
        <v>224</v>
      </c>
      <c r="L19" s="5">
        <f>'budget 2025-26'!K82</f>
        <v>242</v>
      </c>
      <c r="M19" s="5">
        <f>'budget 2025-26'!L82</f>
        <v>260</v>
      </c>
      <c r="N19" s="5">
        <f>'budget 2025-26'!M82</f>
        <v>278</v>
      </c>
      <c r="O19" s="5">
        <f>'budget 2025-26'!N82</f>
        <v>296</v>
      </c>
      <c r="P19" s="5">
        <f>'budget 2025-26'!O82</f>
        <v>314</v>
      </c>
      <c r="Q19" s="5">
        <f>SUM(E19:P19)</f>
        <v>2405</v>
      </c>
    </row>
    <row r="20" spans="3:17" x14ac:dyDescent="0.35">
      <c r="D20" s="3" t="str">
        <f>'KPI 1'!D20</f>
        <v>Actual 2025-26</v>
      </c>
      <c r="E20" s="5">
        <f>'Input Actual2025-26'!E84</f>
        <v>13</v>
      </c>
      <c r="F20" s="5">
        <f>'Input Actual2025-26'!F84</f>
        <v>16</v>
      </c>
      <c r="G20" s="5">
        <f>'Input Actual2025-26'!G84</f>
        <v>16</v>
      </c>
      <c r="H20" s="5">
        <f>'Input Actual2025-26'!H84</f>
        <v>16</v>
      </c>
      <c r="I20" s="5">
        <f>'Input Actual2025-26'!I84</f>
        <v>16</v>
      </c>
      <c r="J20" s="5">
        <f>'Input Actual2025-26'!J84</f>
        <v>16</v>
      </c>
      <c r="K20" s="5">
        <f>'Input Actual2025-26'!K84</f>
        <v>17</v>
      </c>
      <c r="L20" s="5">
        <f>'Input Actual2025-26'!L84</f>
        <v>17</v>
      </c>
      <c r="M20" s="5">
        <f>'Input Actual2025-26'!M84</f>
        <v>0</v>
      </c>
      <c r="N20" s="5">
        <f>'Input Actual2025-26'!N84</f>
        <v>0</v>
      </c>
      <c r="O20" s="5">
        <f>'Input Actual2025-26'!O84</f>
        <v>0</v>
      </c>
      <c r="P20" s="5">
        <f>'Input Actual2025-26'!P84</f>
        <v>0</v>
      </c>
      <c r="Q20" s="5">
        <f t="shared" ref="Q20:Q22" si="0">SUM(E20:P20)</f>
        <v>127</v>
      </c>
    </row>
    <row r="21" spans="3:17" x14ac:dyDescent="0.35">
      <c r="D21" s="3" t="s">
        <v>424</v>
      </c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>
        <f t="shared" si="0"/>
        <v>0</v>
      </c>
    </row>
    <row r="22" spans="3:17" x14ac:dyDescent="0.35">
      <c r="D22" s="3" t="s">
        <v>7</v>
      </c>
      <c r="E22" s="5">
        <f t="shared" ref="E22:P22" si="1">IF(E20=0,0,E20-E19)</f>
        <v>-38</v>
      </c>
      <c r="F22" s="5">
        <f t="shared" si="1"/>
        <v>-73</v>
      </c>
      <c r="G22" s="5">
        <f t="shared" si="1"/>
        <v>-106</v>
      </c>
      <c r="H22" s="5">
        <f t="shared" si="1"/>
        <v>-134</v>
      </c>
      <c r="I22" s="5">
        <f t="shared" si="1"/>
        <v>-162</v>
      </c>
      <c r="J22" s="5">
        <f t="shared" si="1"/>
        <v>-185</v>
      </c>
      <c r="K22" s="5">
        <f t="shared" si="1"/>
        <v>-207</v>
      </c>
      <c r="L22" s="5">
        <f t="shared" si="1"/>
        <v>-225</v>
      </c>
      <c r="M22" s="5">
        <f t="shared" si="1"/>
        <v>0</v>
      </c>
      <c r="N22" s="5">
        <f t="shared" si="1"/>
        <v>0</v>
      </c>
      <c r="O22" s="5">
        <f t="shared" si="1"/>
        <v>0</v>
      </c>
      <c r="P22" s="5">
        <f t="shared" si="1"/>
        <v>0</v>
      </c>
      <c r="Q22" s="5">
        <f t="shared" si="0"/>
        <v>-1130</v>
      </c>
    </row>
    <row r="23" spans="3:17" x14ac:dyDescent="0.35">
      <c r="D23" s="3" t="s">
        <v>43</v>
      </c>
      <c r="E23" s="9">
        <f>E21/E19</f>
        <v>0</v>
      </c>
      <c r="F23" s="9">
        <f t="shared" ref="F23:P23" si="2">F20/F19</f>
        <v>0.1797752808988764</v>
      </c>
      <c r="G23" s="9">
        <f t="shared" si="2"/>
        <v>0.13114754098360656</v>
      </c>
      <c r="H23" s="9">
        <f t="shared" si="2"/>
        <v>0.10666666666666667</v>
      </c>
      <c r="I23" s="9">
        <f t="shared" si="2"/>
        <v>8.98876404494382E-2</v>
      </c>
      <c r="J23" s="9">
        <f t="shared" si="2"/>
        <v>7.9601990049751242E-2</v>
      </c>
      <c r="K23" s="9">
        <f t="shared" si="2"/>
        <v>7.5892857142857137E-2</v>
      </c>
      <c r="L23" s="9">
        <f t="shared" si="2"/>
        <v>7.0247933884297523E-2</v>
      </c>
      <c r="M23" s="9">
        <f t="shared" si="2"/>
        <v>0</v>
      </c>
      <c r="N23" s="9">
        <f t="shared" si="2"/>
        <v>0</v>
      </c>
      <c r="O23" s="9">
        <f t="shared" si="2"/>
        <v>0</v>
      </c>
      <c r="P23" s="9">
        <f t="shared" si="2"/>
        <v>0</v>
      </c>
    </row>
    <row r="25" spans="3:17" x14ac:dyDescent="0.35">
      <c r="C25" s="7" t="s">
        <v>3</v>
      </c>
      <c r="E25" s="11">
        <f>E18</f>
        <v>45839</v>
      </c>
      <c r="F25" s="11">
        <f t="shared" ref="F25:P28" si="3">F18</f>
        <v>45870</v>
      </c>
      <c r="G25" s="11">
        <f t="shared" si="3"/>
        <v>45901</v>
      </c>
      <c r="H25" s="11">
        <f t="shared" si="3"/>
        <v>45931</v>
      </c>
      <c r="I25" s="11">
        <f t="shared" si="3"/>
        <v>45962</v>
      </c>
      <c r="J25" s="11">
        <f t="shared" si="3"/>
        <v>45992</v>
      </c>
      <c r="K25" s="11">
        <f t="shared" si="3"/>
        <v>46023</v>
      </c>
      <c r="L25" s="11">
        <f t="shared" si="3"/>
        <v>46054</v>
      </c>
      <c r="M25" s="11">
        <f t="shared" si="3"/>
        <v>46082</v>
      </c>
      <c r="N25" s="11">
        <f t="shared" si="3"/>
        <v>46113</v>
      </c>
      <c r="O25" s="11">
        <f t="shared" si="3"/>
        <v>46143</v>
      </c>
      <c r="P25" s="11">
        <f t="shared" si="3"/>
        <v>46174</v>
      </c>
    </row>
    <row r="26" spans="3:17" x14ac:dyDescent="0.35">
      <c r="D26" s="3" t="str">
        <f>D19</f>
        <v>Budget 2025-26</v>
      </c>
      <c r="E26" s="5">
        <f>E19</f>
        <v>51</v>
      </c>
      <c r="F26" s="5">
        <f t="shared" si="3"/>
        <v>89</v>
      </c>
      <c r="G26" s="5">
        <f t="shared" si="3"/>
        <v>122</v>
      </c>
      <c r="H26" s="5">
        <f t="shared" si="3"/>
        <v>150</v>
      </c>
      <c r="I26" s="5">
        <f t="shared" si="3"/>
        <v>178</v>
      </c>
      <c r="J26" s="5">
        <f t="shared" si="3"/>
        <v>201</v>
      </c>
      <c r="K26" s="5">
        <f t="shared" si="3"/>
        <v>224</v>
      </c>
      <c r="L26" s="5">
        <f t="shared" si="3"/>
        <v>242</v>
      </c>
      <c r="M26" s="5">
        <f t="shared" si="3"/>
        <v>260</v>
      </c>
      <c r="N26" s="5">
        <f t="shared" si="3"/>
        <v>278</v>
      </c>
      <c r="O26" s="5">
        <f t="shared" si="3"/>
        <v>296</v>
      </c>
      <c r="P26" s="5">
        <f t="shared" si="3"/>
        <v>314</v>
      </c>
    </row>
    <row r="27" spans="3:17" x14ac:dyDescent="0.35">
      <c r="D27" s="3" t="str">
        <f t="shared" ref="D27:E30" si="4">D20</f>
        <v>Actual 2025-26</v>
      </c>
      <c r="E27" s="5">
        <f t="shared" si="4"/>
        <v>13</v>
      </c>
      <c r="F27" s="5">
        <f t="shared" si="3"/>
        <v>16</v>
      </c>
      <c r="G27" s="5">
        <f t="shared" si="3"/>
        <v>16</v>
      </c>
      <c r="H27" s="5">
        <f t="shared" si="3"/>
        <v>16</v>
      </c>
      <c r="I27" s="5">
        <f t="shared" si="3"/>
        <v>16</v>
      </c>
      <c r="J27" s="5">
        <f t="shared" si="3"/>
        <v>16</v>
      </c>
      <c r="K27" s="5">
        <f t="shared" si="3"/>
        <v>17</v>
      </c>
      <c r="L27" s="5">
        <f t="shared" si="3"/>
        <v>17</v>
      </c>
      <c r="M27" s="5">
        <f t="shared" si="3"/>
        <v>0</v>
      </c>
      <c r="N27" s="5">
        <f t="shared" si="3"/>
        <v>0</v>
      </c>
      <c r="O27" s="5">
        <f t="shared" si="3"/>
        <v>0</v>
      </c>
      <c r="P27" s="5">
        <f t="shared" si="3"/>
        <v>0</v>
      </c>
    </row>
    <row r="28" spans="3:17" x14ac:dyDescent="0.35">
      <c r="D28" s="3" t="str">
        <f t="shared" si="4"/>
        <v>Actual 2024-25</v>
      </c>
      <c r="E28" s="5">
        <f t="shared" si="4"/>
        <v>0</v>
      </c>
      <c r="F28" s="5">
        <f t="shared" si="3"/>
        <v>0</v>
      </c>
      <c r="G28" s="5">
        <f t="shared" si="3"/>
        <v>0</v>
      </c>
      <c r="H28" s="5">
        <f t="shared" si="3"/>
        <v>0</v>
      </c>
      <c r="I28" s="5">
        <f t="shared" si="3"/>
        <v>0</v>
      </c>
      <c r="J28" s="5">
        <f t="shared" si="3"/>
        <v>0</v>
      </c>
      <c r="K28" s="5">
        <f t="shared" si="3"/>
        <v>0</v>
      </c>
      <c r="L28" s="5">
        <f t="shared" si="3"/>
        <v>0</v>
      </c>
      <c r="M28" s="5">
        <f t="shared" si="3"/>
        <v>0</v>
      </c>
      <c r="N28" s="5">
        <f t="shared" si="3"/>
        <v>0</v>
      </c>
      <c r="O28" s="5">
        <f t="shared" si="3"/>
        <v>0</v>
      </c>
      <c r="P28" s="5">
        <f t="shared" si="3"/>
        <v>0</v>
      </c>
    </row>
    <row r="29" spans="3:17" x14ac:dyDescent="0.35">
      <c r="D29" s="3" t="str">
        <f t="shared" si="4"/>
        <v>Difference</v>
      </c>
      <c r="E29" s="5">
        <f>SUM($E22:E22)</f>
        <v>-38</v>
      </c>
      <c r="F29" s="5">
        <f>SUM($E22:F22)</f>
        <v>-111</v>
      </c>
      <c r="G29" s="5">
        <f>SUM($E22:G22)</f>
        <v>-217</v>
      </c>
      <c r="H29" s="5">
        <f>SUM($E22:H22)</f>
        <v>-351</v>
      </c>
      <c r="I29" s="5">
        <f>SUM($E22:I22)</f>
        <v>-513</v>
      </c>
      <c r="J29" s="5">
        <f>SUM($E22:J22)</f>
        <v>-698</v>
      </c>
      <c r="K29" s="5">
        <f>SUM($E22:K22)</f>
        <v>-905</v>
      </c>
      <c r="L29" s="5">
        <f>SUM($E22:L22)</f>
        <v>-1130</v>
      </c>
      <c r="M29" s="5">
        <f>SUM($E22:M22)</f>
        <v>-1130</v>
      </c>
      <c r="N29" s="5">
        <f>SUM($E22:N22)</f>
        <v>-1130</v>
      </c>
      <c r="O29" s="5">
        <f>SUM($E22:O22)</f>
        <v>-1130</v>
      </c>
      <c r="P29" s="5">
        <f>SUM($E22:P22)</f>
        <v>-1130</v>
      </c>
    </row>
    <row r="30" spans="3:17" x14ac:dyDescent="0.35">
      <c r="D30" s="3" t="str">
        <f t="shared" si="4"/>
        <v>Realisation</v>
      </c>
      <c r="E30" s="9">
        <f>E28/E26</f>
        <v>0</v>
      </c>
      <c r="F30" s="9">
        <f t="shared" ref="F30:P30" si="5">F27/F26</f>
        <v>0.1797752808988764</v>
      </c>
      <c r="G30" s="9">
        <f t="shared" si="5"/>
        <v>0.13114754098360656</v>
      </c>
      <c r="H30" s="9">
        <f t="shared" si="5"/>
        <v>0.10666666666666667</v>
      </c>
      <c r="I30" s="9">
        <f t="shared" si="5"/>
        <v>8.98876404494382E-2</v>
      </c>
      <c r="J30" s="9">
        <f t="shared" si="5"/>
        <v>7.9601990049751242E-2</v>
      </c>
      <c r="K30" s="9">
        <f t="shared" si="5"/>
        <v>7.5892857142857137E-2</v>
      </c>
      <c r="L30" s="9">
        <f t="shared" si="5"/>
        <v>7.0247933884297523E-2</v>
      </c>
      <c r="M30" s="9">
        <f t="shared" si="5"/>
        <v>0</v>
      </c>
      <c r="N30" s="9">
        <f t="shared" si="5"/>
        <v>0</v>
      </c>
      <c r="O30" s="9">
        <f t="shared" si="5"/>
        <v>0</v>
      </c>
      <c r="P30" s="9">
        <f t="shared" si="5"/>
        <v>0</v>
      </c>
    </row>
  </sheetData>
  <mergeCells count="2">
    <mergeCell ref="J4:Q8"/>
    <mergeCell ref="J10:Q15"/>
  </mergeCells>
  <conditionalFormatting sqref="C3">
    <cfRule type="expression" dxfId="365" priority="2">
      <formula>S4&lt;S6</formula>
    </cfRule>
  </conditionalFormatting>
  <conditionalFormatting sqref="C5">
    <cfRule type="expression" dxfId="364" priority="3">
      <formula>S4&gt;=S5</formula>
    </cfRule>
  </conditionalFormatting>
  <conditionalFormatting sqref="C4">
    <cfRule type="expression" dxfId="363" priority="1">
      <formula>AND(S4&gt;=S6,S4&lt;S5)</formula>
    </cfRule>
  </conditionalFormatting>
  <hyperlinks>
    <hyperlink ref="L1" location="Dashboard!A1" display="Dashboard"/>
  </hyperlinks>
  <pageMargins left="0.7" right="0.7" top="0.75" bottom="0.75" header="0.3" footer="0.3"/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2122753" r:id="rId3" name="Spinner 1">
              <controlPr defaultSize="0" autoPict="0">
                <anchor moveWithCells="1" sizeWithCells="1">
                  <from>
                    <xdr:col>9</xdr:col>
                    <xdr:colOff>19050</xdr:colOff>
                    <xdr:row>0</xdr:row>
                    <xdr:rowOff>38100</xdr:rowOff>
                  </from>
                  <to>
                    <xdr:col>9</xdr:col>
                    <xdr:colOff>400050</xdr:colOff>
                    <xdr:row>1</xdr:row>
                    <xdr:rowOff>152400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7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61">
    <tabColor rgb="FFFFC000"/>
  </sheetPr>
  <dimension ref="A1:S30"/>
  <sheetViews>
    <sheetView zoomScale="90" zoomScaleNormal="90" workbookViewId="0">
      <selection activeCell="L1" sqref="L1"/>
    </sheetView>
  </sheetViews>
  <sheetFormatPr defaultColWidth="9.1796875" defaultRowHeight="14.5" x14ac:dyDescent="0.35"/>
  <cols>
    <col min="1" max="1" width="9.1796875" style="3"/>
    <col min="2" max="2" width="5.1796875" style="3" customWidth="1"/>
    <col min="3" max="3" width="6.26953125" style="3" customWidth="1"/>
    <col min="4" max="4" width="21.26953125" style="3" bestFit="1" customWidth="1"/>
    <col min="5" max="16" width="11.1796875" style="3" customWidth="1"/>
    <col min="17" max="17" width="12" style="3" bestFit="1" customWidth="1"/>
    <col min="18" max="18" width="9.1796875" style="3" customWidth="1"/>
    <col min="19" max="16384" width="9.1796875" style="3"/>
  </cols>
  <sheetData>
    <row r="1" spans="1:19" ht="21" x14ac:dyDescent="0.5">
      <c r="A1" s="4" t="s">
        <v>4</v>
      </c>
      <c r="B1" s="4">
        <f>Dashboard!A87</f>
        <v>1</v>
      </c>
      <c r="C1" s="4" t="str">
        <f>Dashboard!B87</f>
        <v>KAYOLE- ACTIVE WATER</v>
      </c>
      <c r="D1" s="4"/>
      <c r="G1" s="3" t="s">
        <v>9</v>
      </c>
      <c r="I1" s="12">
        <f>INDEX($E$18:$P$18,Actual_month)</f>
        <v>46054</v>
      </c>
      <c r="L1" s="16" t="s">
        <v>19</v>
      </c>
      <c r="R1" s="5"/>
    </row>
    <row r="2" spans="1:19" x14ac:dyDescent="0.35">
      <c r="A2" s="3" t="s">
        <v>13</v>
      </c>
      <c r="C2" s="3" t="s">
        <v>27</v>
      </c>
      <c r="R2" s="6"/>
    </row>
    <row r="3" spans="1:19" ht="25.5" customHeight="1" thickBot="1" x14ac:dyDescent="0.4">
      <c r="C3" s="1" t="s">
        <v>5</v>
      </c>
      <c r="E3" s="10"/>
      <c r="F3" s="10"/>
      <c r="G3" s="10"/>
      <c r="H3" s="10"/>
      <c r="I3" s="10"/>
      <c r="J3" s="3" t="s">
        <v>6</v>
      </c>
      <c r="K3" s="10"/>
      <c r="M3" s="10"/>
      <c r="N3" s="10"/>
      <c r="O3" s="10"/>
      <c r="P3" s="10"/>
    </row>
    <row r="4" spans="1:19" ht="25.5" customHeight="1" x14ac:dyDescent="0.35">
      <c r="C4" s="1" t="s">
        <v>5</v>
      </c>
      <c r="E4" s="10"/>
      <c r="F4" s="10"/>
      <c r="G4" s="10"/>
      <c r="H4" s="10"/>
      <c r="I4" s="10"/>
      <c r="J4" s="401"/>
      <c r="K4" s="402"/>
      <c r="L4" s="402"/>
      <c r="M4" s="402"/>
      <c r="N4" s="402"/>
      <c r="O4" s="402"/>
      <c r="P4" s="402"/>
      <c r="Q4" s="403"/>
      <c r="R4" s="3" t="s">
        <v>22</v>
      </c>
      <c r="S4" s="5">
        <f>INDEX(E27:P27,Actual_month)</f>
        <v>2926</v>
      </c>
    </row>
    <row r="5" spans="1:19" ht="25.5" customHeight="1" x14ac:dyDescent="0.35">
      <c r="C5" s="1" t="s">
        <v>5</v>
      </c>
      <c r="E5" s="10"/>
      <c r="F5" s="10"/>
      <c r="G5" s="10"/>
      <c r="H5" s="10"/>
      <c r="I5" s="10"/>
      <c r="J5" s="404"/>
      <c r="K5" s="405"/>
      <c r="L5" s="405"/>
      <c r="M5" s="405"/>
      <c r="N5" s="405"/>
      <c r="O5" s="405"/>
      <c r="P5" s="405"/>
      <c r="Q5" s="406"/>
      <c r="R5" s="3" t="s">
        <v>23</v>
      </c>
      <c r="S5" s="5">
        <f>INDEX(E26:P26,Actual_month)</f>
        <v>2886</v>
      </c>
    </row>
    <row r="6" spans="1:19" x14ac:dyDescent="0.35">
      <c r="J6" s="404"/>
      <c r="K6" s="405"/>
      <c r="L6" s="405"/>
      <c r="M6" s="405"/>
      <c r="N6" s="405"/>
      <c r="O6" s="405"/>
      <c r="P6" s="405"/>
      <c r="Q6" s="406"/>
      <c r="R6" s="6">
        <v>0.9</v>
      </c>
      <c r="S6" s="5">
        <f>+S5*R6</f>
        <v>2597.4</v>
      </c>
    </row>
    <row r="7" spans="1:19" x14ac:dyDescent="0.35">
      <c r="J7" s="404"/>
      <c r="K7" s="405"/>
      <c r="L7" s="405"/>
      <c r="M7" s="405"/>
      <c r="N7" s="405"/>
      <c r="O7" s="405"/>
      <c r="P7" s="405"/>
      <c r="Q7" s="406"/>
    </row>
    <row r="8" spans="1:19" ht="15" thickBot="1" x14ac:dyDescent="0.4">
      <c r="J8" s="407"/>
      <c r="K8" s="408"/>
      <c r="L8" s="408"/>
      <c r="M8" s="408"/>
      <c r="N8" s="408"/>
      <c r="O8" s="408"/>
      <c r="P8" s="408"/>
      <c r="Q8" s="409"/>
    </row>
    <row r="9" spans="1:19" ht="15" thickBot="1" x14ac:dyDescent="0.4">
      <c r="J9" s="3" t="s">
        <v>12</v>
      </c>
    </row>
    <row r="10" spans="1:19" x14ac:dyDescent="0.35">
      <c r="J10" s="401"/>
      <c r="K10" s="402"/>
      <c r="L10" s="402"/>
      <c r="M10" s="402"/>
      <c r="N10" s="402"/>
      <c r="O10" s="402"/>
      <c r="P10" s="402"/>
      <c r="Q10" s="403"/>
    </row>
    <row r="11" spans="1:19" x14ac:dyDescent="0.35">
      <c r="J11" s="404"/>
      <c r="K11" s="405"/>
      <c r="L11" s="405"/>
      <c r="M11" s="405"/>
      <c r="N11" s="405"/>
      <c r="O11" s="405"/>
      <c r="P11" s="405"/>
      <c r="Q11" s="406"/>
    </row>
    <row r="12" spans="1:19" x14ac:dyDescent="0.35">
      <c r="J12" s="404"/>
      <c r="K12" s="405"/>
      <c r="L12" s="405"/>
      <c r="M12" s="405"/>
      <c r="N12" s="405"/>
      <c r="O12" s="405"/>
      <c r="P12" s="405"/>
      <c r="Q12" s="406"/>
    </row>
    <row r="13" spans="1:19" x14ac:dyDescent="0.35">
      <c r="J13" s="404"/>
      <c r="K13" s="405"/>
      <c r="L13" s="405"/>
      <c r="M13" s="405"/>
      <c r="N13" s="405"/>
      <c r="O13" s="405"/>
      <c r="P13" s="405"/>
      <c r="Q13" s="406"/>
    </row>
    <row r="14" spans="1:19" x14ac:dyDescent="0.35">
      <c r="J14" s="404"/>
      <c r="K14" s="405"/>
      <c r="L14" s="405"/>
      <c r="M14" s="405"/>
      <c r="N14" s="405"/>
      <c r="O14" s="405"/>
      <c r="P14" s="405"/>
      <c r="Q14" s="406"/>
    </row>
    <row r="15" spans="1:19" ht="15" thickBot="1" x14ac:dyDescent="0.4">
      <c r="J15" s="407"/>
      <c r="K15" s="408"/>
      <c r="L15" s="408"/>
      <c r="M15" s="408"/>
      <c r="N15" s="408"/>
      <c r="O15" s="408"/>
      <c r="P15" s="408"/>
      <c r="Q15" s="409"/>
    </row>
    <row r="18" spans="3:17" x14ac:dyDescent="0.35">
      <c r="C18" s="7" t="s">
        <v>8</v>
      </c>
      <c r="E18" s="11">
        <f>'KPI 1'!E18</f>
        <v>45839</v>
      </c>
      <c r="F18" s="11">
        <f>'KPI 1'!F18</f>
        <v>45870</v>
      </c>
      <c r="G18" s="11">
        <f>'KPI 1'!G18</f>
        <v>45901</v>
      </c>
      <c r="H18" s="11">
        <f>'KPI 1'!H18</f>
        <v>45931</v>
      </c>
      <c r="I18" s="11">
        <f>'KPI 1'!I18</f>
        <v>45962</v>
      </c>
      <c r="J18" s="11">
        <f>'KPI 1'!J18</f>
        <v>45992</v>
      </c>
      <c r="K18" s="11">
        <f>'KPI 1'!K18</f>
        <v>46023</v>
      </c>
      <c r="L18" s="11">
        <f>'KPI 1'!L18</f>
        <v>46054</v>
      </c>
      <c r="M18" s="11">
        <f>'KPI 1'!M18</f>
        <v>46082</v>
      </c>
      <c r="N18" s="11">
        <f>'KPI 1'!N18</f>
        <v>46113</v>
      </c>
      <c r="O18" s="11">
        <f>'KPI 1'!O18</f>
        <v>46143</v>
      </c>
      <c r="P18" s="11">
        <f>'KPI 1'!P18</f>
        <v>46174</v>
      </c>
      <c r="Q18" s="8" t="s">
        <v>0</v>
      </c>
    </row>
    <row r="19" spans="3:17" x14ac:dyDescent="0.35">
      <c r="D19" s="3" t="str">
        <f>'KPI 1'!D19</f>
        <v>Budget 2025-26</v>
      </c>
      <c r="E19" s="5">
        <f>'budget 2025-26'!D81</f>
        <v>2740</v>
      </c>
      <c r="F19" s="5">
        <f>'budget 2025-26'!E81</f>
        <v>2758</v>
      </c>
      <c r="G19" s="5">
        <f>'budget 2025-26'!F81</f>
        <v>2776</v>
      </c>
      <c r="H19" s="5">
        <f>'budget 2025-26'!G81</f>
        <v>2794</v>
      </c>
      <c r="I19" s="5">
        <f>'budget 2025-26'!H81</f>
        <v>2812</v>
      </c>
      <c r="J19" s="5">
        <f>'budget 2025-26'!I81</f>
        <v>2830</v>
      </c>
      <c r="K19" s="5">
        <f>'budget 2025-26'!J81</f>
        <v>2863</v>
      </c>
      <c r="L19" s="5">
        <f>'budget 2025-26'!K81</f>
        <v>2886</v>
      </c>
      <c r="M19" s="5">
        <f>'budget 2025-26'!L81</f>
        <v>2909</v>
      </c>
      <c r="N19" s="5">
        <f>'budget 2025-26'!M81</f>
        <v>2927</v>
      </c>
      <c r="O19" s="5">
        <f>'budget 2025-26'!N81</f>
        <v>2945</v>
      </c>
      <c r="P19" s="5">
        <f>'budget 2025-26'!O81</f>
        <v>2963</v>
      </c>
      <c r="Q19" s="5">
        <f>SUM(E19:P19)</f>
        <v>34203</v>
      </c>
    </row>
    <row r="20" spans="3:17" x14ac:dyDescent="0.35">
      <c r="D20" s="3" t="str">
        <f>'KPI 1'!D20</f>
        <v>Actual 2025-26</v>
      </c>
      <c r="E20" s="5">
        <f>'Input Actual2025-26'!E83</f>
        <v>2715</v>
      </c>
      <c r="F20" s="5">
        <f>'Input Actual2025-26'!F83</f>
        <v>2750</v>
      </c>
      <c r="G20" s="5">
        <f>'Input Actual2025-26'!G83</f>
        <v>2794</v>
      </c>
      <c r="H20" s="5">
        <f>'Input Actual2025-26'!H83</f>
        <v>2818</v>
      </c>
      <c r="I20" s="5">
        <f>'Input Actual2025-26'!I83</f>
        <v>2835</v>
      </c>
      <c r="J20" s="5">
        <f>'Input Actual2025-26'!J83</f>
        <v>2865</v>
      </c>
      <c r="K20" s="5">
        <f>'Input Actual2025-26'!K83</f>
        <v>2894</v>
      </c>
      <c r="L20" s="5">
        <f>'Input Actual2025-26'!L83</f>
        <v>2926</v>
      </c>
      <c r="M20" s="5">
        <f>'Input Actual2025-26'!M83</f>
        <v>0</v>
      </c>
      <c r="N20" s="5">
        <f>'Input Actual2025-26'!N83</f>
        <v>0</v>
      </c>
      <c r="O20" s="5">
        <f>'Input Actual2025-26'!O83</f>
        <v>0</v>
      </c>
      <c r="P20" s="5">
        <f>'Input Actual2025-26'!P83</f>
        <v>0</v>
      </c>
      <c r="Q20" s="5">
        <f t="shared" ref="Q20:Q22" si="0">SUM(E20:P20)</f>
        <v>22597</v>
      </c>
    </row>
    <row r="21" spans="3:17" x14ac:dyDescent="0.35">
      <c r="D21" s="3" t="s">
        <v>424</v>
      </c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>
        <f t="shared" si="0"/>
        <v>0</v>
      </c>
    </row>
    <row r="22" spans="3:17" x14ac:dyDescent="0.35">
      <c r="D22" s="3" t="s">
        <v>7</v>
      </c>
      <c r="E22" s="5">
        <f t="shared" ref="E22:P22" si="1">IF(E20=0,0,E20-E19)</f>
        <v>-25</v>
      </c>
      <c r="F22" s="5">
        <f t="shared" si="1"/>
        <v>-8</v>
      </c>
      <c r="G22" s="5">
        <f t="shared" si="1"/>
        <v>18</v>
      </c>
      <c r="H22" s="5">
        <f t="shared" si="1"/>
        <v>24</v>
      </c>
      <c r="I22" s="5">
        <f t="shared" si="1"/>
        <v>23</v>
      </c>
      <c r="J22" s="5">
        <f t="shared" si="1"/>
        <v>35</v>
      </c>
      <c r="K22" s="5">
        <f t="shared" si="1"/>
        <v>31</v>
      </c>
      <c r="L22" s="5">
        <f t="shared" si="1"/>
        <v>40</v>
      </c>
      <c r="M22" s="5">
        <f t="shared" si="1"/>
        <v>0</v>
      </c>
      <c r="N22" s="5">
        <f t="shared" si="1"/>
        <v>0</v>
      </c>
      <c r="O22" s="5">
        <f t="shared" si="1"/>
        <v>0</v>
      </c>
      <c r="P22" s="5">
        <f t="shared" si="1"/>
        <v>0</v>
      </c>
      <c r="Q22" s="5">
        <f t="shared" si="0"/>
        <v>138</v>
      </c>
    </row>
    <row r="23" spans="3:17" x14ac:dyDescent="0.35">
      <c r="D23" s="3" t="s">
        <v>43</v>
      </c>
      <c r="E23" s="9">
        <f>E21/E19</f>
        <v>0</v>
      </c>
      <c r="F23" s="9">
        <f t="shared" ref="F23:P23" si="2">F20/F19</f>
        <v>0.99709934735315442</v>
      </c>
      <c r="G23" s="9">
        <f t="shared" si="2"/>
        <v>1.0064841498559078</v>
      </c>
      <c r="H23" s="9">
        <f t="shared" si="2"/>
        <v>1.0085898353614888</v>
      </c>
      <c r="I23" s="9">
        <f t="shared" si="2"/>
        <v>1.0081792318634424</v>
      </c>
      <c r="J23" s="9">
        <f t="shared" si="2"/>
        <v>1.0123674911660778</v>
      </c>
      <c r="K23" s="9">
        <f t="shared" si="2"/>
        <v>1.0108278030038422</v>
      </c>
      <c r="L23" s="9">
        <f t="shared" si="2"/>
        <v>1.0138600138600138</v>
      </c>
      <c r="M23" s="9">
        <f t="shared" si="2"/>
        <v>0</v>
      </c>
      <c r="N23" s="9">
        <f t="shared" si="2"/>
        <v>0</v>
      </c>
      <c r="O23" s="9">
        <f t="shared" si="2"/>
        <v>0</v>
      </c>
      <c r="P23" s="9">
        <f t="shared" si="2"/>
        <v>0</v>
      </c>
    </row>
    <row r="25" spans="3:17" x14ac:dyDescent="0.35">
      <c r="C25" s="7" t="s">
        <v>3</v>
      </c>
      <c r="E25" s="11">
        <f>E18</f>
        <v>45839</v>
      </c>
      <c r="F25" s="11">
        <f t="shared" ref="F25:P28" si="3">F18</f>
        <v>45870</v>
      </c>
      <c r="G25" s="11">
        <f t="shared" si="3"/>
        <v>45901</v>
      </c>
      <c r="H25" s="11">
        <f t="shared" si="3"/>
        <v>45931</v>
      </c>
      <c r="I25" s="11">
        <f t="shared" si="3"/>
        <v>45962</v>
      </c>
      <c r="J25" s="11">
        <f t="shared" si="3"/>
        <v>45992</v>
      </c>
      <c r="K25" s="11">
        <f t="shared" si="3"/>
        <v>46023</v>
      </c>
      <c r="L25" s="11">
        <f t="shared" si="3"/>
        <v>46054</v>
      </c>
      <c r="M25" s="11">
        <f t="shared" si="3"/>
        <v>46082</v>
      </c>
      <c r="N25" s="11">
        <f t="shared" si="3"/>
        <v>46113</v>
      </c>
      <c r="O25" s="11">
        <f t="shared" si="3"/>
        <v>46143</v>
      </c>
      <c r="P25" s="11">
        <f t="shared" si="3"/>
        <v>46174</v>
      </c>
    </row>
    <row r="26" spans="3:17" x14ac:dyDescent="0.35">
      <c r="D26" s="3" t="str">
        <f>D19</f>
        <v>Budget 2025-26</v>
      </c>
      <c r="E26" s="5">
        <f>E19</f>
        <v>2740</v>
      </c>
      <c r="F26" s="5">
        <f t="shared" si="3"/>
        <v>2758</v>
      </c>
      <c r="G26" s="5">
        <f t="shared" si="3"/>
        <v>2776</v>
      </c>
      <c r="H26" s="5">
        <f t="shared" si="3"/>
        <v>2794</v>
      </c>
      <c r="I26" s="5">
        <f t="shared" si="3"/>
        <v>2812</v>
      </c>
      <c r="J26" s="5">
        <f t="shared" si="3"/>
        <v>2830</v>
      </c>
      <c r="K26" s="5">
        <f t="shared" si="3"/>
        <v>2863</v>
      </c>
      <c r="L26" s="5">
        <f t="shared" si="3"/>
        <v>2886</v>
      </c>
      <c r="M26" s="5">
        <f t="shared" si="3"/>
        <v>2909</v>
      </c>
      <c r="N26" s="5">
        <f t="shared" si="3"/>
        <v>2927</v>
      </c>
      <c r="O26" s="5">
        <f t="shared" si="3"/>
        <v>2945</v>
      </c>
      <c r="P26" s="5">
        <f t="shared" si="3"/>
        <v>2963</v>
      </c>
    </row>
    <row r="27" spans="3:17" x14ac:dyDescent="0.35">
      <c r="D27" s="3" t="str">
        <f t="shared" ref="D27:E30" si="4">D20</f>
        <v>Actual 2025-26</v>
      </c>
      <c r="E27" s="5">
        <f t="shared" si="4"/>
        <v>2715</v>
      </c>
      <c r="F27" s="5">
        <f t="shared" si="3"/>
        <v>2750</v>
      </c>
      <c r="G27" s="5">
        <f t="shared" si="3"/>
        <v>2794</v>
      </c>
      <c r="H27" s="5">
        <f t="shared" si="3"/>
        <v>2818</v>
      </c>
      <c r="I27" s="5">
        <f t="shared" si="3"/>
        <v>2835</v>
      </c>
      <c r="J27" s="5">
        <f t="shared" si="3"/>
        <v>2865</v>
      </c>
      <c r="K27" s="5">
        <f t="shared" si="3"/>
        <v>2894</v>
      </c>
      <c r="L27" s="5">
        <f t="shared" si="3"/>
        <v>2926</v>
      </c>
      <c r="M27" s="5">
        <f t="shared" si="3"/>
        <v>0</v>
      </c>
      <c r="N27" s="5">
        <f t="shared" si="3"/>
        <v>0</v>
      </c>
      <c r="O27" s="5">
        <f t="shared" si="3"/>
        <v>0</v>
      </c>
      <c r="P27" s="5">
        <f t="shared" si="3"/>
        <v>0</v>
      </c>
    </row>
    <row r="28" spans="3:17" x14ac:dyDescent="0.35">
      <c r="D28" s="3" t="str">
        <f t="shared" si="4"/>
        <v>Actual 2024-25</v>
      </c>
      <c r="E28" s="5">
        <f t="shared" si="4"/>
        <v>0</v>
      </c>
      <c r="F28" s="5">
        <f t="shared" si="3"/>
        <v>0</v>
      </c>
      <c r="G28" s="5">
        <f t="shared" si="3"/>
        <v>0</v>
      </c>
      <c r="H28" s="5">
        <f t="shared" si="3"/>
        <v>0</v>
      </c>
      <c r="I28" s="5">
        <f t="shared" si="3"/>
        <v>0</v>
      </c>
      <c r="J28" s="5">
        <f t="shared" si="3"/>
        <v>0</v>
      </c>
      <c r="K28" s="5">
        <f t="shared" si="3"/>
        <v>0</v>
      </c>
      <c r="L28" s="5">
        <f t="shared" si="3"/>
        <v>0</v>
      </c>
      <c r="M28" s="5">
        <f t="shared" si="3"/>
        <v>0</v>
      </c>
      <c r="N28" s="5">
        <f t="shared" si="3"/>
        <v>0</v>
      </c>
      <c r="O28" s="5">
        <f t="shared" si="3"/>
        <v>0</v>
      </c>
      <c r="P28" s="5">
        <f t="shared" si="3"/>
        <v>0</v>
      </c>
    </row>
    <row r="29" spans="3:17" x14ac:dyDescent="0.35">
      <c r="D29" s="3" t="str">
        <f t="shared" si="4"/>
        <v>Difference</v>
      </c>
      <c r="E29" s="5">
        <f>SUM($E22:E22)</f>
        <v>-25</v>
      </c>
      <c r="F29" s="5">
        <f>SUM($E22:F22)</f>
        <v>-33</v>
      </c>
      <c r="G29" s="5">
        <f>SUM($E22:G22)</f>
        <v>-15</v>
      </c>
      <c r="H29" s="5">
        <f>SUM($E22:H22)</f>
        <v>9</v>
      </c>
      <c r="I29" s="5">
        <f>SUM($E22:I22)</f>
        <v>32</v>
      </c>
      <c r="J29" s="5">
        <f>SUM($E22:J22)</f>
        <v>67</v>
      </c>
      <c r="K29" s="5">
        <f>SUM($E22:K22)</f>
        <v>98</v>
      </c>
      <c r="L29" s="5">
        <f>SUM($E22:L22)</f>
        <v>138</v>
      </c>
      <c r="M29" s="5">
        <f>SUM($E22:M22)</f>
        <v>138</v>
      </c>
      <c r="N29" s="5">
        <f>SUM($E22:N22)</f>
        <v>138</v>
      </c>
      <c r="O29" s="5">
        <f>SUM($E22:O22)</f>
        <v>138</v>
      </c>
      <c r="P29" s="5">
        <f>SUM($E22:P22)</f>
        <v>138</v>
      </c>
    </row>
    <row r="30" spans="3:17" x14ac:dyDescent="0.35">
      <c r="D30" s="3" t="str">
        <f t="shared" si="4"/>
        <v>Realisation</v>
      </c>
      <c r="E30" s="9">
        <f>E28/E26</f>
        <v>0</v>
      </c>
      <c r="F30" s="9">
        <f t="shared" ref="F30:P30" si="5">F27/F26</f>
        <v>0.99709934735315442</v>
      </c>
      <c r="G30" s="9">
        <f t="shared" si="5"/>
        <v>1.0064841498559078</v>
      </c>
      <c r="H30" s="9">
        <f t="shared" si="5"/>
        <v>1.0085898353614888</v>
      </c>
      <c r="I30" s="9">
        <f t="shared" si="5"/>
        <v>1.0081792318634424</v>
      </c>
      <c r="J30" s="9">
        <f t="shared" si="5"/>
        <v>1.0123674911660778</v>
      </c>
      <c r="K30" s="9">
        <f t="shared" si="5"/>
        <v>1.0108278030038422</v>
      </c>
      <c r="L30" s="9">
        <f t="shared" si="5"/>
        <v>1.0138600138600138</v>
      </c>
      <c r="M30" s="9">
        <f t="shared" si="5"/>
        <v>0</v>
      </c>
      <c r="N30" s="9">
        <f t="shared" si="5"/>
        <v>0</v>
      </c>
      <c r="O30" s="9">
        <f t="shared" si="5"/>
        <v>0</v>
      </c>
      <c r="P30" s="9">
        <f t="shared" si="5"/>
        <v>0</v>
      </c>
    </row>
  </sheetData>
  <mergeCells count="2">
    <mergeCell ref="J4:Q8"/>
    <mergeCell ref="J10:Q15"/>
  </mergeCells>
  <conditionalFormatting sqref="C3">
    <cfRule type="expression" dxfId="362" priority="2">
      <formula>S4&lt;S6</formula>
    </cfRule>
  </conditionalFormatting>
  <conditionalFormatting sqref="C5">
    <cfRule type="expression" dxfId="361" priority="3">
      <formula>S4&gt;=S5</formula>
    </cfRule>
  </conditionalFormatting>
  <conditionalFormatting sqref="C4">
    <cfRule type="expression" dxfId="360" priority="1">
      <formula>AND(S4&gt;=S6,S4&lt;S5)</formula>
    </cfRule>
  </conditionalFormatting>
  <hyperlinks>
    <hyperlink ref="L1" location="Dashboard!A1" display="Dashboard"/>
  </hyperlinks>
  <pageMargins left="0.7" right="0.7" top="0.75" bottom="0.75" header="0.3" footer="0.3"/>
  <pageSetup orientation="portrait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997377" r:id="rId4" name="Spinner 1">
              <controlPr defaultSize="0" autoPict="0">
                <anchor moveWithCells="1" sizeWithCells="1">
                  <from>
                    <xdr:col>9</xdr:col>
                    <xdr:colOff>19050</xdr:colOff>
                    <xdr:row>0</xdr:row>
                    <xdr:rowOff>38100</xdr:rowOff>
                  </from>
                  <to>
                    <xdr:col>9</xdr:col>
                    <xdr:colOff>400050</xdr:colOff>
                    <xdr:row>1</xdr:row>
                    <xdr:rowOff>152400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7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FFC000"/>
  </sheetPr>
  <dimension ref="A1:S30"/>
  <sheetViews>
    <sheetView zoomScale="80" zoomScaleNormal="80" workbookViewId="0">
      <selection activeCell="L1" sqref="L1"/>
    </sheetView>
  </sheetViews>
  <sheetFormatPr defaultColWidth="9.1796875" defaultRowHeight="14.5" x14ac:dyDescent="0.35"/>
  <cols>
    <col min="1" max="1" width="9.1796875" style="3"/>
    <col min="2" max="2" width="5.1796875" style="3" customWidth="1"/>
    <col min="3" max="3" width="6.26953125" style="3" customWidth="1"/>
    <col min="4" max="4" width="21.26953125" style="3" bestFit="1" customWidth="1"/>
    <col min="5" max="16" width="11.1796875" style="3" customWidth="1"/>
    <col min="17" max="17" width="12" style="3" bestFit="1" customWidth="1"/>
    <col min="18" max="18" width="9.1796875" style="3" customWidth="1"/>
    <col min="19" max="16384" width="9.1796875" style="3"/>
  </cols>
  <sheetData>
    <row r="1" spans="1:19" ht="21" x14ac:dyDescent="0.5">
      <c r="A1" s="4" t="s">
        <v>4</v>
      </c>
      <c r="B1" s="4">
        <f>Dashboard!A78</f>
        <v>6</v>
      </c>
      <c r="C1" s="4" t="str">
        <f>Dashboard!B79</f>
        <v>HOPEWELL- ACTIVE WATER</v>
      </c>
      <c r="D1" s="4"/>
      <c r="G1" s="3" t="s">
        <v>9</v>
      </c>
      <c r="I1" s="12">
        <f>INDEX($E$18:$P$18,Actual_month)</f>
        <v>46054</v>
      </c>
      <c r="L1" s="16" t="s">
        <v>19</v>
      </c>
      <c r="R1" s="5"/>
    </row>
    <row r="2" spans="1:19" x14ac:dyDescent="0.35">
      <c r="A2" s="3" t="s">
        <v>13</v>
      </c>
      <c r="C2" s="3" t="s">
        <v>27</v>
      </c>
      <c r="R2" s="6"/>
    </row>
    <row r="3" spans="1:19" ht="25.5" customHeight="1" thickBot="1" x14ac:dyDescent="0.4">
      <c r="C3" s="1" t="s">
        <v>5</v>
      </c>
      <c r="E3" s="10"/>
      <c r="F3" s="10"/>
      <c r="G3" s="10"/>
      <c r="H3" s="10"/>
      <c r="I3" s="10"/>
      <c r="J3" s="3" t="s">
        <v>6</v>
      </c>
      <c r="K3" s="10"/>
      <c r="M3" s="10"/>
      <c r="N3" s="10"/>
      <c r="O3" s="10"/>
      <c r="P3" s="10"/>
    </row>
    <row r="4" spans="1:19" ht="25.5" customHeight="1" x14ac:dyDescent="0.35">
      <c r="C4" s="1" t="s">
        <v>5</v>
      </c>
      <c r="E4" s="10"/>
      <c r="F4" s="10"/>
      <c r="G4" s="10"/>
      <c r="H4" s="10"/>
      <c r="I4" s="10"/>
      <c r="J4" s="401"/>
      <c r="K4" s="402"/>
      <c r="L4" s="402"/>
      <c r="M4" s="402"/>
      <c r="N4" s="402"/>
      <c r="O4" s="402"/>
      <c r="P4" s="402"/>
      <c r="Q4" s="403"/>
      <c r="R4" s="3" t="s">
        <v>22</v>
      </c>
      <c r="S4" s="5">
        <f>INDEX(E27:P27,Actual_month)</f>
        <v>343</v>
      </c>
    </row>
    <row r="5" spans="1:19" ht="25.5" customHeight="1" x14ac:dyDescent="0.35">
      <c r="C5" s="1" t="s">
        <v>5</v>
      </c>
      <c r="E5" s="10"/>
      <c r="F5" s="10"/>
      <c r="G5" s="10"/>
      <c r="H5" s="10"/>
      <c r="I5" s="10"/>
      <c r="J5" s="404"/>
      <c r="K5" s="405"/>
      <c r="L5" s="405"/>
      <c r="M5" s="405"/>
      <c r="N5" s="405"/>
      <c r="O5" s="405"/>
      <c r="P5" s="405"/>
      <c r="Q5" s="406"/>
      <c r="R5" s="3" t="s">
        <v>23</v>
      </c>
      <c r="S5" s="5">
        <f>INDEX(E26:P26,Actual_month)</f>
        <v>311</v>
      </c>
    </row>
    <row r="6" spans="1:19" x14ac:dyDescent="0.35">
      <c r="J6" s="404"/>
      <c r="K6" s="405"/>
      <c r="L6" s="405"/>
      <c r="M6" s="405"/>
      <c r="N6" s="405"/>
      <c r="O6" s="405"/>
      <c r="P6" s="405"/>
      <c r="Q6" s="406"/>
      <c r="R6" s="6">
        <v>0.9</v>
      </c>
      <c r="S6" s="5">
        <f>+S5*R6</f>
        <v>279.90000000000003</v>
      </c>
    </row>
    <row r="7" spans="1:19" x14ac:dyDescent="0.35">
      <c r="J7" s="404"/>
      <c r="K7" s="405"/>
      <c r="L7" s="405"/>
      <c r="M7" s="405"/>
      <c r="N7" s="405"/>
      <c r="O7" s="405"/>
      <c r="P7" s="405"/>
      <c r="Q7" s="406"/>
    </row>
    <row r="8" spans="1:19" ht="15" thickBot="1" x14ac:dyDescent="0.4">
      <c r="J8" s="407"/>
      <c r="K8" s="408"/>
      <c r="L8" s="408"/>
      <c r="M8" s="408"/>
      <c r="N8" s="408"/>
      <c r="O8" s="408"/>
      <c r="P8" s="408"/>
      <c r="Q8" s="409"/>
    </row>
    <row r="9" spans="1:19" ht="15" thickBot="1" x14ac:dyDescent="0.4">
      <c r="J9" s="3" t="s">
        <v>12</v>
      </c>
    </row>
    <row r="10" spans="1:19" x14ac:dyDescent="0.35">
      <c r="J10" s="401"/>
      <c r="K10" s="402"/>
      <c r="L10" s="402"/>
      <c r="M10" s="402"/>
      <c r="N10" s="402"/>
      <c r="O10" s="402"/>
      <c r="P10" s="402"/>
      <c r="Q10" s="403"/>
    </row>
    <row r="11" spans="1:19" x14ac:dyDescent="0.35">
      <c r="J11" s="404"/>
      <c r="K11" s="405"/>
      <c r="L11" s="405"/>
      <c r="M11" s="405"/>
      <c r="N11" s="405"/>
      <c r="O11" s="405"/>
      <c r="P11" s="405"/>
      <c r="Q11" s="406"/>
    </row>
    <row r="12" spans="1:19" x14ac:dyDescent="0.35">
      <c r="J12" s="404"/>
      <c r="K12" s="405"/>
      <c r="L12" s="405"/>
      <c r="M12" s="405"/>
      <c r="N12" s="405"/>
      <c r="O12" s="405"/>
      <c r="P12" s="405"/>
      <c r="Q12" s="406"/>
    </row>
    <row r="13" spans="1:19" x14ac:dyDescent="0.35">
      <c r="J13" s="404"/>
      <c r="K13" s="405"/>
      <c r="L13" s="405"/>
      <c r="M13" s="405"/>
      <c r="N13" s="405"/>
      <c r="O13" s="405"/>
      <c r="P13" s="405"/>
      <c r="Q13" s="406"/>
    </row>
    <row r="14" spans="1:19" x14ac:dyDescent="0.35">
      <c r="J14" s="404"/>
      <c r="K14" s="405"/>
      <c r="L14" s="405"/>
      <c r="M14" s="405"/>
      <c r="N14" s="405"/>
      <c r="O14" s="405"/>
      <c r="P14" s="405"/>
      <c r="Q14" s="406"/>
    </row>
    <row r="15" spans="1:19" ht="15" thickBot="1" x14ac:dyDescent="0.4">
      <c r="J15" s="407"/>
      <c r="K15" s="408"/>
      <c r="L15" s="408"/>
      <c r="M15" s="408"/>
      <c r="N15" s="408"/>
      <c r="O15" s="408"/>
      <c r="P15" s="408"/>
      <c r="Q15" s="409"/>
    </row>
    <row r="18" spans="3:17" x14ac:dyDescent="0.35">
      <c r="C18" s="7" t="s">
        <v>8</v>
      </c>
      <c r="E18" s="11">
        <f>'KPI 1'!E18</f>
        <v>45839</v>
      </c>
      <c r="F18" s="11">
        <f>'KPI 1'!F18</f>
        <v>45870</v>
      </c>
      <c r="G18" s="11">
        <f>'KPI 1'!G18</f>
        <v>45901</v>
      </c>
      <c r="H18" s="11">
        <f>'KPI 1'!H18</f>
        <v>45931</v>
      </c>
      <c r="I18" s="11">
        <f>'KPI 1'!I18</f>
        <v>45962</v>
      </c>
      <c r="J18" s="11">
        <f>'KPI 1'!J18</f>
        <v>45992</v>
      </c>
      <c r="K18" s="11">
        <f>'KPI 1'!K18</f>
        <v>46023</v>
      </c>
      <c r="L18" s="11">
        <f>'KPI 1'!L18</f>
        <v>46054</v>
      </c>
      <c r="M18" s="11">
        <f>'KPI 1'!M18</f>
        <v>46082</v>
      </c>
      <c r="N18" s="11">
        <f>'KPI 1'!N18</f>
        <v>46113</v>
      </c>
      <c r="O18" s="11">
        <f>'KPI 1'!O18</f>
        <v>46143</v>
      </c>
      <c r="P18" s="11">
        <f>'KPI 1'!P18</f>
        <v>46174</v>
      </c>
      <c r="Q18" s="8" t="s">
        <v>0</v>
      </c>
    </row>
    <row r="19" spans="3:17" x14ac:dyDescent="0.35">
      <c r="D19" s="3" t="str">
        <f>'KPI 1'!D19</f>
        <v>Budget 2025-26</v>
      </c>
      <c r="E19" s="5">
        <f>'budget 2025-26'!D74</f>
        <v>297</v>
      </c>
      <c r="F19" s="5">
        <f>'budget 2025-26'!E74</f>
        <v>299</v>
      </c>
      <c r="G19" s="5">
        <f>'budget 2025-26'!F74</f>
        <v>301</v>
      </c>
      <c r="H19" s="5">
        <f>'budget 2025-26'!G74</f>
        <v>303</v>
      </c>
      <c r="I19" s="5">
        <f>'budget 2025-26'!H74</f>
        <v>305</v>
      </c>
      <c r="J19" s="5">
        <f>'budget 2025-26'!I74</f>
        <v>307</v>
      </c>
      <c r="K19" s="5">
        <f>'budget 2025-26'!J74</f>
        <v>309</v>
      </c>
      <c r="L19" s="5">
        <f>'budget 2025-26'!K74</f>
        <v>311</v>
      </c>
      <c r="M19" s="5">
        <f>'budget 2025-26'!L74</f>
        <v>313</v>
      </c>
      <c r="N19" s="5">
        <f>'budget 2025-26'!M74</f>
        <v>315</v>
      </c>
      <c r="O19" s="5">
        <f>'budget 2025-26'!N74</f>
        <v>317</v>
      </c>
      <c r="P19" s="5">
        <f>'budget 2025-26'!O74</f>
        <v>319</v>
      </c>
      <c r="Q19" s="5">
        <f>SUM(E19:P19)</f>
        <v>3696</v>
      </c>
    </row>
    <row r="20" spans="3:17" x14ac:dyDescent="0.35">
      <c r="D20" s="3" t="str">
        <f>'KPI 1'!D20</f>
        <v>Actual 2025-26</v>
      </c>
      <c r="E20" s="5">
        <f>'Input Actual2025-26'!E76</f>
        <v>295</v>
      </c>
      <c r="F20" s="5">
        <f>'Input Actual2025-26'!F76</f>
        <v>297</v>
      </c>
      <c r="G20" s="5">
        <f>'Input Actual2025-26'!G76</f>
        <v>298</v>
      </c>
      <c r="H20" s="5">
        <f>'Input Actual2025-26'!H76</f>
        <v>299</v>
      </c>
      <c r="I20" s="5">
        <f>'Input Actual2025-26'!I76</f>
        <v>300</v>
      </c>
      <c r="J20" s="5">
        <f>'Input Actual2025-26'!J76</f>
        <v>302</v>
      </c>
      <c r="K20" s="5">
        <f>'Input Actual2025-26'!K76</f>
        <v>339</v>
      </c>
      <c r="L20" s="5">
        <f>'Input Actual2025-26'!L76</f>
        <v>343</v>
      </c>
      <c r="M20" s="5">
        <f>'Input Actual2025-26'!M76</f>
        <v>0</v>
      </c>
      <c r="N20" s="5">
        <f>'Input Actual2025-26'!N76</f>
        <v>0</v>
      </c>
      <c r="O20" s="5">
        <f>'Input Actual2025-26'!O76</f>
        <v>0</v>
      </c>
      <c r="P20" s="5">
        <f>'Input Actual2025-26'!P76</f>
        <v>0</v>
      </c>
      <c r="Q20" s="5">
        <f t="shared" ref="Q20:Q22" si="0">SUM(E20:P20)</f>
        <v>2473</v>
      </c>
    </row>
    <row r="21" spans="3:17" x14ac:dyDescent="0.35">
      <c r="D21" s="3" t="s">
        <v>424</v>
      </c>
      <c r="E21" s="5">
        <f>'Input Actual2024-25'!E72</f>
        <v>218</v>
      </c>
      <c r="F21" s="5">
        <f>'Input Actual2024-25'!F72</f>
        <v>218</v>
      </c>
      <c r="G21" s="5">
        <f>'Input Actual2024-25'!G72</f>
        <v>287</v>
      </c>
      <c r="H21" s="5">
        <f>'Input Actual2024-25'!H72</f>
        <v>287</v>
      </c>
      <c r="I21" s="5">
        <f>'Input Actual2024-25'!I72</f>
        <v>288</v>
      </c>
      <c r="J21" s="5">
        <f>'Input Actual2024-25'!J72</f>
        <v>288</v>
      </c>
      <c r="K21" s="5">
        <f>'Input Actual2024-25'!K72</f>
        <v>289</v>
      </c>
      <c r="L21" s="5">
        <f>'Input Actual2024-25'!L72</f>
        <v>289</v>
      </c>
      <c r="M21" s="5">
        <f>'Input Actual2024-25'!M72</f>
        <v>292</v>
      </c>
      <c r="N21" s="5">
        <f>'Input Actual2024-25'!N72</f>
        <v>294</v>
      </c>
      <c r="O21" s="5">
        <f>'Input Actual2024-25'!O72</f>
        <v>295</v>
      </c>
      <c r="P21" s="5">
        <f>'Input Actual2024-25'!P72</f>
        <v>295</v>
      </c>
      <c r="Q21" s="5">
        <f t="shared" si="0"/>
        <v>3340</v>
      </c>
    </row>
    <row r="22" spans="3:17" x14ac:dyDescent="0.35">
      <c r="D22" s="3" t="s">
        <v>7</v>
      </c>
      <c r="E22" s="5">
        <f t="shared" ref="E22:P22" si="1">IF(E20=0,0,E20-E19)</f>
        <v>-2</v>
      </c>
      <c r="F22" s="5">
        <f t="shared" si="1"/>
        <v>-2</v>
      </c>
      <c r="G22" s="5">
        <f t="shared" si="1"/>
        <v>-3</v>
      </c>
      <c r="H22" s="5">
        <f t="shared" si="1"/>
        <v>-4</v>
      </c>
      <c r="I22" s="5">
        <f t="shared" si="1"/>
        <v>-5</v>
      </c>
      <c r="J22" s="5">
        <f t="shared" si="1"/>
        <v>-5</v>
      </c>
      <c r="K22" s="5">
        <f t="shared" si="1"/>
        <v>30</v>
      </c>
      <c r="L22" s="5">
        <f t="shared" si="1"/>
        <v>32</v>
      </c>
      <c r="M22" s="5">
        <f t="shared" si="1"/>
        <v>0</v>
      </c>
      <c r="N22" s="5">
        <f t="shared" si="1"/>
        <v>0</v>
      </c>
      <c r="O22" s="5">
        <f t="shared" si="1"/>
        <v>0</v>
      </c>
      <c r="P22" s="5">
        <f t="shared" si="1"/>
        <v>0</v>
      </c>
      <c r="Q22" s="5">
        <f t="shared" si="0"/>
        <v>41</v>
      </c>
    </row>
    <row r="23" spans="3:17" x14ac:dyDescent="0.35">
      <c r="D23" s="3" t="s">
        <v>43</v>
      </c>
      <c r="E23" s="9">
        <f>E21/E19</f>
        <v>0.734006734006734</v>
      </c>
      <c r="F23" s="9">
        <f t="shared" ref="F23:P23" si="2">F20/F19</f>
        <v>0.99331103678929766</v>
      </c>
      <c r="G23" s="9">
        <f t="shared" si="2"/>
        <v>0.99003322259136217</v>
      </c>
      <c r="H23" s="9">
        <f t="shared" si="2"/>
        <v>0.98679867986798675</v>
      </c>
      <c r="I23" s="9">
        <f t="shared" si="2"/>
        <v>0.98360655737704916</v>
      </c>
      <c r="J23" s="9">
        <f t="shared" si="2"/>
        <v>0.98371335504885993</v>
      </c>
      <c r="K23" s="9">
        <f t="shared" si="2"/>
        <v>1.0970873786407767</v>
      </c>
      <c r="L23" s="9">
        <f t="shared" si="2"/>
        <v>1.1028938906752412</v>
      </c>
      <c r="M23" s="9">
        <f t="shared" si="2"/>
        <v>0</v>
      </c>
      <c r="N23" s="9">
        <f t="shared" si="2"/>
        <v>0</v>
      </c>
      <c r="O23" s="9">
        <f t="shared" si="2"/>
        <v>0</v>
      </c>
      <c r="P23" s="9">
        <f t="shared" si="2"/>
        <v>0</v>
      </c>
    </row>
    <row r="25" spans="3:17" x14ac:dyDescent="0.35">
      <c r="C25" s="7" t="s">
        <v>3</v>
      </c>
      <c r="E25" s="11">
        <f>E18</f>
        <v>45839</v>
      </c>
      <c r="F25" s="11">
        <f t="shared" ref="F25:P28" si="3">F18</f>
        <v>45870</v>
      </c>
      <c r="G25" s="11">
        <f t="shared" si="3"/>
        <v>45901</v>
      </c>
      <c r="H25" s="11">
        <f t="shared" si="3"/>
        <v>45931</v>
      </c>
      <c r="I25" s="11">
        <f t="shared" si="3"/>
        <v>45962</v>
      </c>
      <c r="J25" s="11">
        <f t="shared" si="3"/>
        <v>45992</v>
      </c>
      <c r="K25" s="11">
        <f t="shared" si="3"/>
        <v>46023</v>
      </c>
      <c r="L25" s="11">
        <f t="shared" si="3"/>
        <v>46054</v>
      </c>
      <c r="M25" s="11">
        <f t="shared" si="3"/>
        <v>46082</v>
      </c>
      <c r="N25" s="11">
        <f t="shared" si="3"/>
        <v>46113</v>
      </c>
      <c r="O25" s="11">
        <f t="shared" si="3"/>
        <v>46143</v>
      </c>
      <c r="P25" s="11">
        <f t="shared" si="3"/>
        <v>46174</v>
      </c>
    </row>
    <row r="26" spans="3:17" x14ac:dyDescent="0.35">
      <c r="D26" s="3" t="str">
        <f>D19</f>
        <v>Budget 2025-26</v>
      </c>
      <c r="E26" s="5">
        <f>E19</f>
        <v>297</v>
      </c>
      <c r="F26" s="5">
        <f t="shared" si="3"/>
        <v>299</v>
      </c>
      <c r="G26" s="5">
        <f t="shared" si="3"/>
        <v>301</v>
      </c>
      <c r="H26" s="5">
        <f t="shared" si="3"/>
        <v>303</v>
      </c>
      <c r="I26" s="5">
        <f t="shared" si="3"/>
        <v>305</v>
      </c>
      <c r="J26" s="5">
        <f t="shared" si="3"/>
        <v>307</v>
      </c>
      <c r="K26" s="5">
        <f t="shared" si="3"/>
        <v>309</v>
      </c>
      <c r="L26" s="5">
        <f t="shared" si="3"/>
        <v>311</v>
      </c>
      <c r="M26" s="5">
        <f t="shared" si="3"/>
        <v>313</v>
      </c>
      <c r="N26" s="5">
        <f t="shared" si="3"/>
        <v>315</v>
      </c>
      <c r="O26" s="5">
        <f t="shared" si="3"/>
        <v>317</v>
      </c>
      <c r="P26" s="5">
        <f t="shared" si="3"/>
        <v>319</v>
      </c>
    </row>
    <row r="27" spans="3:17" x14ac:dyDescent="0.35">
      <c r="D27" s="3" t="str">
        <f t="shared" ref="D27:E30" si="4">D20</f>
        <v>Actual 2025-26</v>
      </c>
      <c r="E27" s="5">
        <f t="shared" si="4"/>
        <v>295</v>
      </c>
      <c r="F27" s="5">
        <f t="shared" si="3"/>
        <v>297</v>
      </c>
      <c r="G27" s="5">
        <f t="shared" si="3"/>
        <v>298</v>
      </c>
      <c r="H27" s="5">
        <f t="shared" si="3"/>
        <v>299</v>
      </c>
      <c r="I27" s="5">
        <f t="shared" si="3"/>
        <v>300</v>
      </c>
      <c r="J27" s="5">
        <f t="shared" si="3"/>
        <v>302</v>
      </c>
      <c r="K27" s="5">
        <f t="shared" si="3"/>
        <v>339</v>
      </c>
      <c r="L27" s="5">
        <f t="shared" si="3"/>
        <v>343</v>
      </c>
      <c r="M27" s="5">
        <f t="shared" si="3"/>
        <v>0</v>
      </c>
      <c r="N27" s="5">
        <f t="shared" si="3"/>
        <v>0</v>
      </c>
      <c r="O27" s="5">
        <f t="shared" si="3"/>
        <v>0</v>
      </c>
      <c r="P27" s="5">
        <f t="shared" si="3"/>
        <v>0</v>
      </c>
    </row>
    <row r="28" spans="3:17" x14ac:dyDescent="0.35">
      <c r="D28" s="3" t="str">
        <f t="shared" si="4"/>
        <v>Actual 2024-25</v>
      </c>
      <c r="E28" s="5">
        <f t="shared" si="4"/>
        <v>218</v>
      </c>
      <c r="F28" s="5">
        <f t="shared" si="3"/>
        <v>218</v>
      </c>
      <c r="G28" s="5">
        <f t="shared" si="3"/>
        <v>287</v>
      </c>
      <c r="H28" s="5">
        <f t="shared" si="3"/>
        <v>287</v>
      </c>
      <c r="I28" s="5">
        <f t="shared" si="3"/>
        <v>288</v>
      </c>
      <c r="J28" s="5">
        <f t="shared" si="3"/>
        <v>288</v>
      </c>
      <c r="K28" s="5">
        <f t="shared" si="3"/>
        <v>289</v>
      </c>
      <c r="L28" s="5">
        <f t="shared" si="3"/>
        <v>289</v>
      </c>
      <c r="M28" s="5">
        <f t="shared" si="3"/>
        <v>292</v>
      </c>
      <c r="N28" s="5">
        <f t="shared" si="3"/>
        <v>294</v>
      </c>
      <c r="O28" s="5">
        <f t="shared" si="3"/>
        <v>295</v>
      </c>
      <c r="P28" s="5">
        <f t="shared" si="3"/>
        <v>295</v>
      </c>
    </row>
    <row r="29" spans="3:17" x14ac:dyDescent="0.35">
      <c r="D29" s="3" t="str">
        <f t="shared" si="4"/>
        <v>Difference</v>
      </c>
      <c r="E29" s="5">
        <f>SUM($E22:E22)</f>
        <v>-2</v>
      </c>
      <c r="F29" s="5">
        <f>SUM($E22:F22)</f>
        <v>-4</v>
      </c>
      <c r="G29" s="5">
        <f>SUM($E22:G22)</f>
        <v>-7</v>
      </c>
      <c r="H29" s="5">
        <f>SUM($E22:H22)</f>
        <v>-11</v>
      </c>
      <c r="I29" s="5">
        <f>SUM($E22:I22)</f>
        <v>-16</v>
      </c>
      <c r="J29" s="5">
        <f>SUM($E22:J22)</f>
        <v>-21</v>
      </c>
      <c r="K29" s="5">
        <f>SUM($E22:K22)</f>
        <v>9</v>
      </c>
      <c r="L29" s="5">
        <f>SUM($E22:L22)</f>
        <v>41</v>
      </c>
      <c r="M29" s="5">
        <f>SUM($E22:M22)</f>
        <v>41</v>
      </c>
      <c r="N29" s="5">
        <f>SUM($E22:N22)</f>
        <v>41</v>
      </c>
      <c r="O29" s="5">
        <f>SUM($E22:O22)</f>
        <v>41</v>
      </c>
      <c r="P29" s="5">
        <f>SUM($E22:P22)</f>
        <v>41</v>
      </c>
    </row>
    <row r="30" spans="3:17" x14ac:dyDescent="0.35">
      <c r="D30" s="3" t="str">
        <f t="shared" si="4"/>
        <v>Realisation</v>
      </c>
      <c r="E30" s="9">
        <f>E28/E26</f>
        <v>0.734006734006734</v>
      </c>
      <c r="F30" s="9">
        <f t="shared" ref="F30:P30" si="5">F27/F26</f>
        <v>0.99331103678929766</v>
      </c>
      <c r="G30" s="9">
        <f t="shared" si="5"/>
        <v>0.99003322259136217</v>
      </c>
      <c r="H30" s="9">
        <f t="shared" si="5"/>
        <v>0.98679867986798675</v>
      </c>
      <c r="I30" s="9">
        <f t="shared" si="5"/>
        <v>0.98360655737704916</v>
      </c>
      <c r="J30" s="9">
        <f t="shared" si="5"/>
        <v>0.98371335504885993</v>
      </c>
      <c r="K30" s="9">
        <f t="shared" si="5"/>
        <v>1.0970873786407767</v>
      </c>
      <c r="L30" s="9">
        <f t="shared" si="5"/>
        <v>1.1028938906752412</v>
      </c>
      <c r="M30" s="9">
        <f t="shared" si="5"/>
        <v>0</v>
      </c>
      <c r="N30" s="9">
        <f t="shared" si="5"/>
        <v>0</v>
      </c>
      <c r="O30" s="9">
        <f t="shared" si="5"/>
        <v>0</v>
      </c>
      <c r="P30" s="9">
        <f t="shared" si="5"/>
        <v>0</v>
      </c>
    </row>
  </sheetData>
  <mergeCells count="2">
    <mergeCell ref="J4:Q8"/>
    <mergeCell ref="J10:Q15"/>
  </mergeCells>
  <conditionalFormatting sqref="C3">
    <cfRule type="expression" dxfId="359" priority="2">
      <formula>S4&lt;S6</formula>
    </cfRule>
  </conditionalFormatting>
  <conditionalFormatting sqref="C5">
    <cfRule type="expression" dxfId="358" priority="3">
      <formula>S4&gt;=S5</formula>
    </cfRule>
  </conditionalFormatting>
  <conditionalFormatting sqref="C4">
    <cfRule type="expression" dxfId="357" priority="1">
      <formula>AND(S4&gt;=S6,S4&lt;S5)</formula>
    </cfRule>
  </conditionalFormatting>
  <hyperlinks>
    <hyperlink ref="L1" location="Dashboard!A1" display="Dashboard"/>
  </hyperlinks>
  <pageMargins left="0.7" right="0.7" top="0.75" bottom="0.75" header="0.3" footer="0.3"/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592321" r:id="rId3" name="Spinner 1">
              <controlPr defaultSize="0" autoPict="0">
                <anchor moveWithCells="1" sizeWithCells="1">
                  <from>
                    <xdr:col>9</xdr:col>
                    <xdr:colOff>19050</xdr:colOff>
                    <xdr:row>0</xdr:row>
                    <xdr:rowOff>38100</xdr:rowOff>
                  </from>
                  <to>
                    <xdr:col>9</xdr:col>
                    <xdr:colOff>400050</xdr:colOff>
                    <xdr:row>1</xdr:row>
                    <xdr:rowOff>152400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8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62">
    <tabColor rgb="FFFFC000"/>
  </sheetPr>
  <dimension ref="A1:S30"/>
  <sheetViews>
    <sheetView zoomScale="90" zoomScaleNormal="90" workbookViewId="0">
      <selection activeCell="L1" sqref="L1"/>
    </sheetView>
  </sheetViews>
  <sheetFormatPr defaultColWidth="9.1796875" defaultRowHeight="14.5" x14ac:dyDescent="0.35"/>
  <cols>
    <col min="1" max="1" width="9.1796875" style="3"/>
    <col min="2" max="2" width="5.1796875" style="3" customWidth="1"/>
    <col min="3" max="3" width="6.26953125" style="3" customWidth="1"/>
    <col min="4" max="4" width="21.26953125" style="3" bestFit="1" customWidth="1"/>
    <col min="5" max="16" width="11.1796875" style="3" customWidth="1"/>
    <col min="17" max="17" width="12" style="3" bestFit="1" customWidth="1"/>
    <col min="18" max="18" width="9.1796875" style="3" customWidth="1"/>
    <col min="19" max="16384" width="9.1796875" style="3"/>
  </cols>
  <sheetData>
    <row r="1" spans="1:19" ht="21" x14ac:dyDescent="0.5">
      <c r="A1" s="4" t="s">
        <v>4</v>
      </c>
      <c r="B1" s="4">
        <f>Dashboard!A78</f>
        <v>6</v>
      </c>
      <c r="C1" s="4" t="str">
        <f>Dashboard!B78</f>
        <v>LAKEVIEW- ACTIVE WATER</v>
      </c>
      <c r="D1" s="4"/>
      <c r="G1" s="3" t="s">
        <v>9</v>
      </c>
      <c r="I1" s="12">
        <f>INDEX($E$18:$P$18,Actual_month)</f>
        <v>46054</v>
      </c>
      <c r="L1" s="16" t="s">
        <v>19</v>
      </c>
      <c r="R1" s="5"/>
    </row>
    <row r="2" spans="1:19" x14ac:dyDescent="0.35">
      <c r="A2" s="3" t="s">
        <v>13</v>
      </c>
      <c r="C2" s="3" t="s">
        <v>27</v>
      </c>
      <c r="R2" s="6"/>
    </row>
    <row r="3" spans="1:19" ht="25.5" customHeight="1" thickBot="1" x14ac:dyDescent="0.4">
      <c r="C3" s="1" t="s">
        <v>5</v>
      </c>
      <c r="E3" s="10"/>
      <c r="F3" s="10"/>
      <c r="G3" s="10"/>
      <c r="H3" s="10"/>
      <c r="I3" s="10"/>
      <c r="J3" s="3" t="s">
        <v>6</v>
      </c>
      <c r="K3" s="10"/>
      <c r="M3" s="10"/>
      <c r="N3" s="10"/>
      <c r="O3" s="10"/>
      <c r="P3" s="10"/>
    </row>
    <row r="4" spans="1:19" ht="25.5" customHeight="1" x14ac:dyDescent="0.35">
      <c r="C4" s="1" t="s">
        <v>5</v>
      </c>
      <c r="E4" s="10"/>
      <c r="F4" s="10"/>
      <c r="G4" s="10"/>
      <c r="H4" s="10"/>
      <c r="I4" s="10"/>
      <c r="J4" s="401"/>
      <c r="K4" s="402"/>
      <c r="L4" s="402"/>
      <c r="M4" s="402"/>
      <c r="N4" s="402"/>
      <c r="O4" s="402"/>
      <c r="P4" s="402"/>
      <c r="Q4" s="403"/>
      <c r="R4" s="3" t="s">
        <v>22</v>
      </c>
      <c r="S4" s="5">
        <f>INDEX(E27:P27,Actual_month)</f>
        <v>1000</v>
      </c>
    </row>
    <row r="5" spans="1:19" ht="25.5" customHeight="1" x14ac:dyDescent="0.35">
      <c r="C5" s="1" t="s">
        <v>5</v>
      </c>
      <c r="E5" s="10"/>
      <c r="F5" s="10"/>
      <c r="G5" s="10"/>
      <c r="H5" s="10"/>
      <c r="I5" s="10"/>
      <c r="J5" s="404"/>
      <c r="K5" s="405"/>
      <c r="L5" s="405"/>
      <c r="M5" s="405"/>
      <c r="N5" s="405"/>
      <c r="O5" s="405"/>
      <c r="P5" s="405"/>
      <c r="Q5" s="406"/>
      <c r="R5" s="3" t="s">
        <v>23</v>
      </c>
      <c r="S5" s="5">
        <f>INDEX(E26:P26,Actual_month)</f>
        <v>997</v>
      </c>
    </row>
    <row r="6" spans="1:19" x14ac:dyDescent="0.35">
      <c r="J6" s="404"/>
      <c r="K6" s="405"/>
      <c r="L6" s="405"/>
      <c r="M6" s="405"/>
      <c r="N6" s="405"/>
      <c r="O6" s="405"/>
      <c r="P6" s="405"/>
      <c r="Q6" s="406"/>
      <c r="R6" s="6">
        <v>0.9</v>
      </c>
      <c r="S6" s="5">
        <f>+S5*R6</f>
        <v>897.30000000000007</v>
      </c>
    </row>
    <row r="7" spans="1:19" x14ac:dyDescent="0.35">
      <c r="J7" s="404"/>
      <c r="K7" s="405"/>
      <c r="L7" s="405"/>
      <c r="M7" s="405"/>
      <c r="N7" s="405"/>
      <c r="O7" s="405"/>
      <c r="P7" s="405"/>
      <c r="Q7" s="406"/>
    </row>
    <row r="8" spans="1:19" ht="15" thickBot="1" x14ac:dyDescent="0.4">
      <c r="J8" s="407"/>
      <c r="K8" s="408"/>
      <c r="L8" s="408"/>
      <c r="M8" s="408"/>
      <c r="N8" s="408"/>
      <c r="O8" s="408"/>
      <c r="P8" s="408"/>
      <c r="Q8" s="409"/>
    </row>
    <row r="9" spans="1:19" ht="15" thickBot="1" x14ac:dyDescent="0.4">
      <c r="J9" s="3" t="s">
        <v>12</v>
      </c>
    </row>
    <row r="10" spans="1:19" x14ac:dyDescent="0.35">
      <c r="J10" s="401"/>
      <c r="K10" s="402"/>
      <c r="L10" s="402"/>
      <c r="M10" s="402"/>
      <c r="N10" s="402"/>
      <c r="O10" s="402"/>
      <c r="P10" s="402"/>
      <c r="Q10" s="403"/>
    </row>
    <row r="11" spans="1:19" x14ac:dyDescent="0.35">
      <c r="J11" s="404"/>
      <c r="K11" s="405"/>
      <c r="L11" s="405"/>
      <c r="M11" s="405"/>
      <c r="N11" s="405"/>
      <c r="O11" s="405"/>
      <c r="P11" s="405"/>
      <c r="Q11" s="406"/>
    </row>
    <row r="12" spans="1:19" x14ac:dyDescent="0.35">
      <c r="J12" s="404"/>
      <c r="K12" s="405"/>
      <c r="L12" s="405"/>
      <c r="M12" s="405"/>
      <c r="N12" s="405"/>
      <c r="O12" s="405"/>
      <c r="P12" s="405"/>
      <c r="Q12" s="406"/>
    </row>
    <row r="13" spans="1:19" x14ac:dyDescent="0.35">
      <c r="J13" s="404"/>
      <c r="K13" s="405"/>
      <c r="L13" s="405"/>
      <c r="M13" s="405"/>
      <c r="N13" s="405"/>
      <c r="O13" s="405"/>
      <c r="P13" s="405"/>
      <c r="Q13" s="406"/>
    </row>
    <row r="14" spans="1:19" x14ac:dyDescent="0.35">
      <c r="J14" s="404"/>
      <c r="K14" s="405"/>
      <c r="L14" s="405"/>
      <c r="M14" s="405"/>
      <c r="N14" s="405"/>
      <c r="O14" s="405"/>
      <c r="P14" s="405"/>
      <c r="Q14" s="406"/>
    </row>
    <row r="15" spans="1:19" ht="15" thickBot="1" x14ac:dyDescent="0.4">
      <c r="J15" s="407"/>
      <c r="K15" s="408"/>
      <c r="L15" s="408"/>
      <c r="M15" s="408"/>
      <c r="N15" s="408"/>
      <c r="O15" s="408"/>
      <c r="P15" s="408"/>
      <c r="Q15" s="409"/>
    </row>
    <row r="18" spans="3:17" x14ac:dyDescent="0.35">
      <c r="C18" s="7" t="s">
        <v>8</v>
      </c>
      <c r="E18" s="11">
        <f>'KPI 1'!E18</f>
        <v>45839</v>
      </c>
      <c r="F18" s="11">
        <f>'KPI 1'!F18</f>
        <v>45870</v>
      </c>
      <c r="G18" s="11">
        <f>'KPI 1'!G18</f>
        <v>45901</v>
      </c>
      <c r="H18" s="11">
        <f>'KPI 1'!H18</f>
        <v>45931</v>
      </c>
      <c r="I18" s="11">
        <f>'KPI 1'!I18</f>
        <v>45962</v>
      </c>
      <c r="J18" s="11">
        <f>'KPI 1'!J18</f>
        <v>45992</v>
      </c>
      <c r="K18" s="11">
        <f>'KPI 1'!K18</f>
        <v>46023</v>
      </c>
      <c r="L18" s="11">
        <f>'KPI 1'!L18</f>
        <v>46054</v>
      </c>
      <c r="M18" s="11">
        <f>'KPI 1'!M18</f>
        <v>46082</v>
      </c>
      <c r="N18" s="11">
        <f>'KPI 1'!N18</f>
        <v>46113</v>
      </c>
      <c r="O18" s="11">
        <f>'KPI 1'!O18</f>
        <v>46143</v>
      </c>
      <c r="P18" s="11">
        <f>'KPI 1'!P18</f>
        <v>46174</v>
      </c>
      <c r="Q18" s="8" t="s">
        <v>0</v>
      </c>
    </row>
    <row r="19" spans="3:17" x14ac:dyDescent="0.35">
      <c r="D19" s="3" t="str">
        <f>'KPI 1'!D19</f>
        <v>Budget 2025-26</v>
      </c>
      <c r="E19" s="5">
        <f>'budget 2025-26'!D73</f>
        <v>983</v>
      </c>
      <c r="F19" s="5">
        <f>'budget 2025-26'!E73</f>
        <v>985</v>
      </c>
      <c r="G19" s="5">
        <f>'budget 2025-26'!F73</f>
        <v>987</v>
      </c>
      <c r="H19" s="5">
        <f>'budget 2025-26'!G73</f>
        <v>989</v>
      </c>
      <c r="I19" s="5">
        <f>'budget 2025-26'!H73</f>
        <v>991</v>
      </c>
      <c r="J19" s="5">
        <f>'budget 2025-26'!I73</f>
        <v>993</v>
      </c>
      <c r="K19" s="5">
        <f>'budget 2025-26'!J73</f>
        <v>995</v>
      </c>
      <c r="L19" s="5">
        <f>'budget 2025-26'!K73</f>
        <v>997</v>
      </c>
      <c r="M19" s="5">
        <f>'budget 2025-26'!L73</f>
        <v>999</v>
      </c>
      <c r="N19" s="5">
        <f>'budget 2025-26'!M73</f>
        <v>1001</v>
      </c>
      <c r="O19" s="5">
        <f>'budget 2025-26'!N73</f>
        <v>1003</v>
      </c>
      <c r="P19" s="5">
        <f>'budget 2025-26'!O73</f>
        <v>1005</v>
      </c>
      <c r="Q19" s="5">
        <f>SUM(E19:P19)</f>
        <v>11928</v>
      </c>
    </row>
    <row r="20" spans="3:17" x14ac:dyDescent="0.35">
      <c r="D20" s="3" t="str">
        <f>'KPI 1'!D20</f>
        <v>Actual 2025-26</v>
      </c>
      <c r="E20" s="5">
        <f>'Input Actual2025-26'!E75</f>
        <v>984</v>
      </c>
      <c r="F20" s="5">
        <f>'Input Actual2025-26'!F75</f>
        <v>990</v>
      </c>
      <c r="G20" s="5">
        <f>'Input Actual2025-26'!G75</f>
        <v>993</v>
      </c>
      <c r="H20" s="5">
        <f>'Input Actual2025-26'!H75</f>
        <v>993</v>
      </c>
      <c r="I20" s="5">
        <f>'Input Actual2025-26'!I75</f>
        <v>996</v>
      </c>
      <c r="J20" s="5">
        <f>'Input Actual2025-26'!J75</f>
        <v>997</v>
      </c>
      <c r="K20" s="5">
        <f>'Input Actual2025-26'!K75</f>
        <v>999</v>
      </c>
      <c r="L20" s="5">
        <f>'Input Actual2025-26'!L75</f>
        <v>1000</v>
      </c>
      <c r="M20" s="5">
        <f>'Input Actual2025-26'!M75</f>
        <v>0</v>
      </c>
      <c r="N20" s="5">
        <f>'Input Actual2025-26'!N75</f>
        <v>0</v>
      </c>
      <c r="O20" s="5">
        <f>'Input Actual2025-26'!O75</f>
        <v>0</v>
      </c>
      <c r="P20" s="5">
        <f>'Input Actual2025-26'!P75</f>
        <v>0</v>
      </c>
      <c r="Q20" s="5">
        <f t="shared" ref="Q20:Q22" si="0">SUM(E20:P20)</f>
        <v>7952</v>
      </c>
    </row>
    <row r="21" spans="3:17" x14ac:dyDescent="0.35">
      <c r="D21" s="3" t="s">
        <v>424</v>
      </c>
      <c r="E21" s="5">
        <f>'Input Actual2024-25'!E71</f>
        <v>1032</v>
      </c>
      <c r="F21" s="5">
        <f>'Input Actual2024-25'!F71</f>
        <v>1034</v>
      </c>
      <c r="G21" s="5">
        <f>'Input Actual2024-25'!G71</f>
        <v>966</v>
      </c>
      <c r="H21" s="5">
        <f>'Input Actual2024-25'!H71</f>
        <v>969</v>
      </c>
      <c r="I21" s="5">
        <f>'Input Actual2024-25'!I71</f>
        <v>970</v>
      </c>
      <c r="J21" s="5">
        <f>'Input Actual2024-25'!J71</f>
        <v>971</v>
      </c>
      <c r="K21" s="5">
        <f>'Input Actual2024-25'!K71</f>
        <v>972</v>
      </c>
      <c r="L21" s="5">
        <f>'Input Actual2024-25'!L71</f>
        <v>977</v>
      </c>
      <c r="M21" s="5">
        <f>'Input Actual2024-25'!M71</f>
        <v>978</v>
      </c>
      <c r="N21" s="5">
        <f>'Input Actual2024-25'!N71</f>
        <v>981</v>
      </c>
      <c r="O21" s="5">
        <f>'Input Actual2024-25'!O71</f>
        <v>980</v>
      </c>
      <c r="P21" s="5">
        <f>'Input Actual2024-25'!P71</f>
        <v>981</v>
      </c>
      <c r="Q21" s="5">
        <f t="shared" si="0"/>
        <v>11811</v>
      </c>
    </row>
    <row r="22" spans="3:17" x14ac:dyDescent="0.35">
      <c r="D22" s="3" t="s">
        <v>7</v>
      </c>
      <c r="E22" s="5">
        <f t="shared" ref="E22:P22" si="1">IF(E20=0,0,E20-E19)</f>
        <v>1</v>
      </c>
      <c r="F22" s="5">
        <f t="shared" si="1"/>
        <v>5</v>
      </c>
      <c r="G22" s="5">
        <f t="shared" si="1"/>
        <v>6</v>
      </c>
      <c r="H22" s="5">
        <f t="shared" si="1"/>
        <v>4</v>
      </c>
      <c r="I22" s="5">
        <f t="shared" si="1"/>
        <v>5</v>
      </c>
      <c r="J22" s="5">
        <f t="shared" si="1"/>
        <v>4</v>
      </c>
      <c r="K22" s="5">
        <f t="shared" si="1"/>
        <v>4</v>
      </c>
      <c r="L22" s="5">
        <f t="shared" si="1"/>
        <v>3</v>
      </c>
      <c r="M22" s="5">
        <f t="shared" si="1"/>
        <v>0</v>
      </c>
      <c r="N22" s="5">
        <f t="shared" si="1"/>
        <v>0</v>
      </c>
      <c r="O22" s="5">
        <f t="shared" si="1"/>
        <v>0</v>
      </c>
      <c r="P22" s="5">
        <f t="shared" si="1"/>
        <v>0</v>
      </c>
      <c r="Q22" s="5">
        <f t="shared" si="0"/>
        <v>32</v>
      </c>
    </row>
    <row r="23" spans="3:17" x14ac:dyDescent="0.35">
      <c r="D23" s="3" t="s">
        <v>43</v>
      </c>
      <c r="E23" s="9">
        <f>E21/E19</f>
        <v>1.0498474059003051</v>
      </c>
      <c r="F23" s="9">
        <f t="shared" ref="F23:P23" si="2">F20/F19</f>
        <v>1.0050761421319796</v>
      </c>
      <c r="G23" s="9">
        <f t="shared" si="2"/>
        <v>1.006079027355623</v>
      </c>
      <c r="H23" s="9">
        <f t="shared" si="2"/>
        <v>1.0040444893832154</v>
      </c>
      <c r="I23" s="9">
        <f t="shared" si="2"/>
        <v>1.0050454086781029</v>
      </c>
      <c r="J23" s="9">
        <f t="shared" si="2"/>
        <v>1.0040281973816716</v>
      </c>
      <c r="K23" s="9">
        <f t="shared" si="2"/>
        <v>1.0040201005025127</v>
      </c>
      <c r="L23" s="9">
        <f t="shared" si="2"/>
        <v>1.0030090270812437</v>
      </c>
      <c r="M23" s="9">
        <f t="shared" si="2"/>
        <v>0</v>
      </c>
      <c r="N23" s="9">
        <f t="shared" si="2"/>
        <v>0</v>
      </c>
      <c r="O23" s="9">
        <f t="shared" si="2"/>
        <v>0</v>
      </c>
      <c r="P23" s="9">
        <f t="shared" si="2"/>
        <v>0</v>
      </c>
    </row>
    <row r="25" spans="3:17" x14ac:dyDescent="0.35">
      <c r="C25" s="7" t="s">
        <v>3</v>
      </c>
      <c r="E25" s="11">
        <f>E18</f>
        <v>45839</v>
      </c>
      <c r="F25" s="11">
        <f t="shared" ref="F25:P28" si="3">F18</f>
        <v>45870</v>
      </c>
      <c r="G25" s="11">
        <f t="shared" si="3"/>
        <v>45901</v>
      </c>
      <c r="H25" s="11">
        <f t="shared" si="3"/>
        <v>45931</v>
      </c>
      <c r="I25" s="11">
        <f t="shared" si="3"/>
        <v>45962</v>
      </c>
      <c r="J25" s="11">
        <f t="shared" si="3"/>
        <v>45992</v>
      </c>
      <c r="K25" s="11">
        <f t="shared" si="3"/>
        <v>46023</v>
      </c>
      <c r="L25" s="11">
        <f t="shared" si="3"/>
        <v>46054</v>
      </c>
      <c r="M25" s="11">
        <f t="shared" si="3"/>
        <v>46082</v>
      </c>
      <c r="N25" s="11">
        <f t="shared" si="3"/>
        <v>46113</v>
      </c>
      <c r="O25" s="11">
        <f t="shared" si="3"/>
        <v>46143</v>
      </c>
      <c r="P25" s="11">
        <f t="shared" si="3"/>
        <v>46174</v>
      </c>
    </row>
    <row r="26" spans="3:17" x14ac:dyDescent="0.35">
      <c r="D26" s="3" t="str">
        <f>D19</f>
        <v>Budget 2025-26</v>
      </c>
      <c r="E26" s="5">
        <f>E19</f>
        <v>983</v>
      </c>
      <c r="F26" s="5">
        <f t="shared" si="3"/>
        <v>985</v>
      </c>
      <c r="G26" s="5">
        <f t="shared" si="3"/>
        <v>987</v>
      </c>
      <c r="H26" s="5">
        <f t="shared" si="3"/>
        <v>989</v>
      </c>
      <c r="I26" s="5">
        <f t="shared" si="3"/>
        <v>991</v>
      </c>
      <c r="J26" s="5">
        <f t="shared" si="3"/>
        <v>993</v>
      </c>
      <c r="K26" s="5">
        <f t="shared" si="3"/>
        <v>995</v>
      </c>
      <c r="L26" s="5">
        <f t="shared" si="3"/>
        <v>997</v>
      </c>
      <c r="M26" s="5">
        <f t="shared" si="3"/>
        <v>999</v>
      </c>
      <c r="N26" s="5">
        <f t="shared" si="3"/>
        <v>1001</v>
      </c>
      <c r="O26" s="5">
        <f t="shared" si="3"/>
        <v>1003</v>
      </c>
      <c r="P26" s="5">
        <f t="shared" si="3"/>
        <v>1005</v>
      </c>
    </row>
    <row r="27" spans="3:17" x14ac:dyDescent="0.35">
      <c r="D27" s="3" t="str">
        <f t="shared" ref="D27:E30" si="4">D20</f>
        <v>Actual 2025-26</v>
      </c>
      <c r="E27" s="5">
        <f t="shared" si="4"/>
        <v>984</v>
      </c>
      <c r="F27" s="5">
        <f t="shared" si="3"/>
        <v>990</v>
      </c>
      <c r="G27" s="5">
        <f t="shared" si="3"/>
        <v>993</v>
      </c>
      <c r="H27" s="5">
        <f t="shared" si="3"/>
        <v>993</v>
      </c>
      <c r="I27" s="5">
        <f t="shared" si="3"/>
        <v>996</v>
      </c>
      <c r="J27" s="5">
        <f t="shared" si="3"/>
        <v>997</v>
      </c>
      <c r="K27" s="5">
        <f t="shared" si="3"/>
        <v>999</v>
      </c>
      <c r="L27" s="5">
        <f t="shared" si="3"/>
        <v>1000</v>
      </c>
      <c r="M27" s="5">
        <f t="shared" si="3"/>
        <v>0</v>
      </c>
      <c r="N27" s="5">
        <f t="shared" si="3"/>
        <v>0</v>
      </c>
      <c r="O27" s="5">
        <f t="shared" si="3"/>
        <v>0</v>
      </c>
      <c r="P27" s="5">
        <f t="shared" si="3"/>
        <v>0</v>
      </c>
    </row>
    <row r="28" spans="3:17" x14ac:dyDescent="0.35">
      <c r="D28" s="3" t="str">
        <f t="shared" si="4"/>
        <v>Actual 2024-25</v>
      </c>
      <c r="E28" s="5">
        <f t="shared" si="4"/>
        <v>1032</v>
      </c>
      <c r="F28" s="5">
        <f t="shared" si="3"/>
        <v>1034</v>
      </c>
      <c r="G28" s="5">
        <f t="shared" si="3"/>
        <v>966</v>
      </c>
      <c r="H28" s="5">
        <f t="shared" si="3"/>
        <v>969</v>
      </c>
      <c r="I28" s="5">
        <f t="shared" si="3"/>
        <v>970</v>
      </c>
      <c r="J28" s="5">
        <f t="shared" si="3"/>
        <v>971</v>
      </c>
      <c r="K28" s="5">
        <f t="shared" si="3"/>
        <v>972</v>
      </c>
      <c r="L28" s="5">
        <f t="shared" si="3"/>
        <v>977</v>
      </c>
      <c r="M28" s="5">
        <f t="shared" si="3"/>
        <v>978</v>
      </c>
      <c r="N28" s="5">
        <f t="shared" si="3"/>
        <v>981</v>
      </c>
      <c r="O28" s="5">
        <f t="shared" si="3"/>
        <v>980</v>
      </c>
      <c r="P28" s="5">
        <f t="shared" si="3"/>
        <v>981</v>
      </c>
    </row>
    <row r="29" spans="3:17" x14ac:dyDescent="0.35">
      <c r="D29" s="3" t="str">
        <f t="shared" si="4"/>
        <v>Difference</v>
      </c>
      <c r="E29" s="5">
        <f>SUM($E22:E22)</f>
        <v>1</v>
      </c>
      <c r="F29" s="5">
        <f>SUM($E22:F22)</f>
        <v>6</v>
      </c>
      <c r="G29" s="5">
        <f>SUM($E22:G22)</f>
        <v>12</v>
      </c>
      <c r="H29" s="5">
        <f>SUM($E22:H22)</f>
        <v>16</v>
      </c>
      <c r="I29" s="5">
        <f>SUM($E22:I22)</f>
        <v>21</v>
      </c>
      <c r="J29" s="5">
        <f>SUM($E22:J22)</f>
        <v>25</v>
      </c>
      <c r="K29" s="5">
        <f>SUM($E22:K22)</f>
        <v>29</v>
      </c>
      <c r="L29" s="5">
        <f>SUM($E22:L22)</f>
        <v>32</v>
      </c>
      <c r="M29" s="5">
        <f>SUM($E22:M22)</f>
        <v>32</v>
      </c>
      <c r="N29" s="5">
        <f>SUM($E22:N22)</f>
        <v>32</v>
      </c>
      <c r="O29" s="5">
        <f>SUM($E22:O22)</f>
        <v>32</v>
      </c>
      <c r="P29" s="5">
        <f>SUM($E22:P22)</f>
        <v>32</v>
      </c>
    </row>
    <row r="30" spans="3:17" x14ac:dyDescent="0.35">
      <c r="D30" s="3" t="str">
        <f t="shared" si="4"/>
        <v>Realisation</v>
      </c>
      <c r="E30" s="9">
        <f>E28/E26</f>
        <v>1.0498474059003051</v>
      </c>
      <c r="F30" s="9">
        <f t="shared" ref="F30:P30" si="5">F27/F26</f>
        <v>1.0050761421319796</v>
      </c>
      <c r="G30" s="9">
        <f t="shared" si="5"/>
        <v>1.006079027355623</v>
      </c>
      <c r="H30" s="9">
        <f t="shared" si="5"/>
        <v>1.0040444893832154</v>
      </c>
      <c r="I30" s="9">
        <f t="shared" si="5"/>
        <v>1.0050454086781029</v>
      </c>
      <c r="J30" s="9">
        <f t="shared" si="5"/>
        <v>1.0040281973816716</v>
      </c>
      <c r="K30" s="9">
        <f t="shared" si="5"/>
        <v>1.0040201005025127</v>
      </c>
      <c r="L30" s="9">
        <f t="shared" si="5"/>
        <v>1.0030090270812437</v>
      </c>
      <c r="M30" s="9">
        <f t="shared" si="5"/>
        <v>0</v>
      </c>
      <c r="N30" s="9">
        <f t="shared" si="5"/>
        <v>0</v>
      </c>
      <c r="O30" s="9">
        <f t="shared" si="5"/>
        <v>0</v>
      </c>
      <c r="P30" s="9">
        <f t="shared" si="5"/>
        <v>0</v>
      </c>
    </row>
  </sheetData>
  <mergeCells count="2">
    <mergeCell ref="J4:Q8"/>
    <mergeCell ref="J10:Q15"/>
  </mergeCells>
  <conditionalFormatting sqref="C3">
    <cfRule type="expression" dxfId="356" priority="2">
      <formula>S4&lt;S6</formula>
    </cfRule>
  </conditionalFormatting>
  <conditionalFormatting sqref="C5">
    <cfRule type="expression" dxfId="355" priority="3">
      <formula>S4&gt;=S5</formula>
    </cfRule>
  </conditionalFormatting>
  <conditionalFormatting sqref="C4">
    <cfRule type="expression" dxfId="354" priority="1">
      <formula>AND(S4&gt;=S6,S4&lt;S5)</formula>
    </cfRule>
  </conditionalFormatting>
  <hyperlinks>
    <hyperlink ref="L1" location="Dashboard!A1" display="Dashboard"/>
  </hyperlinks>
  <pageMargins left="0.7" right="0.7" top="0.75" bottom="0.75" header="0.3" footer="0.3"/>
  <pageSetup orientation="portrait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998401" r:id="rId4" name="Spinner 1">
              <controlPr defaultSize="0" autoPict="0">
                <anchor moveWithCells="1" sizeWithCells="1">
                  <from>
                    <xdr:col>9</xdr:col>
                    <xdr:colOff>19050</xdr:colOff>
                    <xdr:row>0</xdr:row>
                    <xdr:rowOff>38100</xdr:rowOff>
                  </from>
                  <to>
                    <xdr:col>9</xdr:col>
                    <xdr:colOff>400050</xdr:colOff>
                    <xdr:row>1</xdr:row>
                    <xdr:rowOff>152400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8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FFC000"/>
  </sheetPr>
  <dimension ref="A1:S30"/>
  <sheetViews>
    <sheetView workbookViewId="0">
      <selection activeCell="L1" sqref="L1"/>
    </sheetView>
  </sheetViews>
  <sheetFormatPr defaultColWidth="9.1796875" defaultRowHeight="14.5" x14ac:dyDescent="0.35"/>
  <cols>
    <col min="1" max="1" width="9.1796875" style="3"/>
    <col min="2" max="2" width="5.1796875" style="3" customWidth="1"/>
    <col min="3" max="3" width="6.26953125" style="3" customWidth="1"/>
    <col min="4" max="4" width="21.26953125" style="3" bestFit="1" customWidth="1"/>
    <col min="5" max="16" width="11.1796875" style="3" customWidth="1"/>
    <col min="17" max="17" width="12" style="3" bestFit="1" customWidth="1"/>
    <col min="18" max="18" width="9.1796875" style="3" customWidth="1"/>
    <col min="19" max="16384" width="9.1796875" style="3"/>
  </cols>
  <sheetData>
    <row r="1" spans="1:19" ht="21" x14ac:dyDescent="0.5">
      <c r="A1" s="4" t="s">
        <v>4</v>
      </c>
      <c r="B1" s="4">
        <f>Dashboard!A84</f>
        <v>4</v>
      </c>
      <c r="C1" s="4" t="str">
        <f>Dashboard!B84</f>
        <v>LONGONOT- ACTIVE WATER</v>
      </c>
      <c r="D1" s="4"/>
      <c r="G1" s="3" t="s">
        <v>9</v>
      </c>
      <c r="I1" s="12">
        <f>INDEX($E$18:$P$18,Actual_month)</f>
        <v>46054</v>
      </c>
      <c r="L1" s="16" t="s">
        <v>19</v>
      </c>
      <c r="R1" s="5"/>
    </row>
    <row r="2" spans="1:19" x14ac:dyDescent="0.35">
      <c r="A2" s="3" t="s">
        <v>13</v>
      </c>
      <c r="C2" s="3" t="s">
        <v>27</v>
      </c>
      <c r="R2" s="6"/>
    </row>
    <row r="3" spans="1:19" ht="25.5" customHeight="1" thickBot="1" x14ac:dyDescent="0.4">
      <c r="C3" s="1" t="s">
        <v>5</v>
      </c>
      <c r="E3" s="10"/>
      <c r="F3" s="10"/>
      <c r="G3" s="10"/>
      <c r="H3" s="10"/>
      <c r="I3" s="10"/>
      <c r="J3" s="3" t="s">
        <v>6</v>
      </c>
      <c r="K3" s="10"/>
      <c r="M3" s="10"/>
      <c r="N3" s="10"/>
      <c r="O3" s="10"/>
      <c r="P3" s="10"/>
    </row>
    <row r="4" spans="1:19" ht="25.5" customHeight="1" x14ac:dyDescent="0.35">
      <c r="C4" s="1" t="s">
        <v>5</v>
      </c>
      <c r="E4" s="10"/>
      <c r="F4" s="10"/>
      <c r="G4" s="10"/>
      <c r="H4" s="10"/>
      <c r="I4" s="10"/>
      <c r="J4" s="401"/>
      <c r="K4" s="402"/>
      <c r="L4" s="402"/>
      <c r="M4" s="402"/>
      <c r="N4" s="402"/>
      <c r="O4" s="402"/>
      <c r="P4" s="402"/>
      <c r="Q4" s="403"/>
      <c r="R4" s="3" t="s">
        <v>22</v>
      </c>
      <c r="S4" s="5">
        <f>INDEX(E27:P27,Actual_month)</f>
        <v>605</v>
      </c>
    </row>
    <row r="5" spans="1:19" ht="25.5" customHeight="1" x14ac:dyDescent="0.35">
      <c r="C5" s="1" t="s">
        <v>5</v>
      </c>
      <c r="E5" s="10"/>
      <c r="F5" s="10"/>
      <c r="G5" s="10"/>
      <c r="H5" s="10"/>
      <c r="I5" s="10"/>
      <c r="J5" s="404"/>
      <c r="K5" s="405"/>
      <c r="L5" s="405"/>
      <c r="M5" s="405"/>
      <c r="N5" s="405"/>
      <c r="O5" s="405"/>
      <c r="P5" s="405"/>
      <c r="Q5" s="406"/>
      <c r="R5" s="3" t="s">
        <v>23</v>
      </c>
      <c r="S5" s="5">
        <f>INDEX(E26:P26,Actual_month)</f>
        <v>599</v>
      </c>
    </row>
    <row r="6" spans="1:19" x14ac:dyDescent="0.35">
      <c r="J6" s="404"/>
      <c r="K6" s="405"/>
      <c r="L6" s="405"/>
      <c r="M6" s="405"/>
      <c r="N6" s="405"/>
      <c r="O6" s="405"/>
      <c r="P6" s="405"/>
      <c r="Q6" s="406"/>
      <c r="R6" s="6">
        <v>0.9</v>
      </c>
      <c r="S6" s="5">
        <f>+S5*R6</f>
        <v>539.1</v>
      </c>
    </row>
    <row r="7" spans="1:19" x14ac:dyDescent="0.35">
      <c r="J7" s="404"/>
      <c r="K7" s="405"/>
      <c r="L7" s="405"/>
      <c r="M7" s="405"/>
      <c r="N7" s="405"/>
      <c r="O7" s="405"/>
      <c r="P7" s="405"/>
      <c r="Q7" s="406"/>
    </row>
    <row r="8" spans="1:19" ht="15" thickBot="1" x14ac:dyDescent="0.4">
      <c r="J8" s="407"/>
      <c r="K8" s="408"/>
      <c r="L8" s="408"/>
      <c r="M8" s="408"/>
      <c r="N8" s="408"/>
      <c r="O8" s="408"/>
      <c r="P8" s="408"/>
      <c r="Q8" s="409"/>
    </row>
    <row r="9" spans="1:19" ht="15" thickBot="1" x14ac:dyDescent="0.4">
      <c r="J9" s="3" t="s">
        <v>12</v>
      </c>
    </row>
    <row r="10" spans="1:19" x14ac:dyDescent="0.35">
      <c r="J10" s="401"/>
      <c r="K10" s="402"/>
      <c r="L10" s="402"/>
      <c r="M10" s="402"/>
      <c r="N10" s="402"/>
      <c r="O10" s="402"/>
      <c r="P10" s="402"/>
      <c r="Q10" s="403"/>
    </row>
    <row r="11" spans="1:19" x14ac:dyDescent="0.35">
      <c r="J11" s="404"/>
      <c r="K11" s="405"/>
      <c r="L11" s="405"/>
      <c r="M11" s="405"/>
      <c r="N11" s="405"/>
      <c r="O11" s="405"/>
      <c r="P11" s="405"/>
      <c r="Q11" s="406"/>
    </row>
    <row r="12" spans="1:19" x14ac:dyDescent="0.35">
      <c r="J12" s="404"/>
      <c r="K12" s="405"/>
      <c r="L12" s="405"/>
      <c r="M12" s="405"/>
      <c r="N12" s="405"/>
      <c r="O12" s="405"/>
      <c r="P12" s="405"/>
      <c r="Q12" s="406"/>
    </row>
    <row r="13" spans="1:19" x14ac:dyDescent="0.35">
      <c r="J13" s="404"/>
      <c r="K13" s="405"/>
      <c r="L13" s="405"/>
      <c r="M13" s="405"/>
      <c r="N13" s="405"/>
      <c r="O13" s="405"/>
      <c r="P13" s="405"/>
      <c r="Q13" s="406"/>
    </row>
    <row r="14" spans="1:19" x14ac:dyDescent="0.35">
      <c r="J14" s="404"/>
      <c r="K14" s="405"/>
      <c r="L14" s="405"/>
      <c r="M14" s="405"/>
      <c r="N14" s="405"/>
      <c r="O14" s="405"/>
      <c r="P14" s="405"/>
      <c r="Q14" s="406"/>
    </row>
    <row r="15" spans="1:19" ht="15" thickBot="1" x14ac:dyDescent="0.4">
      <c r="J15" s="407"/>
      <c r="K15" s="408"/>
      <c r="L15" s="408"/>
      <c r="M15" s="408"/>
      <c r="N15" s="408"/>
      <c r="O15" s="408"/>
      <c r="P15" s="408"/>
      <c r="Q15" s="409"/>
    </row>
    <row r="18" spans="3:17" x14ac:dyDescent="0.35">
      <c r="C18" s="7" t="s">
        <v>8</v>
      </c>
      <c r="E18" s="11">
        <f>'KPI 1'!E18</f>
        <v>45839</v>
      </c>
      <c r="F18" s="11">
        <f>'KPI 1'!F18</f>
        <v>45870</v>
      </c>
      <c r="G18" s="11">
        <f>'KPI 1'!G18</f>
        <v>45901</v>
      </c>
      <c r="H18" s="11">
        <f>'KPI 1'!H18</f>
        <v>45931</v>
      </c>
      <c r="I18" s="11">
        <f>'KPI 1'!I18</f>
        <v>45962</v>
      </c>
      <c r="J18" s="11">
        <f>'KPI 1'!J18</f>
        <v>45992</v>
      </c>
      <c r="K18" s="11">
        <f>'KPI 1'!K18</f>
        <v>46023</v>
      </c>
      <c r="L18" s="11">
        <f>'KPI 1'!L18</f>
        <v>46054</v>
      </c>
      <c r="M18" s="11">
        <f>'KPI 1'!M18</f>
        <v>46082</v>
      </c>
      <c r="N18" s="11">
        <f>'KPI 1'!N18</f>
        <v>46113</v>
      </c>
      <c r="O18" s="11">
        <f>'KPI 1'!O18</f>
        <v>46143</v>
      </c>
      <c r="P18" s="11">
        <f>'KPI 1'!P18</f>
        <v>46174</v>
      </c>
      <c r="Q18" s="8" t="s">
        <v>0</v>
      </c>
    </row>
    <row r="19" spans="3:17" x14ac:dyDescent="0.35">
      <c r="D19" s="3" t="str">
        <f>'KPI 1'!D19</f>
        <v>Budget 2025-26</v>
      </c>
      <c r="E19" s="5">
        <f>'budget 2025-26'!D79</f>
        <v>529</v>
      </c>
      <c r="F19" s="5">
        <f>'budget 2025-26'!E79</f>
        <v>539</v>
      </c>
      <c r="G19" s="5">
        <f>'budget 2025-26'!F79</f>
        <v>549</v>
      </c>
      <c r="H19" s="5">
        <f>'budget 2025-26'!G79</f>
        <v>559</v>
      </c>
      <c r="I19" s="5">
        <f>'budget 2025-26'!H79</f>
        <v>569</v>
      </c>
      <c r="J19" s="5">
        <f>'budget 2025-26'!I79</f>
        <v>579</v>
      </c>
      <c r="K19" s="5">
        <f>'budget 2025-26'!J79</f>
        <v>589</v>
      </c>
      <c r="L19" s="5">
        <f>'budget 2025-26'!K79</f>
        <v>599</v>
      </c>
      <c r="M19" s="5">
        <f>'budget 2025-26'!L79</f>
        <v>609</v>
      </c>
      <c r="N19" s="5">
        <f>'budget 2025-26'!M79</f>
        <v>619</v>
      </c>
      <c r="O19" s="5">
        <f>'budget 2025-26'!N79</f>
        <v>629</v>
      </c>
      <c r="P19" s="5">
        <f>'budget 2025-26'!O79</f>
        <v>639</v>
      </c>
      <c r="Q19" s="5">
        <f>SUM(E19:P19)</f>
        <v>7008</v>
      </c>
    </row>
    <row r="20" spans="3:17" x14ac:dyDescent="0.35">
      <c r="D20" s="3" t="str">
        <f>'KPI 1'!D20</f>
        <v>Actual 2025-26</v>
      </c>
      <c r="E20" s="5">
        <f>'Input Actual2025-26'!E81</f>
        <v>530</v>
      </c>
      <c r="F20" s="5">
        <f>'Input Actual2025-26'!F81</f>
        <v>546</v>
      </c>
      <c r="G20" s="5">
        <f>'Input Actual2025-26'!G81</f>
        <v>564</v>
      </c>
      <c r="H20" s="5">
        <f>'Input Actual2025-26'!H81</f>
        <v>577</v>
      </c>
      <c r="I20" s="5">
        <f>'Input Actual2025-26'!I81</f>
        <v>589</v>
      </c>
      <c r="J20" s="5">
        <f>'Input Actual2025-26'!J81</f>
        <v>594</v>
      </c>
      <c r="K20" s="5">
        <f>'Input Actual2025-26'!K81</f>
        <v>599</v>
      </c>
      <c r="L20" s="5">
        <f>'Input Actual2025-26'!L81</f>
        <v>605</v>
      </c>
      <c r="M20" s="5">
        <f>'Input Actual2025-26'!M81</f>
        <v>0</v>
      </c>
      <c r="N20" s="5">
        <f>'Input Actual2025-26'!N81</f>
        <v>0</v>
      </c>
      <c r="O20" s="5">
        <f>'Input Actual2025-26'!O81</f>
        <v>0</v>
      </c>
      <c r="P20" s="5">
        <f>'Input Actual2025-26'!P81</f>
        <v>0</v>
      </c>
      <c r="Q20" s="5">
        <f t="shared" ref="Q20:Q22" si="0">SUM(E20:P20)</f>
        <v>4604</v>
      </c>
    </row>
    <row r="21" spans="3:17" x14ac:dyDescent="0.35">
      <c r="D21" s="3" t="s">
        <v>424</v>
      </c>
      <c r="E21" s="5">
        <f>'Input Actual2024-25'!E77</f>
        <v>475</v>
      </c>
      <c r="F21" s="5">
        <f>'Input Actual2024-25'!F77</f>
        <v>474</v>
      </c>
      <c r="G21" s="5">
        <f>'Input Actual2024-25'!G77</f>
        <v>477</v>
      </c>
      <c r="H21" s="5">
        <f>'Input Actual2024-25'!H77</f>
        <v>478</v>
      </c>
      <c r="I21" s="5">
        <f>'Input Actual2024-25'!I77</f>
        <v>485</v>
      </c>
      <c r="J21" s="5">
        <f>'Input Actual2024-25'!J77</f>
        <v>483</v>
      </c>
      <c r="K21" s="5">
        <f>'Input Actual2024-25'!K77</f>
        <v>483</v>
      </c>
      <c r="L21" s="5">
        <f>'Input Actual2024-25'!L77</f>
        <v>489</v>
      </c>
      <c r="M21" s="5">
        <f>'Input Actual2024-25'!M77</f>
        <v>499</v>
      </c>
      <c r="N21" s="5">
        <f>'Input Actual2024-25'!N77</f>
        <v>501</v>
      </c>
      <c r="O21" s="5">
        <f>'Input Actual2024-25'!O77</f>
        <v>514</v>
      </c>
      <c r="P21" s="5">
        <f>'Input Actual2024-25'!P77</f>
        <v>519</v>
      </c>
      <c r="Q21" s="5">
        <f t="shared" si="0"/>
        <v>5877</v>
      </c>
    </row>
    <row r="22" spans="3:17" x14ac:dyDescent="0.35">
      <c r="D22" s="3" t="s">
        <v>7</v>
      </c>
      <c r="E22" s="5">
        <f t="shared" ref="E22:P22" si="1">IF(E20=0,0,E20-E19)</f>
        <v>1</v>
      </c>
      <c r="F22" s="5">
        <f t="shared" si="1"/>
        <v>7</v>
      </c>
      <c r="G22" s="5">
        <f t="shared" si="1"/>
        <v>15</v>
      </c>
      <c r="H22" s="5">
        <f t="shared" si="1"/>
        <v>18</v>
      </c>
      <c r="I22" s="5">
        <f t="shared" si="1"/>
        <v>20</v>
      </c>
      <c r="J22" s="5">
        <f t="shared" si="1"/>
        <v>15</v>
      </c>
      <c r="K22" s="5">
        <f t="shared" si="1"/>
        <v>10</v>
      </c>
      <c r="L22" s="5">
        <f t="shared" si="1"/>
        <v>6</v>
      </c>
      <c r="M22" s="5">
        <f t="shared" si="1"/>
        <v>0</v>
      </c>
      <c r="N22" s="5">
        <f t="shared" si="1"/>
        <v>0</v>
      </c>
      <c r="O22" s="5">
        <f t="shared" si="1"/>
        <v>0</v>
      </c>
      <c r="P22" s="5">
        <f t="shared" si="1"/>
        <v>0</v>
      </c>
      <c r="Q22" s="5">
        <f t="shared" si="0"/>
        <v>92</v>
      </c>
    </row>
    <row r="23" spans="3:17" x14ac:dyDescent="0.35">
      <c r="D23" s="3" t="s">
        <v>43</v>
      </c>
      <c r="E23" s="9">
        <f>E21/E19</f>
        <v>0.89792060491493386</v>
      </c>
      <c r="F23" s="9">
        <f t="shared" ref="F23:P23" si="2">F20/F19</f>
        <v>1.0129870129870129</v>
      </c>
      <c r="G23" s="9">
        <f t="shared" si="2"/>
        <v>1.0273224043715847</v>
      </c>
      <c r="H23" s="9">
        <f t="shared" si="2"/>
        <v>1.0322003577817531</v>
      </c>
      <c r="I23" s="9">
        <f t="shared" si="2"/>
        <v>1.0351493848857645</v>
      </c>
      <c r="J23" s="9">
        <f t="shared" si="2"/>
        <v>1.0259067357512954</v>
      </c>
      <c r="K23" s="9">
        <f t="shared" si="2"/>
        <v>1.0169779286926994</v>
      </c>
      <c r="L23" s="9">
        <f t="shared" si="2"/>
        <v>1.010016694490818</v>
      </c>
      <c r="M23" s="9">
        <f t="shared" si="2"/>
        <v>0</v>
      </c>
      <c r="N23" s="9">
        <f t="shared" si="2"/>
        <v>0</v>
      </c>
      <c r="O23" s="9">
        <f t="shared" si="2"/>
        <v>0</v>
      </c>
      <c r="P23" s="9">
        <f t="shared" si="2"/>
        <v>0</v>
      </c>
    </row>
    <row r="25" spans="3:17" x14ac:dyDescent="0.35">
      <c r="C25" s="7" t="s">
        <v>3</v>
      </c>
      <c r="E25" s="11">
        <f>E18</f>
        <v>45839</v>
      </c>
      <c r="F25" s="11">
        <f t="shared" ref="F25:P28" si="3">F18</f>
        <v>45870</v>
      </c>
      <c r="G25" s="11">
        <f t="shared" si="3"/>
        <v>45901</v>
      </c>
      <c r="H25" s="11">
        <f t="shared" si="3"/>
        <v>45931</v>
      </c>
      <c r="I25" s="11">
        <f t="shared" si="3"/>
        <v>45962</v>
      </c>
      <c r="J25" s="11">
        <f t="shared" si="3"/>
        <v>45992</v>
      </c>
      <c r="K25" s="11">
        <f t="shared" si="3"/>
        <v>46023</v>
      </c>
      <c r="L25" s="11">
        <f t="shared" si="3"/>
        <v>46054</v>
      </c>
      <c r="M25" s="11">
        <f t="shared" si="3"/>
        <v>46082</v>
      </c>
      <c r="N25" s="11">
        <f t="shared" si="3"/>
        <v>46113</v>
      </c>
      <c r="O25" s="11">
        <f t="shared" si="3"/>
        <v>46143</v>
      </c>
      <c r="P25" s="11">
        <f t="shared" si="3"/>
        <v>46174</v>
      </c>
    </row>
    <row r="26" spans="3:17" x14ac:dyDescent="0.35">
      <c r="D26" s="3" t="str">
        <f>D19</f>
        <v>Budget 2025-26</v>
      </c>
      <c r="E26" s="5">
        <f>E19</f>
        <v>529</v>
      </c>
      <c r="F26" s="5">
        <f t="shared" si="3"/>
        <v>539</v>
      </c>
      <c r="G26" s="5">
        <f t="shared" si="3"/>
        <v>549</v>
      </c>
      <c r="H26" s="5">
        <f t="shared" si="3"/>
        <v>559</v>
      </c>
      <c r="I26" s="5">
        <f t="shared" si="3"/>
        <v>569</v>
      </c>
      <c r="J26" s="5">
        <f t="shared" si="3"/>
        <v>579</v>
      </c>
      <c r="K26" s="5">
        <f t="shared" si="3"/>
        <v>589</v>
      </c>
      <c r="L26" s="5">
        <f t="shared" si="3"/>
        <v>599</v>
      </c>
      <c r="M26" s="5">
        <f t="shared" si="3"/>
        <v>609</v>
      </c>
      <c r="N26" s="5">
        <f t="shared" si="3"/>
        <v>619</v>
      </c>
      <c r="O26" s="5">
        <f t="shared" si="3"/>
        <v>629</v>
      </c>
      <c r="P26" s="5">
        <f t="shared" si="3"/>
        <v>639</v>
      </c>
    </row>
    <row r="27" spans="3:17" x14ac:dyDescent="0.35">
      <c r="D27" s="3" t="str">
        <f t="shared" ref="D27:E30" si="4">D20</f>
        <v>Actual 2025-26</v>
      </c>
      <c r="E27" s="5">
        <f t="shared" si="4"/>
        <v>530</v>
      </c>
      <c r="F27" s="5">
        <f t="shared" si="3"/>
        <v>546</v>
      </c>
      <c r="G27" s="5">
        <f t="shared" si="3"/>
        <v>564</v>
      </c>
      <c r="H27" s="5">
        <f t="shared" si="3"/>
        <v>577</v>
      </c>
      <c r="I27" s="5">
        <f t="shared" si="3"/>
        <v>589</v>
      </c>
      <c r="J27" s="5">
        <f t="shared" si="3"/>
        <v>594</v>
      </c>
      <c r="K27" s="5">
        <f t="shared" si="3"/>
        <v>599</v>
      </c>
      <c r="L27" s="5">
        <f t="shared" si="3"/>
        <v>605</v>
      </c>
      <c r="M27" s="5">
        <f t="shared" si="3"/>
        <v>0</v>
      </c>
      <c r="N27" s="5">
        <f t="shared" si="3"/>
        <v>0</v>
      </c>
      <c r="O27" s="5">
        <f t="shared" si="3"/>
        <v>0</v>
      </c>
      <c r="P27" s="5">
        <f t="shared" si="3"/>
        <v>0</v>
      </c>
    </row>
    <row r="28" spans="3:17" x14ac:dyDescent="0.35">
      <c r="D28" s="3" t="str">
        <f t="shared" si="4"/>
        <v>Actual 2024-25</v>
      </c>
      <c r="E28" s="5">
        <f t="shared" si="4"/>
        <v>475</v>
      </c>
      <c r="F28" s="5">
        <f t="shared" si="3"/>
        <v>474</v>
      </c>
      <c r="G28" s="5">
        <f t="shared" si="3"/>
        <v>477</v>
      </c>
      <c r="H28" s="5">
        <f t="shared" si="3"/>
        <v>478</v>
      </c>
      <c r="I28" s="5">
        <f t="shared" si="3"/>
        <v>485</v>
      </c>
      <c r="J28" s="5">
        <f t="shared" si="3"/>
        <v>483</v>
      </c>
      <c r="K28" s="5">
        <f t="shared" si="3"/>
        <v>483</v>
      </c>
      <c r="L28" s="5">
        <f t="shared" si="3"/>
        <v>489</v>
      </c>
      <c r="M28" s="5">
        <f t="shared" si="3"/>
        <v>499</v>
      </c>
      <c r="N28" s="5">
        <f t="shared" si="3"/>
        <v>501</v>
      </c>
      <c r="O28" s="5">
        <f t="shared" si="3"/>
        <v>514</v>
      </c>
      <c r="P28" s="5">
        <f t="shared" si="3"/>
        <v>519</v>
      </c>
    </row>
    <row r="29" spans="3:17" x14ac:dyDescent="0.35">
      <c r="D29" s="3" t="str">
        <f t="shared" si="4"/>
        <v>Difference</v>
      </c>
      <c r="E29" s="5">
        <f>SUM($E22:E22)</f>
        <v>1</v>
      </c>
      <c r="F29" s="5">
        <f>SUM($E22:F22)</f>
        <v>8</v>
      </c>
      <c r="G29" s="5">
        <f>SUM($E22:G22)</f>
        <v>23</v>
      </c>
      <c r="H29" s="5">
        <f>SUM($E22:H22)</f>
        <v>41</v>
      </c>
      <c r="I29" s="5">
        <f>SUM($E22:I22)</f>
        <v>61</v>
      </c>
      <c r="J29" s="5">
        <f>SUM($E22:J22)</f>
        <v>76</v>
      </c>
      <c r="K29" s="5">
        <f>SUM($E22:K22)</f>
        <v>86</v>
      </c>
      <c r="L29" s="5">
        <f>SUM($E22:L22)</f>
        <v>92</v>
      </c>
      <c r="M29" s="5">
        <f>SUM($E22:M22)</f>
        <v>92</v>
      </c>
      <c r="N29" s="5">
        <f>SUM($E22:N22)</f>
        <v>92</v>
      </c>
      <c r="O29" s="5">
        <f>SUM($E22:O22)</f>
        <v>92</v>
      </c>
      <c r="P29" s="5">
        <f>SUM($E22:P22)</f>
        <v>92</v>
      </c>
    </row>
    <row r="30" spans="3:17" x14ac:dyDescent="0.35">
      <c r="D30" s="3" t="str">
        <f t="shared" si="4"/>
        <v>Realisation</v>
      </c>
      <c r="E30" s="9">
        <f>E28/E26</f>
        <v>0.89792060491493386</v>
      </c>
      <c r="F30" s="9">
        <f t="shared" ref="F30:P30" si="5">F27/F26</f>
        <v>1.0129870129870129</v>
      </c>
      <c r="G30" s="9">
        <f t="shared" si="5"/>
        <v>1.0273224043715847</v>
      </c>
      <c r="H30" s="9">
        <f t="shared" si="5"/>
        <v>1.0322003577817531</v>
      </c>
      <c r="I30" s="9">
        <f t="shared" si="5"/>
        <v>1.0351493848857645</v>
      </c>
      <c r="J30" s="9">
        <f t="shared" si="5"/>
        <v>1.0259067357512954</v>
      </c>
      <c r="K30" s="9">
        <f t="shared" si="5"/>
        <v>1.0169779286926994</v>
      </c>
      <c r="L30" s="9">
        <f t="shared" si="5"/>
        <v>1.010016694490818</v>
      </c>
      <c r="M30" s="9">
        <f t="shared" si="5"/>
        <v>0</v>
      </c>
      <c r="N30" s="9">
        <f t="shared" si="5"/>
        <v>0</v>
      </c>
      <c r="O30" s="9">
        <f t="shared" si="5"/>
        <v>0</v>
      </c>
      <c r="P30" s="9">
        <f t="shared" si="5"/>
        <v>0</v>
      </c>
    </row>
  </sheetData>
  <mergeCells count="2">
    <mergeCell ref="J4:Q8"/>
    <mergeCell ref="J10:Q15"/>
  </mergeCells>
  <conditionalFormatting sqref="C3">
    <cfRule type="expression" dxfId="353" priority="2">
      <formula>S4&lt;S6</formula>
    </cfRule>
  </conditionalFormatting>
  <conditionalFormatting sqref="C5">
    <cfRule type="expression" dxfId="352" priority="3">
      <formula>S4&gt;=S5</formula>
    </cfRule>
  </conditionalFormatting>
  <conditionalFormatting sqref="C4">
    <cfRule type="expression" dxfId="351" priority="1">
      <formula>AND(S4&gt;=S6,S4&lt;S5)</formula>
    </cfRule>
  </conditionalFormatting>
  <hyperlinks>
    <hyperlink ref="L1" location="Dashboard!A1" display="Dashboard"/>
  </hyperlinks>
  <pageMargins left="0.7" right="0.7" top="0.75" bottom="0.75" header="0.3" footer="0.3"/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760257" r:id="rId3" name="Spinner 1">
              <controlPr defaultSize="0" autoPict="0">
                <anchor moveWithCells="1" sizeWithCells="1">
                  <from>
                    <xdr:col>9</xdr:col>
                    <xdr:colOff>19050</xdr:colOff>
                    <xdr:row>0</xdr:row>
                    <xdr:rowOff>38100</xdr:rowOff>
                  </from>
                  <to>
                    <xdr:col>9</xdr:col>
                    <xdr:colOff>400050</xdr:colOff>
                    <xdr:row>1</xdr:row>
                    <xdr:rowOff>152400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8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63">
    <tabColor rgb="FFFFC000"/>
  </sheetPr>
  <dimension ref="A1:S30"/>
  <sheetViews>
    <sheetView zoomScale="90" zoomScaleNormal="90" workbookViewId="0">
      <selection activeCell="L1" sqref="L1"/>
    </sheetView>
  </sheetViews>
  <sheetFormatPr defaultColWidth="9.1796875" defaultRowHeight="14.5" x14ac:dyDescent="0.35"/>
  <cols>
    <col min="1" max="1" width="9.1796875" style="3"/>
    <col min="2" max="2" width="5.1796875" style="3" customWidth="1"/>
    <col min="3" max="3" width="6.26953125" style="3" customWidth="1"/>
    <col min="4" max="4" width="21.26953125" style="3" bestFit="1" customWidth="1"/>
    <col min="5" max="16" width="11.1796875" style="3" customWidth="1"/>
    <col min="17" max="17" width="12" style="3" bestFit="1" customWidth="1"/>
    <col min="18" max="18" width="9.1796875" style="3" customWidth="1"/>
    <col min="19" max="16384" width="9.1796875" style="3"/>
  </cols>
  <sheetData>
    <row r="1" spans="1:19" ht="21" x14ac:dyDescent="0.5">
      <c r="A1" s="4" t="s">
        <v>4</v>
      </c>
      <c r="B1" s="4">
        <f>Dashboard!A83</f>
        <v>3</v>
      </c>
      <c r="C1" s="4" t="str">
        <f>Dashboard!B83</f>
        <v>MAI-MAHIU- ACTIVE WATER</v>
      </c>
      <c r="D1" s="4"/>
      <c r="G1" s="3" t="s">
        <v>9</v>
      </c>
      <c r="I1" s="12">
        <f>INDEX($E$18:$P$18,Actual_month)</f>
        <v>46054</v>
      </c>
      <c r="L1" s="16" t="s">
        <v>19</v>
      </c>
      <c r="R1" s="5"/>
    </row>
    <row r="2" spans="1:19" x14ac:dyDescent="0.35">
      <c r="A2" s="3" t="s">
        <v>13</v>
      </c>
      <c r="C2" s="3" t="s">
        <v>27</v>
      </c>
      <c r="R2" s="6"/>
    </row>
    <row r="3" spans="1:19" ht="25.5" customHeight="1" thickBot="1" x14ac:dyDescent="0.4">
      <c r="C3" s="1" t="s">
        <v>5</v>
      </c>
      <c r="E3" s="10"/>
      <c r="F3" s="10"/>
      <c r="G3" s="10"/>
      <c r="H3" s="10"/>
      <c r="I3" s="10"/>
      <c r="J3" s="3" t="s">
        <v>6</v>
      </c>
      <c r="K3" s="10"/>
      <c r="M3" s="10"/>
      <c r="N3" s="10"/>
      <c r="O3" s="10"/>
      <c r="P3" s="10"/>
    </row>
    <row r="4" spans="1:19" ht="25.5" customHeight="1" x14ac:dyDescent="0.35">
      <c r="C4" s="1" t="s">
        <v>5</v>
      </c>
      <c r="E4" s="10"/>
      <c r="F4" s="10"/>
      <c r="G4" s="10"/>
      <c r="H4" s="10"/>
      <c r="I4" s="10"/>
      <c r="J4" s="401"/>
      <c r="K4" s="402"/>
      <c r="L4" s="402"/>
      <c r="M4" s="402"/>
      <c r="N4" s="402"/>
      <c r="O4" s="402"/>
      <c r="P4" s="402"/>
      <c r="Q4" s="403"/>
      <c r="R4" s="3" t="s">
        <v>22</v>
      </c>
      <c r="S4" s="5">
        <f>INDEX(E27:P27,Actual_month)</f>
        <v>985</v>
      </c>
    </row>
    <row r="5" spans="1:19" ht="25.5" customHeight="1" x14ac:dyDescent="0.35">
      <c r="C5" s="1" t="s">
        <v>5</v>
      </c>
      <c r="E5" s="10"/>
      <c r="F5" s="10"/>
      <c r="G5" s="10"/>
      <c r="H5" s="10"/>
      <c r="I5" s="10"/>
      <c r="J5" s="404"/>
      <c r="K5" s="405"/>
      <c r="L5" s="405"/>
      <c r="M5" s="405"/>
      <c r="N5" s="405"/>
      <c r="O5" s="405"/>
      <c r="P5" s="405"/>
      <c r="Q5" s="406"/>
      <c r="R5" s="3" t="s">
        <v>23</v>
      </c>
      <c r="S5" s="5">
        <f>INDEX(E26:P26,Actual_month)</f>
        <v>1159</v>
      </c>
    </row>
    <row r="6" spans="1:19" x14ac:dyDescent="0.35">
      <c r="J6" s="404"/>
      <c r="K6" s="405"/>
      <c r="L6" s="405"/>
      <c r="M6" s="405"/>
      <c r="N6" s="405"/>
      <c r="O6" s="405"/>
      <c r="P6" s="405"/>
      <c r="Q6" s="406"/>
      <c r="R6" s="6">
        <v>0.9</v>
      </c>
      <c r="S6" s="5">
        <f>+S5*R6</f>
        <v>1043.1000000000001</v>
      </c>
    </row>
    <row r="7" spans="1:19" x14ac:dyDescent="0.35">
      <c r="J7" s="404"/>
      <c r="K7" s="405"/>
      <c r="L7" s="405"/>
      <c r="M7" s="405"/>
      <c r="N7" s="405"/>
      <c r="O7" s="405"/>
      <c r="P7" s="405"/>
      <c r="Q7" s="406"/>
    </row>
    <row r="8" spans="1:19" ht="15" thickBot="1" x14ac:dyDescent="0.4">
      <c r="J8" s="407"/>
      <c r="K8" s="408"/>
      <c r="L8" s="408"/>
      <c r="M8" s="408"/>
      <c r="N8" s="408"/>
      <c r="O8" s="408"/>
      <c r="P8" s="408"/>
      <c r="Q8" s="409"/>
    </row>
    <row r="9" spans="1:19" ht="15" thickBot="1" x14ac:dyDescent="0.4">
      <c r="J9" s="3" t="s">
        <v>12</v>
      </c>
    </row>
    <row r="10" spans="1:19" x14ac:dyDescent="0.35">
      <c r="J10" s="401"/>
      <c r="K10" s="402"/>
      <c r="L10" s="402"/>
      <c r="M10" s="402"/>
      <c r="N10" s="402"/>
      <c r="O10" s="402"/>
      <c r="P10" s="402"/>
      <c r="Q10" s="403"/>
    </row>
    <row r="11" spans="1:19" x14ac:dyDescent="0.35">
      <c r="J11" s="404"/>
      <c r="K11" s="405"/>
      <c r="L11" s="405"/>
      <c r="M11" s="405"/>
      <c r="N11" s="405"/>
      <c r="O11" s="405"/>
      <c r="P11" s="405"/>
      <c r="Q11" s="406"/>
    </row>
    <row r="12" spans="1:19" x14ac:dyDescent="0.35">
      <c r="J12" s="404"/>
      <c r="K12" s="405"/>
      <c r="L12" s="405"/>
      <c r="M12" s="405"/>
      <c r="N12" s="405"/>
      <c r="O12" s="405"/>
      <c r="P12" s="405"/>
      <c r="Q12" s="406"/>
    </row>
    <row r="13" spans="1:19" x14ac:dyDescent="0.35">
      <c r="J13" s="404"/>
      <c r="K13" s="405"/>
      <c r="L13" s="405"/>
      <c r="M13" s="405"/>
      <c r="N13" s="405"/>
      <c r="O13" s="405"/>
      <c r="P13" s="405"/>
      <c r="Q13" s="406"/>
    </row>
    <row r="14" spans="1:19" x14ac:dyDescent="0.35">
      <c r="J14" s="404"/>
      <c r="K14" s="405"/>
      <c r="L14" s="405"/>
      <c r="M14" s="405"/>
      <c r="N14" s="405"/>
      <c r="O14" s="405"/>
      <c r="P14" s="405"/>
      <c r="Q14" s="406"/>
    </row>
    <row r="15" spans="1:19" ht="15" thickBot="1" x14ac:dyDescent="0.4">
      <c r="J15" s="407"/>
      <c r="K15" s="408"/>
      <c r="L15" s="408"/>
      <c r="M15" s="408"/>
      <c r="N15" s="408"/>
      <c r="O15" s="408"/>
      <c r="P15" s="408"/>
      <c r="Q15" s="409"/>
    </row>
    <row r="18" spans="3:17" x14ac:dyDescent="0.35">
      <c r="C18" s="7" t="s">
        <v>8</v>
      </c>
      <c r="E18" s="11">
        <f>'KPI 1'!E18</f>
        <v>45839</v>
      </c>
      <c r="F18" s="11">
        <f>'KPI 1'!F18</f>
        <v>45870</v>
      </c>
      <c r="G18" s="11">
        <f>'KPI 1'!G18</f>
        <v>45901</v>
      </c>
      <c r="H18" s="11">
        <f>'KPI 1'!H18</f>
        <v>45931</v>
      </c>
      <c r="I18" s="11">
        <f>'KPI 1'!I18</f>
        <v>45962</v>
      </c>
      <c r="J18" s="11">
        <f>'KPI 1'!J18</f>
        <v>45992</v>
      </c>
      <c r="K18" s="11">
        <f>'KPI 1'!K18</f>
        <v>46023</v>
      </c>
      <c r="L18" s="11">
        <f>'KPI 1'!L18</f>
        <v>46054</v>
      </c>
      <c r="M18" s="11">
        <f>'KPI 1'!M18</f>
        <v>46082</v>
      </c>
      <c r="N18" s="11">
        <f>'KPI 1'!N18</f>
        <v>46113</v>
      </c>
      <c r="O18" s="11">
        <f>'KPI 1'!O18</f>
        <v>46143</v>
      </c>
      <c r="P18" s="11">
        <f>'KPI 1'!P18</f>
        <v>46174</v>
      </c>
      <c r="Q18" s="8" t="s">
        <v>0</v>
      </c>
    </row>
    <row r="19" spans="3:17" x14ac:dyDescent="0.35">
      <c r="D19" s="3" t="str">
        <f>'KPI 1'!D19</f>
        <v>Budget 2025-26</v>
      </c>
      <c r="E19" s="5">
        <f>'budget 2025-26'!D78</f>
        <v>732</v>
      </c>
      <c r="F19" s="5">
        <f>'budget 2025-26'!E78</f>
        <v>783</v>
      </c>
      <c r="G19" s="5">
        <f>'budget 2025-26'!F78</f>
        <v>829</v>
      </c>
      <c r="H19" s="5">
        <f>'budget 2025-26'!G78</f>
        <v>900</v>
      </c>
      <c r="I19" s="5">
        <f>'budget 2025-26'!H78</f>
        <v>971</v>
      </c>
      <c r="J19" s="5">
        <f>'budget 2025-26'!I78</f>
        <v>1037</v>
      </c>
      <c r="K19" s="5">
        <f>'budget 2025-26'!J78</f>
        <v>1098</v>
      </c>
      <c r="L19" s="5">
        <f>'budget 2025-26'!K78</f>
        <v>1159</v>
      </c>
      <c r="M19" s="5">
        <f>'budget 2025-26'!L78</f>
        <v>1215</v>
      </c>
      <c r="N19" s="5">
        <f>'budget 2025-26'!M78</f>
        <v>1261</v>
      </c>
      <c r="O19" s="5">
        <f>'budget 2025-26'!N78</f>
        <v>1307</v>
      </c>
      <c r="P19" s="5">
        <f>'budget 2025-26'!O78</f>
        <v>1353</v>
      </c>
      <c r="Q19" s="5">
        <f>SUM(E19:P19)</f>
        <v>12645</v>
      </c>
    </row>
    <row r="20" spans="3:17" x14ac:dyDescent="0.35">
      <c r="D20" s="3" t="str">
        <f>'KPI 1'!D20</f>
        <v>Actual 2025-26</v>
      </c>
      <c r="E20" s="5">
        <f>'Input Actual2025-26'!E80</f>
        <v>735</v>
      </c>
      <c r="F20" s="5">
        <f>'Input Actual2025-26'!F80</f>
        <v>755</v>
      </c>
      <c r="G20" s="5">
        <f>'Input Actual2025-26'!G80</f>
        <v>798</v>
      </c>
      <c r="H20" s="5">
        <f>'Input Actual2025-26'!H80</f>
        <v>843</v>
      </c>
      <c r="I20" s="5">
        <f>'Input Actual2025-26'!I80</f>
        <v>874</v>
      </c>
      <c r="J20" s="5">
        <f>'Input Actual2025-26'!J80</f>
        <v>928</v>
      </c>
      <c r="K20" s="5">
        <f>'Input Actual2025-26'!K80</f>
        <v>955</v>
      </c>
      <c r="L20" s="5">
        <f>'Input Actual2025-26'!L80</f>
        <v>985</v>
      </c>
      <c r="M20" s="5">
        <f>'Input Actual2025-26'!M80</f>
        <v>0</v>
      </c>
      <c r="N20" s="5">
        <f>'Input Actual2025-26'!N80</f>
        <v>0</v>
      </c>
      <c r="O20" s="5">
        <f>'Input Actual2025-26'!O80</f>
        <v>0</v>
      </c>
      <c r="P20" s="5">
        <f>'Input Actual2025-26'!P80</f>
        <v>0</v>
      </c>
      <c r="Q20" s="5">
        <f t="shared" ref="Q20:Q22" si="0">SUM(E20:P20)</f>
        <v>6873</v>
      </c>
    </row>
    <row r="21" spans="3:17" x14ac:dyDescent="0.35">
      <c r="D21" s="3" t="s">
        <v>424</v>
      </c>
      <c r="E21" s="5">
        <f>'Input Actual2024-25'!E76</f>
        <v>459</v>
      </c>
      <c r="F21" s="5">
        <f>'Input Actual2024-25'!F76</f>
        <v>466</v>
      </c>
      <c r="G21" s="5">
        <f>'Input Actual2024-25'!G76</f>
        <v>487</v>
      </c>
      <c r="H21" s="5">
        <f>'Input Actual2024-25'!H76</f>
        <v>489</v>
      </c>
      <c r="I21" s="5">
        <f>'Input Actual2024-25'!I76</f>
        <v>517</v>
      </c>
      <c r="J21" s="5">
        <f>'Input Actual2024-25'!J76</f>
        <v>550</v>
      </c>
      <c r="K21" s="5">
        <f>'Input Actual2024-25'!K76</f>
        <v>555</v>
      </c>
      <c r="L21" s="5">
        <f>'Input Actual2024-25'!L76</f>
        <v>593</v>
      </c>
      <c r="M21" s="5">
        <f>'Input Actual2024-25'!M76</f>
        <v>613</v>
      </c>
      <c r="N21" s="5">
        <f>'Input Actual2024-25'!N76</f>
        <v>641</v>
      </c>
      <c r="O21" s="5">
        <f>'Input Actual2024-25'!O76</f>
        <v>658</v>
      </c>
      <c r="P21" s="5">
        <f>'Input Actual2024-25'!P76</f>
        <v>681</v>
      </c>
      <c r="Q21" s="5">
        <f t="shared" si="0"/>
        <v>6709</v>
      </c>
    </row>
    <row r="22" spans="3:17" x14ac:dyDescent="0.35">
      <c r="D22" s="3" t="s">
        <v>7</v>
      </c>
      <c r="E22" s="5">
        <f t="shared" ref="E22:P22" si="1">IF(E20=0,0,E20-E19)</f>
        <v>3</v>
      </c>
      <c r="F22" s="5">
        <f t="shared" si="1"/>
        <v>-28</v>
      </c>
      <c r="G22" s="5">
        <f t="shared" si="1"/>
        <v>-31</v>
      </c>
      <c r="H22" s="5">
        <f t="shared" si="1"/>
        <v>-57</v>
      </c>
      <c r="I22" s="5">
        <f t="shared" si="1"/>
        <v>-97</v>
      </c>
      <c r="J22" s="5">
        <f t="shared" si="1"/>
        <v>-109</v>
      </c>
      <c r="K22" s="5">
        <f t="shared" si="1"/>
        <v>-143</v>
      </c>
      <c r="L22" s="5">
        <f t="shared" si="1"/>
        <v>-174</v>
      </c>
      <c r="M22" s="5">
        <f t="shared" si="1"/>
        <v>0</v>
      </c>
      <c r="N22" s="5">
        <f t="shared" si="1"/>
        <v>0</v>
      </c>
      <c r="O22" s="5">
        <f t="shared" si="1"/>
        <v>0</v>
      </c>
      <c r="P22" s="5">
        <f t="shared" si="1"/>
        <v>0</v>
      </c>
      <c r="Q22" s="5">
        <f t="shared" si="0"/>
        <v>-636</v>
      </c>
    </row>
    <row r="23" spans="3:17" x14ac:dyDescent="0.35">
      <c r="D23" s="3" t="s">
        <v>43</v>
      </c>
      <c r="E23" s="9">
        <f>E21/E19</f>
        <v>0.62704918032786883</v>
      </c>
      <c r="F23" s="9">
        <f t="shared" ref="F23:P23" si="2">F20/F19</f>
        <v>0.96424010217113665</v>
      </c>
      <c r="G23" s="9">
        <f t="shared" si="2"/>
        <v>0.96260554885404104</v>
      </c>
      <c r="H23" s="9">
        <f t="shared" si="2"/>
        <v>0.93666666666666665</v>
      </c>
      <c r="I23" s="9">
        <f t="shared" si="2"/>
        <v>0.90010298661174049</v>
      </c>
      <c r="J23" s="9">
        <f t="shared" si="2"/>
        <v>0.89488910318225656</v>
      </c>
      <c r="K23" s="9">
        <f t="shared" si="2"/>
        <v>0.86976320582877964</v>
      </c>
      <c r="L23" s="9">
        <f t="shared" si="2"/>
        <v>0.84987057808455568</v>
      </c>
      <c r="M23" s="9">
        <f t="shared" si="2"/>
        <v>0</v>
      </c>
      <c r="N23" s="9">
        <f t="shared" si="2"/>
        <v>0</v>
      </c>
      <c r="O23" s="9">
        <f t="shared" si="2"/>
        <v>0</v>
      </c>
      <c r="P23" s="9">
        <f t="shared" si="2"/>
        <v>0</v>
      </c>
    </row>
    <row r="25" spans="3:17" x14ac:dyDescent="0.35">
      <c r="C25" s="7" t="s">
        <v>3</v>
      </c>
      <c r="E25" s="11">
        <f>E18</f>
        <v>45839</v>
      </c>
      <c r="F25" s="11">
        <f t="shared" ref="F25:P28" si="3">F18</f>
        <v>45870</v>
      </c>
      <c r="G25" s="11">
        <f t="shared" si="3"/>
        <v>45901</v>
      </c>
      <c r="H25" s="11">
        <f t="shared" si="3"/>
        <v>45931</v>
      </c>
      <c r="I25" s="11">
        <f t="shared" si="3"/>
        <v>45962</v>
      </c>
      <c r="J25" s="11">
        <f t="shared" si="3"/>
        <v>45992</v>
      </c>
      <c r="K25" s="11">
        <f t="shared" si="3"/>
        <v>46023</v>
      </c>
      <c r="L25" s="11">
        <f t="shared" si="3"/>
        <v>46054</v>
      </c>
      <c r="M25" s="11">
        <f t="shared" si="3"/>
        <v>46082</v>
      </c>
      <c r="N25" s="11">
        <f t="shared" si="3"/>
        <v>46113</v>
      </c>
      <c r="O25" s="11">
        <f t="shared" si="3"/>
        <v>46143</v>
      </c>
      <c r="P25" s="11">
        <f t="shared" si="3"/>
        <v>46174</v>
      </c>
    </row>
    <row r="26" spans="3:17" x14ac:dyDescent="0.35">
      <c r="D26" s="3" t="str">
        <f>D19</f>
        <v>Budget 2025-26</v>
      </c>
      <c r="E26" s="5">
        <f>E19</f>
        <v>732</v>
      </c>
      <c r="F26" s="5">
        <f t="shared" si="3"/>
        <v>783</v>
      </c>
      <c r="G26" s="5">
        <f t="shared" si="3"/>
        <v>829</v>
      </c>
      <c r="H26" s="5">
        <f t="shared" si="3"/>
        <v>900</v>
      </c>
      <c r="I26" s="5">
        <f t="shared" si="3"/>
        <v>971</v>
      </c>
      <c r="J26" s="5">
        <f t="shared" si="3"/>
        <v>1037</v>
      </c>
      <c r="K26" s="5">
        <f t="shared" si="3"/>
        <v>1098</v>
      </c>
      <c r="L26" s="5">
        <f t="shared" si="3"/>
        <v>1159</v>
      </c>
      <c r="M26" s="5">
        <f t="shared" si="3"/>
        <v>1215</v>
      </c>
      <c r="N26" s="5">
        <f t="shared" si="3"/>
        <v>1261</v>
      </c>
      <c r="O26" s="5">
        <f t="shared" si="3"/>
        <v>1307</v>
      </c>
      <c r="P26" s="5">
        <f t="shared" si="3"/>
        <v>1353</v>
      </c>
    </row>
    <row r="27" spans="3:17" x14ac:dyDescent="0.35">
      <c r="D27" s="3" t="str">
        <f t="shared" ref="D27:E30" si="4">D20</f>
        <v>Actual 2025-26</v>
      </c>
      <c r="E27" s="5">
        <f t="shared" si="4"/>
        <v>735</v>
      </c>
      <c r="F27" s="5">
        <f t="shared" si="3"/>
        <v>755</v>
      </c>
      <c r="G27" s="5">
        <f t="shared" si="3"/>
        <v>798</v>
      </c>
      <c r="H27" s="5">
        <f t="shared" si="3"/>
        <v>843</v>
      </c>
      <c r="I27" s="5">
        <f t="shared" si="3"/>
        <v>874</v>
      </c>
      <c r="J27" s="5">
        <f t="shared" si="3"/>
        <v>928</v>
      </c>
      <c r="K27" s="5">
        <f t="shared" si="3"/>
        <v>955</v>
      </c>
      <c r="L27" s="5">
        <f t="shared" si="3"/>
        <v>985</v>
      </c>
      <c r="M27" s="5">
        <f t="shared" si="3"/>
        <v>0</v>
      </c>
      <c r="N27" s="5">
        <f t="shared" si="3"/>
        <v>0</v>
      </c>
      <c r="O27" s="5">
        <f t="shared" si="3"/>
        <v>0</v>
      </c>
      <c r="P27" s="5">
        <f t="shared" si="3"/>
        <v>0</v>
      </c>
    </row>
    <row r="28" spans="3:17" x14ac:dyDescent="0.35">
      <c r="D28" s="3" t="str">
        <f t="shared" si="4"/>
        <v>Actual 2024-25</v>
      </c>
      <c r="E28" s="5">
        <f t="shared" si="4"/>
        <v>459</v>
      </c>
      <c r="F28" s="5">
        <f t="shared" si="3"/>
        <v>466</v>
      </c>
      <c r="G28" s="5">
        <f t="shared" si="3"/>
        <v>487</v>
      </c>
      <c r="H28" s="5">
        <f t="shared" si="3"/>
        <v>489</v>
      </c>
      <c r="I28" s="5">
        <f t="shared" si="3"/>
        <v>517</v>
      </c>
      <c r="J28" s="5">
        <f t="shared" si="3"/>
        <v>550</v>
      </c>
      <c r="K28" s="5">
        <f t="shared" si="3"/>
        <v>555</v>
      </c>
      <c r="L28" s="5">
        <f t="shared" si="3"/>
        <v>593</v>
      </c>
      <c r="M28" s="5">
        <f t="shared" si="3"/>
        <v>613</v>
      </c>
      <c r="N28" s="5">
        <f t="shared" si="3"/>
        <v>641</v>
      </c>
      <c r="O28" s="5">
        <f t="shared" si="3"/>
        <v>658</v>
      </c>
      <c r="P28" s="5">
        <f t="shared" si="3"/>
        <v>681</v>
      </c>
    </row>
    <row r="29" spans="3:17" x14ac:dyDescent="0.35">
      <c r="D29" s="3" t="str">
        <f t="shared" si="4"/>
        <v>Difference</v>
      </c>
      <c r="E29" s="5">
        <f>SUM($E22:E22)</f>
        <v>3</v>
      </c>
      <c r="F29" s="5">
        <f>SUM($E22:F22)</f>
        <v>-25</v>
      </c>
      <c r="G29" s="5">
        <f>SUM($E22:G22)</f>
        <v>-56</v>
      </c>
      <c r="H29" s="5">
        <f>SUM($E22:H22)</f>
        <v>-113</v>
      </c>
      <c r="I29" s="5">
        <f>SUM($E22:I22)</f>
        <v>-210</v>
      </c>
      <c r="J29" s="5">
        <f>SUM($E22:J22)</f>
        <v>-319</v>
      </c>
      <c r="K29" s="5">
        <f>SUM($E22:K22)</f>
        <v>-462</v>
      </c>
      <c r="L29" s="5">
        <f>SUM($E22:L22)</f>
        <v>-636</v>
      </c>
      <c r="M29" s="5">
        <f>SUM($E22:M22)</f>
        <v>-636</v>
      </c>
      <c r="N29" s="5">
        <f>SUM($E22:N22)</f>
        <v>-636</v>
      </c>
      <c r="O29" s="5">
        <f>SUM($E22:O22)</f>
        <v>-636</v>
      </c>
      <c r="P29" s="5">
        <f>SUM($E22:P22)</f>
        <v>-636</v>
      </c>
    </row>
    <row r="30" spans="3:17" x14ac:dyDescent="0.35">
      <c r="D30" s="3" t="str">
        <f t="shared" si="4"/>
        <v>Realisation</v>
      </c>
      <c r="E30" s="9">
        <f>E28/E26</f>
        <v>0.62704918032786883</v>
      </c>
      <c r="F30" s="9">
        <f t="shared" ref="F30:P30" si="5">F27/F26</f>
        <v>0.96424010217113665</v>
      </c>
      <c r="G30" s="9">
        <f t="shared" si="5"/>
        <v>0.96260554885404104</v>
      </c>
      <c r="H30" s="9">
        <f t="shared" si="5"/>
        <v>0.93666666666666665</v>
      </c>
      <c r="I30" s="9">
        <f t="shared" si="5"/>
        <v>0.90010298661174049</v>
      </c>
      <c r="J30" s="9">
        <f t="shared" si="5"/>
        <v>0.89488910318225656</v>
      </c>
      <c r="K30" s="9">
        <f t="shared" si="5"/>
        <v>0.86976320582877964</v>
      </c>
      <c r="L30" s="9">
        <f t="shared" si="5"/>
        <v>0.84987057808455568</v>
      </c>
      <c r="M30" s="9">
        <f t="shared" si="5"/>
        <v>0</v>
      </c>
      <c r="N30" s="9">
        <f t="shared" si="5"/>
        <v>0</v>
      </c>
      <c r="O30" s="9">
        <f t="shared" si="5"/>
        <v>0</v>
      </c>
      <c r="P30" s="9">
        <f t="shared" si="5"/>
        <v>0</v>
      </c>
    </row>
  </sheetData>
  <mergeCells count="2">
    <mergeCell ref="J4:Q8"/>
    <mergeCell ref="J10:Q15"/>
  </mergeCells>
  <conditionalFormatting sqref="C3">
    <cfRule type="expression" dxfId="350" priority="2">
      <formula>S4&lt;S6</formula>
    </cfRule>
  </conditionalFormatting>
  <conditionalFormatting sqref="C5">
    <cfRule type="expression" dxfId="349" priority="3">
      <formula>S4&gt;=S5</formula>
    </cfRule>
  </conditionalFormatting>
  <conditionalFormatting sqref="C4">
    <cfRule type="expression" dxfId="348" priority="1">
      <formula>AND(S4&gt;=S6,S4&lt;S5)</formula>
    </cfRule>
  </conditionalFormatting>
  <hyperlinks>
    <hyperlink ref="L1" location="Dashboard!A1" display="Dashboard"/>
  </hyperlinks>
  <pageMargins left="0.7" right="0.7" top="0.75" bottom="0.75" header="0.3" footer="0.3"/>
  <pageSetup orientation="portrait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999425" r:id="rId4" name="Spinner 1">
              <controlPr defaultSize="0" autoPict="0">
                <anchor moveWithCells="1" sizeWithCells="1">
                  <from>
                    <xdr:col>9</xdr:col>
                    <xdr:colOff>19050</xdr:colOff>
                    <xdr:row>0</xdr:row>
                    <xdr:rowOff>38100</xdr:rowOff>
                  </from>
                  <to>
                    <xdr:col>9</xdr:col>
                    <xdr:colOff>400050</xdr:colOff>
                    <xdr:row>1</xdr:row>
                    <xdr:rowOff>152400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8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FFC000"/>
  </sheetPr>
  <dimension ref="A1:S30"/>
  <sheetViews>
    <sheetView topLeftCell="E1" workbookViewId="0">
      <selection activeCell="L1" sqref="L1"/>
    </sheetView>
  </sheetViews>
  <sheetFormatPr defaultColWidth="9.1796875" defaultRowHeight="14.5" x14ac:dyDescent="0.35"/>
  <cols>
    <col min="1" max="1" width="9.1796875" style="3"/>
    <col min="2" max="2" width="5.1796875" style="3" customWidth="1"/>
    <col min="3" max="3" width="6.26953125" style="3" customWidth="1"/>
    <col min="4" max="4" width="21.26953125" style="3" bestFit="1" customWidth="1"/>
    <col min="5" max="16" width="11.1796875" style="3" customWidth="1"/>
    <col min="17" max="17" width="12" style="3" bestFit="1" customWidth="1"/>
    <col min="18" max="18" width="9.1796875" style="3" customWidth="1"/>
    <col min="19" max="16384" width="9.1796875" style="3"/>
  </cols>
  <sheetData>
    <row r="1" spans="1:19" ht="21" x14ac:dyDescent="0.5">
      <c r="A1" s="4" t="s">
        <v>4</v>
      </c>
      <c r="B1" s="4">
        <f>Dashboard!A85</f>
        <v>0</v>
      </c>
      <c r="C1" s="4" t="str">
        <f>Dashboard!B89</f>
        <v>TOTAL ACTIVE WATER CONNECTION EASTERN REGION</v>
      </c>
      <c r="D1" s="4"/>
      <c r="G1" s="3" t="s">
        <v>9</v>
      </c>
      <c r="I1" s="12">
        <f>INDEX($E$18:$P$18,Actual_month)</f>
        <v>46054</v>
      </c>
      <c r="L1" s="16" t="s">
        <v>19</v>
      </c>
      <c r="R1" s="5"/>
    </row>
    <row r="2" spans="1:19" x14ac:dyDescent="0.35">
      <c r="A2" s="3" t="s">
        <v>13</v>
      </c>
      <c r="C2" s="3" t="s">
        <v>27</v>
      </c>
      <c r="R2" s="6"/>
    </row>
    <row r="3" spans="1:19" ht="25.5" customHeight="1" thickBot="1" x14ac:dyDescent="0.4">
      <c r="C3" s="1" t="s">
        <v>5</v>
      </c>
      <c r="E3" s="10"/>
      <c r="F3" s="10"/>
      <c r="G3" s="10"/>
      <c r="H3" s="10"/>
      <c r="I3" s="10"/>
      <c r="J3" s="3" t="s">
        <v>6</v>
      </c>
      <c r="K3" s="10"/>
      <c r="M3" s="10"/>
      <c r="N3" s="10"/>
      <c r="O3" s="10"/>
      <c r="P3" s="10"/>
    </row>
    <row r="4" spans="1:19" ht="25.5" customHeight="1" x14ac:dyDescent="0.35">
      <c r="C4" s="1" t="s">
        <v>5</v>
      </c>
      <c r="E4" s="10"/>
      <c r="F4" s="10"/>
      <c r="G4" s="10"/>
      <c r="H4" s="10"/>
      <c r="I4" s="10"/>
      <c r="J4" s="401"/>
      <c r="K4" s="402"/>
      <c r="L4" s="402"/>
      <c r="M4" s="402"/>
      <c r="N4" s="402"/>
      <c r="O4" s="402"/>
      <c r="P4" s="402"/>
      <c r="Q4" s="403"/>
      <c r="R4" s="3" t="s">
        <v>22</v>
      </c>
      <c r="S4" s="5">
        <f>INDEX(E27:P27,Actual_month)</f>
        <v>2943</v>
      </c>
    </row>
    <row r="5" spans="1:19" ht="25.5" customHeight="1" x14ac:dyDescent="0.35">
      <c r="C5" s="1" t="s">
        <v>5</v>
      </c>
      <c r="E5" s="10"/>
      <c r="F5" s="10"/>
      <c r="G5" s="10"/>
      <c r="H5" s="10"/>
      <c r="I5" s="10"/>
      <c r="J5" s="404"/>
      <c r="K5" s="405"/>
      <c r="L5" s="405"/>
      <c r="M5" s="405"/>
      <c r="N5" s="405"/>
      <c r="O5" s="405"/>
      <c r="P5" s="405"/>
      <c r="Q5" s="406"/>
      <c r="R5" s="3" t="s">
        <v>23</v>
      </c>
      <c r="S5" s="5">
        <f>INDEX(E26:P26,Actual_month)</f>
        <v>3128</v>
      </c>
    </row>
    <row r="6" spans="1:19" x14ac:dyDescent="0.35">
      <c r="J6" s="404"/>
      <c r="K6" s="405"/>
      <c r="L6" s="405"/>
      <c r="M6" s="405"/>
      <c r="N6" s="405"/>
      <c r="O6" s="405"/>
      <c r="P6" s="405"/>
      <c r="Q6" s="406"/>
      <c r="R6" s="6">
        <v>0.9</v>
      </c>
      <c r="S6" s="5">
        <f>+S5*R6</f>
        <v>2815.2000000000003</v>
      </c>
    </row>
    <row r="7" spans="1:19" x14ac:dyDescent="0.35">
      <c r="J7" s="404"/>
      <c r="K7" s="405"/>
      <c r="L7" s="405"/>
      <c r="M7" s="405"/>
      <c r="N7" s="405"/>
      <c r="O7" s="405"/>
      <c r="P7" s="405"/>
      <c r="Q7" s="406"/>
    </row>
    <row r="8" spans="1:19" ht="15" thickBot="1" x14ac:dyDescent="0.4">
      <c r="J8" s="407"/>
      <c r="K8" s="408"/>
      <c r="L8" s="408"/>
      <c r="M8" s="408"/>
      <c r="N8" s="408"/>
      <c r="O8" s="408"/>
      <c r="P8" s="408"/>
      <c r="Q8" s="409"/>
    </row>
    <row r="9" spans="1:19" ht="15" thickBot="1" x14ac:dyDescent="0.4">
      <c r="J9" s="3" t="s">
        <v>12</v>
      </c>
    </row>
    <row r="10" spans="1:19" x14ac:dyDescent="0.35">
      <c r="J10" s="401"/>
      <c r="K10" s="402"/>
      <c r="L10" s="402"/>
      <c r="M10" s="402"/>
      <c r="N10" s="402"/>
      <c r="O10" s="402"/>
      <c r="P10" s="402"/>
      <c r="Q10" s="403"/>
    </row>
    <row r="11" spans="1:19" x14ac:dyDescent="0.35">
      <c r="J11" s="404"/>
      <c r="K11" s="405"/>
      <c r="L11" s="405"/>
      <c r="M11" s="405"/>
      <c r="N11" s="405"/>
      <c r="O11" s="405"/>
      <c r="P11" s="405"/>
      <c r="Q11" s="406"/>
    </row>
    <row r="12" spans="1:19" x14ac:dyDescent="0.35">
      <c r="J12" s="404"/>
      <c r="K12" s="405"/>
      <c r="L12" s="405"/>
      <c r="M12" s="405"/>
      <c r="N12" s="405"/>
      <c r="O12" s="405"/>
      <c r="P12" s="405"/>
      <c r="Q12" s="406"/>
    </row>
    <row r="13" spans="1:19" x14ac:dyDescent="0.35">
      <c r="J13" s="404"/>
      <c r="K13" s="405"/>
      <c r="L13" s="405"/>
      <c r="M13" s="405"/>
      <c r="N13" s="405"/>
      <c r="O13" s="405"/>
      <c r="P13" s="405"/>
      <c r="Q13" s="406"/>
    </row>
    <row r="14" spans="1:19" x14ac:dyDescent="0.35">
      <c r="J14" s="404"/>
      <c r="K14" s="405"/>
      <c r="L14" s="405"/>
      <c r="M14" s="405"/>
      <c r="N14" s="405"/>
      <c r="O14" s="405"/>
      <c r="P14" s="405"/>
      <c r="Q14" s="406"/>
    </row>
    <row r="15" spans="1:19" ht="15" thickBot="1" x14ac:dyDescent="0.4">
      <c r="J15" s="407"/>
      <c r="K15" s="408"/>
      <c r="L15" s="408"/>
      <c r="M15" s="408"/>
      <c r="N15" s="408"/>
      <c r="O15" s="408"/>
      <c r="P15" s="408"/>
      <c r="Q15" s="409"/>
    </row>
    <row r="18" spans="3:17" x14ac:dyDescent="0.35">
      <c r="C18" s="7" t="s">
        <v>8</v>
      </c>
      <c r="E18" s="11">
        <f>'KPI 1'!E18</f>
        <v>45839</v>
      </c>
      <c r="F18" s="11">
        <f>'KPI 1'!F18</f>
        <v>45870</v>
      </c>
      <c r="G18" s="11">
        <f>'KPI 1'!G18</f>
        <v>45901</v>
      </c>
      <c r="H18" s="11">
        <f>'KPI 1'!H18</f>
        <v>45931</v>
      </c>
      <c r="I18" s="11">
        <f>'KPI 1'!I18</f>
        <v>45962</v>
      </c>
      <c r="J18" s="11">
        <f>'KPI 1'!J18</f>
        <v>45992</v>
      </c>
      <c r="K18" s="11">
        <f>'KPI 1'!K18</f>
        <v>46023</v>
      </c>
      <c r="L18" s="11">
        <f>'KPI 1'!L18</f>
        <v>46054</v>
      </c>
      <c r="M18" s="11">
        <f>'KPI 1'!M18</f>
        <v>46082</v>
      </c>
      <c r="N18" s="11">
        <f>'KPI 1'!N18</f>
        <v>46113</v>
      </c>
      <c r="O18" s="11">
        <f>'KPI 1'!O18</f>
        <v>46143</v>
      </c>
      <c r="P18" s="11">
        <f>'KPI 1'!P18</f>
        <v>46174</v>
      </c>
      <c r="Q18" s="8" t="s">
        <v>0</v>
      </c>
    </row>
    <row r="19" spans="3:17" x14ac:dyDescent="0.35">
      <c r="D19" s="3" t="str">
        <f>'KPI 1'!D19</f>
        <v>Budget 2025-26</v>
      </c>
      <c r="E19" s="5">
        <f>'budget 2025-26'!D83</f>
        <v>2791</v>
      </c>
      <c r="F19" s="5">
        <f>'budget 2025-26'!E83</f>
        <v>2847</v>
      </c>
      <c r="G19" s="5">
        <f>'budget 2025-26'!F83</f>
        <v>2898</v>
      </c>
      <c r="H19" s="5">
        <f>'budget 2025-26'!G83</f>
        <v>2944</v>
      </c>
      <c r="I19" s="5">
        <f>'budget 2025-26'!H83</f>
        <v>2990</v>
      </c>
      <c r="J19" s="5">
        <f>'budget 2025-26'!I83</f>
        <v>3031</v>
      </c>
      <c r="K19" s="5">
        <f>'budget 2025-26'!J83</f>
        <v>3087</v>
      </c>
      <c r="L19" s="5">
        <f>'budget 2025-26'!K83</f>
        <v>3128</v>
      </c>
      <c r="M19" s="5">
        <f>'budget 2025-26'!L83</f>
        <v>3169</v>
      </c>
      <c r="N19" s="5">
        <f>'budget 2025-26'!M83</f>
        <v>3205</v>
      </c>
      <c r="O19" s="5">
        <f>'budget 2025-26'!N83</f>
        <v>3241</v>
      </c>
      <c r="P19" s="5">
        <f>'budget 2025-26'!O83</f>
        <v>3277</v>
      </c>
      <c r="Q19" s="5">
        <f>SUM(E19:P19)</f>
        <v>36608</v>
      </c>
    </row>
    <row r="20" spans="3:17" x14ac:dyDescent="0.35">
      <c r="D20" s="3" t="str">
        <f>'KPI 1'!D20</f>
        <v>Actual 2025-26</v>
      </c>
      <c r="E20" s="5">
        <f>'Input Actual2025-26'!E85</f>
        <v>2728</v>
      </c>
      <c r="F20" s="5">
        <f>'Input Actual2025-26'!F85</f>
        <v>2766</v>
      </c>
      <c r="G20" s="5">
        <f>'Input Actual2025-26'!G85</f>
        <v>2810</v>
      </c>
      <c r="H20" s="5">
        <f>'Input Actual2025-26'!H85</f>
        <v>2834</v>
      </c>
      <c r="I20" s="5">
        <f>'Input Actual2025-26'!I85</f>
        <v>2851</v>
      </c>
      <c r="J20" s="5">
        <f>'Input Actual2025-26'!J85</f>
        <v>2881</v>
      </c>
      <c r="K20" s="5">
        <f>'Input Actual2025-26'!K85</f>
        <v>2911</v>
      </c>
      <c r="L20" s="5">
        <f>'Input Actual2025-26'!L85</f>
        <v>2943</v>
      </c>
      <c r="M20" s="5">
        <f>'Input Actual2025-26'!M85</f>
        <v>0</v>
      </c>
      <c r="N20" s="5">
        <f>'Input Actual2025-26'!N85</f>
        <v>0</v>
      </c>
      <c r="O20" s="5">
        <f>'Input Actual2025-26'!O85</f>
        <v>0</v>
      </c>
      <c r="P20" s="5">
        <f>'Input Actual2025-26'!P85</f>
        <v>0</v>
      </c>
      <c r="Q20" s="5">
        <f t="shared" ref="Q20:Q22" si="0">SUM(E20:P20)</f>
        <v>22724</v>
      </c>
    </row>
    <row r="21" spans="3:17" x14ac:dyDescent="0.35">
      <c r="D21" s="3" t="s">
        <v>424</v>
      </c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</row>
    <row r="22" spans="3:17" x14ac:dyDescent="0.35">
      <c r="D22" s="3" t="s">
        <v>7</v>
      </c>
      <c r="E22" s="5">
        <f t="shared" ref="E22:P22" si="1">IF(E20=0,0,E20-E19)</f>
        <v>-63</v>
      </c>
      <c r="F22" s="5">
        <f t="shared" si="1"/>
        <v>-81</v>
      </c>
      <c r="G22" s="5">
        <f t="shared" si="1"/>
        <v>-88</v>
      </c>
      <c r="H22" s="5">
        <f t="shared" si="1"/>
        <v>-110</v>
      </c>
      <c r="I22" s="5">
        <f t="shared" si="1"/>
        <v>-139</v>
      </c>
      <c r="J22" s="5">
        <f t="shared" si="1"/>
        <v>-150</v>
      </c>
      <c r="K22" s="5">
        <f t="shared" si="1"/>
        <v>-176</v>
      </c>
      <c r="L22" s="5">
        <f t="shared" si="1"/>
        <v>-185</v>
      </c>
      <c r="M22" s="5">
        <f t="shared" si="1"/>
        <v>0</v>
      </c>
      <c r="N22" s="5">
        <f t="shared" si="1"/>
        <v>0</v>
      </c>
      <c r="O22" s="5">
        <f t="shared" si="1"/>
        <v>0</v>
      </c>
      <c r="P22" s="5">
        <f t="shared" si="1"/>
        <v>0</v>
      </c>
      <c r="Q22" s="5">
        <f t="shared" si="0"/>
        <v>-992</v>
      </c>
    </row>
    <row r="23" spans="3:17" x14ac:dyDescent="0.35">
      <c r="D23" s="3" t="s">
        <v>43</v>
      </c>
      <c r="E23" s="9">
        <f>E21/E19</f>
        <v>0</v>
      </c>
      <c r="F23" s="9">
        <f t="shared" ref="F23:P23" si="2">F20/F19</f>
        <v>0.97154899894625923</v>
      </c>
      <c r="G23" s="9">
        <f t="shared" si="2"/>
        <v>0.96963423050379571</v>
      </c>
      <c r="H23" s="9">
        <f t="shared" si="2"/>
        <v>0.96263586956521741</v>
      </c>
      <c r="I23" s="9">
        <f t="shared" si="2"/>
        <v>0.95351170568561872</v>
      </c>
      <c r="J23" s="9">
        <f t="shared" si="2"/>
        <v>0.95051138238205213</v>
      </c>
      <c r="K23" s="9">
        <f t="shared" si="2"/>
        <v>0.94298671849692262</v>
      </c>
      <c r="L23" s="9">
        <f t="shared" si="2"/>
        <v>0.94085677749360619</v>
      </c>
      <c r="M23" s="9">
        <f t="shared" si="2"/>
        <v>0</v>
      </c>
      <c r="N23" s="9">
        <f t="shared" si="2"/>
        <v>0</v>
      </c>
      <c r="O23" s="9">
        <f t="shared" si="2"/>
        <v>0</v>
      </c>
      <c r="P23" s="9">
        <f t="shared" si="2"/>
        <v>0</v>
      </c>
    </row>
    <row r="25" spans="3:17" x14ac:dyDescent="0.35">
      <c r="C25" s="7" t="s">
        <v>3</v>
      </c>
      <c r="E25" s="11">
        <f>E18</f>
        <v>45839</v>
      </c>
      <c r="F25" s="11">
        <f t="shared" ref="F25:P28" si="3">F18</f>
        <v>45870</v>
      </c>
      <c r="G25" s="11">
        <f t="shared" si="3"/>
        <v>45901</v>
      </c>
      <c r="H25" s="11">
        <f t="shared" si="3"/>
        <v>45931</v>
      </c>
      <c r="I25" s="11">
        <f t="shared" si="3"/>
        <v>45962</v>
      </c>
      <c r="J25" s="11">
        <f t="shared" si="3"/>
        <v>45992</v>
      </c>
      <c r="K25" s="11">
        <f t="shared" si="3"/>
        <v>46023</v>
      </c>
      <c r="L25" s="11">
        <f t="shared" si="3"/>
        <v>46054</v>
      </c>
      <c r="M25" s="11">
        <f t="shared" si="3"/>
        <v>46082</v>
      </c>
      <c r="N25" s="11">
        <f t="shared" si="3"/>
        <v>46113</v>
      </c>
      <c r="O25" s="11">
        <f t="shared" si="3"/>
        <v>46143</v>
      </c>
      <c r="P25" s="11">
        <f t="shared" si="3"/>
        <v>46174</v>
      </c>
    </row>
    <row r="26" spans="3:17" x14ac:dyDescent="0.35">
      <c r="D26" s="3" t="str">
        <f>D19</f>
        <v>Budget 2025-26</v>
      </c>
      <c r="E26" s="5">
        <f>E19</f>
        <v>2791</v>
      </c>
      <c r="F26" s="5">
        <f t="shared" si="3"/>
        <v>2847</v>
      </c>
      <c r="G26" s="5">
        <f t="shared" si="3"/>
        <v>2898</v>
      </c>
      <c r="H26" s="5">
        <f t="shared" si="3"/>
        <v>2944</v>
      </c>
      <c r="I26" s="5">
        <f t="shared" si="3"/>
        <v>2990</v>
      </c>
      <c r="J26" s="5">
        <f t="shared" si="3"/>
        <v>3031</v>
      </c>
      <c r="K26" s="5">
        <f t="shared" si="3"/>
        <v>3087</v>
      </c>
      <c r="L26" s="5">
        <f t="shared" si="3"/>
        <v>3128</v>
      </c>
      <c r="M26" s="5">
        <f t="shared" si="3"/>
        <v>3169</v>
      </c>
      <c r="N26" s="5">
        <f t="shared" si="3"/>
        <v>3205</v>
      </c>
      <c r="O26" s="5">
        <f t="shared" si="3"/>
        <v>3241</v>
      </c>
      <c r="P26" s="5">
        <f t="shared" si="3"/>
        <v>3277</v>
      </c>
    </row>
    <row r="27" spans="3:17" x14ac:dyDescent="0.35">
      <c r="D27" s="3" t="str">
        <f t="shared" ref="D27:E30" si="4">D20</f>
        <v>Actual 2025-26</v>
      </c>
      <c r="E27" s="5">
        <f t="shared" si="4"/>
        <v>2728</v>
      </c>
      <c r="F27" s="5">
        <f t="shared" si="3"/>
        <v>2766</v>
      </c>
      <c r="G27" s="5">
        <f t="shared" si="3"/>
        <v>2810</v>
      </c>
      <c r="H27" s="5">
        <f t="shared" si="3"/>
        <v>2834</v>
      </c>
      <c r="I27" s="5">
        <f t="shared" si="3"/>
        <v>2851</v>
      </c>
      <c r="J27" s="5">
        <f t="shared" si="3"/>
        <v>2881</v>
      </c>
      <c r="K27" s="5">
        <f t="shared" si="3"/>
        <v>2911</v>
      </c>
      <c r="L27" s="5">
        <f t="shared" si="3"/>
        <v>2943</v>
      </c>
      <c r="M27" s="5">
        <f t="shared" si="3"/>
        <v>0</v>
      </c>
      <c r="N27" s="5">
        <f t="shared" si="3"/>
        <v>0</v>
      </c>
      <c r="O27" s="5">
        <f t="shared" si="3"/>
        <v>0</v>
      </c>
      <c r="P27" s="5">
        <f t="shared" si="3"/>
        <v>0</v>
      </c>
    </row>
    <row r="28" spans="3:17" x14ac:dyDescent="0.35">
      <c r="D28" s="3" t="str">
        <f t="shared" si="4"/>
        <v>Actual 2024-25</v>
      </c>
      <c r="E28" s="5">
        <f t="shared" si="4"/>
        <v>0</v>
      </c>
      <c r="F28" s="5">
        <f t="shared" si="3"/>
        <v>0</v>
      </c>
      <c r="G28" s="5">
        <f t="shared" si="3"/>
        <v>0</v>
      </c>
      <c r="H28" s="5">
        <f t="shared" si="3"/>
        <v>0</v>
      </c>
      <c r="I28" s="5">
        <f t="shared" si="3"/>
        <v>0</v>
      </c>
      <c r="J28" s="5">
        <f t="shared" si="3"/>
        <v>0</v>
      </c>
      <c r="K28" s="5">
        <f t="shared" si="3"/>
        <v>0</v>
      </c>
      <c r="L28" s="5">
        <f t="shared" si="3"/>
        <v>0</v>
      </c>
      <c r="M28" s="5">
        <f t="shared" si="3"/>
        <v>0</v>
      </c>
      <c r="N28" s="5">
        <f t="shared" si="3"/>
        <v>0</v>
      </c>
      <c r="O28" s="5">
        <f t="shared" si="3"/>
        <v>0</v>
      </c>
      <c r="P28" s="5">
        <f t="shared" si="3"/>
        <v>0</v>
      </c>
    </row>
    <row r="29" spans="3:17" x14ac:dyDescent="0.35">
      <c r="D29" s="3" t="str">
        <f t="shared" si="4"/>
        <v>Difference</v>
      </c>
      <c r="E29" s="5">
        <f>SUM($E22:E22)</f>
        <v>-63</v>
      </c>
      <c r="F29" s="5">
        <f>SUM($E22:F22)</f>
        <v>-144</v>
      </c>
      <c r="G29" s="5">
        <f>SUM($E22:G22)</f>
        <v>-232</v>
      </c>
      <c r="H29" s="5">
        <f>SUM($E22:H22)</f>
        <v>-342</v>
      </c>
      <c r="I29" s="5">
        <f>SUM($E22:I22)</f>
        <v>-481</v>
      </c>
      <c r="J29" s="5">
        <f>SUM($E22:J22)</f>
        <v>-631</v>
      </c>
      <c r="K29" s="5">
        <f>SUM($E22:K22)</f>
        <v>-807</v>
      </c>
      <c r="L29" s="5">
        <f>SUM($E22:L22)</f>
        <v>-992</v>
      </c>
      <c r="M29" s="5">
        <f>SUM($E22:M22)</f>
        <v>-992</v>
      </c>
      <c r="N29" s="5">
        <f>SUM($E22:N22)</f>
        <v>-992</v>
      </c>
      <c r="O29" s="5">
        <f>SUM($E22:O22)</f>
        <v>-992</v>
      </c>
      <c r="P29" s="5">
        <f>SUM($E22:P22)</f>
        <v>-992</v>
      </c>
    </row>
    <row r="30" spans="3:17" x14ac:dyDescent="0.35">
      <c r="D30" s="3" t="str">
        <f t="shared" si="4"/>
        <v>Realisation</v>
      </c>
      <c r="E30" s="9">
        <f>E28/E26</f>
        <v>0</v>
      </c>
      <c r="F30" s="9">
        <f t="shared" ref="F30:P30" si="5">F27/F26</f>
        <v>0.97154899894625923</v>
      </c>
      <c r="G30" s="9">
        <f t="shared" si="5"/>
        <v>0.96963423050379571</v>
      </c>
      <c r="H30" s="9">
        <f t="shared" si="5"/>
        <v>0.96263586956521741</v>
      </c>
      <c r="I30" s="9">
        <f t="shared" si="5"/>
        <v>0.95351170568561872</v>
      </c>
      <c r="J30" s="9">
        <f t="shared" si="5"/>
        <v>0.95051138238205213</v>
      </c>
      <c r="K30" s="9">
        <f t="shared" si="5"/>
        <v>0.94298671849692262</v>
      </c>
      <c r="L30" s="9">
        <f t="shared" si="5"/>
        <v>0.94085677749360619</v>
      </c>
      <c r="M30" s="9">
        <f t="shared" si="5"/>
        <v>0</v>
      </c>
      <c r="N30" s="9">
        <f t="shared" si="5"/>
        <v>0</v>
      </c>
      <c r="O30" s="9">
        <f t="shared" si="5"/>
        <v>0</v>
      </c>
      <c r="P30" s="9">
        <f t="shared" si="5"/>
        <v>0</v>
      </c>
    </row>
  </sheetData>
  <mergeCells count="2">
    <mergeCell ref="J4:Q8"/>
    <mergeCell ref="J10:Q15"/>
  </mergeCells>
  <conditionalFormatting sqref="C3">
    <cfRule type="expression" dxfId="347" priority="2">
      <formula>S4&lt;S6</formula>
    </cfRule>
  </conditionalFormatting>
  <conditionalFormatting sqref="C5">
    <cfRule type="expression" dxfId="346" priority="3">
      <formula>S4&gt;=S5</formula>
    </cfRule>
  </conditionalFormatting>
  <conditionalFormatting sqref="C4">
    <cfRule type="expression" dxfId="345" priority="1">
      <formula>AND(S4&gt;=S6,S4&lt;S5)</formula>
    </cfRule>
  </conditionalFormatting>
  <hyperlinks>
    <hyperlink ref="L1" location="Dashboard!A1" display="Dashboard"/>
  </hyperlinks>
  <pageMargins left="0.7" right="0.7" top="0.75" bottom="0.75" header="0.3" footer="0.3"/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2121729" r:id="rId3" name="Spinner 1">
              <controlPr defaultSize="0" autoPict="0">
                <anchor moveWithCells="1" sizeWithCells="1">
                  <from>
                    <xdr:col>9</xdr:col>
                    <xdr:colOff>19050</xdr:colOff>
                    <xdr:row>0</xdr:row>
                    <xdr:rowOff>38100</xdr:rowOff>
                  </from>
                  <to>
                    <xdr:col>9</xdr:col>
                    <xdr:colOff>400050</xdr:colOff>
                    <xdr:row>1</xdr:row>
                    <xdr:rowOff>152400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8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64">
    <tabColor rgb="FFFFC000"/>
  </sheetPr>
  <dimension ref="A1:S30"/>
  <sheetViews>
    <sheetView zoomScale="90" zoomScaleNormal="90" workbookViewId="0">
      <selection activeCell="L1" sqref="L1"/>
    </sheetView>
  </sheetViews>
  <sheetFormatPr defaultColWidth="9.1796875" defaultRowHeight="14.5" x14ac:dyDescent="0.35"/>
  <cols>
    <col min="1" max="1" width="9.1796875" style="3"/>
    <col min="2" max="2" width="5.1796875" style="3" customWidth="1"/>
    <col min="3" max="3" width="6.26953125" style="3" customWidth="1"/>
    <col min="4" max="4" width="21.26953125" style="3" bestFit="1" customWidth="1"/>
    <col min="5" max="16" width="11.1796875" style="3" customWidth="1"/>
    <col min="17" max="17" width="12" style="3" bestFit="1" customWidth="1"/>
    <col min="18" max="18" width="9.1796875" style="3" customWidth="1"/>
    <col min="19" max="16384" width="9.1796875" style="3"/>
  </cols>
  <sheetData>
    <row r="1" spans="1:19" ht="21" x14ac:dyDescent="0.5">
      <c r="A1" s="4" t="s">
        <v>4</v>
      </c>
      <c r="B1" s="4">
        <f>Dashboard!A85</f>
        <v>0</v>
      </c>
      <c r="C1" s="4" t="str">
        <f>Dashboard!B85</f>
        <v>TOTAL ACTIVE WATER CONNECTION SOUTHERN REGION</v>
      </c>
      <c r="D1" s="4"/>
      <c r="G1" s="3" t="s">
        <v>9</v>
      </c>
      <c r="I1" s="12">
        <f>INDEX($E$18:$P$18,Actual_month)</f>
        <v>46054</v>
      </c>
      <c r="L1" s="16" t="s">
        <v>19</v>
      </c>
      <c r="R1" s="5"/>
    </row>
    <row r="2" spans="1:19" x14ac:dyDescent="0.35">
      <c r="A2" s="3" t="s">
        <v>13</v>
      </c>
      <c r="C2" s="3" t="s">
        <v>27</v>
      </c>
      <c r="R2" s="6"/>
    </row>
    <row r="3" spans="1:19" ht="25.5" customHeight="1" thickBot="1" x14ac:dyDescent="0.4">
      <c r="C3" s="1" t="s">
        <v>5</v>
      </c>
      <c r="E3" s="10"/>
      <c r="F3" s="10"/>
      <c r="G3" s="10"/>
      <c r="H3" s="10"/>
      <c r="I3" s="10"/>
      <c r="J3" s="3" t="s">
        <v>6</v>
      </c>
      <c r="K3" s="10"/>
      <c r="M3" s="10"/>
      <c r="N3" s="10"/>
      <c r="O3" s="10"/>
      <c r="P3" s="10"/>
    </row>
    <row r="4" spans="1:19" ht="25.5" customHeight="1" x14ac:dyDescent="0.35">
      <c r="C4" s="1" t="s">
        <v>5</v>
      </c>
      <c r="E4" s="10"/>
      <c r="F4" s="10"/>
      <c r="G4" s="10"/>
      <c r="H4" s="10"/>
      <c r="I4" s="10"/>
      <c r="J4" s="401"/>
      <c r="K4" s="402"/>
      <c r="L4" s="402"/>
      <c r="M4" s="402"/>
      <c r="N4" s="402"/>
      <c r="O4" s="402"/>
      <c r="P4" s="402"/>
      <c r="Q4" s="403"/>
      <c r="R4" s="3" t="s">
        <v>22</v>
      </c>
      <c r="S4" s="5">
        <f>INDEX(E27:P27,Actual_month)</f>
        <v>3605</v>
      </c>
    </row>
    <row r="5" spans="1:19" ht="25.5" customHeight="1" x14ac:dyDescent="0.35">
      <c r="C5" s="1" t="s">
        <v>5</v>
      </c>
      <c r="E5" s="10"/>
      <c r="F5" s="10"/>
      <c r="G5" s="10"/>
      <c r="H5" s="10"/>
      <c r="I5" s="10"/>
      <c r="J5" s="404"/>
      <c r="K5" s="405"/>
      <c r="L5" s="405"/>
      <c r="M5" s="405"/>
      <c r="N5" s="405"/>
      <c r="O5" s="405"/>
      <c r="P5" s="405"/>
      <c r="Q5" s="406"/>
      <c r="R5" s="3" t="s">
        <v>23</v>
      </c>
      <c r="S5" s="5">
        <f>INDEX(E26:P26,Actual_month)</f>
        <v>3949</v>
      </c>
    </row>
    <row r="6" spans="1:19" x14ac:dyDescent="0.35">
      <c r="J6" s="404"/>
      <c r="K6" s="405"/>
      <c r="L6" s="405"/>
      <c r="M6" s="405"/>
      <c r="N6" s="405"/>
      <c r="O6" s="405"/>
      <c r="P6" s="405"/>
      <c r="Q6" s="406"/>
      <c r="R6" s="6">
        <v>0.9</v>
      </c>
      <c r="S6" s="5">
        <f>+S5*R6</f>
        <v>3554.1</v>
      </c>
    </row>
    <row r="7" spans="1:19" x14ac:dyDescent="0.35">
      <c r="J7" s="404"/>
      <c r="K7" s="405"/>
      <c r="L7" s="405"/>
      <c r="M7" s="405"/>
      <c r="N7" s="405"/>
      <c r="O7" s="405"/>
      <c r="P7" s="405"/>
      <c r="Q7" s="406"/>
    </row>
    <row r="8" spans="1:19" ht="15" thickBot="1" x14ac:dyDescent="0.4">
      <c r="J8" s="407"/>
      <c r="K8" s="408"/>
      <c r="L8" s="408"/>
      <c r="M8" s="408"/>
      <c r="N8" s="408"/>
      <c r="O8" s="408"/>
      <c r="P8" s="408"/>
      <c r="Q8" s="409"/>
    </row>
    <row r="9" spans="1:19" ht="15" thickBot="1" x14ac:dyDescent="0.4">
      <c r="J9" s="3" t="s">
        <v>12</v>
      </c>
    </row>
    <row r="10" spans="1:19" x14ac:dyDescent="0.35">
      <c r="J10" s="401"/>
      <c r="K10" s="402"/>
      <c r="L10" s="402"/>
      <c r="M10" s="402"/>
      <c r="N10" s="402"/>
      <c r="O10" s="402"/>
      <c r="P10" s="402"/>
      <c r="Q10" s="403"/>
    </row>
    <row r="11" spans="1:19" x14ac:dyDescent="0.35">
      <c r="J11" s="404"/>
      <c r="K11" s="405"/>
      <c r="L11" s="405"/>
      <c r="M11" s="405"/>
      <c r="N11" s="405"/>
      <c r="O11" s="405"/>
      <c r="P11" s="405"/>
      <c r="Q11" s="406"/>
    </row>
    <row r="12" spans="1:19" x14ac:dyDescent="0.35">
      <c r="J12" s="404"/>
      <c r="K12" s="405"/>
      <c r="L12" s="405"/>
      <c r="M12" s="405"/>
      <c r="N12" s="405"/>
      <c r="O12" s="405"/>
      <c r="P12" s="405"/>
      <c r="Q12" s="406"/>
    </row>
    <row r="13" spans="1:19" x14ac:dyDescent="0.35">
      <c r="J13" s="404"/>
      <c r="K13" s="405"/>
      <c r="L13" s="405"/>
      <c r="M13" s="405"/>
      <c r="N13" s="405"/>
      <c r="O13" s="405"/>
      <c r="P13" s="405"/>
      <c r="Q13" s="406"/>
    </row>
    <row r="14" spans="1:19" x14ac:dyDescent="0.35">
      <c r="J14" s="404"/>
      <c r="K14" s="405"/>
      <c r="L14" s="405"/>
      <c r="M14" s="405"/>
      <c r="N14" s="405"/>
      <c r="O14" s="405"/>
      <c r="P14" s="405"/>
      <c r="Q14" s="406"/>
    </row>
    <row r="15" spans="1:19" ht="15" thickBot="1" x14ac:dyDescent="0.4">
      <c r="J15" s="407"/>
      <c r="K15" s="408"/>
      <c r="L15" s="408"/>
      <c r="M15" s="408"/>
      <c r="N15" s="408"/>
      <c r="O15" s="408"/>
      <c r="P15" s="408"/>
      <c r="Q15" s="409"/>
    </row>
    <row r="18" spans="3:17" x14ac:dyDescent="0.35">
      <c r="C18" s="7" t="s">
        <v>8</v>
      </c>
      <c r="E18" s="11">
        <f>'KPI 1'!E18</f>
        <v>45839</v>
      </c>
      <c r="F18" s="11">
        <f>'KPI 1'!F18</f>
        <v>45870</v>
      </c>
      <c r="G18" s="11">
        <f>'KPI 1'!G18</f>
        <v>45901</v>
      </c>
      <c r="H18" s="11">
        <f>'KPI 1'!H18</f>
        <v>45931</v>
      </c>
      <c r="I18" s="11">
        <f>'KPI 1'!I18</f>
        <v>45962</v>
      </c>
      <c r="J18" s="11">
        <f>'KPI 1'!J18</f>
        <v>45992</v>
      </c>
      <c r="K18" s="11">
        <f>'KPI 1'!K18</f>
        <v>46023</v>
      </c>
      <c r="L18" s="11">
        <f>'KPI 1'!L18</f>
        <v>46054</v>
      </c>
      <c r="M18" s="11">
        <f>'KPI 1'!M18</f>
        <v>46082</v>
      </c>
      <c r="N18" s="11">
        <f>'KPI 1'!N18</f>
        <v>46113</v>
      </c>
      <c r="O18" s="11">
        <f>'KPI 1'!O18</f>
        <v>46143</v>
      </c>
      <c r="P18" s="11">
        <f>'KPI 1'!P18</f>
        <v>46174</v>
      </c>
      <c r="Q18" s="8" t="s">
        <v>0</v>
      </c>
    </row>
    <row r="19" spans="3:17" x14ac:dyDescent="0.35">
      <c r="D19" s="3" t="str">
        <f>'KPI 1'!D19</f>
        <v>Budget 2025-26</v>
      </c>
      <c r="E19" s="5">
        <f>'budget 2025-26'!D80</f>
        <v>3117</v>
      </c>
      <c r="F19" s="5">
        <f>'budget 2025-26'!E80</f>
        <v>3187</v>
      </c>
      <c r="G19" s="5">
        <f>'budget 2025-26'!F80</f>
        <v>3264</v>
      </c>
      <c r="H19" s="5">
        <f>'budget 2025-26'!G80</f>
        <v>3416</v>
      </c>
      <c r="I19" s="5">
        <f>'budget 2025-26'!H80</f>
        <v>3558</v>
      </c>
      <c r="J19" s="5">
        <f>'budget 2025-26'!I80</f>
        <v>3695</v>
      </c>
      <c r="K19" s="5">
        <f>'budget 2025-26'!J80</f>
        <v>3822</v>
      </c>
      <c r="L19" s="5">
        <f>'budget 2025-26'!K80</f>
        <v>3949</v>
      </c>
      <c r="M19" s="5">
        <f>'budget 2025-26'!L80</f>
        <v>4061</v>
      </c>
      <c r="N19" s="5">
        <f>'budget 2025-26'!M80</f>
        <v>4158</v>
      </c>
      <c r="O19" s="5">
        <f>'budget 2025-26'!N80</f>
        <v>4255</v>
      </c>
      <c r="P19" s="5">
        <f>'budget 2025-26'!O80</f>
        <v>4350</v>
      </c>
      <c r="Q19" s="5">
        <f>SUM(E19:P19)</f>
        <v>44832</v>
      </c>
    </row>
    <row r="20" spans="3:17" x14ac:dyDescent="0.35">
      <c r="D20" s="3" t="str">
        <f>'KPI 1'!D20</f>
        <v>Actual 2025-26</v>
      </c>
      <c r="E20" s="5">
        <f>'Input Actual2025-26'!E82</f>
        <v>3129</v>
      </c>
      <c r="F20" s="5">
        <f>'Input Actual2025-26'!F82</f>
        <v>3190</v>
      </c>
      <c r="G20" s="5">
        <f>'Input Actual2025-26'!G82</f>
        <v>3264</v>
      </c>
      <c r="H20" s="5">
        <f>'Input Actual2025-26'!H82</f>
        <v>3347</v>
      </c>
      <c r="I20" s="5">
        <f>'Input Actual2025-26'!I82</f>
        <v>3404</v>
      </c>
      <c r="J20" s="5">
        <f>'Input Actual2025-26'!J82</f>
        <v>3491</v>
      </c>
      <c r="K20" s="5">
        <f>'Input Actual2025-26'!K82</f>
        <v>3542</v>
      </c>
      <c r="L20" s="5">
        <f>'Input Actual2025-26'!L82</f>
        <v>3605</v>
      </c>
      <c r="M20" s="5">
        <f>'Input Actual2025-26'!M82</f>
        <v>0</v>
      </c>
      <c r="N20" s="5">
        <f>'Input Actual2025-26'!N82</f>
        <v>0</v>
      </c>
      <c r="O20" s="5">
        <f>'Input Actual2025-26'!O82</f>
        <v>0</v>
      </c>
      <c r="P20" s="5">
        <f>'Input Actual2025-26'!P82</f>
        <v>0</v>
      </c>
      <c r="Q20" s="5">
        <f t="shared" ref="Q20:Q22" si="0">SUM(E20:P20)</f>
        <v>26972</v>
      </c>
    </row>
    <row r="21" spans="3:17" x14ac:dyDescent="0.35">
      <c r="D21" s="3" t="s">
        <v>424</v>
      </c>
      <c r="E21" s="5">
        <f>'Input Actual2024-25'!E78</f>
        <v>2708</v>
      </c>
      <c r="F21" s="5">
        <f>'Input Actual2024-25'!F78</f>
        <v>2724</v>
      </c>
      <c r="G21" s="5">
        <f>'Input Actual2024-25'!G78</f>
        <v>2750</v>
      </c>
      <c r="H21" s="5">
        <f>'Input Actual2024-25'!H78</f>
        <v>2755</v>
      </c>
      <c r="I21" s="5">
        <f>'Input Actual2024-25'!I78</f>
        <v>2792</v>
      </c>
      <c r="J21" s="5">
        <f>'Input Actual2024-25'!J78</f>
        <v>2824</v>
      </c>
      <c r="K21" s="5">
        <f>'Input Actual2024-25'!K78</f>
        <v>2832</v>
      </c>
      <c r="L21" s="5">
        <f>'Input Actual2024-25'!L78</f>
        <v>2892</v>
      </c>
      <c r="M21" s="5">
        <f>'Input Actual2024-25'!M78</f>
        <v>2930</v>
      </c>
      <c r="N21" s="5">
        <f>'Input Actual2024-25'!N78</f>
        <v>2969</v>
      </c>
      <c r="O21" s="5">
        <f>'Input Actual2024-25'!O78</f>
        <v>3015</v>
      </c>
      <c r="P21" s="5">
        <f>'Input Actual2024-25'!P78</f>
        <v>3047</v>
      </c>
      <c r="Q21" s="5">
        <f t="shared" si="0"/>
        <v>34238</v>
      </c>
    </row>
    <row r="22" spans="3:17" x14ac:dyDescent="0.35">
      <c r="D22" s="3" t="s">
        <v>7</v>
      </c>
      <c r="E22" s="5">
        <f t="shared" ref="E22:P22" si="1">IF(E20=0,0,E20-E19)</f>
        <v>12</v>
      </c>
      <c r="F22" s="5">
        <f t="shared" si="1"/>
        <v>3</v>
      </c>
      <c r="G22" s="5">
        <f t="shared" si="1"/>
        <v>0</v>
      </c>
      <c r="H22" s="5">
        <f t="shared" si="1"/>
        <v>-69</v>
      </c>
      <c r="I22" s="5">
        <f t="shared" si="1"/>
        <v>-154</v>
      </c>
      <c r="J22" s="5">
        <f t="shared" si="1"/>
        <v>-204</v>
      </c>
      <c r="K22" s="5">
        <f t="shared" si="1"/>
        <v>-280</v>
      </c>
      <c r="L22" s="5">
        <f t="shared" si="1"/>
        <v>-344</v>
      </c>
      <c r="M22" s="5">
        <f t="shared" si="1"/>
        <v>0</v>
      </c>
      <c r="N22" s="5">
        <f t="shared" si="1"/>
        <v>0</v>
      </c>
      <c r="O22" s="5">
        <f t="shared" si="1"/>
        <v>0</v>
      </c>
      <c r="P22" s="5">
        <f t="shared" si="1"/>
        <v>0</v>
      </c>
      <c r="Q22" s="5">
        <f t="shared" si="0"/>
        <v>-1036</v>
      </c>
    </row>
    <row r="23" spans="3:17" x14ac:dyDescent="0.35">
      <c r="D23" s="3" t="s">
        <v>43</v>
      </c>
      <c r="E23" s="9">
        <f>E21/E19</f>
        <v>0.86878408726339429</v>
      </c>
      <c r="F23" s="9">
        <f t="shared" ref="F23:P23" si="2">F20/F19</f>
        <v>1.0009413241292753</v>
      </c>
      <c r="G23" s="9">
        <f t="shared" si="2"/>
        <v>1</v>
      </c>
      <c r="H23" s="9">
        <f t="shared" si="2"/>
        <v>0.97980093676814983</v>
      </c>
      <c r="I23" s="9">
        <f t="shared" si="2"/>
        <v>0.95671725688589093</v>
      </c>
      <c r="J23" s="9">
        <f t="shared" si="2"/>
        <v>0.94479025710419484</v>
      </c>
      <c r="K23" s="9">
        <f t="shared" si="2"/>
        <v>0.92673992673992678</v>
      </c>
      <c r="L23" s="9">
        <f t="shared" si="2"/>
        <v>0.91288933907318304</v>
      </c>
      <c r="M23" s="9">
        <f t="shared" si="2"/>
        <v>0</v>
      </c>
      <c r="N23" s="9">
        <f t="shared" si="2"/>
        <v>0</v>
      </c>
      <c r="O23" s="9">
        <f t="shared" si="2"/>
        <v>0</v>
      </c>
      <c r="P23" s="9">
        <f t="shared" si="2"/>
        <v>0</v>
      </c>
    </row>
    <row r="25" spans="3:17" x14ac:dyDescent="0.35">
      <c r="C25" s="7" t="s">
        <v>3</v>
      </c>
      <c r="E25" s="11">
        <f>E18</f>
        <v>45839</v>
      </c>
      <c r="F25" s="11">
        <f t="shared" ref="F25:P28" si="3">F18</f>
        <v>45870</v>
      </c>
      <c r="G25" s="11">
        <f t="shared" si="3"/>
        <v>45901</v>
      </c>
      <c r="H25" s="11">
        <f t="shared" si="3"/>
        <v>45931</v>
      </c>
      <c r="I25" s="11">
        <f t="shared" si="3"/>
        <v>45962</v>
      </c>
      <c r="J25" s="11">
        <f t="shared" si="3"/>
        <v>45992</v>
      </c>
      <c r="K25" s="11">
        <f t="shared" si="3"/>
        <v>46023</v>
      </c>
      <c r="L25" s="11">
        <f t="shared" si="3"/>
        <v>46054</v>
      </c>
      <c r="M25" s="11">
        <f t="shared" si="3"/>
        <v>46082</v>
      </c>
      <c r="N25" s="11">
        <f t="shared" si="3"/>
        <v>46113</v>
      </c>
      <c r="O25" s="11">
        <f t="shared" si="3"/>
        <v>46143</v>
      </c>
      <c r="P25" s="11">
        <f t="shared" si="3"/>
        <v>46174</v>
      </c>
    </row>
    <row r="26" spans="3:17" x14ac:dyDescent="0.35">
      <c r="D26" s="3" t="str">
        <f>D19</f>
        <v>Budget 2025-26</v>
      </c>
      <c r="E26" s="5">
        <f>E19</f>
        <v>3117</v>
      </c>
      <c r="F26" s="5">
        <f t="shared" si="3"/>
        <v>3187</v>
      </c>
      <c r="G26" s="5">
        <f t="shared" si="3"/>
        <v>3264</v>
      </c>
      <c r="H26" s="5">
        <f t="shared" si="3"/>
        <v>3416</v>
      </c>
      <c r="I26" s="5">
        <f t="shared" si="3"/>
        <v>3558</v>
      </c>
      <c r="J26" s="5">
        <f t="shared" si="3"/>
        <v>3695</v>
      </c>
      <c r="K26" s="5">
        <f t="shared" si="3"/>
        <v>3822</v>
      </c>
      <c r="L26" s="5">
        <f t="shared" si="3"/>
        <v>3949</v>
      </c>
      <c r="M26" s="5">
        <f t="shared" si="3"/>
        <v>4061</v>
      </c>
      <c r="N26" s="5">
        <f t="shared" si="3"/>
        <v>4158</v>
      </c>
      <c r="O26" s="5">
        <f t="shared" si="3"/>
        <v>4255</v>
      </c>
      <c r="P26" s="5">
        <f t="shared" si="3"/>
        <v>4350</v>
      </c>
    </row>
    <row r="27" spans="3:17" x14ac:dyDescent="0.35">
      <c r="D27" s="3" t="str">
        <f t="shared" ref="D27:E30" si="4">D20</f>
        <v>Actual 2025-26</v>
      </c>
      <c r="E27" s="5">
        <f t="shared" si="4"/>
        <v>3129</v>
      </c>
      <c r="F27" s="5">
        <f t="shared" si="3"/>
        <v>3190</v>
      </c>
      <c r="G27" s="5">
        <f t="shared" si="3"/>
        <v>3264</v>
      </c>
      <c r="H27" s="5">
        <f t="shared" si="3"/>
        <v>3347</v>
      </c>
      <c r="I27" s="5">
        <f t="shared" si="3"/>
        <v>3404</v>
      </c>
      <c r="J27" s="5">
        <f t="shared" si="3"/>
        <v>3491</v>
      </c>
      <c r="K27" s="5">
        <f t="shared" si="3"/>
        <v>3542</v>
      </c>
      <c r="L27" s="5">
        <f t="shared" si="3"/>
        <v>3605</v>
      </c>
      <c r="M27" s="5">
        <f t="shared" si="3"/>
        <v>0</v>
      </c>
      <c r="N27" s="5">
        <f t="shared" si="3"/>
        <v>0</v>
      </c>
      <c r="O27" s="5">
        <f t="shared" si="3"/>
        <v>0</v>
      </c>
      <c r="P27" s="5">
        <f t="shared" si="3"/>
        <v>0</v>
      </c>
    </row>
    <row r="28" spans="3:17" x14ac:dyDescent="0.35">
      <c r="D28" s="3" t="str">
        <f t="shared" si="4"/>
        <v>Actual 2024-25</v>
      </c>
      <c r="E28" s="5">
        <f t="shared" si="4"/>
        <v>2708</v>
      </c>
      <c r="F28" s="5">
        <f t="shared" si="3"/>
        <v>2724</v>
      </c>
      <c r="G28" s="5">
        <f t="shared" si="3"/>
        <v>2750</v>
      </c>
      <c r="H28" s="5">
        <f t="shared" si="3"/>
        <v>2755</v>
      </c>
      <c r="I28" s="5">
        <f t="shared" si="3"/>
        <v>2792</v>
      </c>
      <c r="J28" s="5">
        <f t="shared" si="3"/>
        <v>2824</v>
      </c>
      <c r="K28" s="5">
        <f t="shared" si="3"/>
        <v>2832</v>
      </c>
      <c r="L28" s="5">
        <f t="shared" si="3"/>
        <v>2892</v>
      </c>
      <c r="M28" s="5">
        <f t="shared" si="3"/>
        <v>2930</v>
      </c>
      <c r="N28" s="5">
        <f t="shared" si="3"/>
        <v>2969</v>
      </c>
      <c r="O28" s="5">
        <f t="shared" si="3"/>
        <v>3015</v>
      </c>
      <c r="P28" s="5">
        <f t="shared" si="3"/>
        <v>3047</v>
      </c>
    </row>
    <row r="29" spans="3:17" x14ac:dyDescent="0.35">
      <c r="D29" s="3" t="str">
        <f t="shared" si="4"/>
        <v>Difference</v>
      </c>
      <c r="E29" s="5">
        <f>SUM($E22:E22)</f>
        <v>12</v>
      </c>
      <c r="F29" s="5">
        <f>SUM($E22:F22)</f>
        <v>15</v>
      </c>
      <c r="G29" s="5">
        <f>SUM($E22:G22)</f>
        <v>15</v>
      </c>
      <c r="H29" s="5">
        <f>SUM($E22:H22)</f>
        <v>-54</v>
      </c>
      <c r="I29" s="5">
        <f>SUM($E22:I22)</f>
        <v>-208</v>
      </c>
      <c r="J29" s="5">
        <f>SUM($E22:J22)</f>
        <v>-412</v>
      </c>
      <c r="K29" s="5">
        <f>SUM($E22:K22)</f>
        <v>-692</v>
      </c>
      <c r="L29" s="5">
        <f>SUM($E22:L22)</f>
        <v>-1036</v>
      </c>
      <c r="M29" s="5">
        <f>SUM($E22:M22)</f>
        <v>-1036</v>
      </c>
      <c r="N29" s="5">
        <f>SUM($E22:N22)</f>
        <v>-1036</v>
      </c>
      <c r="O29" s="5">
        <f>SUM($E22:O22)</f>
        <v>-1036</v>
      </c>
      <c r="P29" s="5">
        <f>SUM($E22:P22)</f>
        <v>-1036</v>
      </c>
    </row>
    <row r="30" spans="3:17" x14ac:dyDescent="0.35">
      <c r="D30" s="3" t="str">
        <f t="shared" si="4"/>
        <v>Realisation</v>
      </c>
      <c r="E30" s="9">
        <f>E28/E26</f>
        <v>0.86878408726339429</v>
      </c>
      <c r="F30" s="9">
        <f t="shared" ref="F30:P30" si="5">F27/F26</f>
        <v>1.0009413241292753</v>
      </c>
      <c r="G30" s="9">
        <f t="shared" si="5"/>
        <v>1</v>
      </c>
      <c r="H30" s="9">
        <f t="shared" si="5"/>
        <v>0.97980093676814983</v>
      </c>
      <c r="I30" s="9">
        <f t="shared" si="5"/>
        <v>0.95671725688589093</v>
      </c>
      <c r="J30" s="9">
        <f t="shared" si="5"/>
        <v>0.94479025710419484</v>
      </c>
      <c r="K30" s="9">
        <f t="shared" si="5"/>
        <v>0.92673992673992678</v>
      </c>
      <c r="L30" s="9">
        <f t="shared" si="5"/>
        <v>0.91288933907318304</v>
      </c>
      <c r="M30" s="9">
        <f t="shared" si="5"/>
        <v>0</v>
      </c>
      <c r="N30" s="9">
        <f t="shared" si="5"/>
        <v>0</v>
      </c>
      <c r="O30" s="9">
        <f t="shared" si="5"/>
        <v>0</v>
      </c>
      <c r="P30" s="9">
        <f t="shared" si="5"/>
        <v>0</v>
      </c>
    </row>
  </sheetData>
  <mergeCells count="2">
    <mergeCell ref="J4:Q8"/>
    <mergeCell ref="J10:Q15"/>
  </mergeCells>
  <conditionalFormatting sqref="C3">
    <cfRule type="expression" dxfId="344" priority="2">
      <formula>S4&lt;S6</formula>
    </cfRule>
  </conditionalFormatting>
  <conditionalFormatting sqref="C5">
    <cfRule type="expression" dxfId="343" priority="3">
      <formula>S4&gt;=S5</formula>
    </cfRule>
  </conditionalFormatting>
  <conditionalFormatting sqref="C4">
    <cfRule type="expression" dxfId="342" priority="1">
      <formula>AND(S4&gt;=S6,S4&lt;S5)</formula>
    </cfRule>
  </conditionalFormatting>
  <hyperlinks>
    <hyperlink ref="L1" location="Dashboard!A1" display="Dashboard"/>
  </hyperlinks>
  <pageMargins left="0.7" right="0.7" top="0.75" bottom="0.75" header="0.3" footer="0.3"/>
  <pageSetup orientation="portrait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00449" r:id="rId4" name="Spinner 1">
              <controlPr defaultSize="0" autoPict="0">
                <anchor moveWithCells="1" sizeWithCells="1">
                  <from>
                    <xdr:col>9</xdr:col>
                    <xdr:colOff>19050</xdr:colOff>
                    <xdr:row>0</xdr:row>
                    <xdr:rowOff>38100</xdr:rowOff>
                  </from>
                  <to>
                    <xdr:col>9</xdr:col>
                    <xdr:colOff>400050</xdr:colOff>
                    <xdr:row>1</xdr:row>
                    <xdr:rowOff>152400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8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65">
    <tabColor rgb="FFFFC000"/>
  </sheetPr>
  <dimension ref="A1:S30"/>
  <sheetViews>
    <sheetView zoomScale="90" zoomScaleNormal="90" workbookViewId="0">
      <selection activeCell="L1" sqref="L1"/>
    </sheetView>
  </sheetViews>
  <sheetFormatPr defaultColWidth="9.1796875" defaultRowHeight="14.5" x14ac:dyDescent="0.35"/>
  <cols>
    <col min="1" max="1" width="9.1796875" style="3"/>
    <col min="2" max="2" width="5.1796875" style="3" customWidth="1"/>
    <col min="3" max="3" width="6.26953125" style="3" customWidth="1"/>
    <col min="4" max="4" width="21.26953125" style="3" bestFit="1" customWidth="1"/>
    <col min="5" max="16" width="11.1796875" style="3" customWidth="1"/>
    <col min="17" max="17" width="12" style="3" bestFit="1" customWidth="1"/>
    <col min="18" max="18" width="9.1796875" style="3" customWidth="1"/>
    <col min="19" max="16384" width="9.1796875" style="3"/>
  </cols>
  <sheetData>
    <row r="1" spans="1:19" ht="21" x14ac:dyDescent="0.5">
      <c r="A1" s="4" t="s">
        <v>4</v>
      </c>
      <c r="B1" s="4">
        <f>Dashboard!A91</f>
        <v>1</v>
      </c>
      <c r="C1" s="4" t="str">
        <f>Dashboard!B91</f>
        <v>CBD- ACTIVE SEWER</v>
      </c>
      <c r="D1" s="4"/>
      <c r="G1" s="3" t="s">
        <v>9</v>
      </c>
      <c r="I1" s="12">
        <f>INDEX($E$18:$P$18,Actual_month)</f>
        <v>46054</v>
      </c>
      <c r="L1" s="16" t="s">
        <v>19</v>
      </c>
      <c r="R1" s="5"/>
    </row>
    <row r="2" spans="1:19" x14ac:dyDescent="0.35">
      <c r="A2" s="3" t="s">
        <v>13</v>
      </c>
      <c r="C2" s="3" t="s">
        <v>27</v>
      </c>
      <c r="R2" s="6"/>
    </row>
    <row r="3" spans="1:19" ht="25.5" customHeight="1" thickBot="1" x14ac:dyDescent="0.4">
      <c r="C3" s="1" t="s">
        <v>5</v>
      </c>
      <c r="E3" s="10"/>
      <c r="F3" s="10"/>
      <c r="G3" s="10"/>
      <c r="H3" s="10"/>
      <c r="I3" s="10"/>
      <c r="J3" s="3" t="s">
        <v>6</v>
      </c>
      <c r="K3" s="10"/>
      <c r="M3" s="10"/>
      <c r="N3" s="10"/>
      <c r="O3" s="10"/>
      <c r="P3" s="10"/>
    </row>
    <row r="4" spans="1:19" ht="25.5" customHeight="1" x14ac:dyDescent="0.35">
      <c r="C4" s="1" t="s">
        <v>5</v>
      </c>
      <c r="E4" s="10"/>
      <c r="F4" s="10"/>
      <c r="G4" s="10"/>
      <c r="H4" s="10"/>
      <c r="I4" s="10"/>
      <c r="J4" s="401"/>
      <c r="K4" s="402"/>
      <c r="L4" s="402"/>
      <c r="M4" s="402"/>
      <c r="N4" s="402"/>
      <c r="O4" s="402"/>
      <c r="P4" s="402"/>
      <c r="Q4" s="403"/>
      <c r="R4" s="3" t="s">
        <v>22</v>
      </c>
      <c r="S4" s="5">
        <f>INDEX(E27:P27,Actual_month)</f>
        <v>389</v>
      </c>
    </row>
    <row r="5" spans="1:19" ht="25.5" customHeight="1" x14ac:dyDescent="0.35">
      <c r="C5" s="1" t="s">
        <v>5</v>
      </c>
      <c r="E5" s="10"/>
      <c r="F5" s="10"/>
      <c r="G5" s="10"/>
      <c r="H5" s="10"/>
      <c r="I5" s="10"/>
      <c r="J5" s="404"/>
      <c r="K5" s="405"/>
      <c r="L5" s="405"/>
      <c r="M5" s="405"/>
      <c r="N5" s="405"/>
      <c r="O5" s="405"/>
      <c r="P5" s="405"/>
      <c r="Q5" s="406"/>
      <c r="R5" s="3" t="s">
        <v>23</v>
      </c>
      <c r="S5" s="5">
        <f>INDEX(E26:P26,Actual_month)</f>
        <v>396</v>
      </c>
    </row>
    <row r="6" spans="1:19" x14ac:dyDescent="0.35">
      <c r="J6" s="404"/>
      <c r="K6" s="405"/>
      <c r="L6" s="405"/>
      <c r="M6" s="405"/>
      <c r="N6" s="405"/>
      <c r="O6" s="405"/>
      <c r="P6" s="405"/>
      <c r="Q6" s="406"/>
      <c r="R6" s="6">
        <v>0.9</v>
      </c>
      <c r="S6" s="5">
        <f>+S5*R6</f>
        <v>356.40000000000003</v>
      </c>
    </row>
    <row r="7" spans="1:19" x14ac:dyDescent="0.35">
      <c r="J7" s="404"/>
      <c r="K7" s="405"/>
      <c r="L7" s="405"/>
      <c r="M7" s="405"/>
      <c r="N7" s="405"/>
      <c r="O7" s="405"/>
      <c r="P7" s="405"/>
      <c r="Q7" s="406"/>
    </row>
    <row r="8" spans="1:19" ht="15" thickBot="1" x14ac:dyDescent="0.4">
      <c r="J8" s="407"/>
      <c r="K8" s="408"/>
      <c r="L8" s="408"/>
      <c r="M8" s="408"/>
      <c r="N8" s="408"/>
      <c r="O8" s="408"/>
      <c r="P8" s="408"/>
      <c r="Q8" s="409"/>
    </row>
    <row r="9" spans="1:19" ht="15" thickBot="1" x14ac:dyDescent="0.4">
      <c r="J9" s="3" t="s">
        <v>12</v>
      </c>
    </row>
    <row r="10" spans="1:19" x14ac:dyDescent="0.35">
      <c r="J10" s="401"/>
      <c r="K10" s="402"/>
      <c r="L10" s="402"/>
      <c r="M10" s="402"/>
      <c r="N10" s="402"/>
      <c r="O10" s="402"/>
      <c r="P10" s="402"/>
      <c r="Q10" s="403"/>
    </row>
    <row r="11" spans="1:19" x14ac:dyDescent="0.35">
      <c r="J11" s="404"/>
      <c r="K11" s="405"/>
      <c r="L11" s="405"/>
      <c r="M11" s="405"/>
      <c r="N11" s="405"/>
      <c r="O11" s="405"/>
      <c r="P11" s="405"/>
      <c r="Q11" s="406"/>
    </row>
    <row r="12" spans="1:19" x14ac:dyDescent="0.35">
      <c r="J12" s="404"/>
      <c r="K12" s="405"/>
      <c r="L12" s="405"/>
      <c r="M12" s="405"/>
      <c r="N12" s="405"/>
      <c r="O12" s="405"/>
      <c r="P12" s="405"/>
      <c r="Q12" s="406"/>
    </row>
    <row r="13" spans="1:19" x14ac:dyDescent="0.35">
      <c r="J13" s="404"/>
      <c r="K13" s="405"/>
      <c r="L13" s="405"/>
      <c r="M13" s="405"/>
      <c r="N13" s="405"/>
      <c r="O13" s="405"/>
      <c r="P13" s="405"/>
      <c r="Q13" s="406"/>
    </row>
    <row r="14" spans="1:19" x14ac:dyDescent="0.35">
      <c r="J14" s="404"/>
      <c r="K14" s="405"/>
      <c r="L14" s="405"/>
      <c r="M14" s="405"/>
      <c r="N14" s="405"/>
      <c r="O14" s="405"/>
      <c r="P14" s="405"/>
      <c r="Q14" s="406"/>
    </row>
    <row r="15" spans="1:19" ht="15" thickBot="1" x14ac:dyDescent="0.4">
      <c r="J15" s="407"/>
      <c r="K15" s="408"/>
      <c r="L15" s="408"/>
      <c r="M15" s="408"/>
      <c r="N15" s="408"/>
      <c r="O15" s="408"/>
      <c r="P15" s="408"/>
      <c r="Q15" s="409"/>
    </row>
    <row r="18" spans="3:17" x14ac:dyDescent="0.35">
      <c r="C18" s="7" t="s">
        <v>8</v>
      </c>
      <c r="E18" s="11">
        <f>'KPI 1'!E18</f>
        <v>45839</v>
      </c>
      <c r="F18" s="11">
        <f>'KPI 1'!F18</f>
        <v>45870</v>
      </c>
      <c r="G18" s="11">
        <f>'KPI 1'!G18</f>
        <v>45901</v>
      </c>
      <c r="H18" s="11">
        <f>'KPI 1'!H18</f>
        <v>45931</v>
      </c>
      <c r="I18" s="11">
        <f>'KPI 1'!I18</f>
        <v>45962</v>
      </c>
      <c r="J18" s="11">
        <f>'KPI 1'!J18</f>
        <v>45992</v>
      </c>
      <c r="K18" s="11">
        <f>'KPI 1'!K18</f>
        <v>46023</v>
      </c>
      <c r="L18" s="11">
        <f>'KPI 1'!L18</f>
        <v>46054</v>
      </c>
      <c r="M18" s="11">
        <f>'KPI 1'!M18</f>
        <v>46082</v>
      </c>
      <c r="N18" s="11">
        <f>'KPI 1'!N18</f>
        <v>46113</v>
      </c>
      <c r="O18" s="11">
        <f>'KPI 1'!O18</f>
        <v>46143</v>
      </c>
      <c r="P18" s="11">
        <f>'KPI 1'!P18</f>
        <v>46174</v>
      </c>
      <c r="Q18" s="8" t="s">
        <v>0</v>
      </c>
    </row>
    <row r="19" spans="3:17" x14ac:dyDescent="0.35">
      <c r="D19" s="3" t="str">
        <f>'KPI 1'!D19</f>
        <v>Budget 2025-26</v>
      </c>
      <c r="E19" s="5">
        <f>'budget 2025-26'!D85</f>
        <v>389</v>
      </c>
      <c r="F19" s="5">
        <f>'budget 2025-26'!E85</f>
        <v>390</v>
      </c>
      <c r="G19" s="5">
        <f>'budget 2025-26'!F85</f>
        <v>391</v>
      </c>
      <c r="H19" s="5">
        <f>'budget 2025-26'!G85</f>
        <v>392</v>
      </c>
      <c r="I19" s="5">
        <f>'budget 2025-26'!H85</f>
        <v>393</v>
      </c>
      <c r="J19" s="5">
        <f>'budget 2025-26'!I85</f>
        <v>394</v>
      </c>
      <c r="K19" s="5">
        <f>'budget 2025-26'!J85</f>
        <v>395</v>
      </c>
      <c r="L19" s="5">
        <f>'budget 2025-26'!K85</f>
        <v>396</v>
      </c>
      <c r="M19" s="5">
        <f>'budget 2025-26'!L85</f>
        <v>397</v>
      </c>
      <c r="N19" s="5">
        <f>'budget 2025-26'!M85</f>
        <v>398</v>
      </c>
      <c r="O19" s="5">
        <f>'budget 2025-26'!N85</f>
        <v>399</v>
      </c>
      <c r="P19" s="5">
        <f>'budget 2025-26'!O85</f>
        <v>400</v>
      </c>
      <c r="Q19" s="5">
        <f>SUM(E19:P19)</f>
        <v>4734</v>
      </c>
    </row>
    <row r="20" spans="3:17" x14ac:dyDescent="0.35">
      <c r="D20" s="3" t="str">
        <f>'KPI 1'!D20</f>
        <v>Actual 2025-26</v>
      </c>
      <c r="E20" s="5">
        <f>'Input Actual2025-26'!E88</f>
        <v>387</v>
      </c>
      <c r="F20" s="5">
        <f>'Input Actual2025-26'!F88</f>
        <v>388</v>
      </c>
      <c r="G20" s="5">
        <f>'Input Actual2025-26'!G88</f>
        <v>389</v>
      </c>
      <c r="H20" s="5">
        <f>'Input Actual2025-26'!H88</f>
        <v>388</v>
      </c>
      <c r="I20" s="5">
        <f>'Input Actual2025-26'!I88</f>
        <v>388</v>
      </c>
      <c r="J20" s="5">
        <f>'Input Actual2025-26'!J88</f>
        <v>389</v>
      </c>
      <c r="K20" s="5">
        <f>'Input Actual2025-26'!K88</f>
        <v>389</v>
      </c>
      <c r="L20" s="5">
        <f>'Input Actual2025-26'!L88</f>
        <v>389</v>
      </c>
      <c r="M20" s="5">
        <f>'Input Actual2025-26'!M88</f>
        <v>0</v>
      </c>
      <c r="N20" s="5">
        <f>'Input Actual2025-26'!N88</f>
        <v>0</v>
      </c>
      <c r="O20" s="5">
        <f>'Input Actual2025-26'!O88</f>
        <v>0</v>
      </c>
      <c r="P20" s="5">
        <f>'Input Actual2025-26'!P88</f>
        <v>0</v>
      </c>
      <c r="Q20" s="5">
        <f t="shared" ref="Q20:Q22" si="0">SUM(E20:P20)</f>
        <v>3107</v>
      </c>
    </row>
    <row r="21" spans="3:17" x14ac:dyDescent="0.35">
      <c r="D21" s="3" t="s">
        <v>424</v>
      </c>
      <c r="E21" s="5">
        <f>'Input Actual2024-25'!E81</f>
        <v>389</v>
      </c>
      <c r="F21" s="5">
        <f>'Input Actual2024-25'!F81</f>
        <v>390</v>
      </c>
      <c r="G21" s="5">
        <f>'Input Actual2024-25'!G81</f>
        <v>389</v>
      </c>
      <c r="H21" s="5">
        <f>'Input Actual2024-25'!H81</f>
        <v>389</v>
      </c>
      <c r="I21" s="5">
        <f>'Input Actual2024-25'!I81</f>
        <v>389</v>
      </c>
      <c r="J21" s="5">
        <f>'Input Actual2024-25'!J81</f>
        <v>389</v>
      </c>
      <c r="K21" s="5">
        <f>'Input Actual2024-25'!K81</f>
        <v>388</v>
      </c>
      <c r="L21" s="5">
        <f>'Input Actual2024-25'!L81</f>
        <v>388</v>
      </c>
      <c r="M21" s="5">
        <f>'Input Actual2024-25'!M81</f>
        <v>387</v>
      </c>
      <c r="N21" s="5">
        <f>'Input Actual2024-25'!N81</f>
        <v>387</v>
      </c>
      <c r="O21" s="5">
        <f>'Input Actual2024-25'!O81</f>
        <v>388</v>
      </c>
      <c r="P21" s="5">
        <f>'Input Actual2024-25'!P81</f>
        <v>388</v>
      </c>
      <c r="Q21" s="5">
        <f t="shared" si="0"/>
        <v>4661</v>
      </c>
    </row>
    <row r="22" spans="3:17" x14ac:dyDescent="0.35">
      <c r="D22" s="3" t="s">
        <v>7</v>
      </c>
      <c r="E22" s="5">
        <f t="shared" ref="E22:P22" si="1">IF(E20=0,0,E20-E19)</f>
        <v>-2</v>
      </c>
      <c r="F22" s="5">
        <f t="shared" si="1"/>
        <v>-2</v>
      </c>
      <c r="G22" s="5">
        <f t="shared" si="1"/>
        <v>-2</v>
      </c>
      <c r="H22" s="5">
        <f t="shared" si="1"/>
        <v>-4</v>
      </c>
      <c r="I22" s="5">
        <f t="shared" si="1"/>
        <v>-5</v>
      </c>
      <c r="J22" s="5">
        <f t="shared" si="1"/>
        <v>-5</v>
      </c>
      <c r="K22" s="5">
        <f t="shared" si="1"/>
        <v>-6</v>
      </c>
      <c r="L22" s="5">
        <f t="shared" si="1"/>
        <v>-7</v>
      </c>
      <c r="M22" s="5">
        <f t="shared" si="1"/>
        <v>0</v>
      </c>
      <c r="N22" s="5">
        <f t="shared" si="1"/>
        <v>0</v>
      </c>
      <c r="O22" s="5">
        <f t="shared" si="1"/>
        <v>0</v>
      </c>
      <c r="P22" s="5">
        <f t="shared" si="1"/>
        <v>0</v>
      </c>
      <c r="Q22" s="5">
        <f t="shared" si="0"/>
        <v>-33</v>
      </c>
    </row>
    <row r="23" spans="3:17" x14ac:dyDescent="0.35">
      <c r="D23" s="3" t="s">
        <v>43</v>
      </c>
      <c r="E23" s="9">
        <f>E21/E19</f>
        <v>1</v>
      </c>
      <c r="F23" s="9">
        <f t="shared" ref="F23:P23" si="2">F20/F19</f>
        <v>0.99487179487179489</v>
      </c>
      <c r="G23" s="9">
        <f t="shared" si="2"/>
        <v>0.99488491048593353</v>
      </c>
      <c r="H23" s="9">
        <f t="shared" si="2"/>
        <v>0.98979591836734693</v>
      </c>
      <c r="I23" s="9">
        <f t="shared" si="2"/>
        <v>0.98727735368956748</v>
      </c>
      <c r="J23" s="9">
        <f t="shared" si="2"/>
        <v>0.98730964467005078</v>
      </c>
      <c r="K23" s="9">
        <f t="shared" si="2"/>
        <v>0.98481012658227851</v>
      </c>
      <c r="L23" s="9">
        <f t="shared" si="2"/>
        <v>0.98232323232323238</v>
      </c>
      <c r="M23" s="9">
        <f t="shared" si="2"/>
        <v>0</v>
      </c>
      <c r="N23" s="9">
        <f t="shared" si="2"/>
        <v>0</v>
      </c>
      <c r="O23" s="9">
        <f t="shared" si="2"/>
        <v>0</v>
      </c>
      <c r="P23" s="9">
        <f t="shared" si="2"/>
        <v>0</v>
      </c>
    </row>
    <row r="25" spans="3:17" x14ac:dyDescent="0.35">
      <c r="C25" s="7" t="s">
        <v>3</v>
      </c>
      <c r="E25" s="11">
        <f>E18</f>
        <v>45839</v>
      </c>
      <c r="F25" s="11">
        <f t="shared" ref="F25:P28" si="3">F18</f>
        <v>45870</v>
      </c>
      <c r="G25" s="11">
        <f t="shared" si="3"/>
        <v>45901</v>
      </c>
      <c r="H25" s="11">
        <f t="shared" si="3"/>
        <v>45931</v>
      </c>
      <c r="I25" s="11">
        <f t="shared" si="3"/>
        <v>45962</v>
      </c>
      <c r="J25" s="11">
        <f t="shared" si="3"/>
        <v>45992</v>
      </c>
      <c r="K25" s="11">
        <f t="shared" si="3"/>
        <v>46023</v>
      </c>
      <c r="L25" s="11">
        <f t="shared" si="3"/>
        <v>46054</v>
      </c>
      <c r="M25" s="11">
        <f t="shared" si="3"/>
        <v>46082</v>
      </c>
      <c r="N25" s="11">
        <f t="shared" si="3"/>
        <v>46113</v>
      </c>
      <c r="O25" s="11">
        <f t="shared" si="3"/>
        <v>46143</v>
      </c>
      <c r="P25" s="11">
        <f t="shared" si="3"/>
        <v>46174</v>
      </c>
    </row>
    <row r="26" spans="3:17" x14ac:dyDescent="0.35">
      <c r="D26" s="3" t="str">
        <f>D19</f>
        <v>Budget 2025-26</v>
      </c>
      <c r="E26" s="5">
        <f>E19</f>
        <v>389</v>
      </c>
      <c r="F26" s="5">
        <f t="shared" si="3"/>
        <v>390</v>
      </c>
      <c r="G26" s="5">
        <f t="shared" si="3"/>
        <v>391</v>
      </c>
      <c r="H26" s="5">
        <f t="shared" si="3"/>
        <v>392</v>
      </c>
      <c r="I26" s="5">
        <f t="shared" si="3"/>
        <v>393</v>
      </c>
      <c r="J26" s="5">
        <f t="shared" si="3"/>
        <v>394</v>
      </c>
      <c r="K26" s="5">
        <f t="shared" si="3"/>
        <v>395</v>
      </c>
      <c r="L26" s="5">
        <f t="shared" si="3"/>
        <v>396</v>
      </c>
      <c r="M26" s="5">
        <f t="shared" si="3"/>
        <v>397</v>
      </c>
      <c r="N26" s="5">
        <f t="shared" si="3"/>
        <v>398</v>
      </c>
      <c r="O26" s="5">
        <f t="shared" si="3"/>
        <v>399</v>
      </c>
      <c r="P26" s="5">
        <f t="shared" si="3"/>
        <v>400</v>
      </c>
    </row>
    <row r="27" spans="3:17" x14ac:dyDescent="0.35">
      <c r="D27" s="3" t="str">
        <f t="shared" ref="D27:E30" si="4">D20</f>
        <v>Actual 2025-26</v>
      </c>
      <c r="E27" s="5">
        <f t="shared" si="4"/>
        <v>387</v>
      </c>
      <c r="F27" s="5">
        <f t="shared" si="3"/>
        <v>388</v>
      </c>
      <c r="G27" s="5">
        <f t="shared" si="3"/>
        <v>389</v>
      </c>
      <c r="H27" s="5">
        <f t="shared" si="3"/>
        <v>388</v>
      </c>
      <c r="I27" s="5">
        <f t="shared" si="3"/>
        <v>388</v>
      </c>
      <c r="J27" s="5">
        <f t="shared" si="3"/>
        <v>389</v>
      </c>
      <c r="K27" s="5">
        <f t="shared" si="3"/>
        <v>389</v>
      </c>
      <c r="L27" s="5">
        <f t="shared" si="3"/>
        <v>389</v>
      </c>
      <c r="M27" s="5">
        <f t="shared" si="3"/>
        <v>0</v>
      </c>
      <c r="N27" s="5">
        <f t="shared" si="3"/>
        <v>0</v>
      </c>
      <c r="O27" s="5">
        <f t="shared" si="3"/>
        <v>0</v>
      </c>
      <c r="P27" s="5">
        <f t="shared" si="3"/>
        <v>0</v>
      </c>
    </row>
    <row r="28" spans="3:17" x14ac:dyDescent="0.35">
      <c r="D28" s="3" t="str">
        <f t="shared" si="4"/>
        <v>Actual 2024-25</v>
      </c>
      <c r="E28" s="5">
        <f t="shared" si="4"/>
        <v>389</v>
      </c>
      <c r="F28" s="5">
        <f t="shared" si="3"/>
        <v>390</v>
      </c>
      <c r="G28" s="5">
        <f t="shared" si="3"/>
        <v>389</v>
      </c>
      <c r="H28" s="5">
        <f t="shared" si="3"/>
        <v>389</v>
      </c>
      <c r="I28" s="5">
        <f t="shared" si="3"/>
        <v>389</v>
      </c>
      <c r="J28" s="5">
        <f t="shared" si="3"/>
        <v>389</v>
      </c>
      <c r="K28" s="5">
        <f t="shared" si="3"/>
        <v>388</v>
      </c>
      <c r="L28" s="5">
        <f t="shared" si="3"/>
        <v>388</v>
      </c>
      <c r="M28" s="5">
        <f t="shared" si="3"/>
        <v>387</v>
      </c>
      <c r="N28" s="5">
        <f t="shared" si="3"/>
        <v>387</v>
      </c>
      <c r="O28" s="5">
        <f t="shared" si="3"/>
        <v>388</v>
      </c>
      <c r="P28" s="5">
        <f t="shared" si="3"/>
        <v>388</v>
      </c>
    </row>
    <row r="29" spans="3:17" x14ac:dyDescent="0.35">
      <c r="D29" s="3" t="str">
        <f t="shared" si="4"/>
        <v>Difference</v>
      </c>
      <c r="E29" s="5">
        <f>SUM($E22:E22)</f>
        <v>-2</v>
      </c>
      <c r="F29" s="5">
        <f>SUM($E22:F22)</f>
        <v>-4</v>
      </c>
      <c r="G29" s="5">
        <f>SUM($E22:G22)</f>
        <v>-6</v>
      </c>
      <c r="H29" s="5">
        <f>SUM($E22:H22)</f>
        <v>-10</v>
      </c>
      <c r="I29" s="5">
        <f>SUM($E22:I22)</f>
        <v>-15</v>
      </c>
      <c r="J29" s="5">
        <f>SUM($E22:J22)</f>
        <v>-20</v>
      </c>
      <c r="K29" s="5">
        <f>SUM($E22:K22)</f>
        <v>-26</v>
      </c>
      <c r="L29" s="5">
        <f>SUM($E22:L22)</f>
        <v>-33</v>
      </c>
      <c r="M29" s="5">
        <f>SUM($E22:M22)</f>
        <v>-33</v>
      </c>
      <c r="N29" s="5">
        <f>SUM($E22:N22)</f>
        <v>-33</v>
      </c>
      <c r="O29" s="5">
        <f>SUM($E22:O22)</f>
        <v>-33</v>
      </c>
      <c r="P29" s="5">
        <f>SUM($E22:P22)</f>
        <v>-33</v>
      </c>
    </row>
    <row r="30" spans="3:17" x14ac:dyDescent="0.35">
      <c r="D30" s="3" t="str">
        <f t="shared" si="4"/>
        <v>Realisation</v>
      </c>
      <c r="E30" s="9">
        <f>E28/E26</f>
        <v>1</v>
      </c>
      <c r="F30" s="9">
        <f t="shared" ref="F30:P30" si="5">F27/F26</f>
        <v>0.99487179487179489</v>
      </c>
      <c r="G30" s="9">
        <f t="shared" si="5"/>
        <v>0.99488491048593353</v>
      </c>
      <c r="H30" s="9">
        <f t="shared" si="5"/>
        <v>0.98979591836734693</v>
      </c>
      <c r="I30" s="9">
        <f t="shared" si="5"/>
        <v>0.98727735368956748</v>
      </c>
      <c r="J30" s="9">
        <f t="shared" si="5"/>
        <v>0.98730964467005078</v>
      </c>
      <c r="K30" s="9">
        <f t="shared" si="5"/>
        <v>0.98481012658227851</v>
      </c>
      <c r="L30" s="9">
        <f t="shared" si="5"/>
        <v>0.98232323232323238</v>
      </c>
      <c r="M30" s="9">
        <f t="shared" si="5"/>
        <v>0</v>
      </c>
      <c r="N30" s="9">
        <f t="shared" si="5"/>
        <v>0</v>
      </c>
      <c r="O30" s="9">
        <f t="shared" si="5"/>
        <v>0</v>
      </c>
      <c r="P30" s="9">
        <f t="shared" si="5"/>
        <v>0</v>
      </c>
    </row>
  </sheetData>
  <mergeCells count="2">
    <mergeCell ref="J4:Q8"/>
    <mergeCell ref="J10:Q15"/>
  </mergeCells>
  <conditionalFormatting sqref="C3">
    <cfRule type="expression" dxfId="341" priority="2">
      <formula>S4&lt;S6</formula>
    </cfRule>
  </conditionalFormatting>
  <conditionalFormatting sqref="C5">
    <cfRule type="expression" dxfId="340" priority="3">
      <formula>S4&gt;=S5</formula>
    </cfRule>
  </conditionalFormatting>
  <conditionalFormatting sqref="C4">
    <cfRule type="expression" dxfId="339" priority="1">
      <formula>AND(S4&gt;=S6,S4&lt;S5)</formula>
    </cfRule>
  </conditionalFormatting>
  <hyperlinks>
    <hyperlink ref="L1" location="Dashboard!A1" display="Dashboard"/>
  </hyperlinks>
  <pageMargins left="0.7" right="0.7" top="0.75" bottom="0.75" header="0.3" footer="0.3"/>
  <pageSetup orientation="portrait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01473" r:id="rId4" name="Spinner 1">
              <controlPr defaultSize="0" autoPict="0">
                <anchor moveWithCells="1" sizeWithCells="1">
                  <from>
                    <xdr:col>9</xdr:col>
                    <xdr:colOff>19050</xdr:colOff>
                    <xdr:row>0</xdr:row>
                    <xdr:rowOff>38100</xdr:rowOff>
                  </from>
                  <to>
                    <xdr:col>9</xdr:col>
                    <xdr:colOff>400050</xdr:colOff>
                    <xdr:row>1</xdr:row>
                    <xdr:rowOff>152400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8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66">
    <tabColor rgb="FFFFC000"/>
  </sheetPr>
  <dimension ref="A1:S30"/>
  <sheetViews>
    <sheetView zoomScale="90" zoomScaleNormal="90" workbookViewId="0">
      <selection activeCell="L1" sqref="L1"/>
    </sheetView>
  </sheetViews>
  <sheetFormatPr defaultColWidth="9.1796875" defaultRowHeight="14.5" x14ac:dyDescent="0.35"/>
  <cols>
    <col min="1" max="1" width="9.1796875" style="3"/>
    <col min="2" max="2" width="5.1796875" style="3" customWidth="1"/>
    <col min="3" max="3" width="6.26953125" style="3" customWidth="1"/>
    <col min="4" max="4" width="21.26953125" style="3" bestFit="1" customWidth="1"/>
    <col min="5" max="16" width="11.1796875" style="3" customWidth="1"/>
    <col min="17" max="17" width="12" style="3" bestFit="1" customWidth="1"/>
    <col min="18" max="18" width="9.1796875" style="3" customWidth="1"/>
    <col min="19" max="16384" width="9.1796875" style="3"/>
  </cols>
  <sheetData>
    <row r="1" spans="1:19" ht="21" x14ac:dyDescent="0.5">
      <c r="A1" s="4" t="s">
        <v>4</v>
      </c>
      <c r="B1" s="4">
        <f>Dashboard!A92</f>
        <v>2</v>
      </c>
      <c r="C1" s="4" t="str">
        <f>Dashboard!B92</f>
        <v>CCCR- ACTIVE SEWER</v>
      </c>
      <c r="D1" s="4"/>
      <c r="G1" s="3" t="s">
        <v>9</v>
      </c>
      <c r="I1" s="12">
        <f>INDEX($E$18:$P$18,Actual_month)</f>
        <v>46054</v>
      </c>
      <c r="L1" s="16" t="s">
        <v>19</v>
      </c>
      <c r="R1" s="5"/>
    </row>
    <row r="2" spans="1:19" x14ac:dyDescent="0.35">
      <c r="A2" s="3" t="s">
        <v>13</v>
      </c>
      <c r="C2" s="3" t="s">
        <v>27</v>
      </c>
      <c r="R2" s="6"/>
    </row>
    <row r="3" spans="1:19" ht="25.5" customHeight="1" thickBot="1" x14ac:dyDescent="0.4">
      <c r="C3" s="1" t="s">
        <v>5</v>
      </c>
      <c r="E3" s="10"/>
      <c r="F3" s="10"/>
      <c r="G3" s="10"/>
      <c r="H3" s="10"/>
      <c r="I3" s="10"/>
      <c r="J3" s="3" t="s">
        <v>6</v>
      </c>
      <c r="K3" s="10"/>
      <c r="M3" s="10"/>
      <c r="N3" s="10"/>
      <c r="O3" s="10"/>
      <c r="P3" s="10"/>
    </row>
    <row r="4" spans="1:19" ht="25.5" customHeight="1" x14ac:dyDescent="0.35">
      <c r="C4" s="1" t="s">
        <v>5</v>
      </c>
      <c r="E4" s="10"/>
      <c r="F4" s="10"/>
      <c r="G4" s="10"/>
      <c r="H4" s="10"/>
      <c r="I4" s="10"/>
      <c r="J4" s="401"/>
      <c r="K4" s="402"/>
      <c r="L4" s="402"/>
      <c r="M4" s="402"/>
      <c r="N4" s="402"/>
      <c r="O4" s="402"/>
      <c r="P4" s="402"/>
      <c r="Q4" s="403"/>
      <c r="R4" s="3" t="s">
        <v>22</v>
      </c>
      <c r="S4" s="5">
        <f>INDEX(E27:P27,Actual_month)</f>
        <v>392</v>
      </c>
    </row>
    <row r="5" spans="1:19" ht="25.5" customHeight="1" x14ac:dyDescent="0.35">
      <c r="C5" s="1" t="s">
        <v>5</v>
      </c>
      <c r="E5" s="10"/>
      <c r="F5" s="10"/>
      <c r="G5" s="10"/>
      <c r="H5" s="10"/>
      <c r="I5" s="10"/>
      <c r="J5" s="404"/>
      <c r="K5" s="405"/>
      <c r="L5" s="405"/>
      <c r="M5" s="405"/>
      <c r="N5" s="405"/>
      <c r="O5" s="405"/>
      <c r="P5" s="405"/>
      <c r="Q5" s="406"/>
      <c r="R5" s="3" t="s">
        <v>23</v>
      </c>
      <c r="S5" s="5">
        <f>INDEX(E26:P26,Actual_month)</f>
        <v>447</v>
      </c>
    </row>
    <row r="6" spans="1:19" x14ac:dyDescent="0.35">
      <c r="J6" s="404"/>
      <c r="K6" s="405"/>
      <c r="L6" s="405"/>
      <c r="M6" s="405"/>
      <c r="N6" s="405"/>
      <c r="O6" s="405"/>
      <c r="P6" s="405"/>
      <c r="Q6" s="406"/>
      <c r="R6" s="6">
        <v>0.9</v>
      </c>
      <c r="S6" s="5">
        <f>+S5*R6</f>
        <v>402.3</v>
      </c>
    </row>
    <row r="7" spans="1:19" x14ac:dyDescent="0.35">
      <c r="J7" s="404"/>
      <c r="K7" s="405"/>
      <c r="L7" s="405"/>
      <c r="M7" s="405"/>
      <c r="N7" s="405"/>
      <c r="O7" s="405"/>
      <c r="P7" s="405"/>
      <c r="Q7" s="406"/>
    </row>
    <row r="8" spans="1:19" ht="15" thickBot="1" x14ac:dyDescent="0.4">
      <c r="J8" s="407"/>
      <c r="K8" s="408"/>
      <c r="L8" s="408"/>
      <c r="M8" s="408"/>
      <c r="N8" s="408"/>
      <c r="O8" s="408"/>
      <c r="P8" s="408"/>
      <c r="Q8" s="409"/>
    </row>
    <row r="9" spans="1:19" ht="15" thickBot="1" x14ac:dyDescent="0.4">
      <c r="J9" s="3" t="s">
        <v>12</v>
      </c>
    </row>
    <row r="10" spans="1:19" x14ac:dyDescent="0.35">
      <c r="J10" s="401"/>
      <c r="K10" s="402"/>
      <c r="L10" s="402"/>
      <c r="M10" s="402"/>
      <c r="N10" s="402"/>
      <c r="O10" s="402"/>
      <c r="P10" s="402"/>
      <c r="Q10" s="403"/>
    </row>
    <row r="11" spans="1:19" x14ac:dyDescent="0.35">
      <c r="J11" s="404"/>
      <c r="K11" s="405"/>
      <c r="L11" s="405"/>
      <c r="M11" s="405"/>
      <c r="N11" s="405"/>
      <c r="O11" s="405"/>
      <c r="P11" s="405"/>
      <c r="Q11" s="406"/>
    </row>
    <row r="12" spans="1:19" x14ac:dyDescent="0.35">
      <c r="J12" s="404"/>
      <c r="K12" s="405"/>
      <c r="L12" s="405"/>
      <c r="M12" s="405"/>
      <c r="N12" s="405"/>
      <c r="O12" s="405"/>
      <c r="P12" s="405"/>
      <c r="Q12" s="406"/>
    </row>
    <row r="13" spans="1:19" x14ac:dyDescent="0.35">
      <c r="J13" s="404"/>
      <c r="K13" s="405"/>
      <c r="L13" s="405"/>
      <c r="M13" s="405"/>
      <c r="N13" s="405"/>
      <c r="O13" s="405"/>
      <c r="P13" s="405"/>
      <c r="Q13" s="406"/>
    </row>
    <row r="14" spans="1:19" x14ac:dyDescent="0.35">
      <c r="J14" s="404"/>
      <c r="K14" s="405"/>
      <c r="L14" s="405"/>
      <c r="M14" s="405"/>
      <c r="N14" s="405"/>
      <c r="O14" s="405"/>
      <c r="P14" s="405"/>
      <c r="Q14" s="406"/>
    </row>
    <row r="15" spans="1:19" ht="15" thickBot="1" x14ac:dyDescent="0.4">
      <c r="J15" s="407"/>
      <c r="K15" s="408"/>
      <c r="L15" s="408"/>
      <c r="M15" s="408"/>
      <c r="N15" s="408"/>
      <c r="O15" s="408"/>
      <c r="P15" s="408"/>
      <c r="Q15" s="409"/>
    </row>
    <row r="18" spans="3:17" x14ac:dyDescent="0.35">
      <c r="C18" s="7" t="s">
        <v>8</v>
      </c>
      <c r="E18" s="11">
        <f>'KPI 1'!E18</f>
        <v>45839</v>
      </c>
      <c r="F18" s="11">
        <f>'KPI 1'!F18</f>
        <v>45870</v>
      </c>
      <c r="G18" s="11">
        <f>'KPI 1'!G18</f>
        <v>45901</v>
      </c>
      <c r="H18" s="11">
        <f>'KPI 1'!H18</f>
        <v>45931</v>
      </c>
      <c r="I18" s="11">
        <f>'KPI 1'!I18</f>
        <v>45962</v>
      </c>
      <c r="J18" s="11">
        <f>'KPI 1'!J18</f>
        <v>45992</v>
      </c>
      <c r="K18" s="11">
        <f>'KPI 1'!K18</f>
        <v>46023</v>
      </c>
      <c r="L18" s="11">
        <f>'KPI 1'!L18</f>
        <v>46054</v>
      </c>
      <c r="M18" s="11">
        <f>'KPI 1'!M18</f>
        <v>46082</v>
      </c>
      <c r="N18" s="11">
        <f>'KPI 1'!N18</f>
        <v>46113</v>
      </c>
      <c r="O18" s="11">
        <f>'KPI 1'!O18</f>
        <v>46143</v>
      </c>
      <c r="P18" s="11">
        <f>'KPI 1'!P18</f>
        <v>46174</v>
      </c>
      <c r="Q18" s="8" t="s">
        <v>0</v>
      </c>
    </row>
    <row r="19" spans="3:17" x14ac:dyDescent="0.35">
      <c r="D19" s="3" t="str">
        <f>'KPI 1'!D19</f>
        <v>Budget 2025-26</v>
      </c>
      <c r="E19" s="5">
        <f>'budget 2025-26'!D86</f>
        <v>398</v>
      </c>
      <c r="F19" s="5">
        <f>'budget 2025-26'!E86</f>
        <v>405</v>
      </c>
      <c r="G19" s="5">
        <f>'budget 2025-26'!F86</f>
        <v>412</v>
      </c>
      <c r="H19" s="5">
        <f>'budget 2025-26'!G86</f>
        <v>419</v>
      </c>
      <c r="I19" s="5">
        <f>'budget 2025-26'!H86</f>
        <v>426</v>
      </c>
      <c r="J19" s="5">
        <f>'budget 2025-26'!I86</f>
        <v>433</v>
      </c>
      <c r="K19" s="5">
        <f>'budget 2025-26'!J86</f>
        <v>440</v>
      </c>
      <c r="L19" s="5">
        <f>'budget 2025-26'!K86</f>
        <v>447</v>
      </c>
      <c r="M19" s="5">
        <f>'budget 2025-26'!L86</f>
        <v>454</v>
      </c>
      <c r="N19" s="5">
        <f>'budget 2025-26'!M86</f>
        <v>461</v>
      </c>
      <c r="O19" s="5">
        <f>'budget 2025-26'!N86</f>
        <v>468</v>
      </c>
      <c r="P19" s="5">
        <f>'budget 2025-26'!O86</f>
        <v>475</v>
      </c>
      <c r="Q19" s="5">
        <f>SUM(E19:P19)</f>
        <v>5238</v>
      </c>
    </row>
    <row r="20" spans="3:17" x14ac:dyDescent="0.35">
      <c r="D20" s="3" t="str">
        <f>'KPI 1'!D20</f>
        <v>Actual 2025-26</v>
      </c>
      <c r="E20" s="5">
        <f>'Input Actual2025-26'!E89</f>
        <v>390</v>
      </c>
      <c r="F20" s="5">
        <f>'Input Actual2025-26'!F89</f>
        <v>392</v>
      </c>
      <c r="G20" s="5">
        <f>'Input Actual2025-26'!G89</f>
        <v>392</v>
      </c>
      <c r="H20" s="5">
        <f>'Input Actual2025-26'!H89</f>
        <v>391</v>
      </c>
      <c r="I20" s="5">
        <f>'Input Actual2025-26'!I89</f>
        <v>392</v>
      </c>
      <c r="J20" s="5">
        <f>'Input Actual2025-26'!J89</f>
        <v>392</v>
      </c>
      <c r="K20" s="5">
        <f>'Input Actual2025-26'!K89</f>
        <v>392</v>
      </c>
      <c r="L20" s="5">
        <f>'Input Actual2025-26'!L89</f>
        <v>392</v>
      </c>
      <c r="M20" s="5">
        <f>'Input Actual2025-26'!M89</f>
        <v>0</v>
      </c>
      <c r="N20" s="5">
        <f>'Input Actual2025-26'!N89</f>
        <v>0</v>
      </c>
      <c r="O20" s="5">
        <f>'Input Actual2025-26'!O89</f>
        <v>0</v>
      </c>
      <c r="P20" s="5">
        <f>'Input Actual2025-26'!P89</f>
        <v>0</v>
      </c>
      <c r="Q20" s="5">
        <f t="shared" ref="Q20:Q22" si="0">SUM(E20:P20)</f>
        <v>3133</v>
      </c>
    </row>
    <row r="21" spans="3:17" x14ac:dyDescent="0.35">
      <c r="D21" s="3" t="s">
        <v>424</v>
      </c>
      <c r="E21" s="5">
        <f>'Input Actual2024-25'!E82</f>
        <v>386</v>
      </c>
      <c r="F21" s="5">
        <f>'Input Actual2024-25'!F82</f>
        <v>387</v>
      </c>
      <c r="G21" s="5">
        <f>'Input Actual2024-25'!G82</f>
        <v>386</v>
      </c>
      <c r="H21" s="5">
        <f>'Input Actual2024-25'!H82</f>
        <v>386</v>
      </c>
      <c r="I21" s="5">
        <f>'Input Actual2024-25'!I82</f>
        <v>385</v>
      </c>
      <c r="J21" s="5">
        <f>'Input Actual2024-25'!J82</f>
        <v>385</v>
      </c>
      <c r="K21" s="5">
        <f>'Input Actual2024-25'!K82</f>
        <v>385</v>
      </c>
      <c r="L21" s="5">
        <f>'Input Actual2024-25'!L82</f>
        <v>390</v>
      </c>
      <c r="M21" s="5">
        <f>'Input Actual2024-25'!M82</f>
        <v>393</v>
      </c>
      <c r="N21" s="5">
        <f>'Input Actual2024-25'!N82</f>
        <v>393</v>
      </c>
      <c r="O21" s="5">
        <f>'Input Actual2024-25'!O82</f>
        <v>391</v>
      </c>
      <c r="P21" s="5">
        <f>'Input Actual2024-25'!P82</f>
        <v>391</v>
      </c>
      <c r="Q21" s="5">
        <f t="shared" si="0"/>
        <v>4658</v>
      </c>
    </row>
    <row r="22" spans="3:17" x14ac:dyDescent="0.35">
      <c r="D22" s="3" t="s">
        <v>7</v>
      </c>
      <c r="E22" s="5">
        <f t="shared" ref="E22:P22" si="1">IF(E20=0,0,E20-E19)</f>
        <v>-8</v>
      </c>
      <c r="F22" s="5">
        <f t="shared" si="1"/>
        <v>-13</v>
      </c>
      <c r="G22" s="5">
        <f t="shared" si="1"/>
        <v>-20</v>
      </c>
      <c r="H22" s="5">
        <f t="shared" si="1"/>
        <v>-28</v>
      </c>
      <c r="I22" s="5">
        <f t="shared" si="1"/>
        <v>-34</v>
      </c>
      <c r="J22" s="5">
        <f t="shared" si="1"/>
        <v>-41</v>
      </c>
      <c r="K22" s="5">
        <f t="shared" si="1"/>
        <v>-48</v>
      </c>
      <c r="L22" s="5">
        <f t="shared" si="1"/>
        <v>-55</v>
      </c>
      <c r="M22" s="5">
        <f t="shared" si="1"/>
        <v>0</v>
      </c>
      <c r="N22" s="5">
        <f t="shared" si="1"/>
        <v>0</v>
      </c>
      <c r="O22" s="5">
        <f t="shared" si="1"/>
        <v>0</v>
      </c>
      <c r="P22" s="5">
        <f t="shared" si="1"/>
        <v>0</v>
      </c>
      <c r="Q22" s="5">
        <f t="shared" si="0"/>
        <v>-247</v>
      </c>
    </row>
    <row r="23" spans="3:17" x14ac:dyDescent="0.35">
      <c r="D23" s="3" t="s">
        <v>43</v>
      </c>
      <c r="E23" s="9">
        <f>E21/E19</f>
        <v>0.96984924623115576</v>
      </c>
      <c r="F23" s="9">
        <f t="shared" ref="F23:P23" si="2">F20/F19</f>
        <v>0.96790123456790123</v>
      </c>
      <c r="G23" s="9">
        <f t="shared" si="2"/>
        <v>0.95145631067961167</v>
      </c>
      <c r="H23" s="9">
        <f t="shared" si="2"/>
        <v>0.93317422434367536</v>
      </c>
      <c r="I23" s="9">
        <f t="shared" si="2"/>
        <v>0.92018779342723001</v>
      </c>
      <c r="J23" s="9">
        <f t="shared" si="2"/>
        <v>0.90531177829099307</v>
      </c>
      <c r="K23" s="9">
        <f t="shared" si="2"/>
        <v>0.89090909090909087</v>
      </c>
      <c r="L23" s="9">
        <f t="shared" si="2"/>
        <v>0.87695749440715887</v>
      </c>
      <c r="M23" s="9">
        <f t="shared" si="2"/>
        <v>0</v>
      </c>
      <c r="N23" s="9">
        <f t="shared" si="2"/>
        <v>0</v>
      </c>
      <c r="O23" s="9">
        <f t="shared" si="2"/>
        <v>0</v>
      </c>
      <c r="P23" s="9">
        <f t="shared" si="2"/>
        <v>0</v>
      </c>
    </row>
    <row r="25" spans="3:17" x14ac:dyDescent="0.35">
      <c r="C25" s="7" t="s">
        <v>3</v>
      </c>
      <c r="E25" s="11">
        <f>E18</f>
        <v>45839</v>
      </c>
      <c r="F25" s="11">
        <f t="shared" ref="F25:P28" si="3">F18</f>
        <v>45870</v>
      </c>
      <c r="G25" s="11">
        <f t="shared" si="3"/>
        <v>45901</v>
      </c>
      <c r="H25" s="11">
        <f t="shared" si="3"/>
        <v>45931</v>
      </c>
      <c r="I25" s="11">
        <f t="shared" si="3"/>
        <v>45962</v>
      </c>
      <c r="J25" s="11">
        <f t="shared" si="3"/>
        <v>45992</v>
      </c>
      <c r="K25" s="11">
        <f t="shared" si="3"/>
        <v>46023</v>
      </c>
      <c r="L25" s="11">
        <f t="shared" si="3"/>
        <v>46054</v>
      </c>
      <c r="M25" s="11">
        <f t="shared" si="3"/>
        <v>46082</v>
      </c>
      <c r="N25" s="11">
        <f t="shared" si="3"/>
        <v>46113</v>
      </c>
      <c r="O25" s="11">
        <f t="shared" si="3"/>
        <v>46143</v>
      </c>
      <c r="P25" s="11">
        <f t="shared" si="3"/>
        <v>46174</v>
      </c>
    </row>
    <row r="26" spans="3:17" x14ac:dyDescent="0.35">
      <c r="D26" s="3" t="str">
        <f>D19</f>
        <v>Budget 2025-26</v>
      </c>
      <c r="E26" s="5">
        <f>E19</f>
        <v>398</v>
      </c>
      <c r="F26" s="5">
        <f t="shared" si="3"/>
        <v>405</v>
      </c>
      <c r="G26" s="5">
        <f t="shared" si="3"/>
        <v>412</v>
      </c>
      <c r="H26" s="5">
        <f t="shared" si="3"/>
        <v>419</v>
      </c>
      <c r="I26" s="5">
        <f t="shared" si="3"/>
        <v>426</v>
      </c>
      <c r="J26" s="5">
        <f t="shared" si="3"/>
        <v>433</v>
      </c>
      <c r="K26" s="5">
        <f t="shared" si="3"/>
        <v>440</v>
      </c>
      <c r="L26" s="5">
        <f t="shared" si="3"/>
        <v>447</v>
      </c>
      <c r="M26" s="5">
        <f t="shared" si="3"/>
        <v>454</v>
      </c>
      <c r="N26" s="5">
        <f t="shared" si="3"/>
        <v>461</v>
      </c>
      <c r="O26" s="5">
        <f t="shared" si="3"/>
        <v>468</v>
      </c>
      <c r="P26" s="5">
        <f t="shared" si="3"/>
        <v>475</v>
      </c>
    </row>
    <row r="27" spans="3:17" x14ac:dyDescent="0.35">
      <c r="D27" s="3" t="str">
        <f t="shared" ref="D27:E30" si="4">D20</f>
        <v>Actual 2025-26</v>
      </c>
      <c r="E27" s="5">
        <f t="shared" si="4"/>
        <v>390</v>
      </c>
      <c r="F27" s="5">
        <f t="shared" si="3"/>
        <v>392</v>
      </c>
      <c r="G27" s="5">
        <f t="shared" si="3"/>
        <v>392</v>
      </c>
      <c r="H27" s="5">
        <f t="shared" si="3"/>
        <v>391</v>
      </c>
      <c r="I27" s="5">
        <f t="shared" si="3"/>
        <v>392</v>
      </c>
      <c r="J27" s="5">
        <f t="shared" si="3"/>
        <v>392</v>
      </c>
      <c r="K27" s="5">
        <f t="shared" si="3"/>
        <v>392</v>
      </c>
      <c r="L27" s="5">
        <f t="shared" si="3"/>
        <v>392</v>
      </c>
      <c r="M27" s="5">
        <f t="shared" si="3"/>
        <v>0</v>
      </c>
      <c r="N27" s="5">
        <f t="shared" si="3"/>
        <v>0</v>
      </c>
      <c r="O27" s="5">
        <f t="shared" si="3"/>
        <v>0</v>
      </c>
      <c r="P27" s="5">
        <f t="shared" si="3"/>
        <v>0</v>
      </c>
    </row>
    <row r="28" spans="3:17" x14ac:dyDescent="0.35">
      <c r="D28" s="3" t="str">
        <f t="shared" si="4"/>
        <v>Actual 2024-25</v>
      </c>
      <c r="E28" s="5">
        <f t="shared" si="4"/>
        <v>386</v>
      </c>
      <c r="F28" s="5">
        <f t="shared" si="3"/>
        <v>387</v>
      </c>
      <c r="G28" s="5">
        <f t="shared" si="3"/>
        <v>386</v>
      </c>
      <c r="H28" s="5">
        <f t="shared" si="3"/>
        <v>386</v>
      </c>
      <c r="I28" s="5">
        <f t="shared" si="3"/>
        <v>385</v>
      </c>
      <c r="J28" s="5">
        <f t="shared" si="3"/>
        <v>385</v>
      </c>
      <c r="K28" s="5">
        <f t="shared" si="3"/>
        <v>385</v>
      </c>
      <c r="L28" s="5">
        <f t="shared" si="3"/>
        <v>390</v>
      </c>
      <c r="M28" s="5">
        <f t="shared" si="3"/>
        <v>393</v>
      </c>
      <c r="N28" s="5">
        <f t="shared" si="3"/>
        <v>393</v>
      </c>
      <c r="O28" s="5">
        <f t="shared" si="3"/>
        <v>391</v>
      </c>
      <c r="P28" s="5">
        <f t="shared" si="3"/>
        <v>391</v>
      </c>
    </row>
    <row r="29" spans="3:17" x14ac:dyDescent="0.35">
      <c r="D29" s="3" t="str">
        <f t="shared" si="4"/>
        <v>Difference</v>
      </c>
      <c r="E29" s="5">
        <f>SUM($E22:E22)</f>
        <v>-8</v>
      </c>
      <c r="F29" s="5">
        <f>SUM($E22:F22)</f>
        <v>-21</v>
      </c>
      <c r="G29" s="5">
        <f>SUM($E22:G22)</f>
        <v>-41</v>
      </c>
      <c r="H29" s="5">
        <f>SUM($E22:H22)</f>
        <v>-69</v>
      </c>
      <c r="I29" s="5">
        <f>SUM($E22:I22)</f>
        <v>-103</v>
      </c>
      <c r="J29" s="5">
        <f>SUM($E22:J22)</f>
        <v>-144</v>
      </c>
      <c r="K29" s="5">
        <f>SUM($E22:K22)</f>
        <v>-192</v>
      </c>
      <c r="L29" s="5">
        <f>SUM($E22:L22)</f>
        <v>-247</v>
      </c>
      <c r="M29" s="5">
        <f>SUM($E22:M22)</f>
        <v>-247</v>
      </c>
      <c r="N29" s="5">
        <f>SUM($E22:N22)</f>
        <v>-247</v>
      </c>
      <c r="O29" s="5">
        <f>SUM($E22:O22)</f>
        <v>-247</v>
      </c>
      <c r="P29" s="5">
        <f>SUM($E22:P22)</f>
        <v>-247</v>
      </c>
    </row>
    <row r="30" spans="3:17" x14ac:dyDescent="0.35">
      <c r="D30" s="3" t="str">
        <f t="shared" si="4"/>
        <v>Realisation</v>
      </c>
      <c r="E30" s="9">
        <f>E28/E26</f>
        <v>0.96984924623115576</v>
      </c>
      <c r="F30" s="9">
        <f t="shared" ref="F30:P30" si="5">F27/F26</f>
        <v>0.96790123456790123</v>
      </c>
      <c r="G30" s="9">
        <f t="shared" si="5"/>
        <v>0.95145631067961167</v>
      </c>
      <c r="H30" s="9">
        <f t="shared" si="5"/>
        <v>0.93317422434367536</v>
      </c>
      <c r="I30" s="9">
        <f t="shared" si="5"/>
        <v>0.92018779342723001</v>
      </c>
      <c r="J30" s="9">
        <f t="shared" si="5"/>
        <v>0.90531177829099307</v>
      </c>
      <c r="K30" s="9">
        <f t="shared" si="5"/>
        <v>0.89090909090909087</v>
      </c>
      <c r="L30" s="9">
        <f t="shared" si="5"/>
        <v>0.87695749440715887</v>
      </c>
      <c r="M30" s="9">
        <f t="shared" si="5"/>
        <v>0</v>
      </c>
      <c r="N30" s="9">
        <f t="shared" si="5"/>
        <v>0</v>
      </c>
      <c r="O30" s="9">
        <f t="shared" si="5"/>
        <v>0</v>
      </c>
      <c r="P30" s="9">
        <f t="shared" si="5"/>
        <v>0</v>
      </c>
    </row>
  </sheetData>
  <mergeCells count="2">
    <mergeCell ref="J4:Q8"/>
    <mergeCell ref="J10:Q15"/>
  </mergeCells>
  <conditionalFormatting sqref="C3">
    <cfRule type="expression" dxfId="338" priority="2">
      <formula>S4&lt;S6</formula>
    </cfRule>
  </conditionalFormatting>
  <conditionalFormatting sqref="C5">
    <cfRule type="expression" dxfId="337" priority="3">
      <formula>S4&gt;=S5</formula>
    </cfRule>
  </conditionalFormatting>
  <conditionalFormatting sqref="C4">
    <cfRule type="expression" dxfId="336" priority="1">
      <formula>AND(S4&gt;=S6,S4&lt;S5)</formula>
    </cfRule>
  </conditionalFormatting>
  <hyperlinks>
    <hyperlink ref="L1" location="Dashboard!A1" display="Dashboard"/>
  </hyperlinks>
  <pageMargins left="0.7" right="0.7" top="0.75" bottom="0.75" header="0.3" footer="0.3"/>
  <pageSetup orientation="portrait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02497" r:id="rId4" name="Spinner 1">
              <controlPr defaultSize="0" autoPict="0">
                <anchor moveWithCells="1" sizeWithCells="1">
                  <from>
                    <xdr:col>9</xdr:col>
                    <xdr:colOff>19050</xdr:colOff>
                    <xdr:row>0</xdr:row>
                    <xdr:rowOff>38100</xdr:rowOff>
                  </from>
                  <to>
                    <xdr:col>9</xdr:col>
                    <xdr:colOff>400050</xdr:colOff>
                    <xdr:row>1</xdr:row>
                    <xdr:rowOff>152400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8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67">
    <tabColor rgb="FFFFC000"/>
  </sheetPr>
  <dimension ref="A1:S30"/>
  <sheetViews>
    <sheetView zoomScale="90" zoomScaleNormal="90" workbookViewId="0">
      <selection activeCell="L1" sqref="L1"/>
    </sheetView>
  </sheetViews>
  <sheetFormatPr defaultColWidth="9.1796875" defaultRowHeight="14.5" x14ac:dyDescent="0.35"/>
  <cols>
    <col min="1" max="1" width="9.1796875" style="3"/>
    <col min="2" max="2" width="5.1796875" style="3" customWidth="1"/>
    <col min="3" max="3" width="6.26953125" style="3" customWidth="1"/>
    <col min="4" max="4" width="21.26953125" style="3" bestFit="1" customWidth="1"/>
    <col min="5" max="16" width="11.1796875" style="3" customWidth="1"/>
    <col min="17" max="17" width="12" style="3" bestFit="1" customWidth="1"/>
    <col min="18" max="18" width="9.1796875" style="3" customWidth="1"/>
    <col min="19" max="16384" width="9.1796875" style="3"/>
  </cols>
  <sheetData>
    <row r="1" spans="1:19" ht="21" x14ac:dyDescent="0.5">
      <c r="A1" s="4" t="s">
        <v>4</v>
      </c>
      <c r="B1" s="4">
        <f>Dashboard!A93</f>
        <v>3</v>
      </c>
      <c r="C1" s="4" t="str">
        <f>Dashboard!B93</f>
        <v>KABATI- ACTIVE SEWER</v>
      </c>
      <c r="D1" s="4"/>
      <c r="G1" s="3" t="s">
        <v>9</v>
      </c>
      <c r="I1" s="12">
        <f>INDEX($E$18:$P$18,Actual_month)</f>
        <v>46054</v>
      </c>
      <c r="L1" s="16" t="s">
        <v>19</v>
      </c>
      <c r="R1" s="5"/>
    </row>
    <row r="2" spans="1:19" x14ac:dyDescent="0.35">
      <c r="A2" s="3" t="s">
        <v>13</v>
      </c>
      <c r="C2" s="3" t="s">
        <v>27</v>
      </c>
      <c r="R2" s="6"/>
    </row>
    <row r="3" spans="1:19" ht="25.5" customHeight="1" thickBot="1" x14ac:dyDescent="0.4">
      <c r="C3" s="1" t="s">
        <v>5</v>
      </c>
      <c r="E3" s="10"/>
      <c r="F3" s="10"/>
      <c r="G3" s="10"/>
      <c r="H3" s="10"/>
      <c r="I3" s="10"/>
      <c r="J3" s="3" t="s">
        <v>6</v>
      </c>
      <c r="K3" s="10"/>
      <c r="M3" s="10"/>
      <c r="N3" s="10"/>
      <c r="O3" s="10"/>
      <c r="P3" s="10"/>
    </row>
    <row r="4" spans="1:19" ht="25.5" customHeight="1" x14ac:dyDescent="0.35">
      <c r="C4" s="1" t="s">
        <v>5</v>
      </c>
      <c r="E4" s="10"/>
      <c r="F4" s="10"/>
      <c r="G4" s="10"/>
      <c r="H4" s="10"/>
      <c r="I4" s="10"/>
      <c r="J4" s="401"/>
      <c r="K4" s="402"/>
      <c r="L4" s="402"/>
      <c r="M4" s="402"/>
      <c r="N4" s="402"/>
      <c r="O4" s="402"/>
      <c r="P4" s="402"/>
      <c r="Q4" s="403"/>
      <c r="R4" s="3" t="s">
        <v>22</v>
      </c>
      <c r="S4" s="5">
        <f>INDEX(E27:P27,Actual_month)</f>
        <v>330</v>
      </c>
    </row>
    <row r="5" spans="1:19" ht="25.5" customHeight="1" x14ac:dyDescent="0.35">
      <c r="C5" s="1" t="s">
        <v>5</v>
      </c>
      <c r="E5" s="10"/>
      <c r="F5" s="10"/>
      <c r="G5" s="10"/>
      <c r="H5" s="10"/>
      <c r="I5" s="10"/>
      <c r="J5" s="404"/>
      <c r="K5" s="405"/>
      <c r="L5" s="405"/>
      <c r="M5" s="405"/>
      <c r="N5" s="405"/>
      <c r="O5" s="405"/>
      <c r="P5" s="405"/>
      <c r="Q5" s="406"/>
      <c r="R5" s="3" t="s">
        <v>23</v>
      </c>
      <c r="S5" s="5">
        <f>INDEX(E26:P26,Actual_month)</f>
        <v>353</v>
      </c>
    </row>
    <row r="6" spans="1:19" x14ac:dyDescent="0.35">
      <c r="J6" s="404"/>
      <c r="K6" s="405"/>
      <c r="L6" s="405"/>
      <c r="M6" s="405"/>
      <c r="N6" s="405"/>
      <c r="O6" s="405"/>
      <c r="P6" s="405"/>
      <c r="Q6" s="406"/>
      <c r="R6" s="6">
        <v>0.9</v>
      </c>
      <c r="S6" s="5">
        <f>+S5*R6</f>
        <v>317.7</v>
      </c>
    </row>
    <row r="7" spans="1:19" x14ac:dyDescent="0.35">
      <c r="J7" s="404"/>
      <c r="K7" s="405"/>
      <c r="L7" s="405"/>
      <c r="M7" s="405"/>
      <c r="N7" s="405"/>
      <c r="O7" s="405"/>
      <c r="P7" s="405"/>
      <c r="Q7" s="406"/>
    </row>
    <row r="8" spans="1:19" ht="15" thickBot="1" x14ac:dyDescent="0.4">
      <c r="J8" s="407"/>
      <c r="K8" s="408"/>
      <c r="L8" s="408"/>
      <c r="M8" s="408"/>
      <c r="N8" s="408"/>
      <c r="O8" s="408"/>
      <c r="P8" s="408"/>
      <c r="Q8" s="409"/>
    </row>
    <row r="9" spans="1:19" ht="15" thickBot="1" x14ac:dyDescent="0.4">
      <c r="J9" s="3" t="s">
        <v>12</v>
      </c>
    </row>
    <row r="10" spans="1:19" x14ac:dyDescent="0.35">
      <c r="J10" s="401"/>
      <c r="K10" s="402"/>
      <c r="L10" s="402"/>
      <c r="M10" s="402"/>
      <c r="N10" s="402"/>
      <c r="O10" s="402"/>
      <c r="P10" s="402"/>
      <c r="Q10" s="403"/>
    </row>
    <row r="11" spans="1:19" x14ac:dyDescent="0.35">
      <c r="J11" s="404"/>
      <c r="K11" s="405"/>
      <c r="L11" s="405"/>
      <c r="M11" s="405"/>
      <c r="N11" s="405"/>
      <c r="O11" s="405"/>
      <c r="P11" s="405"/>
      <c r="Q11" s="406"/>
    </row>
    <row r="12" spans="1:19" x14ac:dyDescent="0.35">
      <c r="J12" s="404"/>
      <c r="K12" s="405"/>
      <c r="L12" s="405"/>
      <c r="M12" s="405"/>
      <c r="N12" s="405"/>
      <c r="O12" s="405"/>
      <c r="P12" s="405"/>
      <c r="Q12" s="406"/>
    </row>
    <row r="13" spans="1:19" x14ac:dyDescent="0.35">
      <c r="J13" s="404"/>
      <c r="K13" s="405"/>
      <c r="L13" s="405"/>
      <c r="M13" s="405"/>
      <c r="N13" s="405"/>
      <c r="O13" s="405"/>
      <c r="P13" s="405"/>
      <c r="Q13" s="406"/>
    </row>
    <row r="14" spans="1:19" x14ac:dyDescent="0.35">
      <c r="J14" s="404"/>
      <c r="K14" s="405"/>
      <c r="L14" s="405"/>
      <c r="M14" s="405"/>
      <c r="N14" s="405"/>
      <c r="O14" s="405"/>
      <c r="P14" s="405"/>
      <c r="Q14" s="406"/>
    </row>
    <row r="15" spans="1:19" ht="15" thickBot="1" x14ac:dyDescent="0.4">
      <c r="J15" s="407"/>
      <c r="K15" s="408"/>
      <c r="L15" s="408"/>
      <c r="M15" s="408"/>
      <c r="N15" s="408"/>
      <c r="O15" s="408"/>
      <c r="P15" s="408"/>
      <c r="Q15" s="409"/>
    </row>
    <row r="18" spans="3:17" x14ac:dyDescent="0.35">
      <c r="C18" s="7" t="s">
        <v>8</v>
      </c>
      <c r="E18" s="11">
        <f>'KPI 1'!E18</f>
        <v>45839</v>
      </c>
      <c r="F18" s="11">
        <f>'KPI 1'!F18</f>
        <v>45870</v>
      </c>
      <c r="G18" s="11">
        <f>'KPI 1'!G18</f>
        <v>45901</v>
      </c>
      <c r="H18" s="11">
        <f>'KPI 1'!H18</f>
        <v>45931</v>
      </c>
      <c r="I18" s="11">
        <f>'KPI 1'!I18</f>
        <v>45962</v>
      </c>
      <c r="J18" s="11">
        <f>'KPI 1'!J18</f>
        <v>45992</v>
      </c>
      <c r="K18" s="11">
        <f>'KPI 1'!K18</f>
        <v>46023</v>
      </c>
      <c r="L18" s="11">
        <f>'KPI 1'!L18</f>
        <v>46054</v>
      </c>
      <c r="M18" s="11">
        <f>'KPI 1'!M18</f>
        <v>46082</v>
      </c>
      <c r="N18" s="11">
        <f>'KPI 1'!N18</f>
        <v>46113</v>
      </c>
      <c r="O18" s="11">
        <f>'KPI 1'!O18</f>
        <v>46143</v>
      </c>
      <c r="P18" s="11">
        <f>'KPI 1'!P18</f>
        <v>46174</v>
      </c>
      <c r="Q18" s="8" t="s">
        <v>0</v>
      </c>
    </row>
    <row r="19" spans="3:17" x14ac:dyDescent="0.35">
      <c r="D19" s="3" t="str">
        <f>'KPI 1'!D19</f>
        <v>Budget 2025-26</v>
      </c>
      <c r="E19" s="5">
        <f>'budget 2025-26'!D87</f>
        <v>332</v>
      </c>
      <c r="F19" s="5">
        <f>'budget 2025-26'!E87</f>
        <v>335</v>
      </c>
      <c r="G19" s="5">
        <f>'budget 2025-26'!F87</f>
        <v>338</v>
      </c>
      <c r="H19" s="5">
        <f>'budget 2025-26'!G87</f>
        <v>341</v>
      </c>
      <c r="I19" s="5">
        <f>'budget 2025-26'!H87</f>
        <v>344</v>
      </c>
      <c r="J19" s="5">
        <f>'budget 2025-26'!I87</f>
        <v>347</v>
      </c>
      <c r="K19" s="5">
        <f>'budget 2025-26'!J87</f>
        <v>350</v>
      </c>
      <c r="L19" s="5">
        <f>'budget 2025-26'!K87</f>
        <v>353</v>
      </c>
      <c r="M19" s="5">
        <f>'budget 2025-26'!L87</f>
        <v>356</v>
      </c>
      <c r="N19" s="5">
        <f>'budget 2025-26'!M87</f>
        <v>359</v>
      </c>
      <c r="O19" s="5">
        <f>'budget 2025-26'!N87</f>
        <v>362</v>
      </c>
      <c r="P19" s="5">
        <f>'budget 2025-26'!O87</f>
        <v>365</v>
      </c>
      <c r="Q19" s="5">
        <f>SUM(E19:P19)</f>
        <v>4182</v>
      </c>
    </row>
    <row r="20" spans="3:17" x14ac:dyDescent="0.35">
      <c r="D20" s="3" t="str">
        <f>'KPI 1'!D20</f>
        <v>Actual 2025-26</v>
      </c>
      <c r="E20" s="5">
        <f>'Input Actual2025-26'!E90</f>
        <v>328</v>
      </c>
      <c r="F20" s="5">
        <f>'Input Actual2025-26'!F90</f>
        <v>330</v>
      </c>
      <c r="G20" s="5">
        <f>'Input Actual2025-26'!G90</f>
        <v>329</v>
      </c>
      <c r="H20" s="5">
        <f>'Input Actual2025-26'!H90</f>
        <v>329</v>
      </c>
      <c r="I20" s="5">
        <f>'Input Actual2025-26'!I90</f>
        <v>328</v>
      </c>
      <c r="J20" s="5">
        <f>'Input Actual2025-26'!J90</f>
        <v>328</v>
      </c>
      <c r="K20" s="5">
        <f>'Input Actual2025-26'!K90</f>
        <v>330</v>
      </c>
      <c r="L20" s="5">
        <f>'Input Actual2025-26'!L90</f>
        <v>330</v>
      </c>
      <c r="M20" s="5">
        <f>'Input Actual2025-26'!M90</f>
        <v>0</v>
      </c>
      <c r="N20" s="5">
        <f>'Input Actual2025-26'!N90</f>
        <v>0</v>
      </c>
      <c r="O20" s="5">
        <f>'Input Actual2025-26'!O90</f>
        <v>0</v>
      </c>
      <c r="P20" s="5">
        <f>'Input Actual2025-26'!P90</f>
        <v>0</v>
      </c>
      <c r="Q20" s="5">
        <f t="shared" ref="Q20:Q22" si="0">SUM(E20:P20)</f>
        <v>2632</v>
      </c>
    </row>
    <row r="21" spans="3:17" x14ac:dyDescent="0.35">
      <c r="D21" s="3" t="s">
        <v>424</v>
      </c>
      <c r="E21" s="5">
        <f>'Input Actual2024-25'!E83</f>
        <v>307</v>
      </c>
      <c r="F21" s="5">
        <f>'Input Actual2024-25'!F83</f>
        <v>311</v>
      </c>
      <c r="G21" s="5">
        <f>'Input Actual2024-25'!G83</f>
        <v>311</v>
      </c>
      <c r="H21" s="5">
        <f>'Input Actual2024-25'!H83</f>
        <v>311</v>
      </c>
      <c r="I21" s="5">
        <f>'Input Actual2024-25'!I83</f>
        <v>319</v>
      </c>
      <c r="J21" s="5">
        <f>'Input Actual2024-25'!J83</f>
        <v>319</v>
      </c>
      <c r="K21" s="5">
        <f>'Input Actual2024-25'!K83</f>
        <v>322</v>
      </c>
      <c r="L21" s="5">
        <f>'Input Actual2024-25'!L83</f>
        <v>324</v>
      </c>
      <c r="M21" s="5">
        <f>'Input Actual2024-25'!M83</f>
        <v>327</v>
      </c>
      <c r="N21" s="5">
        <f>'Input Actual2024-25'!N83</f>
        <v>329</v>
      </c>
      <c r="O21" s="5">
        <f>'Input Actual2024-25'!O83</f>
        <v>328</v>
      </c>
      <c r="P21" s="5">
        <f>'Input Actual2024-25'!P83</f>
        <v>328</v>
      </c>
      <c r="Q21" s="5">
        <f t="shared" si="0"/>
        <v>3836</v>
      </c>
    </row>
    <row r="22" spans="3:17" x14ac:dyDescent="0.35">
      <c r="D22" s="3" t="s">
        <v>7</v>
      </c>
      <c r="E22" s="5">
        <f t="shared" ref="E22:P22" si="1">IF(E20=0,0,E20-E19)</f>
        <v>-4</v>
      </c>
      <c r="F22" s="5">
        <f t="shared" si="1"/>
        <v>-5</v>
      </c>
      <c r="G22" s="5">
        <f t="shared" si="1"/>
        <v>-9</v>
      </c>
      <c r="H22" s="5">
        <f t="shared" si="1"/>
        <v>-12</v>
      </c>
      <c r="I22" s="5">
        <f t="shared" si="1"/>
        <v>-16</v>
      </c>
      <c r="J22" s="5">
        <f t="shared" si="1"/>
        <v>-19</v>
      </c>
      <c r="K22" s="5">
        <f t="shared" si="1"/>
        <v>-20</v>
      </c>
      <c r="L22" s="5">
        <f t="shared" si="1"/>
        <v>-23</v>
      </c>
      <c r="M22" s="5">
        <f t="shared" si="1"/>
        <v>0</v>
      </c>
      <c r="N22" s="5">
        <f t="shared" si="1"/>
        <v>0</v>
      </c>
      <c r="O22" s="5">
        <f t="shared" si="1"/>
        <v>0</v>
      </c>
      <c r="P22" s="5">
        <f t="shared" si="1"/>
        <v>0</v>
      </c>
      <c r="Q22" s="5">
        <f t="shared" si="0"/>
        <v>-108</v>
      </c>
    </row>
    <row r="23" spans="3:17" x14ac:dyDescent="0.35">
      <c r="D23" s="3" t="s">
        <v>43</v>
      </c>
      <c r="E23" s="9">
        <f>E21/E19</f>
        <v>0.92469879518072284</v>
      </c>
      <c r="F23" s="9">
        <f t="shared" ref="F23:P23" si="2">F20/F19</f>
        <v>0.9850746268656716</v>
      </c>
      <c r="G23" s="9">
        <f t="shared" si="2"/>
        <v>0.97337278106508873</v>
      </c>
      <c r="H23" s="9">
        <f t="shared" si="2"/>
        <v>0.96480938416422291</v>
      </c>
      <c r="I23" s="9">
        <f t="shared" si="2"/>
        <v>0.95348837209302328</v>
      </c>
      <c r="J23" s="9">
        <f t="shared" si="2"/>
        <v>0.94524495677233433</v>
      </c>
      <c r="K23" s="9">
        <f t="shared" si="2"/>
        <v>0.94285714285714284</v>
      </c>
      <c r="L23" s="9">
        <f t="shared" si="2"/>
        <v>0.93484419263456087</v>
      </c>
      <c r="M23" s="9">
        <f t="shared" si="2"/>
        <v>0</v>
      </c>
      <c r="N23" s="9">
        <f t="shared" si="2"/>
        <v>0</v>
      </c>
      <c r="O23" s="9">
        <f t="shared" si="2"/>
        <v>0</v>
      </c>
      <c r="P23" s="9">
        <f t="shared" si="2"/>
        <v>0</v>
      </c>
    </row>
    <row r="25" spans="3:17" x14ac:dyDescent="0.35">
      <c r="C25" s="7" t="s">
        <v>3</v>
      </c>
      <c r="E25" s="11">
        <f>E18</f>
        <v>45839</v>
      </c>
      <c r="F25" s="11">
        <f t="shared" ref="F25:P28" si="3">F18</f>
        <v>45870</v>
      </c>
      <c r="G25" s="11">
        <f t="shared" si="3"/>
        <v>45901</v>
      </c>
      <c r="H25" s="11">
        <f t="shared" si="3"/>
        <v>45931</v>
      </c>
      <c r="I25" s="11">
        <f t="shared" si="3"/>
        <v>45962</v>
      </c>
      <c r="J25" s="11">
        <f t="shared" si="3"/>
        <v>45992</v>
      </c>
      <c r="K25" s="11">
        <f t="shared" si="3"/>
        <v>46023</v>
      </c>
      <c r="L25" s="11">
        <f t="shared" si="3"/>
        <v>46054</v>
      </c>
      <c r="M25" s="11">
        <f t="shared" si="3"/>
        <v>46082</v>
      </c>
      <c r="N25" s="11">
        <f t="shared" si="3"/>
        <v>46113</v>
      </c>
      <c r="O25" s="11">
        <f t="shared" si="3"/>
        <v>46143</v>
      </c>
      <c r="P25" s="11">
        <f t="shared" si="3"/>
        <v>46174</v>
      </c>
    </row>
    <row r="26" spans="3:17" x14ac:dyDescent="0.35">
      <c r="D26" s="3" t="str">
        <f>D19</f>
        <v>Budget 2025-26</v>
      </c>
      <c r="E26" s="5">
        <f>E19</f>
        <v>332</v>
      </c>
      <c r="F26" s="5">
        <f t="shared" si="3"/>
        <v>335</v>
      </c>
      <c r="G26" s="5">
        <f t="shared" si="3"/>
        <v>338</v>
      </c>
      <c r="H26" s="5">
        <f t="shared" si="3"/>
        <v>341</v>
      </c>
      <c r="I26" s="5">
        <f t="shared" si="3"/>
        <v>344</v>
      </c>
      <c r="J26" s="5">
        <f t="shared" si="3"/>
        <v>347</v>
      </c>
      <c r="K26" s="5">
        <f t="shared" si="3"/>
        <v>350</v>
      </c>
      <c r="L26" s="5">
        <f t="shared" si="3"/>
        <v>353</v>
      </c>
      <c r="M26" s="5">
        <f t="shared" si="3"/>
        <v>356</v>
      </c>
      <c r="N26" s="5">
        <f t="shared" si="3"/>
        <v>359</v>
      </c>
      <c r="O26" s="5">
        <f t="shared" si="3"/>
        <v>362</v>
      </c>
      <c r="P26" s="5">
        <f t="shared" si="3"/>
        <v>365</v>
      </c>
    </row>
    <row r="27" spans="3:17" x14ac:dyDescent="0.35">
      <c r="D27" s="3" t="str">
        <f t="shared" ref="D27:E30" si="4">D20</f>
        <v>Actual 2025-26</v>
      </c>
      <c r="E27" s="5">
        <f t="shared" si="4"/>
        <v>328</v>
      </c>
      <c r="F27" s="5">
        <f t="shared" si="3"/>
        <v>330</v>
      </c>
      <c r="G27" s="5">
        <f t="shared" si="3"/>
        <v>329</v>
      </c>
      <c r="H27" s="5">
        <f t="shared" si="3"/>
        <v>329</v>
      </c>
      <c r="I27" s="5">
        <f t="shared" si="3"/>
        <v>328</v>
      </c>
      <c r="J27" s="5">
        <f t="shared" si="3"/>
        <v>328</v>
      </c>
      <c r="K27" s="5">
        <f t="shared" si="3"/>
        <v>330</v>
      </c>
      <c r="L27" s="5">
        <f t="shared" si="3"/>
        <v>330</v>
      </c>
      <c r="M27" s="5">
        <f t="shared" si="3"/>
        <v>0</v>
      </c>
      <c r="N27" s="5">
        <f t="shared" si="3"/>
        <v>0</v>
      </c>
      <c r="O27" s="5">
        <f t="shared" si="3"/>
        <v>0</v>
      </c>
      <c r="P27" s="5">
        <f t="shared" si="3"/>
        <v>0</v>
      </c>
    </row>
    <row r="28" spans="3:17" x14ac:dyDescent="0.35">
      <c r="D28" s="3" t="str">
        <f t="shared" si="4"/>
        <v>Actual 2024-25</v>
      </c>
      <c r="E28" s="5">
        <f t="shared" si="4"/>
        <v>307</v>
      </c>
      <c r="F28" s="5">
        <f t="shared" si="3"/>
        <v>311</v>
      </c>
      <c r="G28" s="5">
        <f t="shared" si="3"/>
        <v>311</v>
      </c>
      <c r="H28" s="5">
        <f t="shared" si="3"/>
        <v>311</v>
      </c>
      <c r="I28" s="5">
        <f t="shared" si="3"/>
        <v>319</v>
      </c>
      <c r="J28" s="5">
        <f t="shared" si="3"/>
        <v>319</v>
      </c>
      <c r="K28" s="5">
        <f t="shared" si="3"/>
        <v>322</v>
      </c>
      <c r="L28" s="5">
        <f t="shared" si="3"/>
        <v>324</v>
      </c>
      <c r="M28" s="5">
        <f t="shared" si="3"/>
        <v>327</v>
      </c>
      <c r="N28" s="5">
        <f t="shared" si="3"/>
        <v>329</v>
      </c>
      <c r="O28" s="5">
        <f t="shared" si="3"/>
        <v>328</v>
      </c>
      <c r="P28" s="5">
        <f t="shared" si="3"/>
        <v>328</v>
      </c>
    </row>
    <row r="29" spans="3:17" x14ac:dyDescent="0.35">
      <c r="D29" s="3" t="str">
        <f t="shared" si="4"/>
        <v>Difference</v>
      </c>
      <c r="E29" s="5">
        <f>SUM($E22:E22)</f>
        <v>-4</v>
      </c>
      <c r="F29" s="5">
        <f>SUM($E22:F22)</f>
        <v>-9</v>
      </c>
      <c r="G29" s="5">
        <f>SUM($E22:G22)</f>
        <v>-18</v>
      </c>
      <c r="H29" s="5">
        <f>SUM($E22:H22)</f>
        <v>-30</v>
      </c>
      <c r="I29" s="5">
        <f>SUM($E22:I22)</f>
        <v>-46</v>
      </c>
      <c r="J29" s="5">
        <f>SUM($E22:J22)</f>
        <v>-65</v>
      </c>
      <c r="K29" s="5">
        <f>SUM($E22:K22)</f>
        <v>-85</v>
      </c>
      <c r="L29" s="5">
        <f>SUM($E22:L22)</f>
        <v>-108</v>
      </c>
      <c r="M29" s="5">
        <f>SUM($E22:M22)</f>
        <v>-108</v>
      </c>
      <c r="N29" s="5">
        <f>SUM($E22:N22)</f>
        <v>-108</v>
      </c>
      <c r="O29" s="5">
        <f>SUM($E22:O22)</f>
        <v>-108</v>
      </c>
      <c r="P29" s="5">
        <f>SUM($E22:P22)</f>
        <v>-108</v>
      </c>
    </row>
    <row r="30" spans="3:17" x14ac:dyDescent="0.35">
      <c r="D30" s="3" t="str">
        <f t="shared" si="4"/>
        <v>Realisation</v>
      </c>
      <c r="E30" s="9">
        <f>E28/E26</f>
        <v>0.92469879518072284</v>
      </c>
      <c r="F30" s="9">
        <f t="shared" ref="F30:P30" si="5">F27/F26</f>
        <v>0.9850746268656716</v>
      </c>
      <c r="G30" s="9">
        <f t="shared" si="5"/>
        <v>0.97337278106508873</v>
      </c>
      <c r="H30" s="9">
        <f t="shared" si="5"/>
        <v>0.96480938416422291</v>
      </c>
      <c r="I30" s="9">
        <f t="shared" si="5"/>
        <v>0.95348837209302328</v>
      </c>
      <c r="J30" s="9">
        <f t="shared" si="5"/>
        <v>0.94524495677233433</v>
      </c>
      <c r="K30" s="9">
        <f t="shared" si="5"/>
        <v>0.94285714285714284</v>
      </c>
      <c r="L30" s="9">
        <f t="shared" si="5"/>
        <v>0.93484419263456087</v>
      </c>
      <c r="M30" s="9">
        <f t="shared" si="5"/>
        <v>0</v>
      </c>
      <c r="N30" s="9">
        <f t="shared" si="5"/>
        <v>0</v>
      </c>
      <c r="O30" s="9">
        <f t="shared" si="5"/>
        <v>0</v>
      </c>
      <c r="P30" s="9">
        <f t="shared" si="5"/>
        <v>0</v>
      </c>
    </row>
  </sheetData>
  <mergeCells count="2">
    <mergeCell ref="J4:Q8"/>
    <mergeCell ref="J10:Q15"/>
  </mergeCells>
  <conditionalFormatting sqref="C3">
    <cfRule type="expression" dxfId="335" priority="2">
      <formula>S4&lt;S6</formula>
    </cfRule>
  </conditionalFormatting>
  <conditionalFormatting sqref="C5">
    <cfRule type="expression" dxfId="334" priority="3">
      <formula>S4&gt;=S5</formula>
    </cfRule>
  </conditionalFormatting>
  <conditionalFormatting sqref="C4">
    <cfRule type="expression" dxfId="333" priority="1">
      <formula>AND(S4&gt;=S6,S4&lt;S5)</formula>
    </cfRule>
  </conditionalFormatting>
  <hyperlinks>
    <hyperlink ref="L1" location="Dashboard!A1" display="Dashboard"/>
  </hyperlinks>
  <pageMargins left="0.7" right="0.7" top="0.75" bottom="0.75" header="0.3" footer="0.3"/>
  <pageSetup orientation="portrait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03521" r:id="rId4" name="Spinner 1">
              <controlPr defaultSize="0" autoPict="0">
                <anchor moveWithCells="1" sizeWithCells="1">
                  <from>
                    <xdr:col>9</xdr:col>
                    <xdr:colOff>19050</xdr:colOff>
                    <xdr:row>0</xdr:row>
                    <xdr:rowOff>38100</xdr:rowOff>
                  </from>
                  <to>
                    <xdr:col>9</xdr:col>
                    <xdr:colOff>400050</xdr:colOff>
                    <xdr:row>1</xdr:row>
                    <xdr:rowOff>152400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8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69">
    <tabColor rgb="FFFFC000"/>
  </sheetPr>
  <dimension ref="A1:S30"/>
  <sheetViews>
    <sheetView topLeftCell="C1" zoomScale="90" zoomScaleNormal="90" workbookViewId="0">
      <selection activeCell="L1" sqref="L1"/>
    </sheetView>
  </sheetViews>
  <sheetFormatPr defaultColWidth="9.1796875" defaultRowHeight="14.5" x14ac:dyDescent="0.35"/>
  <cols>
    <col min="1" max="1" width="9.1796875" style="3"/>
    <col min="2" max="2" width="5.1796875" style="3" customWidth="1"/>
    <col min="3" max="3" width="6.26953125" style="3" customWidth="1"/>
    <col min="4" max="4" width="21.26953125" style="3" bestFit="1" customWidth="1"/>
    <col min="5" max="16" width="11.1796875" style="3" customWidth="1"/>
    <col min="17" max="17" width="12" style="3" bestFit="1" customWidth="1"/>
    <col min="18" max="18" width="9.1796875" style="3" customWidth="1"/>
    <col min="19" max="16384" width="9.1796875" style="3"/>
  </cols>
  <sheetData>
    <row r="1" spans="1:19" ht="21" x14ac:dyDescent="0.5">
      <c r="A1" s="4" t="s">
        <v>4</v>
      </c>
      <c r="B1" s="4">
        <f>Dashboard!A94</f>
        <v>4</v>
      </c>
      <c r="C1" s="4" t="str">
        <f>Dashboard!B94</f>
        <v>SITE- ACTIVE SEWER</v>
      </c>
      <c r="D1" s="4"/>
      <c r="G1" s="3" t="s">
        <v>9</v>
      </c>
      <c r="I1" s="12">
        <f>INDEX($E$18:$P$18,Actual_month)</f>
        <v>46054</v>
      </c>
      <c r="L1" s="16" t="s">
        <v>19</v>
      </c>
      <c r="R1" s="5"/>
    </row>
    <row r="2" spans="1:19" x14ac:dyDescent="0.35">
      <c r="A2" s="3" t="s">
        <v>13</v>
      </c>
      <c r="C2" s="3" t="s">
        <v>27</v>
      </c>
      <c r="R2" s="6"/>
    </row>
    <row r="3" spans="1:19" ht="25.5" customHeight="1" thickBot="1" x14ac:dyDescent="0.4">
      <c r="C3" s="1" t="s">
        <v>5</v>
      </c>
      <c r="E3" s="10"/>
      <c r="F3" s="10"/>
      <c r="G3" s="10"/>
      <c r="H3" s="10"/>
      <c r="I3" s="10"/>
      <c r="J3" s="3" t="s">
        <v>6</v>
      </c>
      <c r="K3" s="10"/>
      <c r="M3" s="10"/>
      <c r="N3" s="10"/>
      <c r="O3" s="10"/>
      <c r="P3" s="10"/>
    </row>
    <row r="4" spans="1:19" ht="25.5" customHeight="1" x14ac:dyDescent="0.35">
      <c r="C4" s="1" t="s">
        <v>5</v>
      </c>
      <c r="E4" s="10"/>
      <c r="F4" s="10"/>
      <c r="G4" s="10"/>
      <c r="H4" s="10"/>
      <c r="I4" s="10"/>
      <c r="J4" s="401"/>
      <c r="K4" s="402"/>
      <c r="L4" s="402"/>
      <c r="M4" s="402"/>
      <c r="N4" s="402"/>
      <c r="O4" s="402"/>
      <c r="P4" s="402"/>
      <c r="Q4" s="403"/>
      <c r="R4" s="3" t="s">
        <v>22</v>
      </c>
      <c r="S4" s="5">
        <f>INDEX(E27:P27,Actual_month)</f>
        <v>518</v>
      </c>
    </row>
    <row r="5" spans="1:19" ht="25.5" customHeight="1" x14ac:dyDescent="0.35">
      <c r="C5" s="1" t="s">
        <v>5</v>
      </c>
      <c r="E5" s="10"/>
      <c r="F5" s="10"/>
      <c r="G5" s="10"/>
      <c r="H5" s="10"/>
      <c r="I5" s="10"/>
      <c r="J5" s="404"/>
      <c r="K5" s="405"/>
      <c r="L5" s="405"/>
      <c r="M5" s="405"/>
      <c r="N5" s="405"/>
      <c r="O5" s="405"/>
      <c r="P5" s="405"/>
      <c r="Q5" s="406"/>
      <c r="R5" s="3" t="s">
        <v>23</v>
      </c>
      <c r="S5" s="5">
        <f>INDEX(E26:P26,Actual_month)</f>
        <v>527</v>
      </c>
    </row>
    <row r="6" spans="1:19" x14ac:dyDescent="0.35">
      <c r="J6" s="404"/>
      <c r="K6" s="405"/>
      <c r="L6" s="405"/>
      <c r="M6" s="405"/>
      <c r="N6" s="405"/>
      <c r="O6" s="405"/>
      <c r="P6" s="405"/>
      <c r="Q6" s="406"/>
      <c r="R6" s="6">
        <v>0.9</v>
      </c>
      <c r="S6" s="5">
        <f>+S5*R6</f>
        <v>474.3</v>
      </c>
    </row>
    <row r="7" spans="1:19" x14ac:dyDescent="0.35">
      <c r="J7" s="404"/>
      <c r="K7" s="405"/>
      <c r="L7" s="405"/>
      <c r="M7" s="405"/>
      <c r="N7" s="405"/>
      <c r="O7" s="405"/>
      <c r="P7" s="405"/>
      <c r="Q7" s="406"/>
    </row>
    <row r="8" spans="1:19" ht="15" thickBot="1" x14ac:dyDescent="0.4">
      <c r="J8" s="407"/>
      <c r="K8" s="408"/>
      <c r="L8" s="408"/>
      <c r="M8" s="408"/>
      <c r="N8" s="408"/>
      <c r="O8" s="408"/>
      <c r="P8" s="408"/>
      <c r="Q8" s="409"/>
    </row>
    <row r="9" spans="1:19" ht="15" thickBot="1" x14ac:dyDescent="0.4">
      <c r="J9" s="3" t="s">
        <v>12</v>
      </c>
    </row>
    <row r="10" spans="1:19" x14ac:dyDescent="0.35">
      <c r="J10" s="401"/>
      <c r="K10" s="402"/>
      <c r="L10" s="402"/>
      <c r="M10" s="402"/>
      <c r="N10" s="402"/>
      <c r="O10" s="402"/>
      <c r="P10" s="402"/>
      <c r="Q10" s="403"/>
    </row>
    <row r="11" spans="1:19" x14ac:dyDescent="0.35">
      <c r="J11" s="404"/>
      <c r="K11" s="405"/>
      <c r="L11" s="405"/>
      <c r="M11" s="405"/>
      <c r="N11" s="405"/>
      <c r="O11" s="405"/>
      <c r="P11" s="405"/>
      <c r="Q11" s="406"/>
    </row>
    <row r="12" spans="1:19" x14ac:dyDescent="0.35">
      <c r="J12" s="404"/>
      <c r="K12" s="405"/>
      <c r="L12" s="405"/>
      <c r="M12" s="405"/>
      <c r="N12" s="405"/>
      <c r="O12" s="405"/>
      <c r="P12" s="405"/>
      <c r="Q12" s="406"/>
    </row>
    <row r="13" spans="1:19" x14ac:dyDescent="0.35">
      <c r="J13" s="404"/>
      <c r="K13" s="405"/>
      <c r="L13" s="405"/>
      <c r="M13" s="405"/>
      <c r="N13" s="405"/>
      <c r="O13" s="405"/>
      <c r="P13" s="405"/>
      <c r="Q13" s="406"/>
    </row>
    <row r="14" spans="1:19" x14ac:dyDescent="0.35">
      <c r="J14" s="404"/>
      <c r="K14" s="405"/>
      <c r="L14" s="405"/>
      <c r="M14" s="405"/>
      <c r="N14" s="405"/>
      <c r="O14" s="405"/>
      <c r="P14" s="405"/>
      <c r="Q14" s="406"/>
    </row>
    <row r="15" spans="1:19" ht="15" thickBot="1" x14ac:dyDescent="0.4">
      <c r="J15" s="407"/>
      <c r="K15" s="408"/>
      <c r="L15" s="408"/>
      <c r="M15" s="408"/>
      <c r="N15" s="408"/>
      <c r="O15" s="408"/>
      <c r="P15" s="408"/>
      <c r="Q15" s="409"/>
    </row>
    <row r="18" spans="3:17" x14ac:dyDescent="0.35">
      <c r="C18" s="7" t="s">
        <v>8</v>
      </c>
      <c r="E18" s="11">
        <f>'KPI 1'!E18</f>
        <v>45839</v>
      </c>
      <c r="F18" s="11">
        <f>'KPI 1'!F18</f>
        <v>45870</v>
      </c>
      <c r="G18" s="11">
        <f>'KPI 1'!G18</f>
        <v>45901</v>
      </c>
      <c r="H18" s="11">
        <f>'KPI 1'!H18</f>
        <v>45931</v>
      </c>
      <c r="I18" s="11">
        <f>'KPI 1'!I18</f>
        <v>45962</v>
      </c>
      <c r="J18" s="11">
        <f>'KPI 1'!J18</f>
        <v>45992</v>
      </c>
      <c r="K18" s="11">
        <f>'KPI 1'!K18</f>
        <v>46023</v>
      </c>
      <c r="L18" s="11">
        <f>'KPI 1'!L18</f>
        <v>46054</v>
      </c>
      <c r="M18" s="11">
        <f>'KPI 1'!M18</f>
        <v>46082</v>
      </c>
      <c r="N18" s="11">
        <f>'KPI 1'!N18</f>
        <v>46113</v>
      </c>
      <c r="O18" s="11">
        <f>'KPI 1'!O18</f>
        <v>46143</v>
      </c>
      <c r="P18" s="11">
        <f>'KPI 1'!P18</f>
        <v>46174</v>
      </c>
      <c r="Q18" s="8" t="s">
        <v>0</v>
      </c>
    </row>
    <row r="19" spans="3:17" x14ac:dyDescent="0.35">
      <c r="D19" s="3" t="str">
        <f>'KPI 1'!D19</f>
        <v>Budget 2025-26</v>
      </c>
      <c r="E19" s="5">
        <f>'budget 2025-26'!D88</f>
        <v>520</v>
      </c>
      <c r="F19" s="5">
        <f>'budget 2025-26'!E88</f>
        <v>521</v>
      </c>
      <c r="G19" s="5">
        <f>'budget 2025-26'!F88</f>
        <v>522</v>
      </c>
      <c r="H19" s="5">
        <f>'budget 2025-26'!G88</f>
        <v>523</v>
      </c>
      <c r="I19" s="5">
        <f>'budget 2025-26'!H88</f>
        <v>524</v>
      </c>
      <c r="J19" s="5">
        <f>'budget 2025-26'!I88</f>
        <v>525</v>
      </c>
      <c r="K19" s="5">
        <f>'budget 2025-26'!J88</f>
        <v>526</v>
      </c>
      <c r="L19" s="5">
        <f>'budget 2025-26'!K88</f>
        <v>527</v>
      </c>
      <c r="M19" s="5">
        <f>'budget 2025-26'!L88</f>
        <v>528</v>
      </c>
      <c r="N19" s="5">
        <f>'budget 2025-26'!M88</f>
        <v>529</v>
      </c>
      <c r="O19" s="5">
        <f>'budget 2025-26'!N88</f>
        <v>530</v>
      </c>
      <c r="P19" s="5">
        <f>'budget 2025-26'!O88</f>
        <v>531</v>
      </c>
      <c r="Q19" s="5">
        <f>SUM(E19:P19)</f>
        <v>6306</v>
      </c>
    </row>
    <row r="20" spans="3:17" x14ac:dyDescent="0.35">
      <c r="D20" s="3" t="str">
        <f>'KPI 1'!D20</f>
        <v>Actual 2025-26</v>
      </c>
      <c r="E20" s="5">
        <f>'Input Actual2025-26'!E91</f>
        <v>518</v>
      </c>
      <c r="F20" s="5">
        <f>'Input Actual2025-26'!F91</f>
        <v>518</v>
      </c>
      <c r="G20" s="5">
        <f>'Input Actual2025-26'!G91</f>
        <v>518</v>
      </c>
      <c r="H20" s="5">
        <f>'Input Actual2025-26'!H91</f>
        <v>517</v>
      </c>
      <c r="I20" s="5">
        <f>'Input Actual2025-26'!I91</f>
        <v>517</v>
      </c>
      <c r="J20" s="5">
        <f>'Input Actual2025-26'!J91</f>
        <v>517</v>
      </c>
      <c r="K20" s="5">
        <f>'Input Actual2025-26'!K91</f>
        <v>518</v>
      </c>
      <c r="L20" s="5">
        <f>'Input Actual2025-26'!L91</f>
        <v>518</v>
      </c>
      <c r="M20" s="5">
        <f>'Input Actual2025-26'!M91</f>
        <v>0</v>
      </c>
      <c r="N20" s="5">
        <f>'Input Actual2025-26'!N91</f>
        <v>0</v>
      </c>
      <c r="O20" s="5">
        <f>'Input Actual2025-26'!O91</f>
        <v>0</v>
      </c>
      <c r="P20" s="5">
        <f>'Input Actual2025-26'!P91</f>
        <v>0</v>
      </c>
      <c r="Q20" s="5">
        <f t="shared" ref="Q20:Q22" si="0">SUM(E20:P20)</f>
        <v>4141</v>
      </c>
    </row>
    <row r="21" spans="3:17" x14ac:dyDescent="0.35">
      <c r="D21" s="3" t="s">
        <v>424</v>
      </c>
      <c r="E21" s="5">
        <f>'Input Actual2024-25'!E84</f>
        <v>505</v>
      </c>
      <c r="F21" s="5">
        <f>'Input Actual2024-25'!F84</f>
        <v>508</v>
      </c>
      <c r="G21" s="5">
        <f>'Input Actual2024-25'!G84</f>
        <v>508</v>
      </c>
      <c r="H21" s="5">
        <f>'Input Actual2024-25'!H84</f>
        <v>508</v>
      </c>
      <c r="I21" s="5">
        <f>'Input Actual2024-25'!I84</f>
        <v>508</v>
      </c>
      <c r="J21" s="5">
        <f>'Input Actual2024-25'!J84</f>
        <v>508</v>
      </c>
      <c r="K21" s="5">
        <f>'Input Actual2024-25'!K84</f>
        <v>513</v>
      </c>
      <c r="L21" s="5">
        <f>'Input Actual2024-25'!L84</f>
        <v>516</v>
      </c>
      <c r="M21" s="5">
        <f>'Input Actual2024-25'!M84</f>
        <v>517</v>
      </c>
      <c r="N21" s="5">
        <f>'Input Actual2024-25'!N84</f>
        <v>518</v>
      </c>
      <c r="O21" s="5">
        <f>'Input Actual2024-25'!O84</f>
        <v>518</v>
      </c>
      <c r="P21" s="5">
        <f>'Input Actual2024-25'!P84</f>
        <v>519</v>
      </c>
      <c r="Q21" s="5">
        <f t="shared" si="0"/>
        <v>6146</v>
      </c>
    </row>
    <row r="22" spans="3:17" x14ac:dyDescent="0.35">
      <c r="D22" s="3" t="s">
        <v>7</v>
      </c>
      <c r="E22" s="5">
        <f t="shared" ref="E22:P22" si="1">IF(E20=0,0,E20-E19)</f>
        <v>-2</v>
      </c>
      <c r="F22" s="5">
        <f t="shared" si="1"/>
        <v>-3</v>
      </c>
      <c r="G22" s="5">
        <f t="shared" si="1"/>
        <v>-4</v>
      </c>
      <c r="H22" s="5">
        <f t="shared" si="1"/>
        <v>-6</v>
      </c>
      <c r="I22" s="5">
        <f t="shared" si="1"/>
        <v>-7</v>
      </c>
      <c r="J22" s="5">
        <f t="shared" si="1"/>
        <v>-8</v>
      </c>
      <c r="K22" s="5">
        <f t="shared" si="1"/>
        <v>-8</v>
      </c>
      <c r="L22" s="5">
        <f t="shared" si="1"/>
        <v>-9</v>
      </c>
      <c r="M22" s="5">
        <f t="shared" si="1"/>
        <v>0</v>
      </c>
      <c r="N22" s="5">
        <f t="shared" si="1"/>
        <v>0</v>
      </c>
      <c r="O22" s="5">
        <f t="shared" si="1"/>
        <v>0</v>
      </c>
      <c r="P22" s="5">
        <f t="shared" si="1"/>
        <v>0</v>
      </c>
      <c r="Q22" s="5">
        <f t="shared" si="0"/>
        <v>-47</v>
      </c>
    </row>
    <row r="23" spans="3:17" x14ac:dyDescent="0.35">
      <c r="D23" s="3" t="s">
        <v>43</v>
      </c>
      <c r="E23" s="9">
        <f>E21/E19</f>
        <v>0.97115384615384615</v>
      </c>
      <c r="F23" s="9">
        <f t="shared" ref="F23:P23" si="2">F20/F19</f>
        <v>0.99424184261036463</v>
      </c>
      <c r="G23" s="9">
        <f t="shared" si="2"/>
        <v>0.9923371647509579</v>
      </c>
      <c r="H23" s="9">
        <f t="shared" si="2"/>
        <v>0.98852772466539196</v>
      </c>
      <c r="I23" s="9">
        <f t="shared" si="2"/>
        <v>0.98664122137404575</v>
      </c>
      <c r="J23" s="9">
        <f t="shared" si="2"/>
        <v>0.98476190476190473</v>
      </c>
      <c r="K23" s="9">
        <f t="shared" si="2"/>
        <v>0.98479087452471481</v>
      </c>
      <c r="L23" s="9">
        <f t="shared" si="2"/>
        <v>0.98292220113851991</v>
      </c>
      <c r="M23" s="9">
        <f t="shared" si="2"/>
        <v>0</v>
      </c>
      <c r="N23" s="9">
        <f t="shared" si="2"/>
        <v>0</v>
      </c>
      <c r="O23" s="9">
        <f t="shared" si="2"/>
        <v>0</v>
      </c>
      <c r="P23" s="9">
        <f t="shared" si="2"/>
        <v>0</v>
      </c>
    </row>
    <row r="25" spans="3:17" x14ac:dyDescent="0.35">
      <c r="C25" s="7" t="s">
        <v>3</v>
      </c>
      <c r="E25" s="11">
        <f>E18</f>
        <v>45839</v>
      </c>
      <c r="F25" s="11">
        <f t="shared" ref="F25:P28" si="3">F18</f>
        <v>45870</v>
      </c>
      <c r="G25" s="11">
        <f t="shared" si="3"/>
        <v>45901</v>
      </c>
      <c r="H25" s="11">
        <f t="shared" si="3"/>
        <v>45931</v>
      </c>
      <c r="I25" s="11">
        <f t="shared" si="3"/>
        <v>45962</v>
      </c>
      <c r="J25" s="11">
        <f t="shared" si="3"/>
        <v>45992</v>
      </c>
      <c r="K25" s="11">
        <f t="shared" si="3"/>
        <v>46023</v>
      </c>
      <c r="L25" s="11">
        <f t="shared" si="3"/>
        <v>46054</v>
      </c>
      <c r="M25" s="11">
        <f t="shared" si="3"/>
        <v>46082</v>
      </c>
      <c r="N25" s="11">
        <f t="shared" si="3"/>
        <v>46113</v>
      </c>
      <c r="O25" s="11">
        <f t="shared" si="3"/>
        <v>46143</v>
      </c>
      <c r="P25" s="11">
        <f t="shared" si="3"/>
        <v>46174</v>
      </c>
    </row>
    <row r="26" spans="3:17" x14ac:dyDescent="0.35">
      <c r="D26" s="3" t="str">
        <f>D19</f>
        <v>Budget 2025-26</v>
      </c>
      <c r="E26" s="5">
        <f>E19</f>
        <v>520</v>
      </c>
      <c r="F26" s="5">
        <f t="shared" si="3"/>
        <v>521</v>
      </c>
      <c r="G26" s="5">
        <f t="shared" si="3"/>
        <v>522</v>
      </c>
      <c r="H26" s="5">
        <f t="shared" si="3"/>
        <v>523</v>
      </c>
      <c r="I26" s="5">
        <f t="shared" si="3"/>
        <v>524</v>
      </c>
      <c r="J26" s="5">
        <f t="shared" si="3"/>
        <v>525</v>
      </c>
      <c r="K26" s="5">
        <f t="shared" si="3"/>
        <v>526</v>
      </c>
      <c r="L26" s="5">
        <f t="shared" si="3"/>
        <v>527</v>
      </c>
      <c r="M26" s="5">
        <f t="shared" si="3"/>
        <v>528</v>
      </c>
      <c r="N26" s="5">
        <f t="shared" si="3"/>
        <v>529</v>
      </c>
      <c r="O26" s="5">
        <f t="shared" si="3"/>
        <v>530</v>
      </c>
      <c r="P26" s="5">
        <f t="shared" si="3"/>
        <v>531</v>
      </c>
    </row>
    <row r="27" spans="3:17" x14ac:dyDescent="0.35">
      <c r="D27" s="3" t="str">
        <f t="shared" ref="D27:E30" si="4">D20</f>
        <v>Actual 2025-26</v>
      </c>
      <c r="E27" s="5">
        <f t="shared" si="4"/>
        <v>518</v>
      </c>
      <c r="F27" s="5">
        <f t="shared" si="3"/>
        <v>518</v>
      </c>
      <c r="G27" s="5">
        <f t="shared" si="3"/>
        <v>518</v>
      </c>
      <c r="H27" s="5">
        <f t="shared" si="3"/>
        <v>517</v>
      </c>
      <c r="I27" s="5">
        <f t="shared" si="3"/>
        <v>517</v>
      </c>
      <c r="J27" s="5">
        <f t="shared" si="3"/>
        <v>517</v>
      </c>
      <c r="K27" s="5">
        <f t="shared" si="3"/>
        <v>518</v>
      </c>
      <c r="L27" s="5">
        <f t="shared" si="3"/>
        <v>518</v>
      </c>
      <c r="M27" s="5">
        <f t="shared" si="3"/>
        <v>0</v>
      </c>
      <c r="N27" s="5">
        <f t="shared" si="3"/>
        <v>0</v>
      </c>
      <c r="O27" s="5">
        <f t="shared" si="3"/>
        <v>0</v>
      </c>
      <c r="P27" s="5">
        <f t="shared" si="3"/>
        <v>0</v>
      </c>
    </row>
    <row r="28" spans="3:17" x14ac:dyDescent="0.35">
      <c r="D28" s="3" t="str">
        <f t="shared" si="4"/>
        <v>Actual 2024-25</v>
      </c>
      <c r="E28" s="5">
        <f t="shared" si="4"/>
        <v>505</v>
      </c>
      <c r="F28" s="5">
        <f t="shared" si="3"/>
        <v>508</v>
      </c>
      <c r="G28" s="5">
        <f t="shared" si="3"/>
        <v>508</v>
      </c>
      <c r="H28" s="5">
        <f t="shared" si="3"/>
        <v>508</v>
      </c>
      <c r="I28" s="5">
        <f t="shared" si="3"/>
        <v>508</v>
      </c>
      <c r="J28" s="5">
        <f t="shared" si="3"/>
        <v>508</v>
      </c>
      <c r="K28" s="5">
        <f t="shared" si="3"/>
        <v>513</v>
      </c>
      <c r="L28" s="5">
        <f t="shared" si="3"/>
        <v>516</v>
      </c>
      <c r="M28" s="5">
        <f t="shared" si="3"/>
        <v>517</v>
      </c>
      <c r="N28" s="5">
        <f t="shared" si="3"/>
        <v>518</v>
      </c>
      <c r="O28" s="5">
        <f t="shared" si="3"/>
        <v>518</v>
      </c>
      <c r="P28" s="5">
        <f t="shared" si="3"/>
        <v>519</v>
      </c>
    </row>
    <row r="29" spans="3:17" x14ac:dyDescent="0.35">
      <c r="D29" s="3" t="str">
        <f t="shared" si="4"/>
        <v>Difference</v>
      </c>
      <c r="E29" s="5">
        <f>SUM($E22:E22)</f>
        <v>-2</v>
      </c>
      <c r="F29" s="5">
        <f>SUM($E22:F22)</f>
        <v>-5</v>
      </c>
      <c r="G29" s="5">
        <f>SUM($E22:G22)</f>
        <v>-9</v>
      </c>
      <c r="H29" s="5">
        <f>SUM($E22:H22)</f>
        <v>-15</v>
      </c>
      <c r="I29" s="5">
        <f>SUM($E22:I22)</f>
        <v>-22</v>
      </c>
      <c r="J29" s="5">
        <f>SUM($E22:J22)</f>
        <v>-30</v>
      </c>
      <c r="K29" s="5">
        <f>SUM($E22:K22)</f>
        <v>-38</v>
      </c>
      <c r="L29" s="5">
        <f>SUM($E22:L22)</f>
        <v>-47</v>
      </c>
      <c r="M29" s="5">
        <f>SUM($E22:M22)</f>
        <v>-47</v>
      </c>
      <c r="N29" s="5">
        <f>SUM($E22:N22)</f>
        <v>-47</v>
      </c>
      <c r="O29" s="5">
        <f>SUM($E22:O22)</f>
        <v>-47</v>
      </c>
      <c r="P29" s="5">
        <f>SUM($E22:P22)</f>
        <v>-47</v>
      </c>
    </row>
    <row r="30" spans="3:17" x14ac:dyDescent="0.35">
      <c r="D30" s="3" t="str">
        <f t="shared" si="4"/>
        <v>Realisation</v>
      </c>
      <c r="E30" s="9">
        <f>E28/E26</f>
        <v>0.97115384615384615</v>
      </c>
      <c r="F30" s="9">
        <f t="shared" ref="F30:P30" si="5">F27/F26</f>
        <v>0.99424184261036463</v>
      </c>
      <c r="G30" s="9">
        <f t="shared" si="5"/>
        <v>0.9923371647509579</v>
      </c>
      <c r="H30" s="9">
        <f t="shared" si="5"/>
        <v>0.98852772466539196</v>
      </c>
      <c r="I30" s="9">
        <f t="shared" si="5"/>
        <v>0.98664122137404575</v>
      </c>
      <c r="J30" s="9">
        <f t="shared" si="5"/>
        <v>0.98476190476190473</v>
      </c>
      <c r="K30" s="9">
        <f t="shared" si="5"/>
        <v>0.98479087452471481</v>
      </c>
      <c r="L30" s="9">
        <f t="shared" si="5"/>
        <v>0.98292220113851991</v>
      </c>
      <c r="M30" s="9">
        <f t="shared" si="5"/>
        <v>0</v>
      </c>
      <c r="N30" s="9">
        <f t="shared" si="5"/>
        <v>0</v>
      </c>
      <c r="O30" s="9">
        <f t="shared" si="5"/>
        <v>0</v>
      </c>
      <c r="P30" s="9">
        <f t="shared" si="5"/>
        <v>0</v>
      </c>
    </row>
  </sheetData>
  <mergeCells count="2">
    <mergeCell ref="J4:Q8"/>
    <mergeCell ref="J10:Q15"/>
  </mergeCells>
  <conditionalFormatting sqref="C3">
    <cfRule type="expression" dxfId="332" priority="2">
      <formula>S4&lt;S6</formula>
    </cfRule>
  </conditionalFormatting>
  <conditionalFormatting sqref="C5">
    <cfRule type="expression" dxfId="331" priority="3">
      <formula>S4&gt;=S5</formula>
    </cfRule>
  </conditionalFormatting>
  <conditionalFormatting sqref="C4">
    <cfRule type="expression" dxfId="330" priority="1">
      <formula>AND(S4&gt;=S6,S4&lt;S5)</formula>
    </cfRule>
  </conditionalFormatting>
  <hyperlinks>
    <hyperlink ref="L1" location="Dashboard!A1" display="Dashboard"/>
  </hyperlinks>
  <pageMargins left="0.7" right="0.7" top="0.75" bottom="0.75" header="0.3" footer="0.3"/>
  <pageSetup orientation="portrait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04545" r:id="rId4" name="Spinner 1">
              <controlPr defaultSize="0" autoPict="0">
                <anchor moveWithCells="1" sizeWithCells="1">
                  <from>
                    <xdr:col>9</xdr:col>
                    <xdr:colOff>19050</xdr:colOff>
                    <xdr:row>0</xdr:row>
                    <xdr:rowOff>38100</xdr:rowOff>
                  </from>
                  <to>
                    <xdr:col>9</xdr:col>
                    <xdr:colOff>400050</xdr:colOff>
                    <xdr:row>1</xdr:row>
                    <xdr:rowOff>152400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8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70"/>
  <dimension ref="A1:S30"/>
  <sheetViews>
    <sheetView zoomScale="90" zoomScaleNormal="90" workbookViewId="0">
      <selection activeCell="L1" sqref="L1"/>
    </sheetView>
  </sheetViews>
  <sheetFormatPr defaultColWidth="9.1796875" defaultRowHeight="14.5" x14ac:dyDescent="0.35"/>
  <cols>
    <col min="1" max="1" width="9.1796875" style="3"/>
    <col min="2" max="2" width="5.1796875" style="3" customWidth="1"/>
    <col min="3" max="3" width="6.26953125" style="3" customWidth="1"/>
    <col min="4" max="4" width="21.26953125" style="3" bestFit="1" customWidth="1"/>
    <col min="5" max="16" width="11.1796875" style="3" customWidth="1"/>
    <col min="17" max="17" width="12" style="3" bestFit="1" customWidth="1"/>
    <col min="18" max="18" width="9.1796875" style="3" customWidth="1"/>
    <col min="19" max="16384" width="9.1796875" style="3"/>
  </cols>
  <sheetData>
    <row r="1" spans="1:19" ht="21" x14ac:dyDescent="0.5">
      <c r="A1" s="4" t="s">
        <v>4</v>
      </c>
      <c r="B1" s="4">
        <f>Dashboard!A95</f>
        <v>5</v>
      </c>
      <c r="C1" s="4" t="str">
        <f>Dashboard!B95</f>
        <v>KIHOTO- ACTIVE SEWER</v>
      </c>
      <c r="D1" s="4"/>
      <c r="G1" s="3" t="s">
        <v>9</v>
      </c>
      <c r="I1" s="12">
        <f>INDEX($E$18:$P$18,Actual_month)</f>
        <v>46054</v>
      </c>
      <c r="L1" s="16" t="s">
        <v>19</v>
      </c>
      <c r="R1" s="5"/>
    </row>
    <row r="2" spans="1:19" x14ac:dyDescent="0.35">
      <c r="A2" s="3" t="s">
        <v>13</v>
      </c>
      <c r="C2" s="3" t="s">
        <v>27</v>
      </c>
      <c r="R2" s="6"/>
    </row>
    <row r="3" spans="1:19" ht="25.5" customHeight="1" thickBot="1" x14ac:dyDescent="0.4">
      <c r="C3" s="1" t="s">
        <v>5</v>
      </c>
      <c r="E3" s="10"/>
      <c r="F3" s="10"/>
      <c r="G3" s="10"/>
      <c r="H3" s="10"/>
      <c r="I3" s="10"/>
      <c r="J3" s="3" t="s">
        <v>6</v>
      </c>
      <c r="K3" s="10"/>
      <c r="M3" s="10"/>
      <c r="N3" s="10"/>
      <c r="O3" s="10"/>
      <c r="P3" s="10"/>
    </row>
    <row r="4" spans="1:19" ht="25.5" customHeight="1" x14ac:dyDescent="0.35">
      <c r="C4" s="1" t="s">
        <v>5</v>
      </c>
      <c r="E4" s="10"/>
      <c r="F4" s="10"/>
      <c r="G4" s="10"/>
      <c r="H4" s="10"/>
      <c r="I4" s="10"/>
      <c r="J4" s="401"/>
      <c r="K4" s="402"/>
      <c r="L4" s="402"/>
      <c r="M4" s="402"/>
      <c r="N4" s="402"/>
      <c r="O4" s="402"/>
      <c r="P4" s="402"/>
      <c r="Q4" s="403"/>
      <c r="R4" s="3" t="s">
        <v>22</v>
      </c>
      <c r="S4" s="5">
        <f>INDEX(E27:P27,Actual_month)</f>
        <v>0</v>
      </c>
    </row>
    <row r="5" spans="1:19" ht="25.5" customHeight="1" x14ac:dyDescent="0.35">
      <c r="C5" s="1" t="s">
        <v>5</v>
      </c>
      <c r="E5" s="10"/>
      <c r="F5" s="10"/>
      <c r="G5" s="10"/>
      <c r="H5" s="10"/>
      <c r="I5" s="10"/>
      <c r="J5" s="404"/>
      <c r="K5" s="405"/>
      <c r="L5" s="405"/>
      <c r="M5" s="405"/>
      <c r="N5" s="405"/>
      <c r="O5" s="405"/>
      <c r="P5" s="405"/>
      <c r="Q5" s="406"/>
      <c r="R5" s="3" t="s">
        <v>23</v>
      </c>
      <c r="S5" s="5">
        <f>INDEX(E26:P26,Actual_month)</f>
        <v>0</v>
      </c>
    </row>
    <row r="6" spans="1:19" x14ac:dyDescent="0.35">
      <c r="J6" s="404"/>
      <c r="K6" s="405"/>
      <c r="L6" s="405"/>
      <c r="M6" s="405"/>
      <c r="N6" s="405"/>
      <c r="O6" s="405"/>
      <c r="P6" s="405"/>
      <c r="Q6" s="406"/>
      <c r="R6" s="6">
        <v>0.9</v>
      </c>
      <c r="S6" s="5">
        <f>+S5*R6</f>
        <v>0</v>
      </c>
    </row>
    <row r="7" spans="1:19" x14ac:dyDescent="0.35">
      <c r="J7" s="404"/>
      <c r="K7" s="405"/>
      <c r="L7" s="405"/>
      <c r="M7" s="405"/>
      <c r="N7" s="405"/>
      <c r="O7" s="405"/>
      <c r="P7" s="405"/>
      <c r="Q7" s="406"/>
    </row>
    <row r="8" spans="1:19" ht="15" thickBot="1" x14ac:dyDescent="0.4">
      <c r="J8" s="407"/>
      <c r="K8" s="408"/>
      <c r="L8" s="408"/>
      <c r="M8" s="408"/>
      <c r="N8" s="408"/>
      <c r="O8" s="408"/>
      <c r="P8" s="408"/>
      <c r="Q8" s="409"/>
    </row>
    <row r="9" spans="1:19" ht="15" thickBot="1" x14ac:dyDescent="0.4">
      <c r="J9" s="3" t="s">
        <v>12</v>
      </c>
    </row>
    <row r="10" spans="1:19" x14ac:dyDescent="0.35">
      <c r="J10" s="401"/>
      <c r="K10" s="402"/>
      <c r="L10" s="402"/>
      <c r="M10" s="402"/>
      <c r="N10" s="402"/>
      <c r="O10" s="402"/>
      <c r="P10" s="402"/>
      <c r="Q10" s="403"/>
    </row>
    <row r="11" spans="1:19" x14ac:dyDescent="0.35">
      <c r="J11" s="404"/>
      <c r="K11" s="405"/>
      <c r="L11" s="405"/>
      <c r="M11" s="405"/>
      <c r="N11" s="405"/>
      <c r="O11" s="405"/>
      <c r="P11" s="405"/>
      <c r="Q11" s="406"/>
    </row>
    <row r="12" spans="1:19" x14ac:dyDescent="0.35">
      <c r="J12" s="404"/>
      <c r="K12" s="405"/>
      <c r="L12" s="405"/>
      <c r="M12" s="405"/>
      <c r="N12" s="405"/>
      <c r="O12" s="405"/>
      <c r="P12" s="405"/>
      <c r="Q12" s="406"/>
    </row>
    <row r="13" spans="1:19" x14ac:dyDescent="0.35">
      <c r="J13" s="404"/>
      <c r="K13" s="405"/>
      <c r="L13" s="405"/>
      <c r="M13" s="405"/>
      <c r="N13" s="405"/>
      <c r="O13" s="405"/>
      <c r="P13" s="405"/>
      <c r="Q13" s="406"/>
    </row>
    <row r="14" spans="1:19" x14ac:dyDescent="0.35">
      <c r="J14" s="404"/>
      <c r="K14" s="405"/>
      <c r="L14" s="405"/>
      <c r="M14" s="405"/>
      <c r="N14" s="405"/>
      <c r="O14" s="405"/>
      <c r="P14" s="405"/>
      <c r="Q14" s="406"/>
    </row>
    <row r="15" spans="1:19" ht="15" thickBot="1" x14ac:dyDescent="0.4">
      <c r="J15" s="407"/>
      <c r="K15" s="408"/>
      <c r="L15" s="408"/>
      <c r="M15" s="408"/>
      <c r="N15" s="408"/>
      <c r="O15" s="408"/>
      <c r="P15" s="408"/>
      <c r="Q15" s="409"/>
    </row>
    <row r="18" spans="3:17" x14ac:dyDescent="0.35">
      <c r="C18" s="7" t="s">
        <v>8</v>
      </c>
      <c r="E18" s="11">
        <f>'KPI 1'!E18</f>
        <v>45839</v>
      </c>
      <c r="F18" s="11">
        <f>'KPI 1'!F18</f>
        <v>45870</v>
      </c>
      <c r="G18" s="11">
        <f>'KPI 1'!G18</f>
        <v>45901</v>
      </c>
      <c r="H18" s="11">
        <f>'KPI 1'!H18</f>
        <v>45931</v>
      </c>
      <c r="I18" s="11">
        <f>'KPI 1'!I18</f>
        <v>45962</v>
      </c>
      <c r="J18" s="11">
        <f>'KPI 1'!J18</f>
        <v>45992</v>
      </c>
      <c r="K18" s="11">
        <f>'KPI 1'!K18</f>
        <v>46023</v>
      </c>
      <c r="L18" s="11">
        <f>'KPI 1'!L18</f>
        <v>46054</v>
      </c>
      <c r="M18" s="11">
        <f>'KPI 1'!M18</f>
        <v>46082</v>
      </c>
      <c r="N18" s="11">
        <f>'KPI 1'!N18</f>
        <v>46113</v>
      </c>
      <c r="O18" s="11">
        <f>'KPI 1'!O18</f>
        <v>46143</v>
      </c>
      <c r="P18" s="11">
        <f>'KPI 1'!P18</f>
        <v>46174</v>
      </c>
      <c r="Q18" s="8" t="s">
        <v>0</v>
      </c>
    </row>
    <row r="19" spans="3:17" x14ac:dyDescent="0.35">
      <c r="D19" s="3" t="str">
        <f>'KPI 1'!D19</f>
        <v>Budget 2025-26</v>
      </c>
      <c r="E19" s="5">
        <f>'budget 2025-26'!D89</f>
        <v>0</v>
      </c>
      <c r="F19" s="5">
        <f>'budget 2025-26'!E89</f>
        <v>0</v>
      </c>
      <c r="G19" s="5">
        <f>'budget 2025-26'!F89</f>
        <v>0</v>
      </c>
      <c r="H19" s="5">
        <f>'budget 2025-26'!G89</f>
        <v>0</v>
      </c>
      <c r="I19" s="5">
        <f>'budget 2025-26'!H89</f>
        <v>0</v>
      </c>
      <c r="J19" s="5">
        <f>'budget 2025-26'!I89</f>
        <v>0</v>
      </c>
      <c r="K19" s="5">
        <f>'budget 2025-26'!J89</f>
        <v>0</v>
      </c>
      <c r="L19" s="5">
        <f>'budget 2025-26'!K89</f>
        <v>0</v>
      </c>
      <c r="M19" s="5">
        <f>'budget 2025-26'!L89</f>
        <v>0</v>
      </c>
      <c r="N19" s="5">
        <f>'budget 2025-26'!M89</f>
        <v>0</v>
      </c>
      <c r="O19" s="5">
        <f>'budget 2025-26'!N89</f>
        <v>0</v>
      </c>
      <c r="P19" s="5">
        <f>'budget 2025-26'!O89</f>
        <v>0</v>
      </c>
      <c r="Q19" s="5">
        <f>SUM(E19:P19)</f>
        <v>0</v>
      </c>
    </row>
    <row r="20" spans="3:17" x14ac:dyDescent="0.35">
      <c r="D20" s="3" t="str">
        <f>'KPI 1'!D20</f>
        <v>Actual 2025-26</v>
      </c>
      <c r="E20" s="5">
        <f>'Input Actual2025-26'!E92</f>
        <v>0</v>
      </c>
      <c r="F20" s="5">
        <f>'Input Actual2025-26'!F92</f>
        <v>0</v>
      </c>
      <c r="G20" s="5">
        <f>'Input Actual2025-26'!G92</f>
        <v>0</v>
      </c>
      <c r="H20" s="5">
        <f>'Input Actual2025-26'!H92</f>
        <v>0</v>
      </c>
      <c r="I20" s="5">
        <f>'Input Actual2025-26'!I92</f>
        <v>0</v>
      </c>
      <c r="J20" s="5">
        <f>'Input Actual2025-26'!J92</f>
        <v>0</v>
      </c>
      <c r="K20" s="5">
        <f>'Input Actual2025-26'!K92</f>
        <v>0</v>
      </c>
      <c r="L20" s="5">
        <f>'Input Actual2025-26'!L92</f>
        <v>0</v>
      </c>
      <c r="M20" s="5">
        <f>'Input Actual2025-26'!M92</f>
        <v>0</v>
      </c>
      <c r="N20" s="5">
        <f>'Input Actual2025-26'!N92</f>
        <v>0</v>
      </c>
      <c r="O20" s="5">
        <f>'Input Actual2025-26'!O92</f>
        <v>0</v>
      </c>
      <c r="P20" s="5">
        <f>'Input Actual2025-26'!P92</f>
        <v>0</v>
      </c>
      <c r="Q20" s="5">
        <f t="shared" ref="Q20:Q22" si="0">SUM(E20:P20)</f>
        <v>0</v>
      </c>
    </row>
    <row r="21" spans="3:17" x14ac:dyDescent="0.35">
      <c r="D21" s="3" t="s">
        <v>424</v>
      </c>
      <c r="E21" s="5">
        <f>'Input Actual2024-25'!E85</f>
        <v>0</v>
      </c>
      <c r="F21" s="5">
        <f>'Input Actual2024-25'!F85</f>
        <v>0</v>
      </c>
      <c r="G21" s="5">
        <f>'Input Actual2024-25'!G85</f>
        <v>0</v>
      </c>
      <c r="H21" s="5">
        <f>'Input Actual2024-25'!H85</f>
        <v>0</v>
      </c>
      <c r="I21" s="5">
        <f>'Input Actual2024-25'!I85</f>
        <v>0</v>
      </c>
      <c r="J21" s="5">
        <f>'Input Actual2024-25'!J85</f>
        <v>0</v>
      </c>
      <c r="K21" s="5">
        <f>'Input Actual2024-25'!K85</f>
        <v>0</v>
      </c>
      <c r="L21" s="5">
        <f>'Input Actual2024-25'!L85</f>
        <v>0</v>
      </c>
      <c r="M21" s="5">
        <f>'Input Actual2024-25'!M85</f>
        <v>0</v>
      </c>
      <c r="N21" s="5">
        <f>'Input Actual2024-25'!N85</f>
        <v>0</v>
      </c>
      <c r="O21" s="5">
        <f>'Input Actual2024-25'!O85</f>
        <v>0</v>
      </c>
      <c r="P21" s="5">
        <f>'Input Actual2024-25'!P85</f>
        <v>0</v>
      </c>
      <c r="Q21" s="5">
        <f t="shared" si="0"/>
        <v>0</v>
      </c>
    </row>
    <row r="22" spans="3:17" x14ac:dyDescent="0.35">
      <c r="D22" s="3" t="s">
        <v>7</v>
      </c>
      <c r="E22" s="5">
        <f t="shared" ref="E22:P22" si="1">IF(E20=0,0,E20-E19)</f>
        <v>0</v>
      </c>
      <c r="F22" s="5">
        <f t="shared" si="1"/>
        <v>0</v>
      </c>
      <c r="G22" s="5">
        <f t="shared" si="1"/>
        <v>0</v>
      </c>
      <c r="H22" s="5">
        <f t="shared" si="1"/>
        <v>0</v>
      </c>
      <c r="I22" s="5">
        <f t="shared" si="1"/>
        <v>0</v>
      </c>
      <c r="J22" s="5">
        <f t="shared" si="1"/>
        <v>0</v>
      </c>
      <c r="K22" s="5">
        <f t="shared" si="1"/>
        <v>0</v>
      </c>
      <c r="L22" s="5">
        <f t="shared" si="1"/>
        <v>0</v>
      </c>
      <c r="M22" s="5">
        <f t="shared" si="1"/>
        <v>0</v>
      </c>
      <c r="N22" s="5">
        <f t="shared" si="1"/>
        <v>0</v>
      </c>
      <c r="O22" s="5">
        <f t="shared" si="1"/>
        <v>0</v>
      </c>
      <c r="P22" s="5">
        <f t="shared" si="1"/>
        <v>0</v>
      </c>
      <c r="Q22" s="5">
        <f t="shared" si="0"/>
        <v>0</v>
      </c>
    </row>
    <row r="23" spans="3:17" x14ac:dyDescent="0.35">
      <c r="D23" s="3" t="s">
        <v>43</v>
      </c>
      <c r="E23" s="9" t="e">
        <f>E21/E19</f>
        <v>#DIV/0!</v>
      </c>
      <c r="F23" s="9" t="e">
        <f t="shared" ref="F23:P23" si="2">F20/F19</f>
        <v>#DIV/0!</v>
      </c>
      <c r="G23" s="9" t="e">
        <f t="shared" si="2"/>
        <v>#DIV/0!</v>
      </c>
      <c r="H23" s="9" t="e">
        <f t="shared" si="2"/>
        <v>#DIV/0!</v>
      </c>
      <c r="I23" s="9" t="e">
        <f t="shared" si="2"/>
        <v>#DIV/0!</v>
      </c>
      <c r="J23" s="9" t="e">
        <f t="shared" si="2"/>
        <v>#DIV/0!</v>
      </c>
      <c r="K23" s="9" t="e">
        <f t="shared" si="2"/>
        <v>#DIV/0!</v>
      </c>
      <c r="L23" s="9" t="e">
        <f t="shared" si="2"/>
        <v>#DIV/0!</v>
      </c>
      <c r="M23" s="9" t="e">
        <f t="shared" si="2"/>
        <v>#DIV/0!</v>
      </c>
      <c r="N23" s="9" t="e">
        <f t="shared" si="2"/>
        <v>#DIV/0!</v>
      </c>
      <c r="O23" s="9" t="e">
        <f t="shared" si="2"/>
        <v>#DIV/0!</v>
      </c>
      <c r="P23" s="9" t="e">
        <f t="shared" si="2"/>
        <v>#DIV/0!</v>
      </c>
    </row>
    <row r="25" spans="3:17" x14ac:dyDescent="0.35">
      <c r="C25" s="7" t="s">
        <v>3</v>
      </c>
      <c r="E25" s="11">
        <f>E18</f>
        <v>45839</v>
      </c>
      <c r="F25" s="11">
        <f t="shared" ref="F25:P28" si="3">F18</f>
        <v>45870</v>
      </c>
      <c r="G25" s="11">
        <f t="shared" si="3"/>
        <v>45901</v>
      </c>
      <c r="H25" s="11">
        <f t="shared" si="3"/>
        <v>45931</v>
      </c>
      <c r="I25" s="11">
        <f t="shared" si="3"/>
        <v>45962</v>
      </c>
      <c r="J25" s="11">
        <f t="shared" si="3"/>
        <v>45992</v>
      </c>
      <c r="K25" s="11">
        <f t="shared" si="3"/>
        <v>46023</v>
      </c>
      <c r="L25" s="11">
        <f t="shared" si="3"/>
        <v>46054</v>
      </c>
      <c r="M25" s="11">
        <f t="shared" si="3"/>
        <v>46082</v>
      </c>
      <c r="N25" s="11">
        <f t="shared" si="3"/>
        <v>46113</v>
      </c>
      <c r="O25" s="11">
        <f t="shared" si="3"/>
        <v>46143</v>
      </c>
      <c r="P25" s="11">
        <f t="shared" si="3"/>
        <v>46174</v>
      </c>
    </row>
    <row r="26" spans="3:17" x14ac:dyDescent="0.35">
      <c r="D26" s="3" t="str">
        <f>D19</f>
        <v>Budget 2025-26</v>
      </c>
      <c r="E26" s="5">
        <f>E19</f>
        <v>0</v>
      </c>
      <c r="F26" s="5">
        <f t="shared" si="3"/>
        <v>0</v>
      </c>
      <c r="G26" s="5">
        <f t="shared" si="3"/>
        <v>0</v>
      </c>
      <c r="H26" s="5">
        <f t="shared" si="3"/>
        <v>0</v>
      </c>
      <c r="I26" s="5">
        <f t="shared" si="3"/>
        <v>0</v>
      </c>
      <c r="J26" s="5">
        <f t="shared" si="3"/>
        <v>0</v>
      </c>
      <c r="K26" s="5">
        <f t="shared" si="3"/>
        <v>0</v>
      </c>
      <c r="L26" s="5">
        <f t="shared" si="3"/>
        <v>0</v>
      </c>
      <c r="M26" s="5">
        <f t="shared" si="3"/>
        <v>0</v>
      </c>
      <c r="N26" s="5">
        <f t="shared" si="3"/>
        <v>0</v>
      </c>
      <c r="O26" s="5">
        <f t="shared" si="3"/>
        <v>0</v>
      </c>
      <c r="P26" s="5">
        <f t="shared" si="3"/>
        <v>0</v>
      </c>
    </row>
    <row r="27" spans="3:17" x14ac:dyDescent="0.35">
      <c r="D27" s="3" t="str">
        <f t="shared" ref="D27:E30" si="4">D20</f>
        <v>Actual 2025-26</v>
      </c>
      <c r="E27" s="5">
        <f t="shared" si="4"/>
        <v>0</v>
      </c>
      <c r="F27" s="5">
        <f t="shared" si="3"/>
        <v>0</v>
      </c>
      <c r="G27" s="5">
        <f t="shared" si="3"/>
        <v>0</v>
      </c>
      <c r="H27" s="5">
        <f t="shared" si="3"/>
        <v>0</v>
      </c>
      <c r="I27" s="5">
        <f t="shared" si="3"/>
        <v>0</v>
      </c>
      <c r="J27" s="5">
        <f t="shared" si="3"/>
        <v>0</v>
      </c>
      <c r="K27" s="5">
        <f t="shared" si="3"/>
        <v>0</v>
      </c>
      <c r="L27" s="5">
        <f t="shared" si="3"/>
        <v>0</v>
      </c>
      <c r="M27" s="5">
        <f t="shared" si="3"/>
        <v>0</v>
      </c>
      <c r="N27" s="5">
        <f t="shared" si="3"/>
        <v>0</v>
      </c>
      <c r="O27" s="5">
        <f t="shared" si="3"/>
        <v>0</v>
      </c>
      <c r="P27" s="5">
        <f t="shared" si="3"/>
        <v>0</v>
      </c>
    </row>
    <row r="28" spans="3:17" x14ac:dyDescent="0.35">
      <c r="D28" s="3" t="str">
        <f t="shared" si="4"/>
        <v>Actual 2024-25</v>
      </c>
      <c r="E28" s="5">
        <f t="shared" si="4"/>
        <v>0</v>
      </c>
      <c r="F28" s="5">
        <f t="shared" si="3"/>
        <v>0</v>
      </c>
      <c r="G28" s="5">
        <f t="shared" si="3"/>
        <v>0</v>
      </c>
      <c r="H28" s="5">
        <f t="shared" si="3"/>
        <v>0</v>
      </c>
      <c r="I28" s="5">
        <f t="shared" si="3"/>
        <v>0</v>
      </c>
      <c r="J28" s="5">
        <f t="shared" si="3"/>
        <v>0</v>
      </c>
      <c r="K28" s="5">
        <f t="shared" si="3"/>
        <v>0</v>
      </c>
      <c r="L28" s="5">
        <f t="shared" si="3"/>
        <v>0</v>
      </c>
      <c r="M28" s="5">
        <f t="shared" si="3"/>
        <v>0</v>
      </c>
      <c r="N28" s="5">
        <f t="shared" si="3"/>
        <v>0</v>
      </c>
      <c r="O28" s="5">
        <f t="shared" si="3"/>
        <v>0</v>
      </c>
      <c r="P28" s="5">
        <f t="shared" si="3"/>
        <v>0</v>
      </c>
    </row>
    <row r="29" spans="3:17" x14ac:dyDescent="0.35">
      <c r="D29" s="3" t="str">
        <f t="shared" si="4"/>
        <v>Difference</v>
      </c>
      <c r="E29" s="5">
        <f>SUM($E22:E22)</f>
        <v>0</v>
      </c>
      <c r="F29" s="5">
        <f>SUM($E22:F22)</f>
        <v>0</v>
      </c>
      <c r="G29" s="5">
        <f>SUM($E22:G22)</f>
        <v>0</v>
      </c>
      <c r="H29" s="5">
        <f>SUM($E22:H22)</f>
        <v>0</v>
      </c>
      <c r="I29" s="5">
        <f>SUM($E22:I22)</f>
        <v>0</v>
      </c>
      <c r="J29" s="5">
        <f>SUM($E22:J22)</f>
        <v>0</v>
      </c>
      <c r="K29" s="5">
        <f>SUM($E22:K22)</f>
        <v>0</v>
      </c>
      <c r="L29" s="5">
        <f>SUM($E22:L22)</f>
        <v>0</v>
      </c>
      <c r="M29" s="5">
        <f>SUM($E22:M22)</f>
        <v>0</v>
      </c>
      <c r="N29" s="5">
        <f>SUM($E22:N22)</f>
        <v>0</v>
      </c>
      <c r="O29" s="5">
        <f>SUM($E22:O22)</f>
        <v>0</v>
      </c>
      <c r="P29" s="5">
        <f>SUM($E22:P22)</f>
        <v>0</v>
      </c>
    </row>
    <row r="30" spans="3:17" x14ac:dyDescent="0.35">
      <c r="D30" s="3" t="str">
        <f t="shared" si="4"/>
        <v>Realisation</v>
      </c>
      <c r="E30" s="9" t="e">
        <f>E28/E26</f>
        <v>#DIV/0!</v>
      </c>
      <c r="F30" s="9" t="e">
        <f t="shared" ref="F30:P30" si="5">F27/F26</f>
        <v>#DIV/0!</v>
      </c>
      <c r="G30" s="9" t="e">
        <f t="shared" si="5"/>
        <v>#DIV/0!</v>
      </c>
      <c r="H30" s="9" t="e">
        <f t="shared" si="5"/>
        <v>#DIV/0!</v>
      </c>
      <c r="I30" s="9" t="e">
        <f t="shared" si="5"/>
        <v>#DIV/0!</v>
      </c>
      <c r="J30" s="9" t="e">
        <f t="shared" si="5"/>
        <v>#DIV/0!</v>
      </c>
      <c r="K30" s="9" t="e">
        <f t="shared" si="5"/>
        <v>#DIV/0!</v>
      </c>
      <c r="L30" s="9" t="e">
        <f t="shared" si="5"/>
        <v>#DIV/0!</v>
      </c>
      <c r="M30" s="9" t="e">
        <f t="shared" si="5"/>
        <v>#DIV/0!</v>
      </c>
      <c r="N30" s="9" t="e">
        <f t="shared" si="5"/>
        <v>#DIV/0!</v>
      </c>
      <c r="O30" s="9" t="e">
        <f t="shared" si="5"/>
        <v>#DIV/0!</v>
      </c>
      <c r="P30" s="9" t="e">
        <f t="shared" si="5"/>
        <v>#DIV/0!</v>
      </c>
    </row>
  </sheetData>
  <mergeCells count="2">
    <mergeCell ref="J4:Q8"/>
    <mergeCell ref="J10:Q15"/>
  </mergeCells>
  <conditionalFormatting sqref="C3">
    <cfRule type="expression" dxfId="329" priority="2">
      <formula>S4&lt;S6</formula>
    </cfRule>
  </conditionalFormatting>
  <conditionalFormatting sqref="C5">
    <cfRule type="expression" dxfId="328" priority="3">
      <formula>S4&gt;=S5</formula>
    </cfRule>
  </conditionalFormatting>
  <conditionalFormatting sqref="C4">
    <cfRule type="expression" dxfId="327" priority="1">
      <formula>AND(S4&gt;=S6,S4&lt;S5)</formula>
    </cfRule>
  </conditionalFormatting>
  <hyperlinks>
    <hyperlink ref="L1" location="Dashboard!A1" display="Dashboard"/>
  </hyperlinks>
  <pageMargins left="0.7" right="0.7" top="0.75" bottom="0.75" header="0.3" footer="0.3"/>
  <pageSetup orientation="portrait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05569" r:id="rId4" name="Spinner 1">
              <controlPr defaultSize="0" autoPict="0">
                <anchor moveWithCells="1" sizeWithCells="1">
                  <from>
                    <xdr:col>9</xdr:col>
                    <xdr:colOff>19050</xdr:colOff>
                    <xdr:row>0</xdr:row>
                    <xdr:rowOff>38100</xdr:rowOff>
                  </from>
                  <to>
                    <xdr:col>9</xdr:col>
                    <xdr:colOff>400050</xdr:colOff>
                    <xdr:row>1</xdr:row>
                    <xdr:rowOff>152400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9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71">
    <tabColor rgb="FFFFC000"/>
  </sheetPr>
  <dimension ref="A1:S30"/>
  <sheetViews>
    <sheetView zoomScale="90" zoomScaleNormal="90" workbookViewId="0">
      <selection activeCell="L1" sqref="L1"/>
    </sheetView>
  </sheetViews>
  <sheetFormatPr defaultColWidth="9.1796875" defaultRowHeight="14.5" x14ac:dyDescent="0.35"/>
  <cols>
    <col min="1" max="1" width="9.1796875" style="3"/>
    <col min="2" max="2" width="5.1796875" style="3" customWidth="1"/>
    <col min="3" max="3" width="6.26953125" style="3" customWidth="1"/>
    <col min="4" max="4" width="21.26953125" style="3" bestFit="1" customWidth="1"/>
    <col min="5" max="16" width="11.1796875" style="3" customWidth="1"/>
    <col min="17" max="17" width="12" style="3" bestFit="1" customWidth="1"/>
    <col min="18" max="18" width="9.1796875" style="3" customWidth="1"/>
    <col min="19" max="16384" width="9.1796875" style="3"/>
  </cols>
  <sheetData>
    <row r="1" spans="1:19" ht="21" x14ac:dyDescent="0.5">
      <c r="A1" s="4" t="s">
        <v>4</v>
      </c>
      <c r="B1" s="4">
        <f>Dashboard!A98</f>
        <v>0</v>
      </c>
      <c r="C1" s="4" t="str">
        <f>Dashboard!B98</f>
        <v>TOTAL ACTIVE SEWER CONNECTION CENTRAL REGION</v>
      </c>
      <c r="D1" s="4"/>
      <c r="G1" s="3" t="s">
        <v>9</v>
      </c>
      <c r="I1" s="12">
        <f>INDEX($E$18:$P$18,Actual_month)</f>
        <v>46054</v>
      </c>
      <c r="L1" s="16" t="s">
        <v>19</v>
      </c>
      <c r="R1" s="5"/>
    </row>
    <row r="2" spans="1:19" x14ac:dyDescent="0.35">
      <c r="A2" s="3" t="s">
        <v>13</v>
      </c>
      <c r="C2" s="3" t="s">
        <v>27</v>
      </c>
      <c r="R2" s="6"/>
    </row>
    <row r="3" spans="1:19" ht="25.5" customHeight="1" thickBot="1" x14ac:dyDescent="0.4">
      <c r="C3" s="1" t="s">
        <v>5</v>
      </c>
      <c r="E3" s="10"/>
      <c r="F3" s="10"/>
      <c r="G3" s="10"/>
      <c r="H3" s="10"/>
      <c r="I3" s="10"/>
      <c r="J3" s="3" t="s">
        <v>6</v>
      </c>
      <c r="K3" s="10"/>
      <c r="M3" s="10"/>
      <c r="N3" s="10"/>
      <c r="O3" s="10"/>
      <c r="P3" s="10"/>
    </row>
    <row r="4" spans="1:19" ht="25.5" customHeight="1" x14ac:dyDescent="0.35">
      <c r="C4" s="1" t="s">
        <v>5</v>
      </c>
      <c r="E4" s="10"/>
      <c r="F4" s="10"/>
      <c r="G4" s="10"/>
      <c r="H4" s="10"/>
      <c r="I4" s="10"/>
      <c r="J4" s="401"/>
      <c r="K4" s="402"/>
      <c r="L4" s="402"/>
      <c r="M4" s="402"/>
      <c r="N4" s="402"/>
      <c r="O4" s="402"/>
      <c r="P4" s="402"/>
      <c r="Q4" s="403"/>
      <c r="R4" s="3" t="s">
        <v>22</v>
      </c>
      <c r="S4" s="5">
        <f>INDEX(E27:P27,Actual_month)</f>
        <v>1790</v>
      </c>
    </row>
    <row r="5" spans="1:19" ht="25.5" customHeight="1" x14ac:dyDescent="0.35">
      <c r="C5" s="1" t="s">
        <v>5</v>
      </c>
      <c r="E5" s="10"/>
      <c r="F5" s="10"/>
      <c r="G5" s="10"/>
      <c r="H5" s="10"/>
      <c r="I5" s="10"/>
      <c r="J5" s="404"/>
      <c r="K5" s="405"/>
      <c r="L5" s="405"/>
      <c r="M5" s="405"/>
      <c r="N5" s="405"/>
      <c r="O5" s="405"/>
      <c r="P5" s="405"/>
      <c r="Q5" s="406"/>
      <c r="R5" s="3" t="s">
        <v>23</v>
      </c>
      <c r="S5" s="5">
        <f>INDEX(E26:P26,Actual_month)</f>
        <v>1888</v>
      </c>
    </row>
    <row r="6" spans="1:19" x14ac:dyDescent="0.35">
      <c r="J6" s="404"/>
      <c r="K6" s="405"/>
      <c r="L6" s="405"/>
      <c r="M6" s="405"/>
      <c r="N6" s="405"/>
      <c r="O6" s="405"/>
      <c r="P6" s="405"/>
      <c r="Q6" s="406"/>
      <c r="R6" s="6">
        <v>0.9</v>
      </c>
      <c r="S6" s="5">
        <f>+S5*R6</f>
        <v>1699.2</v>
      </c>
    </row>
    <row r="7" spans="1:19" x14ac:dyDescent="0.35">
      <c r="J7" s="404"/>
      <c r="K7" s="405"/>
      <c r="L7" s="405"/>
      <c r="M7" s="405"/>
      <c r="N7" s="405"/>
      <c r="O7" s="405"/>
      <c r="P7" s="405"/>
      <c r="Q7" s="406"/>
    </row>
    <row r="8" spans="1:19" ht="15" thickBot="1" x14ac:dyDescent="0.4">
      <c r="J8" s="407"/>
      <c r="K8" s="408"/>
      <c r="L8" s="408"/>
      <c r="M8" s="408"/>
      <c r="N8" s="408"/>
      <c r="O8" s="408"/>
      <c r="P8" s="408"/>
      <c r="Q8" s="409"/>
    </row>
    <row r="9" spans="1:19" ht="15" thickBot="1" x14ac:dyDescent="0.4">
      <c r="J9" s="3" t="s">
        <v>12</v>
      </c>
    </row>
    <row r="10" spans="1:19" x14ac:dyDescent="0.35">
      <c r="J10" s="401"/>
      <c r="K10" s="402"/>
      <c r="L10" s="402"/>
      <c r="M10" s="402"/>
      <c r="N10" s="402"/>
      <c r="O10" s="402"/>
      <c r="P10" s="402"/>
      <c r="Q10" s="403"/>
    </row>
    <row r="11" spans="1:19" x14ac:dyDescent="0.35">
      <c r="J11" s="404"/>
      <c r="K11" s="405"/>
      <c r="L11" s="405"/>
      <c r="M11" s="405"/>
      <c r="N11" s="405"/>
      <c r="O11" s="405"/>
      <c r="P11" s="405"/>
      <c r="Q11" s="406"/>
    </row>
    <row r="12" spans="1:19" x14ac:dyDescent="0.35">
      <c r="J12" s="404"/>
      <c r="K12" s="405"/>
      <c r="L12" s="405"/>
      <c r="M12" s="405"/>
      <c r="N12" s="405"/>
      <c r="O12" s="405"/>
      <c r="P12" s="405"/>
      <c r="Q12" s="406"/>
    </row>
    <row r="13" spans="1:19" x14ac:dyDescent="0.35">
      <c r="J13" s="404"/>
      <c r="K13" s="405"/>
      <c r="L13" s="405"/>
      <c r="M13" s="405"/>
      <c r="N13" s="405"/>
      <c r="O13" s="405"/>
      <c r="P13" s="405"/>
      <c r="Q13" s="406"/>
    </row>
    <row r="14" spans="1:19" x14ac:dyDescent="0.35">
      <c r="J14" s="404"/>
      <c r="K14" s="405"/>
      <c r="L14" s="405"/>
      <c r="M14" s="405"/>
      <c r="N14" s="405"/>
      <c r="O14" s="405"/>
      <c r="P14" s="405"/>
      <c r="Q14" s="406"/>
    </row>
    <row r="15" spans="1:19" ht="15" thickBot="1" x14ac:dyDescent="0.4">
      <c r="J15" s="407"/>
      <c r="K15" s="408"/>
      <c r="L15" s="408"/>
      <c r="M15" s="408"/>
      <c r="N15" s="408"/>
      <c r="O15" s="408"/>
      <c r="P15" s="408"/>
      <c r="Q15" s="409"/>
    </row>
    <row r="18" spans="3:17" x14ac:dyDescent="0.35">
      <c r="C18" s="7" t="s">
        <v>8</v>
      </c>
      <c r="E18" s="11">
        <f>'KPI 1'!E18</f>
        <v>45839</v>
      </c>
      <c r="F18" s="11">
        <f>'KPI 1'!F18</f>
        <v>45870</v>
      </c>
      <c r="G18" s="11">
        <f>'KPI 1'!G18</f>
        <v>45901</v>
      </c>
      <c r="H18" s="11">
        <f>'KPI 1'!H18</f>
        <v>45931</v>
      </c>
      <c r="I18" s="11">
        <f>'KPI 1'!I18</f>
        <v>45962</v>
      </c>
      <c r="J18" s="11">
        <f>'KPI 1'!J18</f>
        <v>45992</v>
      </c>
      <c r="K18" s="11">
        <f>'KPI 1'!K18</f>
        <v>46023</v>
      </c>
      <c r="L18" s="11">
        <f>'KPI 1'!L18</f>
        <v>46054</v>
      </c>
      <c r="M18" s="11">
        <f>'KPI 1'!M18</f>
        <v>46082</v>
      </c>
      <c r="N18" s="11">
        <f>'KPI 1'!N18</f>
        <v>46113</v>
      </c>
      <c r="O18" s="11">
        <f>'KPI 1'!O18</f>
        <v>46143</v>
      </c>
      <c r="P18" s="11">
        <f>'KPI 1'!P18</f>
        <v>46174</v>
      </c>
      <c r="Q18" s="8" t="s">
        <v>0</v>
      </c>
    </row>
    <row r="19" spans="3:17" x14ac:dyDescent="0.35">
      <c r="D19" s="3" t="str">
        <f>'KPI 1'!D19</f>
        <v>Budget 2025-26</v>
      </c>
      <c r="E19" s="5">
        <f>'budget 2025-26'!D92</f>
        <v>1797</v>
      </c>
      <c r="F19" s="5">
        <f>'budget 2025-26'!E92</f>
        <v>1810</v>
      </c>
      <c r="G19" s="5">
        <f>'budget 2025-26'!F92</f>
        <v>1823</v>
      </c>
      <c r="H19" s="5">
        <f>'budget 2025-26'!G92</f>
        <v>1836</v>
      </c>
      <c r="I19" s="5">
        <f>'budget 2025-26'!H92</f>
        <v>1849</v>
      </c>
      <c r="J19" s="5">
        <f>'budget 2025-26'!I92</f>
        <v>1862</v>
      </c>
      <c r="K19" s="5">
        <f>'budget 2025-26'!J92</f>
        <v>1875</v>
      </c>
      <c r="L19" s="5">
        <f>'budget 2025-26'!K92</f>
        <v>1888</v>
      </c>
      <c r="M19" s="5">
        <f>'budget 2025-26'!L92</f>
        <v>1901</v>
      </c>
      <c r="N19" s="5">
        <f>'budget 2025-26'!M92</f>
        <v>1914</v>
      </c>
      <c r="O19" s="5">
        <f>'budget 2025-26'!N92</f>
        <v>1927</v>
      </c>
      <c r="P19" s="5">
        <f>'budget 2025-26'!O92</f>
        <v>1940</v>
      </c>
      <c r="Q19" s="5">
        <f>SUM(E19:P19)</f>
        <v>22422</v>
      </c>
    </row>
    <row r="20" spans="3:17" x14ac:dyDescent="0.35">
      <c r="D20" s="3" t="str">
        <f>'KPI 1'!D20</f>
        <v>Actual 2025-26</v>
      </c>
      <c r="E20" s="5">
        <f>'Input Actual2025-26'!E95</f>
        <v>1780</v>
      </c>
      <c r="F20" s="5">
        <f>'Input Actual2025-26'!F95</f>
        <v>1785</v>
      </c>
      <c r="G20" s="5">
        <f>'Input Actual2025-26'!G95</f>
        <v>1785</v>
      </c>
      <c r="H20" s="5">
        <f>'Input Actual2025-26'!H95</f>
        <v>1781</v>
      </c>
      <c r="I20" s="5">
        <f>'Input Actual2025-26'!I95</f>
        <v>1782</v>
      </c>
      <c r="J20" s="5">
        <f>'Input Actual2025-26'!J95</f>
        <v>1786</v>
      </c>
      <c r="K20" s="5">
        <f>'Input Actual2025-26'!K95</f>
        <v>1790</v>
      </c>
      <c r="L20" s="5">
        <f>'Input Actual2025-26'!L95</f>
        <v>1790</v>
      </c>
      <c r="M20" s="5">
        <f>'Input Actual2025-26'!M95</f>
        <v>0</v>
      </c>
      <c r="N20" s="5">
        <f>'Input Actual2025-26'!N95</f>
        <v>0</v>
      </c>
      <c r="O20" s="5">
        <f>'Input Actual2025-26'!O95</f>
        <v>0</v>
      </c>
      <c r="P20" s="5">
        <f>'Input Actual2025-26'!P95</f>
        <v>0</v>
      </c>
      <c r="Q20" s="5">
        <f t="shared" ref="Q20:Q22" si="0">SUM(E20:P20)</f>
        <v>14279</v>
      </c>
    </row>
    <row r="21" spans="3:17" x14ac:dyDescent="0.35">
      <c r="D21" s="3" t="s">
        <v>424</v>
      </c>
      <c r="E21" s="5">
        <f>'Input Actual2024-25'!E88</f>
        <v>1745</v>
      </c>
      <c r="F21" s="5">
        <f>'Input Actual2024-25'!F88</f>
        <v>1754</v>
      </c>
      <c r="G21" s="5">
        <f>'Input Actual2024-25'!G88</f>
        <v>1754</v>
      </c>
      <c r="H21" s="5">
        <f>'Input Actual2024-25'!H88</f>
        <v>1754</v>
      </c>
      <c r="I21" s="5">
        <f>'Input Actual2024-25'!I88</f>
        <v>1761</v>
      </c>
      <c r="J21" s="5">
        <f>'Input Actual2024-25'!J88</f>
        <v>1760</v>
      </c>
      <c r="K21" s="5">
        <f>'Input Actual2024-25'!K88</f>
        <v>1767</v>
      </c>
      <c r="L21" s="5">
        <f>'Input Actual2024-25'!L88</f>
        <v>1773</v>
      </c>
      <c r="M21" s="5">
        <f>'Input Actual2024-25'!M88</f>
        <v>1781</v>
      </c>
      <c r="N21" s="5">
        <f>'Input Actual2024-25'!N88</f>
        <v>1785</v>
      </c>
      <c r="O21" s="5">
        <f>'Input Actual2024-25'!O88</f>
        <v>1782</v>
      </c>
      <c r="P21" s="5">
        <f>'Input Actual2024-25'!P88</f>
        <v>1783</v>
      </c>
      <c r="Q21" s="5">
        <f t="shared" si="0"/>
        <v>21199</v>
      </c>
    </row>
    <row r="22" spans="3:17" x14ac:dyDescent="0.35">
      <c r="D22" s="3" t="s">
        <v>7</v>
      </c>
      <c r="E22" s="5">
        <f t="shared" ref="E22:P22" si="1">IF(E20=0,0,E20-E19)</f>
        <v>-17</v>
      </c>
      <c r="F22" s="5">
        <f t="shared" si="1"/>
        <v>-25</v>
      </c>
      <c r="G22" s="5">
        <f t="shared" si="1"/>
        <v>-38</v>
      </c>
      <c r="H22" s="5">
        <f t="shared" si="1"/>
        <v>-55</v>
      </c>
      <c r="I22" s="5">
        <f t="shared" si="1"/>
        <v>-67</v>
      </c>
      <c r="J22" s="5">
        <f t="shared" si="1"/>
        <v>-76</v>
      </c>
      <c r="K22" s="5">
        <f t="shared" si="1"/>
        <v>-85</v>
      </c>
      <c r="L22" s="5">
        <f t="shared" si="1"/>
        <v>-98</v>
      </c>
      <c r="M22" s="5">
        <f t="shared" si="1"/>
        <v>0</v>
      </c>
      <c r="N22" s="5">
        <f t="shared" si="1"/>
        <v>0</v>
      </c>
      <c r="O22" s="5">
        <f t="shared" si="1"/>
        <v>0</v>
      </c>
      <c r="P22" s="5">
        <f t="shared" si="1"/>
        <v>0</v>
      </c>
      <c r="Q22" s="5">
        <f t="shared" si="0"/>
        <v>-461</v>
      </c>
    </row>
    <row r="23" spans="3:17" x14ac:dyDescent="0.35">
      <c r="D23" s="3" t="s">
        <v>43</v>
      </c>
      <c r="E23" s="9">
        <f>E21/E19</f>
        <v>0.97106288258208129</v>
      </c>
      <c r="F23" s="9">
        <f t="shared" ref="F23:P23" si="2">F20/F19</f>
        <v>0.98618784530386738</v>
      </c>
      <c r="G23" s="9">
        <f t="shared" si="2"/>
        <v>0.97915523861766318</v>
      </c>
      <c r="H23" s="9">
        <f t="shared" si="2"/>
        <v>0.97004357298474941</v>
      </c>
      <c r="I23" s="9">
        <f t="shared" si="2"/>
        <v>0.96376419686316928</v>
      </c>
      <c r="J23" s="9">
        <f t="shared" si="2"/>
        <v>0.95918367346938771</v>
      </c>
      <c r="K23" s="9">
        <f t="shared" si="2"/>
        <v>0.95466666666666666</v>
      </c>
      <c r="L23" s="9">
        <f t="shared" si="2"/>
        <v>0.94809322033898302</v>
      </c>
      <c r="M23" s="9">
        <f t="shared" si="2"/>
        <v>0</v>
      </c>
      <c r="N23" s="9">
        <f t="shared" si="2"/>
        <v>0</v>
      </c>
      <c r="O23" s="9">
        <f t="shared" si="2"/>
        <v>0</v>
      </c>
      <c r="P23" s="9">
        <f t="shared" si="2"/>
        <v>0</v>
      </c>
    </row>
    <row r="25" spans="3:17" x14ac:dyDescent="0.35">
      <c r="C25" s="7" t="s">
        <v>3</v>
      </c>
      <c r="E25" s="11">
        <f>E18</f>
        <v>45839</v>
      </c>
      <c r="F25" s="11">
        <f t="shared" ref="F25:P28" si="3">F18</f>
        <v>45870</v>
      </c>
      <c r="G25" s="11">
        <f t="shared" si="3"/>
        <v>45901</v>
      </c>
      <c r="H25" s="11">
        <f t="shared" si="3"/>
        <v>45931</v>
      </c>
      <c r="I25" s="11">
        <f t="shared" si="3"/>
        <v>45962</v>
      </c>
      <c r="J25" s="11">
        <f t="shared" si="3"/>
        <v>45992</v>
      </c>
      <c r="K25" s="11">
        <f t="shared" si="3"/>
        <v>46023</v>
      </c>
      <c r="L25" s="11">
        <f t="shared" si="3"/>
        <v>46054</v>
      </c>
      <c r="M25" s="11">
        <f t="shared" si="3"/>
        <v>46082</v>
      </c>
      <c r="N25" s="11">
        <f t="shared" si="3"/>
        <v>46113</v>
      </c>
      <c r="O25" s="11">
        <f t="shared" si="3"/>
        <v>46143</v>
      </c>
      <c r="P25" s="11">
        <f t="shared" si="3"/>
        <v>46174</v>
      </c>
    </row>
    <row r="26" spans="3:17" x14ac:dyDescent="0.35">
      <c r="D26" s="3" t="str">
        <f>D19</f>
        <v>Budget 2025-26</v>
      </c>
      <c r="E26" s="5">
        <f>E19</f>
        <v>1797</v>
      </c>
      <c r="F26" s="5">
        <f t="shared" si="3"/>
        <v>1810</v>
      </c>
      <c r="G26" s="5">
        <f t="shared" si="3"/>
        <v>1823</v>
      </c>
      <c r="H26" s="5">
        <f t="shared" si="3"/>
        <v>1836</v>
      </c>
      <c r="I26" s="5">
        <f t="shared" si="3"/>
        <v>1849</v>
      </c>
      <c r="J26" s="5">
        <f t="shared" si="3"/>
        <v>1862</v>
      </c>
      <c r="K26" s="5">
        <f t="shared" si="3"/>
        <v>1875</v>
      </c>
      <c r="L26" s="5">
        <f t="shared" si="3"/>
        <v>1888</v>
      </c>
      <c r="M26" s="5">
        <f t="shared" si="3"/>
        <v>1901</v>
      </c>
      <c r="N26" s="5">
        <f t="shared" si="3"/>
        <v>1914</v>
      </c>
      <c r="O26" s="5">
        <f t="shared" si="3"/>
        <v>1927</v>
      </c>
      <c r="P26" s="5">
        <f t="shared" si="3"/>
        <v>1940</v>
      </c>
    </row>
    <row r="27" spans="3:17" x14ac:dyDescent="0.35">
      <c r="D27" s="3" t="str">
        <f t="shared" ref="D27:E30" si="4">D20</f>
        <v>Actual 2025-26</v>
      </c>
      <c r="E27" s="5">
        <f t="shared" si="4"/>
        <v>1780</v>
      </c>
      <c r="F27" s="5">
        <f t="shared" si="3"/>
        <v>1785</v>
      </c>
      <c r="G27" s="5">
        <f t="shared" si="3"/>
        <v>1785</v>
      </c>
      <c r="H27" s="5">
        <f t="shared" si="3"/>
        <v>1781</v>
      </c>
      <c r="I27" s="5">
        <f t="shared" si="3"/>
        <v>1782</v>
      </c>
      <c r="J27" s="5">
        <f t="shared" si="3"/>
        <v>1786</v>
      </c>
      <c r="K27" s="5">
        <f t="shared" si="3"/>
        <v>1790</v>
      </c>
      <c r="L27" s="5">
        <f t="shared" si="3"/>
        <v>1790</v>
      </c>
      <c r="M27" s="5">
        <f t="shared" si="3"/>
        <v>0</v>
      </c>
      <c r="N27" s="5">
        <f t="shared" si="3"/>
        <v>0</v>
      </c>
      <c r="O27" s="5">
        <f t="shared" si="3"/>
        <v>0</v>
      </c>
      <c r="P27" s="5">
        <f t="shared" si="3"/>
        <v>0</v>
      </c>
    </row>
    <row r="28" spans="3:17" x14ac:dyDescent="0.35">
      <c r="D28" s="3" t="str">
        <f t="shared" si="4"/>
        <v>Actual 2024-25</v>
      </c>
      <c r="E28" s="5">
        <f t="shared" si="4"/>
        <v>1745</v>
      </c>
      <c r="F28" s="5">
        <f t="shared" si="3"/>
        <v>1754</v>
      </c>
      <c r="G28" s="5">
        <f t="shared" si="3"/>
        <v>1754</v>
      </c>
      <c r="H28" s="5">
        <f t="shared" si="3"/>
        <v>1754</v>
      </c>
      <c r="I28" s="5">
        <f t="shared" si="3"/>
        <v>1761</v>
      </c>
      <c r="J28" s="5">
        <f t="shared" si="3"/>
        <v>1760</v>
      </c>
      <c r="K28" s="5">
        <f t="shared" si="3"/>
        <v>1767</v>
      </c>
      <c r="L28" s="5">
        <f t="shared" si="3"/>
        <v>1773</v>
      </c>
      <c r="M28" s="5">
        <f t="shared" si="3"/>
        <v>1781</v>
      </c>
      <c r="N28" s="5">
        <f t="shared" si="3"/>
        <v>1785</v>
      </c>
      <c r="O28" s="5">
        <f t="shared" si="3"/>
        <v>1782</v>
      </c>
      <c r="P28" s="5">
        <f t="shared" si="3"/>
        <v>1783</v>
      </c>
    </row>
    <row r="29" spans="3:17" x14ac:dyDescent="0.35">
      <c r="D29" s="3" t="str">
        <f t="shared" si="4"/>
        <v>Difference</v>
      </c>
      <c r="E29" s="5">
        <f>SUM($E22:E22)</f>
        <v>-17</v>
      </c>
      <c r="F29" s="5">
        <f>SUM($E22:F22)</f>
        <v>-42</v>
      </c>
      <c r="G29" s="5">
        <f>SUM($E22:G22)</f>
        <v>-80</v>
      </c>
      <c r="H29" s="5">
        <f>SUM($E22:H22)</f>
        <v>-135</v>
      </c>
      <c r="I29" s="5">
        <f>SUM($E22:I22)</f>
        <v>-202</v>
      </c>
      <c r="J29" s="5">
        <f>SUM($E22:J22)</f>
        <v>-278</v>
      </c>
      <c r="K29" s="5">
        <f>SUM($E22:K22)</f>
        <v>-363</v>
      </c>
      <c r="L29" s="5">
        <f>SUM($E22:L22)</f>
        <v>-461</v>
      </c>
      <c r="M29" s="5">
        <f>SUM($E22:M22)</f>
        <v>-461</v>
      </c>
      <c r="N29" s="5">
        <f>SUM($E22:N22)</f>
        <v>-461</v>
      </c>
      <c r="O29" s="5">
        <f>SUM($E22:O22)</f>
        <v>-461</v>
      </c>
      <c r="P29" s="5">
        <f>SUM($E22:P22)</f>
        <v>-461</v>
      </c>
    </row>
    <row r="30" spans="3:17" x14ac:dyDescent="0.35">
      <c r="D30" s="3" t="str">
        <f t="shared" si="4"/>
        <v>Realisation</v>
      </c>
      <c r="E30" s="9">
        <f>E28/E26</f>
        <v>0.97106288258208129</v>
      </c>
      <c r="F30" s="9">
        <f t="shared" ref="F30:P30" si="5">F27/F26</f>
        <v>0.98618784530386738</v>
      </c>
      <c r="G30" s="9">
        <f t="shared" si="5"/>
        <v>0.97915523861766318</v>
      </c>
      <c r="H30" s="9">
        <f t="shared" si="5"/>
        <v>0.97004357298474941</v>
      </c>
      <c r="I30" s="9">
        <f t="shared" si="5"/>
        <v>0.96376419686316928</v>
      </c>
      <c r="J30" s="9">
        <f t="shared" si="5"/>
        <v>0.95918367346938771</v>
      </c>
      <c r="K30" s="9">
        <f t="shared" si="5"/>
        <v>0.95466666666666666</v>
      </c>
      <c r="L30" s="9">
        <f t="shared" si="5"/>
        <v>0.94809322033898302</v>
      </c>
      <c r="M30" s="9">
        <f t="shared" si="5"/>
        <v>0</v>
      </c>
      <c r="N30" s="9">
        <f t="shared" si="5"/>
        <v>0</v>
      </c>
      <c r="O30" s="9">
        <f t="shared" si="5"/>
        <v>0</v>
      </c>
      <c r="P30" s="9">
        <f t="shared" si="5"/>
        <v>0</v>
      </c>
    </row>
  </sheetData>
  <mergeCells count="2">
    <mergeCell ref="J4:Q8"/>
    <mergeCell ref="J10:Q15"/>
  </mergeCells>
  <conditionalFormatting sqref="C3">
    <cfRule type="expression" dxfId="326" priority="2">
      <formula>S4&lt;S6</formula>
    </cfRule>
  </conditionalFormatting>
  <conditionalFormatting sqref="C5">
    <cfRule type="expression" dxfId="325" priority="3">
      <formula>S4&gt;=S5</formula>
    </cfRule>
  </conditionalFormatting>
  <conditionalFormatting sqref="C4">
    <cfRule type="expression" dxfId="324" priority="1">
      <formula>AND(S4&gt;=S6,S4&lt;S5)</formula>
    </cfRule>
  </conditionalFormatting>
  <hyperlinks>
    <hyperlink ref="L1" location="Dashboard!A1" display="Dashboard"/>
  </hyperlinks>
  <pageMargins left="0.7" right="0.7" top="0.75" bottom="0.75" header="0.3" footer="0.3"/>
  <pageSetup orientation="portrait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06593" r:id="rId4" name="Spinner 1">
              <controlPr defaultSize="0" autoPict="0">
                <anchor moveWithCells="1" sizeWithCells="1">
                  <from>
                    <xdr:col>9</xdr:col>
                    <xdr:colOff>19050</xdr:colOff>
                    <xdr:row>0</xdr:row>
                    <xdr:rowOff>38100</xdr:rowOff>
                  </from>
                  <to>
                    <xdr:col>9</xdr:col>
                    <xdr:colOff>400050</xdr:colOff>
                    <xdr:row>1</xdr:row>
                    <xdr:rowOff>152400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9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72"/>
  <dimension ref="A1:S30"/>
  <sheetViews>
    <sheetView zoomScale="90" zoomScaleNormal="90" workbookViewId="0">
      <selection activeCell="L1" sqref="L1"/>
    </sheetView>
  </sheetViews>
  <sheetFormatPr defaultColWidth="9.1796875" defaultRowHeight="14.5" x14ac:dyDescent="0.35"/>
  <cols>
    <col min="1" max="1" width="9.1796875" style="3"/>
    <col min="2" max="2" width="5.1796875" style="3" customWidth="1"/>
    <col min="3" max="3" width="6.26953125" style="3" customWidth="1"/>
    <col min="4" max="4" width="21.26953125" style="3" bestFit="1" customWidth="1"/>
    <col min="5" max="16" width="11.1796875" style="3" customWidth="1"/>
    <col min="17" max="17" width="12" style="3" bestFit="1" customWidth="1"/>
    <col min="18" max="18" width="9.1796875" style="3" customWidth="1"/>
    <col min="19" max="16384" width="9.1796875" style="3"/>
  </cols>
  <sheetData>
    <row r="1" spans="1:19" ht="21" x14ac:dyDescent="0.5">
      <c r="A1" s="4" t="s">
        <v>4</v>
      </c>
      <c r="B1" s="4">
        <f>Dashboard!A99</f>
        <v>1</v>
      </c>
      <c r="C1" s="4" t="str">
        <f>Dashboard!B99</f>
        <v>HELLSGATE- ACTIVE SEWER</v>
      </c>
      <c r="D1" s="4"/>
      <c r="G1" s="3" t="s">
        <v>9</v>
      </c>
      <c r="I1" s="12">
        <f>INDEX($E$18:$P$18,Actual_month)</f>
        <v>46054</v>
      </c>
      <c r="L1" s="16" t="s">
        <v>19</v>
      </c>
      <c r="R1" s="5"/>
    </row>
    <row r="2" spans="1:19" x14ac:dyDescent="0.35">
      <c r="A2" s="3" t="s">
        <v>13</v>
      </c>
      <c r="C2" s="3" t="s">
        <v>27</v>
      </c>
      <c r="R2" s="6"/>
    </row>
    <row r="3" spans="1:19" ht="25.5" customHeight="1" thickBot="1" x14ac:dyDescent="0.4">
      <c r="C3" s="1" t="s">
        <v>5</v>
      </c>
      <c r="E3" s="10"/>
      <c r="F3" s="10"/>
      <c r="G3" s="10"/>
      <c r="H3" s="10"/>
      <c r="I3" s="10"/>
      <c r="J3" s="3" t="s">
        <v>6</v>
      </c>
      <c r="K3" s="10"/>
      <c r="M3" s="10"/>
      <c r="N3" s="10"/>
      <c r="O3" s="10"/>
      <c r="P3" s="10"/>
    </row>
    <row r="4" spans="1:19" ht="25.5" customHeight="1" x14ac:dyDescent="0.35">
      <c r="C4" s="1" t="s">
        <v>5</v>
      </c>
      <c r="E4" s="10"/>
      <c r="F4" s="10"/>
      <c r="G4" s="10"/>
      <c r="H4" s="10"/>
      <c r="I4" s="10"/>
      <c r="J4" s="401"/>
      <c r="K4" s="402"/>
      <c r="L4" s="402"/>
      <c r="M4" s="402"/>
      <c r="N4" s="402"/>
      <c r="O4" s="402"/>
      <c r="P4" s="402"/>
      <c r="Q4" s="403"/>
      <c r="R4" s="3" t="s">
        <v>22</v>
      </c>
      <c r="S4" s="5">
        <f>INDEX(E27:P27,Actual_month)</f>
        <v>0</v>
      </c>
    </row>
    <row r="5" spans="1:19" ht="25.5" customHeight="1" x14ac:dyDescent="0.35">
      <c r="C5" s="1" t="s">
        <v>5</v>
      </c>
      <c r="E5" s="10"/>
      <c r="F5" s="10"/>
      <c r="G5" s="10"/>
      <c r="H5" s="10"/>
      <c r="I5" s="10"/>
      <c r="J5" s="404"/>
      <c r="K5" s="405"/>
      <c r="L5" s="405"/>
      <c r="M5" s="405"/>
      <c r="N5" s="405"/>
      <c r="O5" s="405"/>
      <c r="P5" s="405"/>
      <c r="Q5" s="406"/>
      <c r="R5" s="3" t="s">
        <v>23</v>
      </c>
      <c r="S5" s="5">
        <f>INDEX(E26:P26,Actual_month)</f>
        <v>0</v>
      </c>
    </row>
    <row r="6" spans="1:19" x14ac:dyDescent="0.35">
      <c r="J6" s="404"/>
      <c r="K6" s="405"/>
      <c r="L6" s="405"/>
      <c r="M6" s="405"/>
      <c r="N6" s="405"/>
      <c r="O6" s="405"/>
      <c r="P6" s="405"/>
      <c r="Q6" s="406"/>
      <c r="R6" s="6">
        <v>0.9</v>
      </c>
      <c r="S6" s="5">
        <f>+S5*R6</f>
        <v>0</v>
      </c>
    </row>
    <row r="7" spans="1:19" x14ac:dyDescent="0.35">
      <c r="J7" s="404"/>
      <c r="K7" s="405"/>
      <c r="L7" s="405"/>
      <c r="M7" s="405"/>
      <c r="N7" s="405"/>
      <c r="O7" s="405"/>
      <c r="P7" s="405"/>
      <c r="Q7" s="406"/>
    </row>
    <row r="8" spans="1:19" ht="15" thickBot="1" x14ac:dyDescent="0.4">
      <c r="J8" s="407"/>
      <c r="K8" s="408"/>
      <c r="L8" s="408"/>
      <c r="M8" s="408"/>
      <c r="N8" s="408"/>
      <c r="O8" s="408"/>
      <c r="P8" s="408"/>
      <c r="Q8" s="409"/>
    </row>
    <row r="9" spans="1:19" ht="15" thickBot="1" x14ac:dyDescent="0.4">
      <c r="J9" s="3" t="s">
        <v>12</v>
      </c>
    </row>
    <row r="10" spans="1:19" x14ac:dyDescent="0.35">
      <c r="J10" s="401"/>
      <c r="K10" s="402"/>
      <c r="L10" s="402"/>
      <c r="M10" s="402"/>
      <c r="N10" s="402"/>
      <c r="O10" s="402"/>
      <c r="P10" s="402"/>
      <c r="Q10" s="403"/>
    </row>
    <row r="11" spans="1:19" x14ac:dyDescent="0.35">
      <c r="J11" s="404"/>
      <c r="K11" s="405"/>
      <c r="L11" s="405"/>
      <c r="M11" s="405"/>
      <c r="N11" s="405"/>
      <c r="O11" s="405"/>
      <c r="P11" s="405"/>
      <c r="Q11" s="406"/>
    </row>
    <row r="12" spans="1:19" x14ac:dyDescent="0.35">
      <c r="J12" s="404"/>
      <c r="K12" s="405"/>
      <c r="L12" s="405"/>
      <c r="M12" s="405"/>
      <c r="N12" s="405"/>
      <c r="O12" s="405"/>
      <c r="P12" s="405"/>
      <c r="Q12" s="406"/>
    </row>
    <row r="13" spans="1:19" x14ac:dyDescent="0.35">
      <c r="J13" s="404"/>
      <c r="K13" s="405"/>
      <c r="L13" s="405"/>
      <c r="M13" s="405"/>
      <c r="N13" s="405"/>
      <c r="O13" s="405"/>
      <c r="P13" s="405"/>
      <c r="Q13" s="406"/>
    </row>
    <row r="14" spans="1:19" x14ac:dyDescent="0.35">
      <c r="J14" s="404"/>
      <c r="K14" s="405"/>
      <c r="L14" s="405"/>
      <c r="M14" s="405"/>
      <c r="N14" s="405"/>
      <c r="O14" s="405"/>
      <c r="P14" s="405"/>
      <c r="Q14" s="406"/>
    </row>
    <row r="15" spans="1:19" ht="15" thickBot="1" x14ac:dyDescent="0.4">
      <c r="J15" s="407"/>
      <c r="K15" s="408"/>
      <c r="L15" s="408"/>
      <c r="M15" s="408"/>
      <c r="N15" s="408"/>
      <c r="O15" s="408"/>
      <c r="P15" s="408"/>
      <c r="Q15" s="409"/>
    </row>
    <row r="18" spans="3:17" x14ac:dyDescent="0.35">
      <c r="C18" s="7" t="s">
        <v>8</v>
      </c>
      <c r="E18" s="11">
        <f>'KPI 1'!E18</f>
        <v>45839</v>
      </c>
      <c r="F18" s="11">
        <f>'KPI 1'!F18</f>
        <v>45870</v>
      </c>
      <c r="G18" s="11">
        <f>'KPI 1'!G18</f>
        <v>45901</v>
      </c>
      <c r="H18" s="11">
        <f>'KPI 1'!H18</f>
        <v>45931</v>
      </c>
      <c r="I18" s="11">
        <f>'KPI 1'!I18</f>
        <v>45962</v>
      </c>
      <c r="J18" s="11">
        <f>'KPI 1'!J18</f>
        <v>45992</v>
      </c>
      <c r="K18" s="11">
        <f>'KPI 1'!K18</f>
        <v>46023</v>
      </c>
      <c r="L18" s="11">
        <f>'KPI 1'!L18</f>
        <v>46054</v>
      </c>
      <c r="M18" s="11">
        <f>'KPI 1'!M18</f>
        <v>46082</v>
      </c>
      <c r="N18" s="11">
        <f>'KPI 1'!N18</f>
        <v>46113</v>
      </c>
      <c r="O18" s="11">
        <f>'KPI 1'!O18</f>
        <v>46143</v>
      </c>
      <c r="P18" s="11">
        <f>'KPI 1'!P18</f>
        <v>46174</v>
      </c>
      <c r="Q18" s="8" t="s">
        <v>0</v>
      </c>
    </row>
    <row r="19" spans="3:17" x14ac:dyDescent="0.35">
      <c r="D19" s="3" t="str">
        <f>'KPI 1'!D19</f>
        <v>Budget 2025-26</v>
      </c>
      <c r="E19" s="5">
        <f>'budget 2025-26'!D93</f>
        <v>0</v>
      </c>
      <c r="F19" s="5">
        <f>'budget 2025-26'!E93</f>
        <v>0</v>
      </c>
      <c r="G19" s="5">
        <f>'budget 2025-26'!F93</f>
        <v>0</v>
      </c>
      <c r="H19" s="5">
        <f>'budget 2025-26'!G93</f>
        <v>0</v>
      </c>
      <c r="I19" s="5">
        <f>'budget 2025-26'!H93</f>
        <v>0</v>
      </c>
      <c r="J19" s="5">
        <f>'budget 2025-26'!I93</f>
        <v>0</v>
      </c>
      <c r="K19" s="5">
        <f>'budget 2025-26'!J93</f>
        <v>0</v>
      </c>
      <c r="L19" s="5">
        <f>'budget 2025-26'!K93</f>
        <v>0</v>
      </c>
      <c r="M19" s="5">
        <f>'budget 2025-26'!L93</f>
        <v>0</v>
      </c>
      <c r="N19" s="5">
        <f>'budget 2025-26'!M93</f>
        <v>0</v>
      </c>
      <c r="O19" s="5">
        <f>'budget 2025-26'!N93</f>
        <v>0</v>
      </c>
      <c r="P19" s="5">
        <f>'budget 2025-26'!O93</f>
        <v>0</v>
      </c>
      <c r="Q19" s="5">
        <f>SUM(E19:P19)</f>
        <v>0</v>
      </c>
    </row>
    <row r="20" spans="3:17" x14ac:dyDescent="0.35">
      <c r="D20" s="3" t="str">
        <f>'KPI 1'!D20</f>
        <v>Actual 2025-26</v>
      </c>
      <c r="E20" s="5">
        <f>'Input Actual2025-26'!E96</f>
        <v>0</v>
      </c>
      <c r="F20" s="5">
        <f>'Input Actual2025-26'!F96</f>
        <v>0</v>
      </c>
      <c r="G20" s="5">
        <f>'Input Actual2025-26'!G96</f>
        <v>0</v>
      </c>
      <c r="H20" s="5">
        <f>'Input Actual2025-26'!H96</f>
        <v>0</v>
      </c>
      <c r="I20" s="5">
        <f>'Input Actual2025-26'!I96</f>
        <v>0</v>
      </c>
      <c r="J20" s="5">
        <f>'Input Actual2025-26'!J96</f>
        <v>0</v>
      </c>
      <c r="K20" s="5">
        <f>'Input Actual2025-26'!K96</f>
        <v>0</v>
      </c>
      <c r="L20" s="5">
        <f>'Input Actual2025-26'!L96</f>
        <v>0</v>
      </c>
      <c r="M20" s="5">
        <f>'Input Actual2025-26'!M96</f>
        <v>0</v>
      </c>
      <c r="N20" s="5">
        <f>'Input Actual2025-26'!N96</f>
        <v>0</v>
      </c>
      <c r="O20" s="5">
        <f>'Input Actual2025-26'!O96</f>
        <v>0</v>
      </c>
      <c r="P20" s="5">
        <f>'Input Actual2025-26'!P96</f>
        <v>0</v>
      </c>
      <c r="Q20" s="5">
        <f t="shared" ref="Q20:Q22" si="0">SUM(E20:P20)</f>
        <v>0</v>
      </c>
    </row>
    <row r="21" spans="3:17" x14ac:dyDescent="0.35">
      <c r="D21" s="3" t="s">
        <v>424</v>
      </c>
      <c r="E21" s="5">
        <f>'Input Actual2024-25'!E89</f>
        <v>0</v>
      </c>
      <c r="F21" s="5">
        <f>'Input Actual2024-25'!F89</f>
        <v>0</v>
      </c>
      <c r="G21" s="5">
        <f>'Input Actual2024-25'!G89</f>
        <v>0</v>
      </c>
      <c r="H21" s="5">
        <f>'Input Actual2024-25'!H89</f>
        <v>0</v>
      </c>
      <c r="I21" s="5">
        <f>'Input Actual2024-25'!I89</f>
        <v>0</v>
      </c>
      <c r="J21" s="5">
        <f>'Input Actual2024-25'!J89</f>
        <v>0</v>
      </c>
      <c r="K21" s="5">
        <f>'Input Actual2024-25'!K89</f>
        <v>0</v>
      </c>
      <c r="L21" s="5">
        <f>'Input Actual2024-25'!L89</f>
        <v>0</v>
      </c>
      <c r="M21" s="5">
        <f>'Input Actual2024-25'!M89</f>
        <v>0</v>
      </c>
      <c r="N21" s="5">
        <f>'Input Actual2024-25'!N89</f>
        <v>0</v>
      </c>
      <c r="O21" s="5">
        <f>'Input Actual2024-25'!O89</f>
        <v>0</v>
      </c>
      <c r="P21" s="5">
        <f>'Input Actual2024-25'!P89</f>
        <v>0</v>
      </c>
      <c r="Q21" s="5">
        <f t="shared" si="0"/>
        <v>0</v>
      </c>
    </row>
    <row r="22" spans="3:17" x14ac:dyDescent="0.35">
      <c r="D22" s="3" t="s">
        <v>7</v>
      </c>
      <c r="E22" s="5">
        <f t="shared" ref="E22:P22" si="1">IF(E20=0,0,E20-E19)</f>
        <v>0</v>
      </c>
      <c r="F22" s="5">
        <f t="shared" si="1"/>
        <v>0</v>
      </c>
      <c r="G22" s="5">
        <f t="shared" si="1"/>
        <v>0</v>
      </c>
      <c r="H22" s="5">
        <f t="shared" si="1"/>
        <v>0</v>
      </c>
      <c r="I22" s="5">
        <f t="shared" si="1"/>
        <v>0</v>
      </c>
      <c r="J22" s="5">
        <f t="shared" si="1"/>
        <v>0</v>
      </c>
      <c r="K22" s="5">
        <f t="shared" si="1"/>
        <v>0</v>
      </c>
      <c r="L22" s="5">
        <f t="shared" si="1"/>
        <v>0</v>
      </c>
      <c r="M22" s="5">
        <f t="shared" si="1"/>
        <v>0</v>
      </c>
      <c r="N22" s="5">
        <f t="shared" si="1"/>
        <v>0</v>
      </c>
      <c r="O22" s="5">
        <f t="shared" si="1"/>
        <v>0</v>
      </c>
      <c r="P22" s="5">
        <f t="shared" si="1"/>
        <v>0</v>
      </c>
      <c r="Q22" s="5">
        <f t="shared" si="0"/>
        <v>0</v>
      </c>
    </row>
    <row r="23" spans="3:17" x14ac:dyDescent="0.35">
      <c r="D23" s="3" t="s">
        <v>43</v>
      </c>
      <c r="E23" s="9" t="e">
        <f>E21/E19</f>
        <v>#DIV/0!</v>
      </c>
      <c r="F23" s="9" t="e">
        <f t="shared" ref="F23:P23" si="2">F20/F19</f>
        <v>#DIV/0!</v>
      </c>
      <c r="G23" s="9" t="e">
        <f t="shared" si="2"/>
        <v>#DIV/0!</v>
      </c>
      <c r="H23" s="9" t="e">
        <f t="shared" si="2"/>
        <v>#DIV/0!</v>
      </c>
      <c r="I23" s="9" t="e">
        <f t="shared" si="2"/>
        <v>#DIV/0!</v>
      </c>
      <c r="J23" s="9" t="e">
        <f t="shared" si="2"/>
        <v>#DIV/0!</v>
      </c>
      <c r="K23" s="9" t="e">
        <f t="shared" si="2"/>
        <v>#DIV/0!</v>
      </c>
      <c r="L23" s="9" t="e">
        <f t="shared" si="2"/>
        <v>#DIV/0!</v>
      </c>
      <c r="M23" s="9" t="e">
        <f t="shared" si="2"/>
        <v>#DIV/0!</v>
      </c>
      <c r="N23" s="9" t="e">
        <f t="shared" si="2"/>
        <v>#DIV/0!</v>
      </c>
      <c r="O23" s="9" t="e">
        <f t="shared" si="2"/>
        <v>#DIV/0!</v>
      </c>
      <c r="P23" s="9" t="e">
        <f t="shared" si="2"/>
        <v>#DIV/0!</v>
      </c>
    </row>
    <row r="25" spans="3:17" x14ac:dyDescent="0.35">
      <c r="C25" s="7" t="s">
        <v>3</v>
      </c>
      <c r="E25" s="11">
        <f>E18</f>
        <v>45839</v>
      </c>
      <c r="F25" s="11">
        <f t="shared" ref="F25:P28" si="3">F18</f>
        <v>45870</v>
      </c>
      <c r="G25" s="11">
        <f t="shared" si="3"/>
        <v>45901</v>
      </c>
      <c r="H25" s="11">
        <f t="shared" si="3"/>
        <v>45931</v>
      </c>
      <c r="I25" s="11">
        <f t="shared" si="3"/>
        <v>45962</v>
      </c>
      <c r="J25" s="11">
        <f t="shared" si="3"/>
        <v>45992</v>
      </c>
      <c r="K25" s="11">
        <f t="shared" si="3"/>
        <v>46023</v>
      </c>
      <c r="L25" s="11">
        <f t="shared" si="3"/>
        <v>46054</v>
      </c>
      <c r="M25" s="11">
        <f t="shared" si="3"/>
        <v>46082</v>
      </c>
      <c r="N25" s="11">
        <f t="shared" si="3"/>
        <v>46113</v>
      </c>
      <c r="O25" s="11">
        <f t="shared" si="3"/>
        <v>46143</v>
      </c>
      <c r="P25" s="11">
        <f t="shared" si="3"/>
        <v>46174</v>
      </c>
    </row>
    <row r="26" spans="3:17" x14ac:dyDescent="0.35">
      <c r="D26" s="3" t="str">
        <f>D19</f>
        <v>Budget 2025-26</v>
      </c>
      <c r="E26" s="5">
        <f>E19</f>
        <v>0</v>
      </c>
      <c r="F26" s="5">
        <f t="shared" si="3"/>
        <v>0</v>
      </c>
      <c r="G26" s="5">
        <f t="shared" si="3"/>
        <v>0</v>
      </c>
      <c r="H26" s="5">
        <f t="shared" si="3"/>
        <v>0</v>
      </c>
      <c r="I26" s="5">
        <f t="shared" si="3"/>
        <v>0</v>
      </c>
      <c r="J26" s="5">
        <f t="shared" si="3"/>
        <v>0</v>
      </c>
      <c r="K26" s="5">
        <f t="shared" si="3"/>
        <v>0</v>
      </c>
      <c r="L26" s="5">
        <f t="shared" si="3"/>
        <v>0</v>
      </c>
      <c r="M26" s="5">
        <f t="shared" si="3"/>
        <v>0</v>
      </c>
      <c r="N26" s="5">
        <f t="shared" si="3"/>
        <v>0</v>
      </c>
      <c r="O26" s="5">
        <f t="shared" si="3"/>
        <v>0</v>
      </c>
      <c r="P26" s="5">
        <f t="shared" si="3"/>
        <v>0</v>
      </c>
    </row>
    <row r="27" spans="3:17" x14ac:dyDescent="0.35">
      <c r="D27" s="3" t="str">
        <f t="shared" ref="D27:E30" si="4">D20</f>
        <v>Actual 2025-26</v>
      </c>
      <c r="E27" s="5">
        <f t="shared" si="4"/>
        <v>0</v>
      </c>
      <c r="F27" s="5">
        <f t="shared" si="3"/>
        <v>0</v>
      </c>
      <c r="G27" s="5">
        <f t="shared" si="3"/>
        <v>0</v>
      </c>
      <c r="H27" s="5">
        <f t="shared" si="3"/>
        <v>0</v>
      </c>
      <c r="I27" s="5">
        <f t="shared" si="3"/>
        <v>0</v>
      </c>
      <c r="J27" s="5">
        <f t="shared" si="3"/>
        <v>0</v>
      </c>
      <c r="K27" s="5">
        <f t="shared" si="3"/>
        <v>0</v>
      </c>
      <c r="L27" s="5">
        <f t="shared" si="3"/>
        <v>0</v>
      </c>
      <c r="M27" s="5">
        <f t="shared" si="3"/>
        <v>0</v>
      </c>
      <c r="N27" s="5">
        <f t="shared" si="3"/>
        <v>0</v>
      </c>
      <c r="O27" s="5">
        <f t="shared" si="3"/>
        <v>0</v>
      </c>
      <c r="P27" s="5">
        <f t="shared" si="3"/>
        <v>0</v>
      </c>
    </row>
    <row r="28" spans="3:17" x14ac:dyDescent="0.35">
      <c r="D28" s="3" t="str">
        <f t="shared" si="4"/>
        <v>Actual 2024-25</v>
      </c>
      <c r="E28" s="5">
        <f t="shared" si="4"/>
        <v>0</v>
      </c>
      <c r="F28" s="5">
        <f t="shared" si="3"/>
        <v>0</v>
      </c>
      <c r="G28" s="5">
        <f t="shared" si="3"/>
        <v>0</v>
      </c>
      <c r="H28" s="5">
        <f t="shared" si="3"/>
        <v>0</v>
      </c>
      <c r="I28" s="5">
        <f t="shared" si="3"/>
        <v>0</v>
      </c>
      <c r="J28" s="5">
        <f t="shared" si="3"/>
        <v>0</v>
      </c>
      <c r="K28" s="5">
        <f t="shared" si="3"/>
        <v>0</v>
      </c>
      <c r="L28" s="5">
        <f t="shared" si="3"/>
        <v>0</v>
      </c>
      <c r="M28" s="5">
        <f t="shared" si="3"/>
        <v>0</v>
      </c>
      <c r="N28" s="5">
        <f t="shared" si="3"/>
        <v>0</v>
      </c>
      <c r="O28" s="5">
        <f t="shared" si="3"/>
        <v>0</v>
      </c>
      <c r="P28" s="5">
        <f t="shared" si="3"/>
        <v>0</v>
      </c>
    </row>
    <row r="29" spans="3:17" x14ac:dyDescent="0.35">
      <c r="D29" s="3" t="str">
        <f t="shared" si="4"/>
        <v>Difference</v>
      </c>
      <c r="E29" s="5">
        <f>SUM($E22:E22)</f>
        <v>0</v>
      </c>
      <c r="F29" s="5">
        <f>SUM($E22:F22)</f>
        <v>0</v>
      </c>
      <c r="G29" s="5">
        <f>SUM($E22:G22)</f>
        <v>0</v>
      </c>
      <c r="H29" s="5">
        <f>SUM($E22:H22)</f>
        <v>0</v>
      </c>
      <c r="I29" s="5">
        <f>SUM($E22:I22)</f>
        <v>0</v>
      </c>
      <c r="J29" s="5">
        <f>SUM($E22:J22)</f>
        <v>0</v>
      </c>
      <c r="K29" s="5">
        <f>SUM($E22:K22)</f>
        <v>0</v>
      </c>
      <c r="L29" s="5">
        <f>SUM($E22:L22)</f>
        <v>0</v>
      </c>
      <c r="M29" s="5">
        <f>SUM($E22:M22)</f>
        <v>0</v>
      </c>
      <c r="N29" s="5">
        <f>SUM($E22:N22)</f>
        <v>0</v>
      </c>
      <c r="O29" s="5">
        <f>SUM($E22:O22)</f>
        <v>0</v>
      </c>
      <c r="P29" s="5">
        <f>SUM($E22:P22)</f>
        <v>0</v>
      </c>
    </row>
    <row r="30" spans="3:17" x14ac:dyDescent="0.35">
      <c r="D30" s="3" t="str">
        <f t="shared" si="4"/>
        <v>Realisation</v>
      </c>
      <c r="E30" s="9" t="e">
        <f>E28/E26</f>
        <v>#DIV/0!</v>
      </c>
      <c r="F30" s="9" t="e">
        <f t="shared" ref="F30:P30" si="5">F27/F26</f>
        <v>#DIV/0!</v>
      </c>
      <c r="G30" s="9" t="e">
        <f t="shared" si="5"/>
        <v>#DIV/0!</v>
      </c>
      <c r="H30" s="9" t="e">
        <f t="shared" si="5"/>
        <v>#DIV/0!</v>
      </c>
      <c r="I30" s="9" t="e">
        <f t="shared" si="5"/>
        <v>#DIV/0!</v>
      </c>
      <c r="J30" s="9" t="e">
        <f t="shared" si="5"/>
        <v>#DIV/0!</v>
      </c>
      <c r="K30" s="9" t="e">
        <f t="shared" si="5"/>
        <v>#DIV/0!</v>
      </c>
      <c r="L30" s="9" t="e">
        <f t="shared" si="5"/>
        <v>#DIV/0!</v>
      </c>
      <c r="M30" s="9" t="e">
        <f t="shared" si="5"/>
        <v>#DIV/0!</v>
      </c>
      <c r="N30" s="9" t="e">
        <f t="shared" si="5"/>
        <v>#DIV/0!</v>
      </c>
      <c r="O30" s="9" t="e">
        <f t="shared" si="5"/>
        <v>#DIV/0!</v>
      </c>
      <c r="P30" s="9" t="e">
        <f t="shared" si="5"/>
        <v>#DIV/0!</v>
      </c>
    </row>
  </sheetData>
  <mergeCells count="2">
    <mergeCell ref="J4:Q8"/>
    <mergeCell ref="J10:Q15"/>
  </mergeCells>
  <conditionalFormatting sqref="C3">
    <cfRule type="expression" dxfId="323" priority="2">
      <formula>S4&lt;S6</formula>
    </cfRule>
  </conditionalFormatting>
  <conditionalFormatting sqref="C5">
    <cfRule type="expression" dxfId="322" priority="3">
      <formula>S4&gt;=S5</formula>
    </cfRule>
  </conditionalFormatting>
  <conditionalFormatting sqref="C4">
    <cfRule type="expression" dxfId="321" priority="1">
      <formula>AND(S4&gt;=S6,S4&lt;S5)</formula>
    </cfRule>
  </conditionalFormatting>
  <hyperlinks>
    <hyperlink ref="L1" location="Dashboard!A1" display="Dashboard"/>
  </hyperlinks>
  <pageMargins left="0.7" right="0.7" top="0.75" bottom="0.75" header="0.3" footer="0.3"/>
  <pageSetup orientation="portrait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07617" r:id="rId4" name="Spinner 1">
              <controlPr defaultSize="0" autoPict="0">
                <anchor moveWithCells="1" sizeWithCells="1">
                  <from>
                    <xdr:col>9</xdr:col>
                    <xdr:colOff>19050</xdr:colOff>
                    <xdr:row>0</xdr:row>
                    <xdr:rowOff>38100</xdr:rowOff>
                  </from>
                  <to>
                    <xdr:col>9</xdr:col>
                    <xdr:colOff>400050</xdr:colOff>
                    <xdr:row>1</xdr:row>
                    <xdr:rowOff>152400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9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73"/>
  <dimension ref="A1:S30"/>
  <sheetViews>
    <sheetView zoomScale="90" zoomScaleNormal="90" workbookViewId="0">
      <selection activeCell="L1" sqref="L1"/>
    </sheetView>
  </sheetViews>
  <sheetFormatPr defaultColWidth="9.1796875" defaultRowHeight="14.5" x14ac:dyDescent="0.35"/>
  <cols>
    <col min="1" max="1" width="9.1796875" style="3"/>
    <col min="2" max="2" width="5.1796875" style="3" customWidth="1"/>
    <col min="3" max="3" width="6.26953125" style="3" customWidth="1"/>
    <col min="4" max="4" width="21.26953125" style="3" bestFit="1" customWidth="1"/>
    <col min="5" max="16" width="11.1796875" style="3" customWidth="1"/>
    <col min="17" max="17" width="12" style="3" bestFit="1" customWidth="1"/>
    <col min="18" max="18" width="9.1796875" style="3" customWidth="1"/>
    <col min="19" max="16384" width="9.1796875" style="3"/>
  </cols>
  <sheetData>
    <row r="1" spans="1:19" ht="21" x14ac:dyDescent="0.5">
      <c r="A1" s="4" t="s">
        <v>4</v>
      </c>
      <c r="B1" s="4">
        <f>Dashboard!A100</f>
        <v>2</v>
      </c>
      <c r="C1" s="4" t="str">
        <f>Dashboard!B100</f>
        <v>KAMERE- ACTIVE SEWER</v>
      </c>
      <c r="D1" s="4"/>
      <c r="G1" s="3" t="s">
        <v>9</v>
      </c>
      <c r="I1" s="12">
        <f>INDEX($E$18:$P$18,Actual_month)</f>
        <v>46054</v>
      </c>
      <c r="L1" s="16" t="s">
        <v>19</v>
      </c>
      <c r="R1" s="5"/>
    </row>
    <row r="2" spans="1:19" x14ac:dyDescent="0.35">
      <c r="A2" s="3" t="s">
        <v>13</v>
      </c>
      <c r="C2" s="3" t="s">
        <v>27</v>
      </c>
      <c r="R2" s="6"/>
    </row>
    <row r="3" spans="1:19" ht="25.5" customHeight="1" thickBot="1" x14ac:dyDescent="0.4">
      <c r="C3" s="1" t="s">
        <v>5</v>
      </c>
      <c r="E3" s="10"/>
      <c r="F3" s="10"/>
      <c r="G3" s="10"/>
      <c r="H3" s="10"/>
      <c r="I3" s="10"/>
      <c r="J3" s="3" t="s">
        <v>6</v>
      </c>
      <c r="K3" s="10"/>
      <c r="M3" s="10"/>
      <c r="N3" s="10"/>
      <c r="O3" s="10"/>
      <c r="P3" s="10"/>
    </row>
    <row r="4" spans="1:19" ht="25.5" customHeight="1" x14ac:dyDescent="0.35">
      <c r="C4" s="1" t="s">
        <v>5</v>
      </c>
      <c r="E4" s="10"/>
      <c r="F4" s="10"/>
      <c r="G4" s="10"/>
      <c r="H4" s="10"/>
      <c r="I4" s="10"/>
      <c r="J4" s="401"/>
      <c r="K4" s="402"/>
      <c r="L4" s="402"/>
      <c r="M4" s="402"/>
      <c r="N4" s="402"/>
      <c r="O4" s="402"/>
      <c r="P4" s="402"/>
      <c r="Q4" s="403"/>
      <c r="R4" s="3" t="s">
        <v>22</v>
      </c>
      <c r="S4" s="5">
        <f>INDEX(E27:P27,Actual_month)</f>
        <v>0</v>
      </c>
    </row>
    <row r="5" spans="1:19" ht="25.5" customHeight="1" x14ac:dyDescent="0.35">
      <c r="C5" s="1" t="s">
        <v>5</v>
      </c>
      <c r="E5" s="10"/>
      <c r="F5" s="10"/>
      <c r="G5" s="10"/>
      <c r="H5" s="10"/>
      <c r="I5" s="10"/>
      <c r="J5" s="404"/>
      <c r="K5" s="405"/>
      <c r="L5" s="405"/>
      <c r="M5" s="405"/>
      <c r="N5" s="405"/>
      <c r="O5" s="405"/>
      <c r="P5" s="405"/>
      <c r="Q5" s="406"/>
      <c r="R5" s="3" t="s">
        <v>23</v>
      </c>
      <c r="S5" s="5">
        <f>INDEX(E26:P26,Actual_month)</f>
        <v>0</v>
      </c>
    </row>
    <row r="6" spans="1:19" x14ac:dyDescent="0.35">
      <c r="J6" s="404"/>
      <c r="K6" s="405"/>
      <c r="L6" s="405"/>
      <c r="M6" s="405"/>
      <c r="N6" s="405"/>
      <c r="O6" s="405"/>
      <c r="P6" s="405"/>
      <c r="Q6" s="406"/>
      <c r="R6" s="6">
        <v>0.9</v>
      </c>
      <c r="S6" s="5">
        <f>+S5*R6</f>
        <v>0</v>
      </c>
    </row>
    <row r="7" spans="1:19" x14ac:dyDescent="0.35">
      <c r="J7" s="404"/>
      <c r="K7" s="405"/>
      <c r="L7" s="405"/>
      <c r="M7" s="405"/>
      <c r="N7" s="405"/>
      <c r="O7" s="405"/>
      <c r="P7" s="405"/>
      <c r="Q7" s="406"/>
    </row>
    <row r="8" spans="1:19" ht="15" thickBot="1" x14ac:dyDescent="0.4">
      <c r="J8" s="407"/>
      <c r="K8" s="408"/>
      <c r="L8" s="408"/>
      <c r="M8" s="408"/>
      <c r="N8" s="408"/>
      <c r="O8" s="408"/>
      <c r="P8" s="408"/>
      <c r="Q8" s="409"/>
    </row>
    <row r="9" spans="1:19" ht="15" thickBot="1" x14ac:dyDescent="0.4">
      <c r="J9" s="3" t="s">
        <v>12</v>
      </c>
    </row>
    <row r="10" spans="1:19" x14ac:dyDescent="0.35">
      <c r="J10" s="401"/>
      <c r="K10" s="402"/>
      <c r="L10" s="402"/>
      <c r="M10" s="402"/>
      <c r="N10" s="402"/>
      <c r="O10" s="402"/>
      <c r="P10" s="402"/>
      <c r="Q10" s="403"/>
    </row>
    <row r="11" spans="1:19" x14ac:dyDescent="0.35">
      <c r="J11" s="404"/>
      <c r="K11" s="405"/>
      <c r="L11" s="405"/>
      <c r="M11" s="405"/>
      <c r="N11" s="405"/>
      <c r="O11" s="405"/>
      <c r="P11" s="405"/>
      <c r="Q11" s="406"/>
    </row>
    <row r="12" spans="1:19" x14ac:dyDescent="0.35">
      <c r="J12" s="404"/>
      <c r="K12" s="405"/>
      <c r="L12" s="405"/>
      <c r="M12" s="405"/>
      <c r="N12" s="405"/>
      <c r="O12" s="405"/>
      <c r="P12" s="405"/>
      <c r="Q12" s="406"/>
    </row>
    <row r="13" spans="1:19" x14ac:dyDescent="0.35">
      <c r="J13" s="404"/>
      <c r="K13" s="405"/>
      <c r="L13" s="405"/>
      <c r="M13" s="405"/>
      <c r="N13" s="405"/>
      <c r="O13" s="405"/>
      <c r="P13" s="405"/>
      <c r="Q13" s="406"/>
    </row>
    <row r="14" spans="1:19" x14ac:dyDescent="0.35">
      <c r="J14" s="404"/>
      <c r="K14" s="405"/>
      <c r="L14" s="405"/>
      <c r="M14" s="405"/>
      <c r="N14" s="405"/>
      <c r="O14" s="405"/>
      <c r="P14" s="405"/>
      <c r="Q14" s="406"/>
    </row>
    <row r="15" spans="1:19" ht="15" thickBot="1" x14ac:dyDescent="0.4">
      <c r="J15" s="407"/>
      <c r="K15" s="408"/>
      <c r="L15" s="408"/>
      <c r="M15" s="408"/>
      <c r="N15" s="408"/>
      <c r="O15" s="408"/>
      <c r="P15" s="408"/>
      <c r="Q15" s="409"/>
    </row>
    <row r="18" spans="3:17" x14ac:dyDescent="0.35">
      <c r="C18" s="7" t="s">
        <v>8</v>
      </c>
      <c r="E18" s="11">
        <f>'KPI 1'!E18</f>
        <v>45839</v>
      </c>
      <c r="F18" s="11">
        <f>'KPI 1'!F18</f>
        <v>45870</v>
      </c>
      <c r="G18" s="11">
        <f>'KPI 1'!G18</f>
        <v>45901</v>
      </c>
      <c r="H18" s="11">
        <f>'KPI 1'!H18</f>
        <v>45931</v>
      </c>
      <c r="I18" s="11">
        <f>'KPI 1'!I18</f>
        <v>45962</v>
      </c>
      <c r="J18" s="11">
        <f>'KPI 1'!J18</f>
        <v>45992</v>
      </c>
      <c r="K18" s="11">
        <f>'KPI 1'!K18</f>
        <v>46023</v>
      </c>
      <c r="L18" s="11">
        <f>'KPI 1'!L18</f>
        <v>46054</v>
      </c>
      <c r="M18" s="11">
        <f>'KPI 1'!M18</f>
        <v>46082</v>
      </c>
      <c r="N18" s="11">
        <f>'KPI 1'!N18</f>
        <v>46113</v>
      </c>
      <c r="O18" s="11">
        <f>'KPI 1'!O18</f>
        <v>46143</v>
      </c>
      <c r="P18" s="11">
        <f>'KPI 1'!P18</f>
        <v>46174</v>
      </c>
      <c r="Q18" s="8" t="s">
        <v>0</v>
      </c>
    </row>
    <row r="19" spans="3:17" x14ac:dyDescent="0.35">
      <c r="D19" s="3" t="str">
        <f>'KPI 1'!D19</f>
        <v>Budget 2025-26</v>
      </c>
      <c r="E19" s="5">
        <f>'budget 2025-26'!D94</f>
        <v>0</v>
      </c>
      <c r="F19" s="5">
        <f>'budget 2025-26'!E94</f>
        <v>0</v>
      </c>
      <c r="G19" s="5">
        <f>'budget 2025-26'!F94</f>
        <v>0</v>
      </c>
      <c r="H19" s="5">
        <f>'budget 2025-26'!G94</f>
        <v>0</v>
      </c>
      <c r="I19" s="5">
        <f>'budget 2025-26'!H94</f>
        <v>0</v>
      </c>
      <c r="J19" s="5">
        <f>'budget 2025-26'!I94</f>
        <v>0</v>
      </c>
      <c r="K19" s="5">
        <f>'budget 2025-26'!J94</f>
        <v>0</v>
      </c>
      <c r="L19" s="5">
        <f>'budget 2025-26'!K94</f>
        <v>0</v>
      </c>
      <c r="M19" s="5">
        <f>'budget 2025-26'!L94</f>
        <v>0</v>
      </c>
      <c r="N19" s="5">
        <f>'budget 2025-26'!M94</f>
        <v>0</v>
      </c>
      <c r="O19" s="5">
        <f>'budget 2025-26'!N94</f>
        <v>0</v>
      </c>
      <c r="P19" s="5">
        <f>'budget 2025-26'!O94</f>
        <v>0</v>
      </c>
      <c r="Q19" s="5">
        <f>SUM(E19:P19)</f>
        <v>0</v>
      </c>
    </row>
    <row r="20" spans="3:17" x14ac:dyDescent="0.35">
      <c r="D20" s="3" t="str">
        <f>'KPI 1'!D20</f>
        <v>Actual 2025-26</v>
      </c>
      <c r="E20" s="5">
        <f>'Input Actual2025-26'!E97</f>
        <v>0</v>
      </c>
      <c r="F20" s="5">
        <f>'Input Actual2025-26'!F97</f>
        <v>0</v>
      </c>
      <c r="G20" s="5">
        <f>'Input Actual2025-26'!G97</f>
        <v>0</v>
      </c>
      <c r="H20" s="5">
        <f>'Input Actual2025-26'!H97</f>
        <v>0</v>
      </c>
      <c r="I20" s="5">
        <f>'Input Actual2025-26'!I97</f>
        <v>0</v>
      </c>
      <c r="J20" s="5">
        <f>'Input Actual2025-26'!J97</f>
        <v>0</v>
      </c>
      <c r="K20" s="5">
        <f>'Input Actual2025-26'!K97</f>
        <v>0</v>
      </c>
      <c r="L20" s="5">
        <f>'Input Actual2025-26'!L97</f>
        <v>0</v>
      </c>
      <c r="M20" s="5">
        <f>'Input Actual2025-26'!M97</f>
        <v>0</v>
      </c>
      <c r="N20" s="5">
        <f>'Input Actual2025-26'!N97</f>
        <v>0</v>
      </c>
      <c r="O20" s="5">
        <f>'Input Actual2025-26'!O97</f>
        <v>0</v>
      </c>
      <c r="P20" s="5">
        <f>'Input Actual2025-26'!P97</f>
        <v>0</v>
      </c>
      <c r="Q20" s="5">
        <f t="shared" ref="Q20:Q22" si="0">SUM(E20:P20)</f>
        <v>0</v>
      </c>
    </row>
    <row r="21" spans="3:17" x14ac:dyDescent="0.35">
      <c r="D21" s="3" t="s">
        <v>424</v>
      </c>
      <c r="E21" s="5">
        <f>'Input Actual2024-25'!E90</f>
        <v>0</v>
      </c>
      <c r="F21" s="5">
        <f>'Input Actual2024-25'!F90</f>
        <v>0</v>
      </c>
      <c r="G21" s="5">
        <f>'Input Actual2024-25'!G90</f>
        <v>0</v>
      </c>
      <c r="H21" s="5">
        <f>'Input Actual2024-25'!H90</f>
        <v>0</v>
      </c>
      <c r="I21" s="5">
        <f>'Input Actual2024-25'!I90</f>
        <v>0</v>
      </c>
      <c r="J21" s="5">
        <f>'Input Actual2024-25'!J90</f>
        <v>0</v>
      </c>
      <c r="K21" s="5">
        <f>'Input Actual2024-25'!K90</f>
        <v>0</v>
      </c>
      <c r="L21" s="5">
        <f>'Input Actual2024-25'!L90</f>
        <v>0</v>
      </c>
      <c r="M21" s="5">
        <f>'Input Actual2024-25'!M90</f>
        <v>0</v>
      </c>
      <c r="N21" s="5">
        <f>'Input Actual2024-25'!N90</f>
        <v>0</v>
      </c>
      <c r="O21" s="5">
        <f>'Input Actual2024-25'!O90</f>
        <v>0</v>
      </c>
      <c r="P21" s="5">
        <f>'Input Actual2024-25'!P90</f>
        <v>0</v>
      </c>
      <c r="Q21" s="5">
        <f t="shared" si="0"/>
        <v>0</v>
      </c>
    </row>
    <row r="22" spans="3:17" x14ac:dyDescent="0.35">
      <c r="D22" s="3" t="s">
        <v>7</v>
      </c>
      <c r="E22" s="5">
        <f t="shared" ref="E22:P22" si="1">IF(E20=0,0,E20-E19)</f>
        <v>0</v>
      </c>
      <c r="F22" s="5">
        <f t="shared" si="1"/>
        <v>0</v>
      </c>
      <c r="G22" s="5">
        <f t="shared" si="1"/>
        <v>0</v>
      </c>
      <c r="H22" s="5">
        <f t="shared" si="1"/>
        <v>0</v>
      </c>
      <c r="I22" s="5">
        <f t="shared" si="1"/>
        <v>0</v>
      </c>
      <c r="J22" s="5">
        <f t="shared" si="1"/>
        <v>0</v>
      </c>
      <c r="K22" s="5">
        <f t="shared" si="1"/>
        <v>0</v>
      </c>
      <c r="L22" s="5">
        <f t="shared" si="1"/>
        <v>0</v>
      </c>
      <c r="M22" s="5">
        <f t="shared" si="1"/>
        <v>0</v>
      </c>
      <c r="N22" s="5">
        <f t="shared" si="1"/>
        <v>0</v>
      </c>
      <c r="O22" s="5">
        <f t="shared" si="1"/>
        <v>0</v>
      </c>
      <c r="P22" s="5">
        <f t="shared" si="1"/>
        <v>0</v>
      </c>
      <c r="Q22" s="5">
        <f t="shared" si="0"/>
        <v>0</v>
      </c>
    </row>
    <row r="23" spans="3:17" x14ac:dyDescent="0.35">
      <c r="D23" s="3" t="s">
        <v>43</v>
      </c>
      <c r="E23" s="9" t="e">
        <f>E21/E19</f>
        <v>#DIV/0!</v>
      </c>
      <c r="F23" s="9" t="e">
        <f t="shared" ref="F23:P23" si="2">F20/F19</f>
        <v>#DIV/0!</v>
      </c>
      <c r="G23" s="9" t="e">
        <f t="shared" si="2"/>
        <v>#DIV/0!</v>
      </c>
      <c r="H23" s="9" t="e">
        <f t="shared" si="2"/>
        <v>#DIV/0!</v>
      </c>
      <c r="I23" s="9" t="e">
        <f t="shared" si="2"/>
        <v>#DIV/0!</v>
      </c>
      <c r="J23" s="9" t="e">
        <f t="shared" si="2"/>
        <v>#DIV/0!</v>
      </c>
      <c r="K23" s="9" t="e">
        <f t="shared" si="2"/>
        <v>#DIV/0!</v>
      </c>
      <c r="L23" s="9" t="e">
        <f t="shared" si="2"/>
        <v>#DIV/0!</v>
      </c>
      <c r="M23" s="9" t="e">
        <f t="shared" si="2"/>
        <v>#DIV/0!</v>
      </c>
      <c r="N23" s="9" t="e">
        <f t="shared" si="2"/>
        <v>#DIV/0!</v>
      </c>
      <c r="O23" s="9" t="e">
        <f t="shared" si="2"/>
        <v>#DIV/0!</v>
      </c>
      <c r="P23" s="9" t="e">
        <f t="shared" si="2"/>
        <v>#DIV/0!</v>
      </c>
    </row>
    <row r="25" spans="3:17" x14ac:dyDescent="0.35">
      <c r="C25" s="7" t="s">
        <v>3</v>
      </c>
      <c r="E25" s="11">
        <f>E18</f>
        <v>45839</v>
      </c>
      <c r="F25" s="11">
        <f t="shared" ref="F25:P28" si="3">F18</f>
        <v>45870</v>
      </c>
      <c r="G25" s="11">
        <f t="shared" si="3"/>
        <v>45901</v>
      </c>
      <c r="H25" s="11">
        <f t="shared" si="3"/>
        <v>45931</v>
      </c>
      <c r="I25" s="11">
        <f t="shared" si="3"/>
        <v>45962</v>
      </c>
      <c r="J25" s="11">
        <f t="shared" si="3"/>
        <v>45992</v>
      </c>
      <c r="K25" s="11">
        <f t="shared" si="3"/>
        <v>46023</v>
      </c>
      <c r="L25" s="11">
        <f t="shared" si="3"/>
        <v>46054</v>
      </c>
      <c r="M25" s="11">
        <f t="shared" si="3"/>
        <v>46082</v>
      </c>
      <c r="N25" s="11">
        <f t="shared" si="3"/>
        <v>46113</v>
      </c>
      <c r="O25" s="11">
        <f t="shared" si="3"/>
        <v>46143</v>
      </c>
      <c r="P25" s="11">
        <f t="shared" si="3"/>
        <v>46174</v>
      </c>
    </row>
    <row r="26" spans="3:17" x14ac:dyDescent="0.35">
      <c r="D26" s="3" t="str">
        <f>D19</f>
        <v>Budget 2025-26</v>
      </c>
      <c r="E26" s="5">
        <f>E19</f>
        <v>0</v>
      </c>
      <c r="F26" s="5">
        <f t="shared" si="3"/>
        <v>0</v>
      </c>
      <c r="G26" s="5">
        <f t="shared" si="3"/>
        <v>0</v>
      </c>
      <c r="H26" s="5">
        <f t="shared" si="3"/>
        <v>0</v>
      </c>
      <c r="I26" s="5">
        <f t="shared" si="3"/>
        <v>0</v>
      </c>
      <c r="J26" s="5">
        <f t="shared" si="3"/>
        <v>0</v>
      </c>
      <c r="K26" s="5">
        <f t="shared" si="3"/>
        <v>0</v>
      </c>
      <c r="L26" s="5">
        <f t="shared" si="3"/>
        <v>0</v>
      </c>
      <c r="M26" s="5">
        <f t="shared" si="3"/>
        <v>0</v>
      </c>
      <c r="N26" s="5">
        <f t="shared" si="3"/>
        <v>0</v>
      </c>
      <c r="O26" s="5">
        <f t="shared" si="3"/>
        <v>0</v>
      </c>
      <c r="P26" s="5">
        <f t="shared" si="3"/>
        <v>0</v>
      </c>
    </row>
    <row r="27" spans="3:17" x14ac:dyDescent="0.35">
      <c r="D27" s="3" t="str">
        <f t="shared" ref="D27:E30" si="4">D20</f>
        <v>Actual 2025-26</v>
      </c>
      <c r="E27" s="5">
        <f t="shared" si="4"/>
        <v>0</v>
      </c>
      <c r="F27" s="5">
        <f t="shared" si="3"/>
        <v>0</v>
      </c>
      <c r="G27" s="5">
        <f t="shared" si="3"/>
        <v>0</v>
      </c>
      <c r="H27" s="5">
        <f t="shared" si="3"/>
        <v>0</v>
      </c>
      <c r="I27" s="5">
        <f t="shared" si="3"/>
        <v>0</v>
      </c>
      <c r="J27" s="5">
        <f t="shared" si="3"/>
        <v>0</v>
      </c>
      <c r="K27" s="5">
        <f t="shared" si="3"/>
        <v>0</v>
      </c>
      <c r="L27" s="5">
        <f t="shared" si="3"/>
        <v>0</v>
      </c>
      <c r="M27" s="5">
        <f t="shared" si="3"/>
        <v>0</v>
      </c>
      <c r="N27" s="5">
        <f t="shared" si="3"/>
        <v>0</v>
      </c>
      <c r="O27" s="5">
        <f t="shared" si="3"/>
        <v>0</v>
      </c>
      <c r="P27" s="5">
        <f t="shared" si="3"/>
        <v>0</v>
      </c>
    </row>
    <row r="28" spans="3:17" x14ac:dyDescent="0.35">
      <c r="D28" s="3" t="str">
        <f t="shared" si="4"/>
        <v>Actual 2024-25</v>
      </c>
      <c r="E28" s="5">
        <f t="shared" si="4"/>
        <v>0</v>
      </c>
      <c r="F28" s="5">
        <f t="shared" si="3"/>
        <v>0</v>
      </c>
      <c r="G28" s="5">
        <f t="shared" si="3"/>
        <v>0</v>
      </c>
      <c r="H28" s="5">
        <f t="shared" si="3"/>
        <v>0</v>
      </c>
      <c r="I28" s="5">
        <f t="shared" si="3"/>
        <v>0</v>
      </c>
      <c r="J28" s="5">
        <f t="shared" si="3"/>
        <v>0</v>
      </c>
      <c r="K28" s="5">
        <f t="shared" si="3"/>
        <v>0</v>
      </c>
      <c r="L28" s="5">
        <f t="shared" si="3"/>
        <v>0</v>
      </c>
      <c r="M28" s="5">
        <f t="shared" si="3"/>
        <v>0</v>
      </c>
      <c r="N28" s="5">
        <f t="shared" si="3"/>
        <v>0</v>
      </c>
      <c r="O28" s="5">
        <f t="shared" si="3"/>
        <v>0</v>
      </c>
      <c r="P28" s="5">
        <f t="shared" si="3"/>
        <v>0</v>
      </c>
    </row>
    <row r="29" spans="3:17" x14ac:dyDescent="0.35">
      <c r="D29" s="3" t="str">
        <f t="shared" si="4"/>
        <v>Difference</v>
      </c>
      <c r="E29" s="5">
        <f>SUM($E22:E22)</f>
        <v>0</v>
      </c>
      <c r="F29" s="5">
        <f>SUM($E22:F22)</f>
        <v>0</v>
      </c>
      <c r="G29" s="5">
        <f>SUM($E22:G22)</f>
        <v>0</v>
      </c>
      <c r="H29" s="5">
        <f>SUM($E22:H22)</f>
        <v>0</v>
      </c>
      <c r="I29" s="5">
        <f>SUM($E22:I22)</f>
        <v>0</v>
      </c>
      <c r="J29" s="5">
        <f>SUM($E22:J22)</f>
        <v>0</v>
      </c>
      <c r="K29" s="5">
        <f>SUM($E22:K22)</f>
        <v>0</v>
      </c>
      <c r="L29" s="5">
        <f>SUM($E22:L22)</f>
        <v>0</v>
      </c>
      <c r="M29" s="5">
        <f>SUM($E22:M22)</f>
        <v>0</v>
      </c>
      <c r="N29" s="5">
        <f>SUM($E22:N22)</f>
        <v>0</v>
      </c>
      <c r="O29" s="5">
        <f>SUM($E22:O22)</f>
        <v>0</v>
      </c>
      <c r="P29" s="5">
        <f>SUM($E22:P22)</f>
        <v>0</v>
      </c>
    </row>
    <row r="30" spans="3:17" x14ac:dyDescent="0.35">
      <c r="D30" s="3" t="str">
        <f t="shared" si="4"/>
        <v>Realisation</v>
      </c>
      <c r="E30" s="9" t="e">
        <f>E28/E26</f>
        <v>#DIV/0!</v>
      </c>
      <c r="F30" s="9" t="e">
        <f t="shared" ref="F30:P30" si="5">F27/F26</f>
        <v>#DIV/0!</v>
      </c>
      <c r="G30" s="9" t="e">
        <f t="shared" si="5"/>
        <v>#DIV/0!</v>
      </c>
      <c r="H30" s="9" t="e">
        <f t="shared" si="5"/>
        <v>#DIV/0!</v>
      </c>
      <c r="I30" s="9" t="e">
        <f t="shared" si="5"/>
        <v>#DIV/0!</v>
      </c>
      <c r="J30" s="9" t="e">
        <f t="shared" si="5"/>
        <v>#DIV/0!</v>
      </c>
      <c r="K30" s="9" t="e">
        <f t="shared" si="5"/>
        <v>#DIV/0!</v>
      </c>
      <c r="L30" s="9" t="e">
        <f t="shared" si="5"/>
        <v>#DIV/0!</v>
      </c>
      <c r="M30" s="9" t="e">
        <f t="shared" si="5"/>
        <v>#DIV/0!</v>
      </c>
      <c r="N30" s="9" t="e">
        <f t="shared" si="5"/>
        <v>#DIV/0!</v>
      </c>
      <c r="O30" s="9" t="e">
        <f t="shared" si="5"/>
        <v>#DIV/0!</v>
      </c>
      <c r="P30" s="9" t="e">
        <f t="shared" si="5"/>
        <v>#DIV/0!</v>
      </c>
    </row>
  </sheetData>
  <mergeCells count="2">
    <mergeCell ref="J4:Q8"/>
    <mergeCell ref="J10:Q15"/>
  </mergeCells>
  <conditionalFormatting sqref="C3">
    <cfRule type="expression" dxfId="320" priority="2">
      <formula>S4&lt;S6</formula>
    </cfRule>
  </conditionalFormatting>
  <conditionalFormatting sqref="C5">
    <cfRule type="expression" dxfId="319" priority="3">
      <formula>S4&gt;=S5</formula>
    </cfRule>
  </conditionalFormatting>
  <conditionalFormatting sqref="C4">
    <cfRule type="expression" dxfId="318" priority="1">
      <formula>AND(S4&gt;=S6,S4&lt;S5)</formula>
    </cfRule>
  </conditionalFormatting>
  <hyperlinks>
    <hyperlink ref="L1" location="Dashboard!A1" display="Dashboard"/>
  </hyperlinks>
  <pageMargins left="0.7" right="0.7" top="0.75" bottom="0.75" header="0.3" footer="0.3"/>
  <pageSetup orientation="portrait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08641" r:id="rId4" name="Spinner 1">
              <controlPr defaultSize="0" autoPict="0">
                <anchor moveWithCells="1" sizeWithCells="1">
                  <from>
                    <xdr:col>9</xdr:col>
                    <xdr:colOff>19050</xdr:colOff>
                    <xdr:row>0</xdr:row>
                    <xdr:rowOff>38100</xdr:rowOff>
                  </from>
                  <to>
                    <xdr:col>9</xdr:col>
                    <xdr:colOff>400050</xdr:colOff>
                    <xdr:row>1</xdr:row>
                    <xdr:rowOff>152400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9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74">
    <tabColor rgb="FFFFC000"/>
  </sheetPr>
  <dimension ref="A1:S30"/>
  <sheetViews>
    <sheetView zoomScale="90" zoomScaleNormal="90" workbookViewId="0">
      <selection activeCell="L1" sqref="L1"/>
    </sheetView>
  </sheetViews>
  <sheetFormatPr defaultColWidth="9.1796875" defaultRowHeight="14.5" x14ac:dyDescent="0.35"/>
  <cols>
    <col min="1" max="1" width="9.1796875" style="3"/>
    <col min="2" max="2" width="5.1796875" style="3" customWidth="1"/>
    <col min="3" max="3" width="6.26953125" style="3" customWidth="1"/>
    <col min="4" max="4" width="21.26953125" style="3" bestFit="1" customWidth="1"/>
    <col min="5" max="16" width="11.1796875" style="3" customWidth="1"/>
    <col min="17" max="17" width="12" style="3" bestFit="1" customWidth="1"/>
    <col min="18" max="18" width="9.1796875" style="3" customWidth="1"/>
    <col min="19" max="16384" width="9.1796875" style="3"/>
  </cols>
  <sheetData>
    <row r="1" spans="1:19" ht="21" x14ac:dyDescent="0.5">
      <c r="A1" s="4" t="s">
        <v>4</v>
      </c>
      <c r="B1" s="4">
        <f>Dashboard!A104</f>
        <v>1</v>
      </c>
      <c r="C1" s="4" t="str">
        <f>Dashboard!B104</f>
        <v>KAYOLE- ACTIVE SEWER</v>
      </c>
      <c r="D1" s="4"/>
      <c r="G1" s="3" t="s">
        <v>9</v>
      </c>
      <c r="I1" s="12">
        <f>INDEX($E$18:$P$18,Actual_month)</f>
        <v>46054</v>
      </c>
      <c r="L1" s="16" t="s">
        <v>19</v>
      </c>
      <c r="R1" s="5"/>
    </row>
    <row r="2" spans="1:19" x14ac:dyDescent="0.35">
      <c r="A2" s="3" t="s">
        <v>13</v>
      </c>
      <c r="C2" s="3" t="s">
        <v>27</v>
      </c>
      <c r="R2" s="6"/>
    </row>
    <row r="3" spans="1:19" ht="25.5" customHeight="1" thickBot="1" x14ac:dyDescent="0.4">
      <c r="C3" s="1" t="s">
        <v>5</v>
      </c>
      <c r="E3" s="10"/>
      <c r="F3" s="10"/>
      <c r="G3" s="10"/>
      <c r="H3" s="10"/>
      <c r="I3" s="10"/>
      <c r="J3" s="3" t="s">
        <v>6</v>
      </c>
      <c r="K3" s="10"/>
      <c r="M3" s="10"/>
      <c r="N3" s="10"/>
      <c r="O3" s="10"/>
      <c r="P3" s="10"/>
    </row>
    <row r="4" spans="1:19" ht="25.5" customHeight="1" x14ac:dyDescent="0.35">
      <c r="C4" s="1" t="s">
        <v>5</v>
      </c>
      <c r="E4" s="10"/>
      <c r="F4" s="10"/>
      <c r="G4" s="10"/>
      <c r="H4" s="10"/>
      <c r="I4" s="10"/>
      <c r="J4" s="401"/>
      <c r="K4" s="402"/>
      <c r="L4" s="402"/>
      <c r="M4" s="402"/>
      <c r="N4" s="402"/>
      <c r="O4" s="402"/>
      <c r="P4" s="402"/>
      <c r="Q4" s="403"/>
      <c r="R4" s="3" t="s">
        <v>22</v>
      </c>
      <c r="S4" s="5">
        <f>INDEX(E27:P27,Actual_month)</f>
        <v>61</v>
      </c>
    </row>
    <row r="5" spans="1:19" ht="25.5" customHeight="1" x14ac:dyDescent="0.35">
      <c r="C5" s="1" t="s">
        <v>5</v>
      </c>
      <c r="E5" s="10"/>
      <c r="F5" s="10"/>
      <c r="G5" s="10"/>
      <c r="H5" s="10"/>
      <c r="I5" s="10"/>
      <c r="J5" s="404"/>
      <c r="K5" s="405"/>
      <c r="L5" s="405"/>
      <c r="M5" s="405"/>
      <c r="N5" s="405"/>
      <c r="O5" s="405"/>
      <c r="P5" s="405"/>
      <c r="Q5" s="406"/>
      <c r="R5" s="3" t="s">
        <v>23</v>
      </c>
      <c r="S5" s="5">
        <f>INDEX(E26:P26,Actual_month)</f>
        <v>58</v>
      </c>
    </row>
    <row r="6" spans="1:19" x14ac:dyDescent="0.35">
      <c r="J6" s="404"/>
      <c r="K6" s="405"/>
      <c r="L6" s="405"/>
      <c r="M6" s="405"/>
      <c r="N6" s="405"/>
      <c r="O6" s="405"/>
      <c r="P6" s="405"/>
      <c r="Q6" s="406"/>
      <c r="R6" s="6">
        <v>0.9</v>
      </c>
      <c r="S6" s="5">
        <f>+S5*R6</f>
        <v>52.2</v>
      </c>
    </row>
    <row r="7" spans="1:19" x14ac:dyDescent="0.35">
      <c r="J7" s="404"/>
      <c r="K7" s="405"/>
      <c r="L7" s="405"/>
      <c r="M7" s="405"/>
      <c r="N7" s="405"/>
      <c r="O7" s="405"/>
      <c r="P7" s="405"/>
      <c r="Q7" s="406"/>
    </row>
    <row r="8" spans="1:19" ht="15" thickBot="1" x14ac:dyDescent="0.4">
      <c r="J8" s="407"/>
      <c r="K8" s="408"/>
      <c r="L8" s="408"/>
      <c r="M8" s="408"/>
      <c r="N8" s="408"/>
      <c r="O8" s="408"/>
      <c r="P8" s="408"/>
      <c r="Q8" s="409"/>
    </row>
    <row r="9" spans="1:19" ht="15" thickBot="1" x14ac:dyDescent="0.4">
      <c r="J9" s="3" t="s">
        <v>12</v>
      </c>
    </row>
    <row r="10" spans="1:19" x14ac:dyDescent="0.35">
      <c r="J10" s="401"/>
      <c r="K10" s="402"/>
      <c r="L10" s="402"/>
      <c r="M10" s="402"/>
      <c r="N10" s="402"/>
      <c r="O10" s="402"/>
      <c r="P10" s="402"/>
      <c r="Q10" s="403"/>
    </row>
    <row r="11" spans="1:19" x14ac:dyDescent="0.35">
      <c r="J11" s="404"/>
      <c r="K11" s="405"/>
      <c r="L11" s="405"/>
      <c r="M11" s="405"/>
      <c r="N11" s="405"/>
      <c r="O11" s="405"/>
      <c r="P11" s="405"/>
      <c r="Q11" s="406"/>
    </row>
    <row r="12" spans="1:19" x14ac:dyDescent="0.35">
      <c r="J12" s="404"/>
      <c r="K12" s="405"/>
      <c r="L12" s="405"/>
      <c r="M12" s="405"/>
      <c r="N12" s="405"/>
      <c r="O12" s="405"/>
      <c r="P12" s="405"/>
      <c r="Q12" s="406"/>
    </row>
    <row r="13" spans="1:19" x14ac:dyDescent="0.35">
      <c r="J13" s="404"/>
      <c r="K13" s="405"/>
      <c r="L13" s="405"/>
      <c r="M13" s="405"/>
      <c r="N13" s="405"/>
      <c r="O13" s="405"/>
      <c r="P13" s="405"/>
      <c r="Q13" s="406"/>
    </row>
    <row r="14" spans="1:19" x14ac:dyDescent="0.35">
      <c r="J14" s="404"/>
      <c r="K14" s="405"/>
      <c r="L14" s="405"/>
      <c r="M14" s="405"/>
      <c r="N14" s="405"/>
      <c r="O14" s="405"/>
      <c r="P14" s="405"/>
      <c r="Q14" s="406"/>
    </row>
    <row r="15" spans="1:19" ht="15" thickBot="1" x14ac:dyDescent="0.4">
      <c r="J15" s="407"/>
      <c r="K15" s="408"/>
      <c r="L15" s="408"/>
      <c r="M15" s="408"/>
      <c r="N15" s="408"/>
      <c r="O15" s="408"/>
      <c r="P15" s="408"/>
      <c r="Q15" s="409"/>
    </row>
    <row r="18" spans="3:17" x14ac:dyDescent="0.35">
      <c r="C18" s="7" t="s">
        <v>8</v>
      </c>
      <c r="E18" s="11">
        <f>'KPI 1'!E18</f>
        <v>45839</v>
      </c>
      <c r="F18" s="11">
        <f>'KPI 1'!F18</f>
        <v>45870</v>
      </c>
      <c r="G18" s="11">
        <f>'KPI 1'!G18</f>
        <v>45901</v>
      </c>
      <c r="H18" s="11">
        <f>'KPI 1'!H18</f>
        <v>45931</v>
      </c>
      <c r="I18" s="11">
        <f>'KPI 1'!I18</f>
        <v>45962</v>
      </c>
      <c r="J18" s="11">
        <f>'KPI 1'!J18</f>
        <v>45992</v>
      </c>
      <c r="K18" s="11">
        <f>'KPI 1'!K18</f>
        <v>46023</v>
      </c>
      <c r="L18" s="11">
        <f>'KPI 1'!L18</f>
        <v>46054</v>
      </c>
      <c r="M18" s="11">
        <f>'KPI 1'!M18</f>
        <v>46082</v>
      </c>
      <c r="N18" s="11">
        <f>'KPI 1'!N18</f>
        <v>46113</v>
      </c>
      <c r="O18" s="11">
        <f>'KPI 1'!O18</f>
        <v>46143</v>
      </c>
      <c r="P18" s="11">
        <f>'KPI 1'!P18</f>
        <v>46174</v>
      </c>
      <c r="Q18" s="8" t="s">
        <v>0</v>
      </c>
    </row>
    <row r="19" spans="3:17" x14ac:dyDescent="0.35">
      <c r="D19" s="3" t="str">
        <f>'KPI 1'!D19</f>
        <v>Budget 2025-26</v>
      </c>
      <c r="E19" s="5">
        <f>'budget 2025-26'!D97</f>
        <v>51</v>
      </c>
      <c r="F19" s="5">
        <f>'budget 2025-26'!E97</f>
        <v>52</v>
      </c>
      <c r="G19" s="5">
        <f>'budget 2025-26'!F97</f>
        <v>53</v>
      </c>
      <c r="H19" s="5">
        <f>'budget 2025-26'!G97</f>
        <v>54</v>
      </c>
      <c r="I19" s="5">
        <f>'budget 2025-26'!H97</f>
        <v>55</v>
      </c>
      <c r="J19" s="5">
        <f>'budget 2025-26'!I97</f>
        <v>56</v>
      </c>
      <c r="K19" s="5">
        <f>'budget 2025-26'!J97</f>
        <v>57</v>
      </c>
      <c r="L19" s="5">
        <f>'budget 2025-26'!K97</f>
        <v>58</v>
      </c>
      <c r="M19" s="5">
        <f>'budget 2025-26'!L97</f>
        <v>59</v>
      </c>
      <c r="N19" s="5">
        <f>'budget 2025-26'!M97</f>
        <v>60</v>
      </c>
      <c r="O19" s="5">
        <f>'budget 2025-26'!N97</f>
        <v>61</v>
      </c>
      <c r="P19" s="5">
        <f>'budget 2025-26'!O97</f>
        <v>62</v>
      </c>
      <c r="Q19" s="5">
        <f>SUM(E19:P19)</f>
        <v>678</v>
      </c>
    </row>
    <row r="20" spans="3:17" x14ac:dyDescent="0.35">
      <c r="D20" s="3" t="str">
        <f>'KPI 1'!D20</f>
        <v>Actual 2025-26</v>
      </c>
      <c r="E20" s="5">
        <f>'Input Actual2025-26'!E100</f>
        <v>50</v>
      </c>
      <c r="F20" s="5">
        <f>'Input Actual2025-26'!F100</f>
        <v>52</v>
      </c>
      <c r="G20" s="5">
        <f>'Input Actual2025-26'!G100</f>
        <v>54</v>
      </c>
      <c r="H20" s="5">
        <f>'Input Actual2025-26'!H100</f>
        <v>54</v>
      </c>
      <c r="I20" s="5">
        <f>'Input Actual2025-26'!I100</f>
        <v>54</v>
      </c>
      <c r="J20" s="5">
        <f>'Input Actual2025-26'!J100</f>
        <v>59</v>
      </c>
      <c r="K20" s="5">
        <f>'Input Actual2025-26'!K100</f>
        <v>61</v>
      </c>
      <c r="L20" s="5">
        <f>'Input Actual2025-26'!L100</f>
        <v>61</v>
      </c>
      <c r="M20" s="5">
        <f>'Input Actual2025-26'!M100</f>
        <v>0</v>
      </c>
      <c r="N20" s="5">
        <f>'Input Actual2025-26'!N100</f>
        <v>0</v>
      </c>
      <c r="O20" s="5">
        <f>'Input Actual2025-26'!O100</f>
        <v>0</v>
      </c>
      <c r="P20" s="5">
        <f>'Input Actual2025-26'!P100</f>
        <v>0</v>
      </c>
      <c r="Q20" s="5">
        <f t="shared" ref="Q20:Q22" si="0">SUM(E20:P20)</f>
        <v>445</v>
      </c>
    </row>
    <row r="21" spans="3:17" x14ac:dyDescent="0.35">
      <c r="D21" s="3" t="s">
        <v>424</v>
      </c>
      <c r="E21" s="5">
        <f>'Input Actual2024-25'!E93</f>
        <v>43</v>
      </c>
      <c r="F21" s="5">
        <f>'Input Actual2024-25'!F93</f>
        <v>43</v>
      </c>
      <c r="G21" s="5">
        <f>'Input Actual2024-25'!G93</f>
        <v>44</v>
      </c>
      <c r="H21" s="5">
        <f>'Input Actual2024-25'!H93</f>
        <v>45</v>
      </c>
      <c r="I21" s="5">
        <f>'Input Actual2024-25'!I93</f>
        <v>45</v>
      </c>
      <c r="J21" s="5">
        <f>'Input Actual2024-25'!J93</f>
        <v>45</v>
      </c>
      <c r="K21" s="5">
        <f>'Input Actual2024-25'!K93</f>
        <v>45</v>
      </c>
      <c r="L21" s="5">
        <f>'Input Actual2024-25'!L93</f>
        <v>48</v>
      </c>
      <c r="M21" s="5">
        <f>'Input Actual2024-25'!M93</f>
        <v>50</v>
      </c>
      <c r="N21" s="5">
        <f>'Input Actual2024-25'!N93</f>
        <v>50</v>
      </c>
      <c r="O21" s="5">
        <f>'Input Actual2024-25'!O93</f>
        <v>50</v>
      </c>
      <c r="P21" s="5">
        <f>'Input Actual2024-25'!P93</f>
        <v>50</v>
      </c>
      <c r="Q21" s="5">
        <f t="shared" si="0"/>
        <v>558</v>
      </c>
    </row>
    <row r="22" spans="3:17" x14ac:dyDescent="0.35">
      <c r="D22" s="3" t="s">
        <v>7</v>
      </c>
      <c r="E22" s="5">
        <f t="shared" ref="E22:P22" si="1">IF(E20=0,0,E20-E19)</f>
        <v>-1</v>
      </c>
      <c r="F22" s="5">
        <f t="shared" si="1"/>
        <v>0</v>
      </c>
      <c r="G22" s="5">
        <f t="shared" si="1"/>
        <v>1</v>
      </c>
      <c r="H22" s="5">
        <f t="shared" si="1"/>
        <v>0</v>
      </c>
      <c r="I22" s="5">
        <f t="shared" si="1"/>
        <v>-1</v>
      </c>
      <c r="J22" s="5">
        <f t="shared" si="1"/>
        <v>3</v>
      </c>
      <c r="K22" s="5">
        <f t="shared" si="1"/>
        <v>4</v>
      </c>
      <c r="L22" s="5">
        <f t="shared" si="1"/>
        <v>3</v>
      </c>
      <c r="M22" s="5">
        <f t="shared" si="1"/>
        <v>0</v>
      </c>
      <c r="N22" s="5">
        <f t="shared" si="1"/>
        <v>0</v>
      </c>
      <c r="O22" s="5">
        <f t="shared" si="1"/>
        <v>0</v>
      </c>
      <c r="P22" s="5">
        <f t="shared" si="1"/>
        <v>0</v>
      </c>
      <c r="Q22" s="5">
        <f t="shared" si="0"/>
        <v>9</v>
      </c>
    </row>
    <row r="23" spans="3:17" x14ac:dyDescent="0.35">
      <c r="D23" s="3" t="s">
        <v>43</v>
      </c>
      <c r="E23" s="9">
        <f>E21/E19</f>
        <v>0.84313725490196079</v>
      </c>
      <c r="F23" s="9">
        <f t="shared" ref="F23:P23" si="2">F20/F19</f>
        <v>1</v>
      </c>
      <c r="G23" s="9">
        <f t="shared" si="2"/>
        <v>1.0188679245283019</v>
      </c>
      <c r="H23" s="9">
        <f t="shared" si="2"/>
        <v>1</v>
      </c>
      <c r="I23" s="9">
        <f t="shared" si="2"/>
        <v>0.98181818181818181</v>
      </c>
      <c r="J23" s="9">
        <f t="shared" si="2"/>
        <v>1.0535714285714286</v>
      </c>
      <c r="K23" s="9">
        <f t="shared" si="2"/>
        <v>1.0701754385964912</v>
      </c>
      <c r="L23" s="9">
        <f t="shared" si="2"/>
        <v>1.0517241379310345</v>
      </c>
      <c r="M23" s="9">
        <f t="shared" si="2"/>
        <v>0</v>
      </c>
      <c r="N23" s="9">
        <f t="shared" si="2"/>
        <v>0</v>
      </c>
      <c r="O23" s="9">
        <f t="shared" si="2"/>
        <v>0</v>
      </c>
      <c r="P23" s="9">
        <f t="shared" si="2"/>
        <v>0</v>
      </c>
    </row>
    <row r="25" spans="3:17" x14ac:dyDescent="0.35">
      <c r="C25" s="7" t="s">
        <v>3</v>
      </c>
      <c r="E25" s="11">
        <f>E18</f>
        <v>45839</v>
      </c>
      <c r="F25" s="11">
        <f t="shared" ref="F25:P28" si="3">F18</f>
        <v>45870</v>
      </c>
      <c r="G25" s="11">
        <f t="shared" si="3"/>
        <v>45901</v>
      </c>
      <c r="H25" s="11">
        <f t="shared" si="3"/>
        <v>45931</v>
      </c>
      <c r="I25" s="11">
        <f t="shared" si="3"/>
        <v>45962</v>
      </c>
      <c r="J25" s="11">
        <f t="shared" si="3"/>
        <v>45992</v>
      </c>
      <c r="K25" s="11">
        <f t="shared" si="3"/>
        <v>46023</v>
      </c>
      <c r="L25" s="11">
        <f t="shared" si="3"/>
        <v>46054</v>
      </c>
      <c r="M25" s="11">
        <f t="shared" si="3"/>
        <v>46082</v>
      </c>
      <c r="N25" s="11">
        <f t="shared" si="3"/>
        <v>46113</v>
      </c>
      <c r="O25" s="11">
        <f t="shared" si="3"/>
        <v>46143</v>
      </c>
      <c r="P25" s="11">
        <f t="shared" si="3"/>
        <v>46174</v>
      </c>
    </row>
    <row r="26" spans="3:17" x14ac:dyDescent="0.35">
      <c r="D26" s="3" t="str">
        <f>D19</f>
        <v>Budget 2025-26</v>
      </c>
      <c r="E26" s="5">
        <f>E19</f>
        <v>51</v>
      </c>
      <c r="F26" s="5">
        <f t="shared" si="3"/>
        <v>52</v>
      </c>
      <c r="G26" s="5">
        <f t="shared" si="3"/>
        <v>53</v>
      </c>
      <c r="H26" s="5">
        <f t="shared" si="3"/>
        <v>54</v>
      </c>
      <c r="I26" s="5">
        <f t="shared" si="3"/>
        <v>55</v>
      </c>
      <c r="J26" s="5">
        <f t="shared" si="3"/>
        <v>56</v>
      </c>
      <c r="K26" s="5">
        <f t="shared" si="3"/>
        <v>57</v>
      </c>
      <c r="L26" s="5">
        <f t="shared" si="3"/>
        <v>58</v>
      </c>
      <c r="M26" s="5">
        <f t="shared" si="3"/>
        <v>59</v>
      </c>
      <c r="N26" s="5">
        <f t="shared" si="3"/>
        <v>60</v>
      </c>
      <c r="O26" s="5">
        <f t="shared" si="3"/>
        <v>61</v>
      </c>
      <c r="P26" s="5">
        <f t="shared" si="3"/>
        <v>62</v>
      </c>
    </row>
    <row r="27" spans="3:17" x14ac:dyDescent="0.35">
      <c r="D27" s="3" t="str">
        <f t="shared" ref="D27:E30" si="4">D20</f>
        <v>Actual 2025-26</v>
      </c>
      <c r="E27" s="5">
        <f t="shared" si="4"/>
        <v>50</v>
      </c>
      <c r="F27" s="5">
        <f t="shared" si="3"/>
        <v>52</v>
      </c>
      <c r="G27" s="5">
        <f t="shared" si="3"/>
        <v>54</v>
      </c>
      <c r="H27" s="5">
        <f t="shared" si="3"/>
        <v>54</v>
      </c>
      <c r="I27" s="5">
        <f t="shared" si="3"/>
        <v>54</v>
      </c>
      <c r="J27" s="5">
        <f t="shared" si="3"/>
        <v>59</v>
      </c>
      <c r="K27" s="5">
        <f t="shared" si="3"/>
        <v>61</v>
      </c>
      <c r="L27" s="5">
        <f t="shared" si="3"/>
        <v>61</v>
      </c>
      <c r="M27" s="5">
        <f t="shared" si="3"/>
        <v>0</v>
      </c>
      <c r="N27" s="5">
        <f t="shared" si="3"/>
        <v>0</v>
      </c>
      <c r="O27" s="5">
        <f t="shared" si="3"/>
        <v>0</v>
      </c>
      <c r="P27" s="5">
        <f t="shared" si="3"/>
        <v>0</v>
      </c>
    </row>
    <row r="28" spans="3:17" x14ac:dyDescent="0.35">
      <c r="D28" s="3" t="str">
        <f t="shared" si="4"/>
        <v>Actual 2024-25</v>
      </c>
      <c r="E28" s="5">
        <f t="shared" si="4"/>
        <v>43</v>
      </c>
      <c r="F28" s="5">
        <f t="shared" si="3"/>
        <v>43</v>
      </c>
      <c r="G28" s="5">
        <f t="shared" si="3"/>
        <v>44</v>
      </c>
      <c r="H28" s="5">
        <f t="shared" si="3"/>
        <v>45</v>
      </c>
      <c r="I28" s="5">
        <f t="shared" si="3"/>
        <v>45</v>
      </c>
      <c r="J28" s="5">
        <f t="shared" si="3"/>
        <v>45</v>
      </c>
      <c r="K28" s="5">
        <f t="shared" si="3"/>
        <v>45</v>
      </c>
      <c r="L28" s="5">
        <f t="shared" si="3"/>
        <v>48</v>
      </c>
      <c r="M28" s="5">
        <f t="shared" si="3"/>
        <v>50</v>
      </c>
      <c r="N28" s="5">
        <f t="shared" si="3"/>
        <v>50</v>
      </c>
      <c r="O28" s="5">
        <f t="shared" si="3"/>
        <v>50</v>
      </c>
      <c r="P28" s="5">
        <f t="shared" si="3"/>
        <v>50</v>
      </c>
    </row>
    <row r="29" spans="3:17" x14ac:dyDescent="0.35">
      <c r="D29" s="3" t="str">
        <f t="shared" si="4"/>
        <v>Difference</v>
      </c>
      <c r="E29" s="5">
        <f>SUM($E22:E22)</f>
        <v>-1</v>
      </c>
      <c r="F29" s="5">
        <f>SUM($E22:F22)</f>
        <v>-1</v>
      </c>
      <c r="G29" s="5">
        <f>SUM($E22:G22)</f>
        <v>0</v>
      </c>
      <c r="H29" s="5">
        <f>SUM($E22:H22)</f>
        <v>0</v>
      </c>
      <c r="I29" s="5">
        <f>SUM($E22:I22)</f>
        <v>-1</v>
      </c>
      <c r="J29" s="5">
        <f>SUM($E22:J22)</f>
        <v>2</v>
      </c>
      <c r="K29" s="5">
        <f>SUM($E22:K22)</f>
        <v>6</v>
      </c>
      <c r="L29" s="5">
        <f>SUM($E22:L22)</f>
        <v>9</v>
      </c>
      <c r="M29" s="5">
        <f>SUM($E22:M22)</f>
        <v>9</v>
      </c>
      <c r="N29" s="5">
        <f>SUM($E22:N22)</f>
        <v>9</v>
      </c>
      <c r="O29" s="5">
        <f>SUM($E22:O22)</f>
        <v>9</v>
      </c>
      <c r="P29" s="5">
        <f>SUM($E22:P22)</f>
        <v>9</v>
      </c>
    </row>
    <row r="30" spans="3:17" x14ac:dyDescent="0.35">
      <c r="D30" s="3" t="str">
        <f t="shared" si="4"/>
        <v>Realisation</v>
      </c>
      <c r="E30" s="9">
        <f>E28/E26</f>
        <v>0.84313725490196079</v>
      </c>
      <c r="F30" s="9">
        <f t="shared" ref="F30:P30" si="5">F27/F26</f>
        <v>1</v>
      </c>
      <c r="G30" s="9">
        <f t="shared" si="5"/>
        <v>1.0188679245283019</v>
      </c>
      <c r="H30" s="9">
        <f t="shared" si="5"/>
        <v>1</v>
      </c>
      <c r="I30" s="9">
        <f t="shared" si="5"/>
        <v>0.98181818181818181</v>
      </c>
      <c r="J30" s="9">
        <f t="shared" si="5"/>
        <v>1.0535714285714286</v>
      </c>
      <c r="K30" s="9">
        <f t="shared" si="5"/>
        <v>1.0701754385964912</v>
      </c>
      <c r="L30" s="9">
        <f t="shared" si="5"/>
        <v>1.0517241379310345</v>
      </c>
      <c r="M30" s="9">
        <f t="shared" si="5"/>
        <v>0</v>
      </c>
      <c r="N30" s="9">
        <f t="shared" si="5"/>
        <v>0</v>
      </c>
      <c r="O30" s="9">
        <f t="shared" si="5"/>
        <v>0</v>
      </c>
      <c r="P30" s="9">
        <f t="shared" si="5"/>
        <v>0</v>
      </c>
    </row>
  </sheetData>
  <mergeCells count="2">
    <mergeCell ref="J4:Q8"/>
    <mergeCell ref="J10:Q15"/>
  </mergeCells>
  <conditionalFormatting sqref="C3">
    <cfRule type="expression" dxfId="317" priority="2">
      <formula>S4&lt;S6</formula>
    </cfRule>
  </conditionalFormatting>
  <conditionalFormatting sqref="C5">
    <cfRule type="expression" dxfId="316" priority="3">
      <formula>S4&gt;=S5</formula>
    </cfRule>
  </conditionalFormatting>
  <conditionalFormatting sqref="C4">
    <cfRule type="expression" dxfId="315" priority="1">
      <formula>AND(S4&gt;=S6,S4&lt;S5)</formula>
    </cfRule>
  </conditionalFormatting>
  <hyperlinks>
    <hyperlink ref="L1" location="Dashboard!A1" display="Dashboard"/>
  </hyperlinks>
  <pageMargins left="0.7" right="0.7" top="0.75" bottom="0.75" header="0.3" footer="0.3"/>
  <pageSetup orientation="portrait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09665" r:id="rId4" name="Spinner 1">
              <controlPr defaultSize="0" autoPict="0">
                <anchor moveWithCells="1" sizeWithCells="1">
                  <from>
                    <xdr:col>9</xdr:col>
                    <xdr:colOff>19050</xdr:colOff>
                    <xdr:row>0</xdr:row>
                    <xdr:rowOff>38100</xdr:rowOff>
                  </from>
                  <to>
                    <xdr:col>9</xdr:col>
                    <xdr:colOff>400050</xdr:colOff>
                    <xdr:row>1</xdr:row>
                    <xdr:rowOff>152400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9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FFC000"/>
  </sheetPr>
  <dimension ref="A1:S30"/>
  <sheetViews>
    <sheetView topLeftCell="D1" workbookViewId="0">
      <selection activeCell="L1" sqref="L1"/>
    </sheetView>
  </sheetViews>
  <sheetFormatPr defaultColWidth="9.1796875" defaultRowHeight="14.5" x14ac:dyDescent="0.35"/>
  <cols>
    <col min="1" max="1" width="9.1796875" style="3"/>
    <col min="2" max="2" width="5.1796875" style="3" customWidth="1"/>
    <col min="3" max="3" width="17.81640625" style="3" customWidth="1"/>
    <col min="4" max="4" width="21.26953125" style="3" bestFit="1" customWidth="1"/>
    <col min="5" max="16" width="11.1796875" style="3" customWidth="1"/>
    <col min="17" max="17" width="12" style="3" bestFit="1" customWidth="1"/>
    <col min="18" max="18" width="9.1796875" style="3" customWidth="1"/>
    <col min="19" max="16384" width="9.1796875" style="3"/>
  </cols>
  <sheetData>
    <row r="1" spans="1:19" ht="21" x14ac:dyDescent="0.5">
      <c r="A1" s="4" t="s">
        <v>4</v>
      </c>
      <c r="B1" s="4">
        <f>Dashboard!A97</f>
        <v>7</v>
      </c>
      <c r="C1" s="4" t="str">
        <f>Dashboard!B97</f>
        <v>HOPEWELL- ACTIVE SEWER</v>
      </c>
      <c r="D1" s="4" t="str">
        <f>Dashboard!C97</f>
        <v>No.</v>
      </c>
      <c r="G1" s="3" t="s">
        <v>9</v>
      </c>
      <c r="I1" s="12">
        <f>INDEX($E$18:$P$18,Actual_month)</f>
        <v>46054</v>
      </c>
      <c r="L1" s="16" t="s">
        <v>19</v>
      </c>
      <c r="R1" s="5"/>
    </row>
    <row r="2" spans="1:19" x14ac:dyDescent="0.35">
      <c r="A2" s="3" t="s">
        <v>13</v>
      </c>
      <c r="C2" s="3" t="s">
        <v>27</v>
      </c>
      <c r="R2" s="6"/>
    </row>
    <row r="3" spans="1:19" ht="25.5" customHeight="1" thickBot="1" x14ac:dyDescent="0.4">
      <c r="C3" s="1" t="s">
        <v>5</v>
      </c>
      <c r="E3" s="10"/>
      <c r="F3" s="10"/>
      <c r="G3" s="10"/>
      <c r="H3" s="10"/>
      <c r="I3" s="10"/>
      <c r="J3" s="3" t="s">
        <v>6</v>
      </c>
      <c r="K3" s="10"/>
      <c r="M3" s="10"/>
      <c r="N3" s="10"/>
      <c r="O3" s="10"/>
      <c r="P3" s="10"/>
    </row>
    <row r="4" spans="1:19" ht="25.5" customHeight="1" x14ac:dyDescent="0.35">
      <c r="C4" s="1" t="s">
        <v>5</v>
      </c>
      <c r="E4" s="10"/>
      <c r="F4" s="10"/>
      <c r="G4" s="10"/>
      <c r="H4" s="10"/>
      <c r="I4" s="10"/>
      <c r="J4" s="401"/>
      <c r="K4" s="402"/>
      <c r="L4" s="402"/>
      <c r="M4" s="402"/>
      <c r="N4" s="402"/>
      <c r="O4" s="402"/>
      <c r="P4" s="402"/>
      <c r="Q4" s="403"/>
      <c r="R4" s="3" t="s">
        <v>22</v>
      </c>
      <c r="S4" s="5">
        <f>INDEX(E27:P27,Actual_month)</f>
        <v>2</v>
      </c>
    </row>
    <row r="5" spans="1:19" ht="25.5" customHeight="1" x14ac:dyDescent="0.35">
      <c r="C5" s="1" t="s">
        <v>5</v>
      </c>
      <c r="E5" s="10"/>
      <c r="F5" s="10"/>
      <c r="G5" s="10"/>
      <c r="H5" s="10"/>
      <c r="I5" s="10"/>
      <c r="J5" s="404"/>
      <c r="K5" s="405"/>
      <c r="L5" s="405"/>
      <c r="M5" s="405"/>
      <c r="N5" s="405"/>
      <c r="O5" s="405"/>
      <c r="P5" s="405"/>
      <c r="Q5" s="406"/>
      <c r="R5" s="3" t="s">
        <v>23</v>
      </c>
      <c r="S5" s="5">
        <f>INDEX(E26:P26,Actual_month)</f>
        <v>2</v>
      </c>
    </row>
    <row r="6" spans="1:19" x14ac:dyDescent="0.35">
      <c r="J6" s="404"/>
      <c r="K6" s="405"/>
      <c r="L6" s="405"/>
      <c r="M6" s="405"/>
      <c r="N6" s="405"/>
      <c r="O6" s="405"/>
      <c r="P6" s="405"/>
      <c r="Q6" s="406"/>
      <c r="R6" s="6">
        <v>0.9</v>
      </c>
      <c r="S6" s="5">
        <f>+S5*R6</f>
        <v>1.8</v>
      </c>
    </row>
    <row r="7" spans="1:19" x14ac:dyDescent="0.35">
      <c r="J7" s="404"/>
      <c r="K7" s="405"/>
      <c r="L7" s="405"/>
      <c r="M7" s="405"/>
      <c r="N7" s="405"/>
      <c r="O7" s="405"/>
      <c r="P7" s="405"/>
      <c r="Q7" s="406"/>
    </row>
    <row r="8" spans="1:19" ht="15" thickBot="1" x14ac:dyDescent="0.4">
      <c r="J8" s="407"/>
      <c r="K8" s="408"/>
      <c r="L8" s="408"/>
      <c r="M8" s="408"/>
      <c r="N8" s="408"/>
      <c r="O8" s="408"/>
      <c r="P8" s="408"/>
      <c r="Q8" s="409"/>
    </row>
    <row r="9" spans="1:19" ht="15" thickBot="1" x14ac:dyDescent="0.4">
      <c r="J9" s="3" t="s">
        <v>12</v>
      </c>
    </row>
    <row r="10" spans="1:19" x14ac:dyDescent="0.35">
      <c r="J10" s="401"/>
      <c r="K10" s="402"/>
      <c r="L10" s="402"/>
      <c r="M10" s="402"/>
      <c r="N10" s="402"/>
      <c r="O10" s="402"/>
      <c r="P10" s="402"/>
      <c r="Q10" s="403"/>
    </row>
    <row r="11" spans="1:19" x14ac:dyDescent="0.35">
      <c r="J11" s="404"/>
      <c r="K11" s="405"/>
      <c r="L11" s="405"/>
      <c r="M11" s="405"/>
      <c r="N11" s="405"/>
      <c r="O11" s="405"/>
      <c r="P11" s="405"/>
      <c r="Q11" s="406"/>
    </row>
    <row r="12" spans="1:19" x14ac:dyDescent="0.35">
      <c r="J12" s="404"/>
      <c r="K12" s="405"/>
      <c r="L12" s="405"/>
      <c r="M12" s="405"/>
      <c r="N12" s="405"/>
      <c r="O12" s="405"/>
      <c r="P12" s="405"/>
      <c r="Q12" s="406"/>
    </row>
    <row r="13" spans="1:19" x14ac:dyDescent="0.35">
      <c r="J13" s="404"/>
      <c r="K13" s="405"/>
      <c r="L13" s="405"/>
      <c r="M13" s="405"/>
      <c r="N13" s="405"/>
      <c r="O13" s="405"/>
      <c r="P13" s="405"/>
      <c r="Q13" s="406"/>
    </row>
    <row r="14" spans="1:19" x14ac:dyDescent="0.35">
      <c r="J14" s="404"/>
      <c r="K14" s="405"/>
      <c r="L14" s="405"/>
      <c r="M14" s="405"/>
      <c r="N14" s="405"/>
      <c r="O14" s="405"/>
      <c r="P14" s="405"/>
      <c r="Q14" s="406"/>
    </row>
    <row r="15" spans="1:19" ht="15" thickBot="1" x14ac:dyDescent="0.4">
      <c r="J15" s="407"/>
      <c r="K15" s="408"/>
      <c r="L15" s="408"/>
      <c r="M15" s="408"/>
      <c r="N15" s="408"/>
      <c r="O15" s="408"/>
      <c r="P15" s="408"/>
      <c r="Q15" s="409"/>
    </row>
    <row r="18" spans="3:17" x14ac:dyDescent="0.35">
      <c r="C18" s="7" t="s">
        <v>8</v>
      </c>
      <c r="E18" s="11">
        <f>'KPI 1'!E18</f>
        <v>45839</v>
      </c>
      <c r="F18" s="11">
        <f>'KPI 1'!F18</f>
        <v>45870</v>
      </c>
      <c r="G18" s="11">
        <f>'KPI 1'!G18</f>
        <v>45901</v>
      </c>
      <c r="H18" s="11">
        <f>'KPI 1'!H18</f>
        <v>45931</v>
      </c>
      <c r="I18" s="11">
        <f>'KPI 1'!I18</f>
        <v>45962</v>
      </c>
      <c r="J18" s="11">
        <f>'KPI 1'!J18</f>
        <v>45992</v>
      </c>
      <c r="K18" s="11">
        <f>'KPI 1'!K18</f>
        <v>46023</v>
      </c>
      <c r="L18" s="11">
        <f>'KPI 1'!L18</f>
        <v>46054</v>
      </c>
      <c r="M18" s="11">
        <f>'KPI 1'!M18</f>
        <v>46082</v>
      </c>
      <c r="N18" s="11">
        <f>'KPI 1'!N18</f>
        <v>46113</v>
      </c>
      <c r="O18" s="11">
        <f>'KPI 1'!O18</f>
        <v>46143</v>
      </c>
      <c r="P18" s="11">
        <f>'KPI 1'!P18</f>
        <v>46174</v>
      </c>
      <c r="Q18" s="8" t="s">
        <v>0</v>
      </c>
    </row>
    <row r="19" spans="3:17" x14ac:dyDescent="0.35">
      <c r="D19" s="3" t="str">
        <f>'KPI 1'!D19</f>
        <v>Budget 2025-26</v>
      </c>
      <c r="E19" s="5">
        <f>'budget 2025-26'!D91</f>
        <v>2</v>
      </c>
      <c r="F19" s="5">
        <f>'budget 2025-26'!E91</f>
        <v>2</v>
      </c>
      <c r="G19" s="5">
        <f>'budget 2025-26'!F91</f>
        <v>2</v>
      </c>
      <c r="H19" s="5">
        <f>'budget 2025-26'!G91</f>
        <v>2</v>
      </c>
      <c r="I19" s="5">
        <f>'budget 2025-26'!H91</f>
        <v>2</v>
      </c>
      <c r="J19" s="5">
        <f>'budget 2025-26'!I91</f>
        <v>2</v>
      </c>
      <c r="K19" s="5">
        <f>'budget 2025-26'!J91</f>
        <v>2</v>
      </c>
      <c r="L19" s="5">
        <f>'budget 2025-26'!K91</f>
        <v>2</v>
      </c>
      <c r="M19" s="5">
        <f>'budget 2025-26'!L91</f>
        <v>2</v>
      </c>
      <c r="N19" s="5">
        <f>'budget 2025-26'!M91</f>
        <v>2</v>
      </c>
      <c r="O19" s="5">
        <f>'budget 2025-26'!N91</f>
        <v>2</v>
      </c>
      <c r="P19" s="5">
        <f>'budget 2025-26'!O91</f>
        <v>2</v>
      </c>
      <c r="Q19" s="5">
        <f>SUM(E19:P19)</f>
        <v>24</v>
      </c>
    </row>
    <row r="20" spans="3:17" x14ac:dyDescent="0.35">
      <c r="D20" s="3" t="str">
        <f>'KPI 1'!D20</f>
        <v>Actual 2025-26</v>
      </c>
      <c r="E20" s="5">
        <f>'Input Actual2025-26'!E94</f>
        <v>2</v>
      </c>
      <c r="F20" s="5">
        <f>'Input Actual2025-26'!F94</f>
        <v>2</v>
      </c>
      <c r="G20" s="5">
        <f>'Input Actual2025-26'!G94</f>
        <v>2</v>
      </c>
      <c r="H20" s="5">
        <f>'Input Actual2025-26'!H94</f>
        <v>2</v>
      </c>
      <c r="I20" s="5">
        <f>'Input Actual2025-26'!I94</f>
        <v>2</v>
      </c>
      <c r="J20" s="5">
        <f>'Input Actual2025-26'!J94</f>
        <v>2</v>
      </c>
      <c r="K20" s="5">
        <f>'Input Actual2025-26'!K94</f>
        <v>2</v>
      </c>
      <c r="L20" s="5">
        <f>'Input Actual2025-26'!L94</f>
        <v>2</v>
      </c>
      <c r="M20" s="5">
        <f>'Input Actual2025-26'!M94</f>
        <v>0</v>
      </c>
      <c r="N20" s="5">
        <f>'Input Actual2025-26'!N94</f>
        <v>0</v>
      </c>
      <c r="O20" s="5">
        <f>'Input Actual2025-26'!O94</f>
        <v>0</v>
      </c>
      <c r="P20" s="5">
        <f>'Input Actual2025-26'!P94</f>
        <v>0</v>
      </c>
      <c r="Q20" s="5">
        <f t="shared" ref="Q20:Q22" si="0">SUM(E20:P20)</f>
        <v>16</v>
      </c>
    </row>
    <row r="21" spans="3:17" x14ac:dyDescent="0.35">
      <c r="D21" s="3" t="s">
        <v>424</v>
      </c>
      <c r="E21" s="5">
        <f>'Input Actual2024-25'!E87</f>
        <v>0</v>
      </c>
      <c r="F21" s="5">
        <f>'Input Actual2024-25'!F87</f>
        <v>6</v>
      </c>
      <c r="G21" s="5">
        <f>'Input Actual2024-25'!G87</f>
        <v>6</v>
      </c>
      <c r="H21" s="5">
        <f>'Input Actual2024-25'!H87</f>
        <v>6</v>
      </c>
      <c r="I21" s="5">
        <f>'Input Actual2024-25'!I87</f>
        <v>6</v>
      </c>
      <c r="J21" s="5">
        <f>'Input Actual2024-25'!J87</f>
        <v>6</v>
      </c>
      <c r="K21" s="5">
        <f>'Input Actual2024-25'!K87</f>
        <v>6</v>
      </c>
      <c r="L21" s="5">
        <f>'Input Actual2024-25'!L87</f>
        <v>2</v>
      </c>
      <c r="M21" s="5">
        <f>'Input Actual2024-25'!M87</f>
        <v>2</v>
      </c>
      <c r="N21" s="5">
        <f>'Input Actual2024-25'!N87</f>
        <v>2</v>
      </c>
      <c r="O21" s="5">
        <f>'Input Actual2024-25'!O87</f>
        <v>2</v>
      </c>
      <c r="P21" s="5">
        <f>'Input Actual2024-25'!P87</f>
        <v>2</v>
      </c>
      <c r="Q21" s="5">
        <f t="shared" si="0"/>
        <v>46</v>
      </c>
    </row>
    <row r="22" spans="3:17" x14ac:dyDescent="0.35">
      <c r="D22" s="3" t="s">
        <v>7</v>
      </c>
      <c r="E22" s="5">
        <f t="shared" ref="E22:P22" si="1">IF(E20=0,0,E20-E19)</f>
        <v>0</v>
      </c>
      <c r="F22" s="5">
        <f t="shared" si="1"/>
        <v>0</v>
      </c>
      <c r="G22" s="5">
        <f t="shared" si="1"/>
        <v>0</v>
      </c>
      <c r="H22" s="5">
        <f t="shared" si="1"/>
        <v>0</v>
      </c>
      <c r="I22" s="5">
        <f t="shared" si="1"/>
        <v>0</v>
      </c>
      <c r="J22" s="5">
        <f t="shared" si="1"/>
        <v>0</v>
      </c>
      <c r="K22" s="5">
        <f t="shared" si="1"/>
        <v>0</v>
      </c>
      <c r="L22" s="5">
        <f t="shared" si="1"/>
        <v>0</v>
      </c>
      <c r="M22" s="5">
        <f t="shared" si="1"/>
        <v>0</v>
      </c>
      <c r="N22" s="5">
        <f t="shared" si="1"/>
        <v>0</v>
      </c>
      <c r="O22" s="5">
        <f t="shared" si="1"/>
        <v>0</v>
      </c>
      <c r="P22" s="5">
        <f t="shared" si="1"/>
        <v>0</v>
      </c>
      <c r="Q22" s="5">
        <f t="shared" si="0"/>
        <v>0</v>
      </c>
    </row>
    <row r="23" spans="3:17" x14ac:dyDescent="0.35">
      <c r="D23" s="3" t="s">
        <v>43</v>
      </c>
      <c r="E23" s="9">
        <f>E21/E19</f>
        <v>0</v>
      </c>
      <c r="F23" s="9">
        <f t="shared" ref="F23:P23" si="2">F20/F19</f>
        <v>1</v>
      </c>
      <c r="G23" s="9">
        <f t="shared" si="2"/>
        <v>1</v>
      </c>
      <c r="H23" s="9">
        <f t="shared" si="2"/>
        <v>1</v>
      </c>
      <c r="I23" s="9">
        <f t="shared" si="2"/>
        <v>1</v>
      </c>
      <c r="J23" s="9">
        <f t="shared" si="2"/>
        <v>1</v>
      </c>
      <c r="K23" s="9">
        <f t="shared" si="2"/>
        <v>1</v>
      </c>
      <c r="L23" s="9">
        <f t="shared" si="2"/>
        <v>1</v>
      </c>
      <c r="M23" s="9">
        <f t="shared" si="2"/>
        <v>0</v>
      </c>
      <c r="N23" s="9">
        <f t="shared" si="2"/>
        <v>0</v>
      </c>
      <c r="O23" s="9">
        <f t="shared" si="2"/>
        <v>0</v>
      </c>
      <c r="P23" s="9">
        <f t="shared" si="2"/>
        <v>0</v>
      </c>
    </row>
    <row r="25" spans="3:17" x14ac:dyDescent="0.35">
      <c r="C25" s="7" t="s">
        <v>3</v>
      </c>
      <c r="E25" s="11">
        <f>E18</f>
        <v>45839</v>
      </c>
      <c r="F25" s="11">
        <f t="shared" ref="F25:P28" si="3">F18</f>
        <v>45870</v>
      </c>
      <c r="G25" s="11">
        <f t="shared" si="3"/>
        <v>45901</v>
      </c>
      <c r="H25" s="11">
        <f t="shared" si="3"/>
        <v>45931</v>
      </c>
      <c r="I25" s="11">
        <f t="shared" si="3"/>
        <v>45962</v>
      </c>
      <c r="J25" s="11">
        <f t="shared" si="3"/>
        <v>45992</v>
      </c>
      <c r="K25" s="11">
        <f t="shared" si="3"/>
        <v>46023</v>
      </c>
      <c r="L25" s="11">
        <f t="shared" si="3"/>
        <v>46054</v>
      </c>
      <c r="M25" s="11">
        <f t="shared" si="3"/>
        <v>46082</v>
      </c>
      <c r="N25" s="11">
        <f t="shared" si="3"/>
        <v>46113</v>
      </c>
      <c r="O25" s="11">
        <f t="shared" si="3"/>
        <v>46143</v>
      </c>
      <c r="P25" s="11">
        <f t="shared" si="3"/>
        <v>46174</v>
      </c>
    </row>
    <row r="26" spans="3:17" x14ac:dyDescent="0.35">
      <c r="D26" s="3" t="str">
        <f>D19</f>
        <v>Budget 2025-26</v>
      </c>
      <c r="E26" s="5">
        <f>E19</f>
        <v>2</v>
      </c>
      <c r="F26" s="5">
        <f t="shared" si="3"/>
        <v>2</v>
      </c>
      <c r="G26" s="5">
        <f t="shared" si="3"/>
        <v>2</v>
      </c>
      <c r="H26" s="5">
        <f t="shared" si="3"/>
        <v>2</v>
      </c>
      <c r="I26" s="5">
        <f t="shared" si="3"/>
        <v>2</v>
      </c>
      <c r="J26" s="5">
        <f t="shared" si="3"/>
        <v>2</v>
      </c>
      <c r="K26" s="5">
        <f t="shared" si="3"/>
        <v>2</v>
      </c>
      <c r="L26" s="5">
        <f t="shared" si="3"/>
        <v>2</v>
      </c>
      <c r="M26" s="5">
        <f t="shared" si="3"/>
        <v>2</v>
      </c>
      <c r="N26" s="5">
        <f t="shared" si="3"/>
        <v>2</v>
      </c>
      <c r="O26" s="5">
        <f t="shared" si="3"/>
        <v>2</v>
      </c>
      <c r="P26" s="5">
        <f t="shared" si="3"/>
        <v>2</v>
      </c>
    </row>
    <row r="27" spans="3:17" x14ac:dyDescent="0.35">
      <c r="D27" s="3" t="str">
        <f t="shared" ref="D27:E30" si="4">D20</f>
        <v>Actual 2025-26</v>
      </c>
      <c r="E27" s="5">
        <f t="shared" si="4"/>
        <v>2</v>
      </c>
      <c r="F27" s="5">
        <f t="shared" si="3"/>
        <v>2</v>
      </c>
      <c r="G27" s="5">
        <f t="shared" si="3"/>
        <v>2</v>
      </c>
      <c r="H27" s="5">
        <f t="shared" si="3"/>
        <v>2</v>
      </c>
      <c r="I27" s="5">
        <f t="shared" si="3"/>
        <v>2</v>
      </c>
      <c r="J27" s="5">
        <f t="shared" si="3"/>
        <v>2</v>
      </c>
      <c r="K27" s="5">
        <f t="shared" si="3"/>
        <v>2</v>
      </c>
      <c r="L27" s="5">
        <f t="shared" si="3"/>
        <v>2</v>
      </c>
      <c r="M27" s="5">
        <f t="shared" si="3"/>
        <v>0</v>
      </c>
      <c r="N27" s="5">
        <f t="shared" si="3"/>
        <v>0</v>
      </c>
      <c r="O27" s="5">
        <f t="shared" si="3"/>
        <v>0</v>
      </c>
      <c r="P27" s="5">
        <f t="shared" si="3"/>
        <v>0</v>
      </c>
    </row>
    <row r="28" spans="3:17" x14ac:dyDescent="0.35">
      <c r="D28" s="3" t="str">
        <f t="shared" si="4"/>
        <v>Actual 2024-25</v>
      </c>
      <c r="E28" s="5">
        <f t="shared" si="4"/>
        <v>0</v>
      </c>
      <c r="F28" s="5">
        <f t="shared" si="3"/>
        <v>6</v>
      </c>
      <c r="G28" s="5">
        <f t="shared" si="3"/>
        <v>6</v>
      </c>
      <c r="H28" s="5">
        <f t="shared" si="3"/>
        <v>6</v>
      </c>
      <c r="I28" s="5">
        <f t="shared" si="3"/>
        <v>6</v>
      </c>
      <c r="J28" s="5">
        <f t="shared" si="3"/>
        <v>6</v>
      </c>
      <c r="K28" s="5">
        <f t="shared" si="3"/>
        <v>6</v>
      </c>
      <c r="L28" s="5">
        <f t="shared" si="3"/>
        <v>2</v>
      </c>
      <c r="M28" s="5">
        <f t="shared" si="3"/>
        <v>2</v>
      </c>
      <c r="N28" s="5">
        <f t="shared" si="3"/>
        <v>2</v>
      </c>
      <c r="O28" s="5">
        <f t="shared" si="3"/>
        <v>2</v>
      </c>
      <c r="P28" s="5">
        <f t="shared" si="3"/>
        <v>2</v>
      </c>
    </row>
    <row r="29" spans="3:17" x14ac:dyDescent="0.35">
      <c r="D29" s="3" t="str">
        <f t="shared" si="4"/>
        <v>Difference</v>
      </c>
      <c r="E29" s="5">
        <f>SUM($E22:E22)</f>
        <v>0</v>
      </c>
      <c r="F29" s="5">
        <f>SUM($E22:F22)</f>
        <v>0</v>
      </c>
      <c r="G29" s="5">
        <f>SUM($E22:G22)</f>
        <v>0</v>
      </c>
      <c r="H29" s="5">
        <f>SUM($E22:H22)</f>
        <v>0</v>
      </c>
      <c r="I29" s="5">
        <f>SUM($E22:I22)</f>
        <v>0</v>
      </c>
      <c r="J29" s="5">
        <f>SUM($E22:J22)</f>
        <v>0</v>
      </c>
      <c r="K29" s="5">
        <f>SUM($E22:K22)</f>
        <v>0</v>
      </c>
      <c r="L29" s="5">
        <f>SUM($E22:L22)</f>
        <v>0</v>
      </c>
      <c r="M29" s="5">
        <f>SUM($E22:M22)</f>
        <v>0</v>
      </c>
      <c r="N29" s="5">
        <f>SUM($E22:N22)</f>
        <v>0</v>
      </c>
      <c r="O29" s="5">
        <f>SUM($E22:O22)</f>
        <v>0</v>
      </c>
      <c r="P29" s="5">
        <f>SUM($E22:P22)</f>
        <v>0</v>
      </c>
    </row>
    <row r="30" spans="3:17" x14ac:dyDescent="0.35">
      <c r="D30" s="3" t="str">
        <f t="shared" si="4"/>
        <v>Realisation</v>
      </c>
      <c r="E30" s="9">
        <f>E28/E26</f>
        <v>0</v>
      </c>
      <c r="F30" s="9">
        <f t="shared" ref="F30:P30" si="5">F27/F26</f>
        <v>1</v>
      </c>
      <c r="G30" s="9">
        <f t="shared" si="5"/>
        <v>1</v>
      </c>
      <c r="H30" s="9">
        <f t="shared" si="5"/>
        <v>1</v>
      </c>
      <c r="I30" s="9">
        <f t="shared" si="5"/>
        <v>1</v>
      </c>
      <c r="J30" s="9">
        <f t="shared" si="5"/>
        <v>1</v>
      </c>
      <c r="K30" s="9">
        <f t="shared" si="5"/>
        <v>1</v>
      </c>
      <c r="L30" s="9">
        <f t="shared" si="5"/>
        <v>1</v>
      </c>
      <c r="M30" s="9">
        <f t="shared" si="5"/>
        <v>0</v>
      </c>
      <c r="N30" s="9">
        <f t="shared" si="5"/>
        <v>0</v>
      </c>
      <c r="O30" s="9">
        <f t="shared" si="5"/>
        <v>0</v>
      </c>
      <c r="P30" s="9">
        <f t="shared" si="5"/>
        <v>0</v>
      </c>
    </row>
  </sheetData>
  <mergeCells count="2">
    <mergeCell ref="J4:Q8"/>
    <mergeCell ref="J10:Q15"/>
  </mergeCells>
  <conditionalFormatting sqref="C3">
    <cfRule type="expression" dxfId="314" priority="2">
      <formula>S4&lt;S6</formula>
    </cfRule>
  </conditionalFormatting>
  <conditionalFormatting sqref="C5">
    <cfRule type="expression" dxfId="313" priority="3">
      <formula>S4&gt;=S5</formula>
    </cfRule>
  </conditionalFormatting>
  <conditionalFormatting sqref="C4">
    <cfRule type="expression" dxfId="312" priority="1">
      <formula>AND(S4&gt;=S6,S4&lt;S5)</formula>
    </cfRule>
  </conditionalFormatting>
  <hyperlinks>
    <hyperlink ref="L1" location="Dashboard!A1" display="Dashboard"/>
  </hyperlinks>
  <pageMargins left="0.7" right="0.7" top="0.75" bottom="0.75" header="0.3" footer="0.3"/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593345" r:id="rId3" name="Spinner 1">
              <controlPr defaultSize="0" autoPict="0">
                <anchor moveWithCells="1" sizeWithCells="1">
                  <from>
                    <xdr:col>9</xdr:col>
                    <xdr:colOff>19050</xdr:colOff>
                    <xdr:row>0</xdr:row>
                    <xdr:rowOff>38100</xdr:rowOff>
                  </from>
                  <to>
                    <xdr:col>9</xdr:col>
                    <xdr:colOff>400050</xdr:colOff>
                    <xdr:row>1</xdr:row>
                    <xdr:rowOff>152400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9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75">
    <tabColor rgb="FFFFC000"/>
  </sheetPr>
  <dimension ref="A1:S30"/>
  <sheetViews>
    <sheetView zoomScale="90" zoomScaleNormal="90" workbookViewId="0">
      <selection activeCell="L1" sqref="L1"/>
    </sheetView>
  </sheetViews>
  <sheetFormatPr defaultColWidth="9.1796875" defaultRowHeight="14.5" x14ac:dyDescent="0.35"/>
  <cols>
    <col min="1" max="1" width="9.1796875" style="3"/>
    <col min="2" max="2" width="5.1796875" style="3" customWidth="1"/>
    <col min="3" max="3" width="6.26953125" style="3" customWidth="1"/>
    <col min="4" max="4" width="21.26953125" style="3" bestFit="1" customWidth="1"/>
    <col min="5" max="16" width="11.1796875" style="3" customWidth="1"/>
    <col min="17" max="17" width="12" style="3" bestFit="1" customWidth="1"/>
    <col min="18" max="18" width="9.1796875" style="3" customWidth="1"/>
    <col min="19" max="16384" width="9.1796875" style="3"/>
  </cols>
  <sheetData>
    <row r="1" spans="1:19" ht="21" x14ac:dyDescent="0.5">
      <c r="A1" s="4" t="s">
        <v>4</v>
      </c>
      <c r="B1" s="4">
        <f>Dashboard!A96</f>
        <v>6</v>
      </c>
      <c r="C1" s="4" t="str">
        <f>Dashboard!B96</f>
        <v>LAKEVIEW- ACTIVE SEWER</v>
      </c>
      <c r="D1" s="4"/>
      <c r="G1" s="3" t="s">
        <v>9</v>
      </c>
      <c r="I1" s="12">
        <f>INDEX($E$18:$P$18,Actual_month)</f>
        <v>46054</v>
      </c>
      <c r="L1" s="16" t="s">
        <v>19</v>
      </c>
      <c r="R1" s="5"/>
    </row>
    <row r="2" spans="1:19" x14ac:dyDescent="0.35">
      <c r="A2" s="3" t="s">
        <v>13</v>
      </c>
      <c r="C2" s="3" t="s">
        <v>27</v>
      </c>
      <c r="R2" s="6"/>
    </row>
    <row r="3" spans="1:19" ht="25.5" customHeight="1" thickBot="1" x14ac:dyDescent="0.4">
      <c r="C3" s="1" t="s">
        <v>5</v>
      </c>
      <c r="E3" s="10"/>
      <c r="F3" s="10"/>
      <c r="G3" s="10"/>
      <c r="H3" s="10"/>
      <c r="I3" s="10"/>
      <c r="J3" s="3" t="s">
        <v>6</v>
      </c>
      <c r="K3" s="10"/>
      <c r="M3" s="10"/>
      <c r="N3" s="10"/>
      <c r="O3" s="10"/>
      <c r="P3" s="10"/>
    </row>
    <row r="4" spans="1:19" ht="25.5" customHeight="1" x14ac:dyDescent="0.35">
      <c r="C4" s="1" t="s">
        <v>5</v>
      </c>
      <c r="E4" s="10"/>
      <c r="F4" s="10"/>
      <c r="G4" s="10"/>
      <c r="H4" s="10"/>
      <c r="I4" s="10"/>
      <c r="J4" s="401"/>
      <c r="K4" s="402"/>
      <c r="L4" s="402"/>
      <c r="M4" s="402"/>
      <c r="N4" s="402"/>
      <c r="O4" s="402"/>
      <c r="P4" s="402"/>
      <c r="Q4" s="403"/>
      <c r="R4" s="3" t="s">
        <v>22</v>
      </c>
      <c r="S4" s="5">
        <f>INDEX(E27:P27,Actual_month)</f>
        <v>159</v>
      </c>
    </row>
    <row r="5" spans="1:19" ht="25.5" customHeight="1" x14ac:dyDescent="0.35">
      <c r="C5" s="1" t="s">
        <v>5</v>
      </c>
      <c r="E5" s="10"/>
      <c r="F5" s="10"/>
      <c r="G5" s="10"/>
      <c r="H5" s="10"/>
      <c r="I5" s="10"/>
      <c r="J5" s="404"/>
      <c r="K5" s="405"/>
      <c r="L5" s="405"/>
      <c r="M5" s="405"/>
      <c r="N5" s="405"/>
      <c r="O5" s="405"/>
      <c r="P5" s="405"/>
      <c r="Q5" s="406"/>
      <c r="R5" s="3" t="s">
        <v>23</v>
      </c>
      <c r="S5" s="5">
        <f>INDEX(E26:P26,Actual_month)</f>
        <v>163</v>
      </c>
    </row>
    <row r="6" spans="1:19" x14ac:dyDescent="0.35">
      <c r="J6" s="404"/>
      <c r="K6" s="405"/>
      <c r="L6" s="405"/>
      <c r="M6" s="405"/>
      <c r="N6" s="405"/>
      <c r="O6" s="405"/>
      <c r="P6" s="405"/>
      <c r="Q6" s="406"/>
      <c r="R6" s="6">
        <v>0.9</v>
      </c>
      <c r="S6" s="5">
        <f>+S5*R6</f>
        <v>146.70000000000002</v>
      </c>
    </row>
    <row r="7" spans="1:19" x14ac:dyDescent="0.35">
      <c r="J7" s="404"/>
      <c r="K7" s="405"/>
      <c r="L7" s="405"/>
      <c r="M7" s="405"/>
      <c r="N7" s="405"/>
      <c r="O7" s="405"/>
      <c r="P7" s="405"/>
      <c r="Q7" s="406"/>
    </row>
    <row r="8" spans="1:19" ht="15" thickBot="1" x14ac:dyDescent="0.4">
      <c r="J8" s="407"/>
      <c r="K8" s="408"/>
      <c r="L8" s="408"/>
      <c r="M8" s="408"/>
      <c r="N8" s="408"/>
      <c r="O8" s="408"/>
      <c r="P8" s="408"/>
      <c r="Q8" s="409"/>
    </row>
    <row r="9" spans="1:19" ht="15" thickBot="1" x14ac:dyDescent="0.4">
      <c r="J9" s="3" t="s">
        <v>12</v>
      </c>
    </row>
    <row r="10" spans="1:19" x14ac:dyDescent="0.35">
      <c r="J10" s="401"/>
      <c r="K10" s="402"/>
      <c r="L10" s="402"/>
      <c r="M10" s="402"/>
      <c r="N10" s="402"/>
      <c r="O10" s="402"/>
      <c r="P10" s="402"/>
      <c r="Q10" s="403"/>
    </row>
    <row r="11" spans="1:19" x14ac:dyDescent="0.35">
      <c r="J11" s="404"/>
      <c r="K11" s="405"/>
      <c r="L11" s="405"/>
      <c r="M11" s="405"/>
      <c r="N11" s="405"/>
      <c r="O11" s="405"/>
      <c r="P11" s="405"/>
      <c r="Q11" s="406"/>
    </row>
    <row r="12" spans="1:19" x14ac:dyDescent="0.35">
      <c r="J12" s="404"/>
      <c r="K12" s="405"/>
      <c r="L12" s="405"/>
      <c r="M12" s="405"/>
      <c r="N12" s="405"/>
      <c r="O12" s="405"/>
      <c r="P12" s="405"/>
      <c r="Q12" s="406"/>
    </row>
    <row r="13" spans="1:19" x14ac:dyDescent="0.35">
      <c r="J13" s="404"/>
      <c r="K13" s="405"/>
      <c r="L13" s="405"/>
      <c r="M13" s="405"/>
      <c r="N13" s="405"/>
      <c r="O13" s="405"/>
      <c r="P13" s="405"/>
      <c r="Q13" s="406"/>
    </row>
    <row r="14" spans="1:19" x14ac:dyDescent="0.35">
      <c r="J14" s="404"/>
      <c r="K14" s="405"/>
      <c r="L14" s="405"/>
      <c r="M14" s="405"/>
      <c r="N14" s="405"/>
      <c r="O14" s="405"/>
      <c r="P14" s="405"/>
      <c r="Q14" s="406"/>
    </row>
    <row r="15" spans="1:19" ht="15" thickBot="1" x14ac:dyDescent="0.4">
      <c r="J15" s="407"/>
      <c r="K15" s="408"/>
      <c r="L15" s="408"/>
      <c r="M15" s="408"/>
      <c r="N15" s="408"/>
      <c r="O15" s="408"/>
      <c r="P15" s="408"/>
      <c r="Q15" s="409"/>
    </row>
    <row r="18" spans="3:17" x14ac:dyDescent="0.35">
      <c r="C18" s="7" t="s">
        <v>8</v>
      </c>
      <c r="E18" s="11">
        <f>'KPI 1'!E18</f>
        <v>45839</v>
      </c>
      <c r="F18" s="11">
        <f>'KPI 1'!F18</f>
        <v>45870</v>
      </c>
      <c r="G18" s="11">
        <f>'KPI 1'!G18</f>
        <v>45901</v>
      </c>
      <c r="H18" s="11">
        <f>'KPI 1'!H18</f>
        <v>45931</v>
      </c>
      <c r="I18" s="11">
        <f>'KPI 1'!I18</f>
        <v>45962</v>
      </c>
      <c r="J18" s="11">
        <f>'KPI 1'!J18</f>
        <v>45992</v>
      </c>
      <c r="K18" s="11">
        <f>'KPI 1'!K18</f>
        <v>46023</v>
      </c>
      <c r="L18" s="11">
        <f>'KPI 1'!L18</f>
        <v>46054</v>
      </c>
      <c r="M18" s="11">
        <f>'KPI 1'!M18</f>
        <v>46082</v>
      </c>
      <c r="N18" s="11">
        <f>'KPI 1'!N18</f>
        <v>46113</v>
      </c>
      <c r="O18" s="11">
        <f>'KPI 1'!O18</f>
        <v>46143</v>
      </c>
      <c r="P18" s="11">
        <f>'KPI 1'!P18</f>
        <v>46174</v>
      </c>
      <c r="Q18" s="8" t="s">
        <v>0</v>
      </c>
    </row>
    <row r="19" spans="3:17" x14ac:dyDescent="0.35">
      <c r="D19" s="3" t="str">
        <f>'KPI 1'!D19</f>
        <v>Budget 2025-26</v>
      </c>
      <c r="E19" s="5">
        <f>'budget 2025-26'!D90</f>
        <v>156</v>
      </c>
      <c r="F19" s="5">
        <f>'budget 2025-26'!E90</f>
        <v>157</v>
      </c>
      <c r="G19" s="5">
        <f>'budget 2025-26'!F90</f>
        <v>158</v>
      </c>
      <c r="H19" s="5">
        <f>'budget 2025-26'!G90</f>
        <v>159</v>
      </c>
      <c r="I19" s="5">
        <f>'budget 2025-26'!H90</f>
        <v>160</v>
      </c>
      <c r="J19" s="5">
        <f>'budget 2025-26'!I90</f>
        <v>161</v>
      </c>
      <c r="K19" s="5">
        <f>'budget 2025-26'!J90</f>
        <v>162</v>
      </c>
      <c r="L19" s="5">
        <f>'budget 2025-26'!K90</f>
        <v>163</v>
      </c>
      <c r="M19" s="5">
        <f>'budget 2025-26'!L90</f>
        <v>164</v>
      </c>
      <c r="N19" s="5">
        <f>'budget 2025-26'!M90</f>
        <v>165</v>
      </c>
      <c r="O19" s="5">
        <f>'budget 2025-26'!N90</f>
        <v>166</v>
      </c>
      <c r="P19" s="5">
        <f>'budget 2025-26'!O90</f>
        <v>167</v>
      </c>
      <c r="Q19" s="5">
        <f>SUM(E19:P19)</f>
        <v>1938</v>
      </c>
    </row>
    <row r="20" spans="3:17" x14ac:dyDescent="0.35">
      <c r="D20" s="3" t="str">
        <f>'KPI 1'!D20</f>
        <v>Actual 2025-26</v>
      </c>
      <c r="E20" s="5">
        <f>'Input Actual2025-26'!E93</f>
        <v>155</v>
      </c>
      <c r="F20" s="5">
        <f>'Input Actual2025-26'!F93</f>
        <v>155</v>
      </c>
      <c r="G20" s="5">
        <f>'Input Actual2025-26'!G93</f>
        <v>155</v>
      </c>
      <c r="H20" s="5">
        <f>'Input Actual2025-26'!H93</f>
        <v>154</v>
      </c>
      <c r="I20" s="5">
        <f>'Input Actual2025-26'!I93</f>
        <v>155</v>
      </c>
      <c r="J20" s="5">
        <f>'Input Actual2025-26'!J93</f>
        <v>158</v>
      </c>
      <c r="K20" s="5">
        <f>'Input Actual2025-26'!K93</f>
        <v>159</v>
      </c>
      <c r="L20" s="5">
        <f>'Input Actual2025-26'!L93</f>
        <v>159</v>
      </c>
      <c r="M20" s="5">
        <f>'Input Actual2025-26'!M93</f>
        <v>0</v>
      </c>
      <c r="N20" s="5">
        <f>'Input Actual2025-26'!N93</f>
        <v>0</v>
      </c>
      <c r="O20" s="5">
        <f>'Input Actual2025-26'!O93</f>
        <v>0</v>
      </c>
      <c r="P20" s="5">
        <f>'Input Actual2025-26'!P93</f>
        <v>0</v>
      </c>
      <c r="Q20" s="5">
        <f t="shared" ref="Q20:Q22" si="0">SUM(E20:P20)</f>
        <v>1250</v>
      </c>
    </row>
    <row r="21" spans="3:17" x14ac:dyDescent="0.35">
      <c r="D21" s="3" t="s">
        <v>424</v>
      </c>
      <c r="E21" s="5">
        <f>'Input Actual2024-25'!E86</f>
        <v>158</v>
      </c>
      <c r="F21" s="5">
        <f>'Input Actual2024-25'!F86</f>
        <v>152</v>
      </c>
      <c r="G21" s="5">
        <f>'Input Actual2024-25'!G86</f>
        <v>154</v>
      </c>
      <c r="H21" s="5">
        <f>'Input Actual2024-25'!H86</f>
        <v>154</v>
      </c>
      <c r="I21" s="5">
        <f>'Input Actual2024-25'!I86</f>
        <v>154</v>
      </c>
      <c r="J21" s="5">
        <f>'Input Actual2024-25'!J86</f>
        <v>153</v>
      </c>
      <c r="K21" s="5">
        <f>'Input Actual2024-25'!K86</f>
        <v>153</v>
      </c>
      <c r="L21" s="5">
        <f>'Input Actual2024-25'!L86</f>
        <v>153</v>
      </c>
      <c r="M21" s="5">
        <f>'Input Actual2024-25'!M86</f>
        <v>155</v>
      </c>
      <c r="N21" s="5">
        <f>'Input Actual2024-25'!N86</f>
        <v>156</v>
      </c>
      <c r="O21" s="5">
        <f>'Input Actual2024-25'!O86</f>
        <v>155</v>
      </c>
      <c r="P21" s="5">
        <f>'Input Actual2024-25'!P86</f>
        <v>155</v>
      </c>
      <c r="Q21" s="5">
        <f t="shared" si="0"/>
        <v>1852</v>
      </c>
    </row>
    <row r="22" spans="3:17" x14ac:dyDescent="0.35">
      <c r="D22" s="3" t="s">
        <v>7</v>
      </c>
      <c r="E22" s="5">
        <f t="shared" ref="E22:P22" si="1">IF(E20=0,0,E20-E19)</f>
        <v>-1</v>
      </c>
      <c r="F22" s="5">
        <f t="shared" si="1"/>
        <v>-2</v>
      </c>
      <c r="G22" s="5">
        <f t="shared" si="1"/>
        <v>-3</v>
      </c>
      <c r="H22" s="5">
        <f t="shared" si="1"/>
        <v>-5</v>
      </c>
      <c r="I22" s="5">
        <f t="shared" si="1"/>
        <v>-5</v>
      </c>
      <c r="J22" s="5">
        <f t="shared" si="1"/>
        <v>-3</v>
      </c>
      <c r="K22" s="5">
        <f t="shared" si="1"/>
        <v>-3</v>
      </c>
      <c r="L22" s="5">
        <f t="shared" si="1"/>
        <v>-4</v>
      </c>
      <c r="M22" s="5">
        <f t="shared" si="1"/>
        <v>0</v>
      </c>
      <c r="N22" s="5">
        <f t="shared" si="1"/>
        <v>0</v>
      </c>
      <c r="O22" s="5">
        <f t="shared" si="1"/>
        <v>0</v>
      </c>
      <c r="P22" s="5">
        <f t="shared" si="1"/>
        <v>0</v>
      </c>
      <c r="Q22" s="5">
        <f t="shared" si="0"/>
        <v>-26</v>
      </c>
    </row>
    <row r="23" spans="3:17" x14ac:dyDescent="0.35">
      <c r="D23" s="3" t="s">
        <v>43</v>
      </c>
      <c r="E23" s="9">
        <f>E21/E19</f>
        <v>1.0128205128205128</v>
      </c>
      <c r="F23" s="9">
        <f t="shared" ref="F23:P23" si="2">F20/F19</f>
        <v>0.98726114649681529</v>
      </c>
      <c r="G23" s="9">
        <f t="shared" si="2"/>
        <v>0.98101265822784811</v>
      </c>
      <c r="H23" s="9">
        <f t="shared" si="2"/>
        <v>0.96855345911949686</v>
      </c>
      <c r="I23" s="9">
        <f t="shared" si="2"/>
        <v>0.96875</v>
      </c>
      <c r="J23" s="9">
        <f t="shared" si="2"/>
        <v>0.98136645962732916</v>
      </c>
      <c r="K23" s="9">
        <f t="shared" si="2"/>
        <v>0.98148148148148151</v>
      </c>
      <c r="L23" s="9">
        <f t="shared" si="2"/>
        <v>0.97546012269938653</v>
      </c>
      <c r="M23" s="9">
        <f t="shared" si="2"/>
        <v>0</v>
      </c>
      <c r="N23" s="9">
        <f t="shared" si="2"/>
        <v>0</v>
      </c>
      <c r="O23" s="9">
        <f t="shared" si="2"/>
        <v>0</v>
      </c>
      <c r="P23" s="9">
        <f t="shared" si="2"/>
        <v>0</v>
      </c>
    </row>
    <row r="25" spans="3:17" x14ac:dyDescent="0.35">
      <c r="C25" s="7" t="s">
        <v>3</v>
      </c>
      <c r="E25" s="11">
        <f>E18</f>
        <v>45839</v>
      </c>
      <c r="F25" s="11">
        <f t="shared" ref="F25:P28" si="3">F18</f>
        <v>45870</v>
      </c>
      <c r="G25" s="11">
        <f t="shared" si="3"/>
        <v>45901</v>
      </c>
      <c r="H25" s="11">
        <f t="shared" si="3"/>
        <v>45931</v>
      </c>
      <c r="I25" s="11">
        <f t="shared" si="3"/>
        <v>45962</v>
      </c>
      <c r="J25" s="11">
        <f t="shared" si="3"/>
        <v>45992</v>
      </c>
      <c r="K25" s="11">
        <f t="shared" si="3"/>
        <v>46023</v>
      </c>
      <c r="L25" s="11">
        <f t="shared" si="3"/>
        <v>46054</v>
      </c>
      <c r="M25" s="11">
        <f t="shared" si="3"/>
        <v>46082</v>
      </c>
      <c r="N25" s="11">
        <f t="shared" si="3"/>
        <v>46113</v>
      </c>
      <c r="O25" s="11">
        <f t="shared" si="3"/>
        <v>46143</v>
      </c>
      <c r="P25" s="11">
        <f t="shared" si="3"/>
        <v>46174</v>
      </c>
    </row>
    <row r="26" spans="3:17" x14ac:dyDescent="0.35">
      <c r="D26" s="3" t="str">
        <f>D19</f>
        <v>Budget 2025-26</v>
      </c>
      <c r="E26" s="5">
        <f>E19</f>
        <v>156</v>
      </c>
      <c r="F26" s="5">
        <f t="shared" si="3"/>
        <v>157</v>
      </c>
      <c r="G26" s="5">
        <f t="shared" si="3"/>
        <v>158</v>
      </c>
      <c r="H26" s="5">
        <f t="shared" si="3"/>
        <v>159</v>
      </c>
      <c r="I26" s="5">
        <f t="shared" si="3"/>
        <v>160</v>
      </c>
      <c r="J26" s="5">
        <f t="shared" si="3"/>
        <v>161</v>
      </c>
      <c r="K26" s="5">
        <f t="shared" si="3"/>
        <v>162</v>
      </c>
      <c r="L26" s="5">
        <f t="shared" si="3"/>
        <v>163</v>
      </c>
      <c r="M26" s="5">
        <f t="shared" si="3"/>
        <v>164</v>
      </c>
      <c r="N26" s="5">
        <f t="shared" si="3"/>
        <v>165</v>
      </c>
      <c r="O26" s="5">
        <f t="shared" si="3"/>
        <v>166</v>
      </c>
      <c r="P26" s="5">
        <f t="shared" si="3"/>
        <v>167</v>
      </c>
    </row>
    <row r="27" spans="3:17" x14ac:dyDescent="0.35">
      <c r="D27" s="3" t="str">
        <f t="shared" ref="D27:E30" si="4">D20</f>
        <v>Actual 2025-26</v>
      </c>
      <c r="E27" s="5">
        <f t="shared" si="4"/>
        <v>155</v>
      </c>
      <c r="F27" s="5">
        <f t="shared" si="3"/>
        <v>155</v>
      </c>
      <c r="G27" s="5">
        <f t="shared" si="3"/>
        <v>155</v>
      </c>
      <c r="H27" s="5">
        <f t="shared" si="3"/>
        <v>154</v>
      </c>
      <c r="I27" s="5">
        <f t="shared" si="3"/>
        <v>155</v>
      </c>
      <c r="J27" s="5">
        <f t="shared" si="3"/>
        <v>158</v>
      </c>
      <c r="K27" s="5">
        <f t="shared" si="3"/>
        <v>159</v>
      </c>
      <c r="L27" s="5">
        <f t="shared" si="3"/>
        <v>159</v>
      </c>
      <c r="M27" s="5">
        <f t="shared" si="3"/>
        <v>0</v>
      </c>
      <c r="N27" s="5">
        <f t="shared" si="3"/>
        <v>0</v>
      </c>
      <c r="O27" s="5">
        <f t="shared" si="3"/>
        <v>0</v>
      </c>
      <c r="P27" s="5">
        <f t="shared" si="3"/>
        <v>0</v>
      </c>
    </row>
    <row r="28" spans="3:17" x14ac:dyDescent="0.35">
      <c r="D28" s="3" t="str">
        <f t="shared" si="4"/>
        <v>Actual 2024-25</v>
      </c>
      <c r="E28" s="5">
        <f t="shared" si="4"/>
        <v>158</v>
      </c>
      <c r="F28" s="5">
        <f t="shared" si="3"/>
        <v>152</v>
      </c>
      <c r="G28" s="5">
        <f t="shared" si="3"/>
        <v>154</v>
      </c>
      <c r="H28" s="5">
        <f t="shared" si="3"/>
        <v>154</v>
      </c>
      <c r="I28" s="5">
        <f t="shared" si="3"/>
        <v>154</v>
      </c>
      <c r="J28" s="5">
        <f t="shared" si="3"/>
        <v>153</v>
      </c>
      <c r="K28" s="5">
        <f t="shared" si="3"/>
        <v>153</v>
      </c>
      <c r="L28" s="5">
        <f t="shared" si="3"/>
        <v>153</v>
      </c>
      <c r="M28" s="5">
        <f t="shared" si="3"/>
        <v>155</v>
      </c>
      <c r="N28" s="5">
        <f t="shared" si="3"/>
        <v>156</v>
      </c>
      <c r="O28" s="5">
        <f t="shared" si="3"/>
        <v>155</v>
      </c>
      <c r="P28" s="5">
        <f t="shared" si="3"/>
        <v>155</v>
      </c>
    </row>
    <row r="29" spans="3:17" x14ac:dyDescent="0.35">
      <c r="D29" s="3" t="str">
        <f t="shared" si="4"/>
        <v>Difference</v>
      </c>
      <c r="E29" s="5">
        <f>SUM($E22:E22)</f>
        <v>-1</v>
      </c>
      <c r="F29" s="5">
        <f>SUM($E22:F22)</f>
        <v>-3</v>
      </c>
      <c r="G29" s="5">
        <f>SUM($E22:G22)</f>
        <v>-6</v>
      </c>
      <c r="H29" s="5">
        <f>SUM($E22:H22)</f>
        <v>-11</v>
      </c>
      <c r="I29" s="5">
        <f>SUM($E22:I22)</f>
        <v>-16</v>
      </c>
      <c r="J29" s="5">
        <f>SUM($E22:J22)</f>
        <v>-19</v>
      </c>
      <c r="K29" s="5">
        <f>SUM($E22:K22)</f>
        <v>-22</v>
      </c>
      <c r="L29" s="5">
        <f>SUM($E22:L22)</f>
        <v>-26</v>
      </c>
      <c r="M29" s="5">
        <f>SUM($E22:M22)</f>
        <v>-26</v>
      </c>
      <c r="N29" s="5">
        <f>SUM($E22:N22)</f>
        <v>-26</v>
      </c>
      <c r="O29" s="5">
        <f>SUM($E22:O22)</f>
        <v>-26</v>
      </c>
      <c r="P29" s="5">
        <f>SUM($E22:P22)</f>
        <v>-26</v>
      </c>
    </row>
    <row r="30" spans="3:17" x14ac:dyDescent="0.35">
      <c r="D30" s="3" t="str">
        <f t="shared" si="4"/>
        <v>Realisation</v>
      </c>
      <c r="E30" s="9">
        <f>E28/E26</f>
        <v>1.0128205128205128</v>
      </c>
      <c r="F30" s="9">
        <f t="shared" ref="F30:P30" si="5">F27/F26</f>
        <v>0.98726114649681529</v>
      </c>
      <c r="G30" s="9">
        <f t="shared" si="5"/>
        <v>0.98101265822784811</v>
      </c>
      <c r="H30" s="9">
        <f t="shared" si="5"/>
        <v>0.96855345911949686</v>
      </c>
      <c r="I30" s="9">
        <f t="shared" si="5"/>
        <v>0.96875</v>
      </c>
      <c r="J30" s="9">
        <f t="shared" si="5"/>
        <v>0.98136645962732916</v>
      </c>
      <c r="K30" s="9">
        <f t="shared" si="5"/>
        <v>0.98148148148148151</v>
      </c>
      <c r="L30" s="9">
        <f t="shared" si="5"/>
        <v>0.97546012269938653</v>
      </c>
      <c r="M30" s="9">
        <f t="shared" si="5"/>
        <v>0</v>
      </c>
      <c r="N30" s="9">
        <f t="shared" si="5"/>
        <v>0</v>
      </c>
      <c r="O30" s="9">
        <f t="shared" si="5"/>
        <v>0</v>
      </c>
      <c r="P30" s="9">
        <f t="shared" si="5"/>
        <v>0</v>
      </c>
    </row>
  </sheetData>
  <mergeCells count="2">
    <mergeCell ref="J4:Q8"/>
    <mergeCell ref="J10:Q15"/>
  </mergeCells>
  <conditionalFormatting sqref="C3">
    <cfRule type="expression" dxfId="311" priority="2">
      <formula>S4&lt;S6</formula>
    </cfRule>
  </conditionalFormatting>
  <conditionalFormatting sqref="C5">
    <cfRule type="expression" dxfId="310" priority="3">
      <formula>S4&gt;=S5</formula>
    </cfRule>
  </conditionalFormatting>
  <conditionalFormatting sqref="C4">
    <cfRule type="expression" dxfId="309" priority="1">
      <formula>AND(S4&gt;=S6,S4&lt;S5)</formula>
    </cfRule>
  </conditionalFormatting>
  <hyperlinks>
    <hyperlink ref="L1" location="Dashboard!A1" display="Dashboard"/>
  </hyperlinks>
  <pageMargins left="0.7" right="0.7" top="0.75" bottom="0.75" header="0.3" footer="0.3"/>
  <pageSetup orientation="portrait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10689" r:id="rId4" name="Spinner 1">
              <controlPr defaultSize="0" autoPict="0">
                <anchor moveWithCells="1" sizeWithCells="1">
                  <from>
                    <xdr:col>9</xdr:col>
                    <xdr:colOff>19050</xdr:colOff>
                    <xdr:row>0</xdr:row>
                    <xdr:rowOff>38100</xdr:rowOff>
                  </from>
                  <to>
                    <xdr:col>9</xdr:col>
                    <xdr:colOff>400050</xdr:colOff>
                    <xdr:row>1</xdr:row>
                    <xdr:rowOff>152400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9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76"/>
  <dimension ref="A1:S30"/>
  <sheetViews>
    <sheetView zoomScale="90" zoomScaleNormal="90" workbookViewId="0">
      <selection activeCell="L1" sqref="L1"/>
    </sheetView>
  </sheetViews>
  <sheetFormatPr defaultColWidth="9.1796875" defaultRowHeight="14.5" x14ac:dyDescent="0.35"/>
  <cols>
    <col min="1" max="1" width="9.1796875" style="3"/>
    <col min="2" max="2" width="5.1796875" style="3" customWidth="1"/>
    <col min="3" max="3" width="6.26953125" style="3" customWidth="1"/>
    <col min="4" max="4" width="21.26953125" style="3" bestFit="1" customWidth="1"/>
    <col min="5" max="16" width="11.1796875" style="3" customWidth="1"/>
    <col min="17" max="17" width="12" style="3" bestFit="1" customWidth="1"/>
    <col min="18" max="18" width="9.1796875" style="3" customWidth="1"/>
    <col min="19" max="16384" width="9.1796875" style="3"/>
  </cols>
  <sheetData>
    <row r="1" spans="1:19" ht="21" x14ac:dyDescent="0.5">
      <c r="A1" s="4" t="s">
        <v>4</v>
      </c>
      <c r="B1" s="4">
        <f>Dashboard!A101</f>
        <v>3</v>
      </c>
      <c r="C1" s="4" t="str">
        <f>Dashboard!B101</f>
        <v>MAI-MAHIU- ACTIVE SEWER</v>
      </c>
      <c r="D1" s="4"/>
      <c r="G1" s="3" t="s">
        <v>9</v>
      </c>
      <c r="I1" s="12">
        <f>INDEX($E$18:$P$18,Actual_month)</f>
        <v>46054</v>
      </c>
      <c r="L1" s="16" t="s">
        <v>19</v>
      </c>
      <c r="R1" s="5"/>
    </row>
    <row r="2" spans="1:19" x14ac:dyDescent="0.35">
      <c r="A2" s="3" t="s">
        <v>13</v>
      </c>
      <c r="C2" s="3" t="s">
        <v>27</v>
      </c>
      <c r="R2" s="6"/>
    </row>
    <row r="3" spans="1:19" ht="25.5" customHeight="1" thickBot="1" x14ac:dyDescent="0.4">
      <c r="C3" s="1" t="s">
        <v>5</v>
      </c>
      <c r="E3" s="10"/>
      <c r="F3" s="10"/>
      <c r="G3" s="10"/>
      <c r="H3" s="10"/>
      <c r="I3" s="10"/>
      <c r="J3" s="3" t="s">
        <v>6</v>
      </c>
      <c r="K3" s="10"/>
      <c r="M3" s="10"/>
      <c r="N3" s="10"/>
      <c r="O3" s="10"/>
      <c r="P3" s="10"/>
    </row>
    <row r="4" spans="1:19" ht="25.5" customHeight="1" x14ac:dyDescent="0.35">
      <c r="C4" s="1" t="s">
        <v>5</v>
      </c>
      <c r="E4" s="10"/>
      <c r="F4" s="10"/>
      <c r="G4" s="10"/>
      <c r="H4" s="10"/>
      <c r="I4" s="10"/>
      <c r="J4" s="401"/>
      <c r="K4" s="402"/>
      <c r="L4" s="402"/>
      <c r="M4" s="402"/>
      <c r="N4" s="402"/>
      <c r="O4" s="402"/>
      <c r="P4" s="402"/>
      <c r="Q4" s="403"/>
      <c r="R4" s="3" t="s">
        <v>22</v>
      </c>
      <c r="S4" s="5">
        <f>INDEX(E27:P27,Actual_month)</f>
        <v>0</v>
      </c>
    </row>
    <row r="5" spans="1:19" ht="25.5" customHeight="1" x14ac:dyDescent="0.35">
      <c r="C5" s="1" t="s">
        <v>5</v>
      </c>
      <c r="E5" s="10"/>
      <c r="F5" s="10"/>
      <c r="G5" s="10"/>
      <c r="H5" s="10"/>
      <c r="I5" s="10"/>
      <c r="J5" s="404"/>
      <c r="K5" s="405"/>
      <c r="L5" s="405"/>
      <c r="M5" s="405"/>
      <c r="N5" s="405"/>
      <c r="O5" s="405"/>
      <c r="P5" s="405"/>
      <c r="Q5" s="406"/>
      <c r="R5" s="3" t="s">
        <v>23</v>
      </c>
      <c r="S5" s="5">
        <f>INDEX(E26:P26,Actual_month)</f>
        <v>0</v>
      </c>
    </row>
    <row r="6" spans="1:19" x14ac:dyDescent="0.35">
      <c r="J6" s="404"/>
      <c r="K6" s="405"/>
      <c r="L6" s="405"/>
      <c r="M6" s="405"/>
      <c r="N6" s="405"/>
      <c r="O6" s="405"/>
      <c r="P6" s="405"/>
      <c r="Q6" s="406"/>
      <c r="R6" s="6">
        <v>0.9</v>
      </c>
      <c r="S6" s="5">
        <f>+S5*R6</f>
        <v>0</v>
      </c>
    </row>
    <row r="7" spans="1:19" x14ac:dyDescent="0.35">
      <c r="J7" s="404"/>
      <c r="K7" s="405"/>
      <c r="L7" s="405"/>
      <c r="M7" s="405"/>
      <c r="N7" s="405"/>
      <c r="O7" s="405"/>
      <c r="P7" s="405"/>
      <c r="Q7" s="406"/>
    </row>
    <row r="8" spans="1:19" ht="15" thickBot="1" x14ac:dyDescent="0.4">
      <c r="J8" s="407"/>
      <c r="K8" s="408"/>
      <c r="L8" s="408"/>
      <c r="M8" s="408"/>
      <c r="N8" s="408"/>
      <c r="O8" s="408"/>
      <c r="P8" s="408"/>
      <c r="Q8" s="409"/>
    </row>
    <row r="9" spans="1:19" ht="15" thickBot="1" x14ac:dyDescent="0.4">
      <c r="J9" s="3" t="s">
        <v>12</v>
      </c>
    </row>
    <row r="10" spans="1:19" x14ac:dyDescent="0.35">
      <c r="J10" s="401"/>
      <c r="K10" s="402"/>
      <c r="L10" s="402"/>
      <c r="M10" s="402"/>
      <c r="N10" s="402"/>
      <c r="O10" s="402"/>
      <c r="P10" s="402"/>
      <c r="Q10" s="403"/>
    </row>
    <row r="11" spans="1:19" x14ac:dyDescent="0.35">
      <c r="J11" s="404"/>
      <c r="K11" s="405"/>
      <c r="L11" s="405"/>
      <c r="M11" s="405"/>
      <c r="N11" s="405"/>
      <c r="O11" s="405"/>
      <c r="P11" s="405"/>
      <c r="Q11" s="406"/>
    </row>
    <row r="12" spans="1:19" x14ac:dyDescent="0.35">
      <c r="J12" s="404"/>
      <c r="K12" s="405"/>
      <c r="L12" s="405"/>
      <c r="M12" s="405"/>
      <c r="N12" s="405"/>
      <c r="O12" s="405"/>
      <c r="P12" s="405"/>
      <c r="Q12" s="406"/>
    </row>
    <row r="13" spans="1:19" x14ac:dyDescent="0.35">
      <c r="J13" s="404"/>
      <c r="K13" s="405"/>
      <c r="L13" s="405"/>
      <c r="M13" s="405"/>
      <c r="N13" s="405"/>
      <c r="O13" s="405"/>
      <c r="P13" s="405"/>
      <c r="Q13" s="406"/>
    </row>
    <row r="14" spans="1:19" x14ac:dyDescent="0.35">
      <c r="J14" s="404"/>
      <c r="K14" s="405"/>
      <c r="L14" s="405"/>
      <c r="M14" s="405"/>
      <c r="N14" s="405"/>
      <c r="O14" s="405"/>
      <c r="P14" s="405"/>
      <c r="Q14" s="406"/>
    </row>
    <row r="15" spans="1:19" ht="15" thickBot="1" x14ac:dyDescent="0.4">
      <c r="J15" s="407"/>
      <c r="K15" s="408"/>
      <c r="L15" s="408"/>
      <c r="M15" s="408"/>
      <c r="N15" s="408"/>
      <c r="O15" s="408"/>
      <c r="P15" s="408"/>
      <c r="Q15" s="409"/>
    </row>
    <row r="18" spans="3:17" x14ac:dyDescent="0.35">
      <c r="C18" s="7" t="s">
        <v>8</v>
      </c>
      <c r="E18" s="11">
        <f>'KPI 1'!E18</f>
        <v>45839</v>
      </c>
      <c r="F18" s="11">
        <f>'KPI 1'!F18</f>
        <v>45870</v>
      </c>
      <c r="G18" s="11">
        <f>'KPI 1'!G18</f>
        <v>45901</v>
      </c>
      <c r="H18" s="11">
        <f>'KPI 1'!H18</f>
        <v>45931</v>
      </c>
      <c r="I18" s="11">
        <f>'KPI 1'!I18</f>
        <v>45962</v>
      </c>
      <c r="J18" s="11">
        <f>'KPI 1'!J18</f>
        <v>45992</v>
      </c>
      <c r="K18" s="11">
        <f>'KPI 1'!K18</f>
        <v>46023</v>
      </c>
      <c r="L18" s="11">
        <f>'KPI 1'!L18</f>
        <v>46054</v>
      </c>
      <c r="M18" s="11">
        <f>'KPI 1'!M18</f>
        <v>46082</v>
      </c>
      <c r="N18" s="11">
        <f>'KPI 1'!N18</f>
        <v>46113</v>
      </c>
      <c r="O18" s="11">
        <f>'KPI 1'!O18</f>
        <v>46143</v>
      </c>
      <c r="P18" s="11">
        <f>'KPI 1'!P18</f>
        <v>46174</v>
      </c>
      <c r="Q18" s="8" t="s">
        <v>0</v>
      </c>
    </row>
    <row r="19" spans="3:17" x14ac:dyDescent="0.35">
      <c r="D19" s="3" t="str">
        <f>'KPI 1'!D19</f>
        <v>Budget 2025-26</v>
      </c>
      <c r="E19" s="5">
        <f>'budget 2025-26'!D95</f>
        <v>0</v>
      </c>
      <c r="F19" s="5">
        <f>'budget 2025-26'!E95</f>
        <v>0</v>
      </c>
      <c r="G19" s="5">
        <f>'budget 2025-26'!F95</f>
        <v>0</v>
      </c>
      <c r="H19" s="5">
        <f>'budget 2025-26'!G95</f>
        <v>0</v>
      </c>
      <c r="I19" s="5">
        <f>'budget 2025-26'!H95</f>
        <v>0</v>
      </c>
      <c r="J19" s="5">
        <f>'budget 2025-26'!I95</f>
        <v>0</v>
      </c>
      <c r="K19" s="5">
        <f>'budget 2025-26'!J95</f>
        <v>0</v>
      </c>
      <c r="L19" s="5">
        <f>'budget 2025-26'!K95</f>
        <v>0</v>
      </c>
      <c r="M19" s="5">
        <f>'budget 2025-26'!L95</f>
        <v>0</v>
      </c>
      <c r="N19" s="5">
        <f>'budget 2025-26'!M95</f>
        <v>0</v>
      </c>
      <c r="O19" s="5">
        <f>'budget 2025-26'!N95</f>
        <v>0</v>
      </c>
      <c r="P19" s="5">
        <f>'budget 2025-26'!O95</f>
        <v>0</v>
      </c>
      <c r="Q19" s="5">
        <f>SUM(E19:P19)</f>
        <v>0</v>
      </c>
    </row>
    <row r="20" spans="3:17" x14ac:dyDescent="0.35">
      <c r="D20" s="3" t="str">
        <f>'KPI 1'!D20</f>
        <v>Actual 2025-26</v>
      </c>
      <c r="E20" s="5">
        <f>'Input Actual2025-26'!E98</f>
        <v>0</v>
      </c>
      <c r="F20" s="5">
        <f>'Input Actual2025-26'!F98</f>
        <v>0</v>
      </c>
      <c r="G20" s="5">
        <f>'Input Actual2025-26'!G98</f>
        <v>0</v>
      </c>
      <c r="H20" s="5">
        <f>'Input Actual2025-26'!H98</f>
        <v>0</v>
      </c>
      <c r="I20" s="5">
        <f>'Input Actual2025-26'!I98</f>
        <v>0</v>
      </c>
      <c r="J20" s="5">
        <f>'Input Actual2025-26'!J98</f>
        <v>0</v>
      </c>
      <c r="K20" s="5">
        <f>'Input Actual2025-26'!K98</f>
        <v>0</v>
      </c>
      <c r="L20" s="5">
        <f>'Input Actual2025-26'!L98</f>
        <v>0</v>
      </c>
      <c r="M20" s="5">
        <f>'Input Actual2025-26'!M98</f>
        <v>0</v>
      </c>
      <c r="N20" s="5">
        <f>'Input Actual2025-26'!N98</f>
        <v>0</v>
      </c>
      <c r="O20" s="5">
        <f>'Input Actual2025-26'!O98</f>
        <v>0</v>
      </c>
      <c r="P20" s="5">
        <f>'Input Actual2025-26'!P98</f>
        <v>0</v>
      </c>
      <c r="Q20" s="5">
        <f t="shared" ref="Q20:Q22" si="0">SUM(E20:P20)</f>
        <v>0</v>
      </c>
    </row>
    <row r="21" spans="3:17" x14ac:dyDescent="0.35">
      <c r="D21" s="3" t="s">
        <v>424</v>
      </c>
      <c r="E21" s="5">
        <f>'Input Actual2024-25'!E91</f>
        <v>0</v>
      </c>
      <c r="F21" s="5">
        <f>'Input Actual2024-25'!F91</f>
        <v>0</v>
      </c>
      <c r="G21" s="5">
        <f>'Input Actual2024-25'!G91</f>
        <v>0</v>
      </c>
      <c r="H21" s="5">
        <f>'Input Actual2024-25'!H91</f>
        <v>0</v>
      </c>
      <c r="I21" s="5">
        <f>'Input Actual2024-25'!I91</f>
        <v>0</v>
      </c>
      <c r="J21" s="5">
        <f>'Input Actual2024-25'!J91</f>
        <v>0</v>
      </c>
      <c r="K21" s="5">
        <f>'Input Actual2024-25'!K91</f>
        <v>0</v>
      </c>
      <c r="L21" s="5">
        <f>'Input Actual2024-25'!L91</f>
        <v>0</v>
      </c>
      <c r="M21" s="5">
        <f>'Input Actual2024-25'!M91</f>
        <v>0</v>
      </c>
      <c r="N21" s="5">
        <f>'Input Actual2024-25'!N91</f>
        <v>0</v>
      </c>
      <c r="O21" s="5">
        <f>'Input Actual2024-25'!O91</f>
        <v>0</v>
      </c>
      <c r="P21" s="5">
        <f>'Input Actual2024-25'!P91</f>
        <v>0</v>
      </c>
      <c r="Q21" s="5">
        <f>'Input Actual2024-25'!Q91</f>
        <v>0</v>
      </c>
    </row>
    <row r="22" spans="3:17" x14ac:dyDescent="0.35">
      <c r="D22" s="3" t="s">
        <v>7</v>
      </c>
      <c r="E22" s="5">
        <f t="shared" ref="E22:P22" si="1">IF(E20=0,0,E20-E19)</f>
        <v>0</v>
      </c>
      <c r="F22" s="5">
        <f t="shared" si="1"/>
        <v>0</v>
      </c>
      <c r="G22" s="5">
        <f t="shared" si="1"/>
        <v>0</v>
      </c>
      <c r="H22" s="5">
        <f t="shared" si="1"/>
        <v>0</v>
      </c>
      <c r="I22" s="5">
        <f t="shared" si="1"/>
        <v>0</v>
      </c>
      <c r="J22" s="5">
        <f t="shared" si="1"/>
        <v>0</v>
      </c>
      <c r="K22" s="5">
        <f t="shared" si="1"/>
        <v>0</v>
      </c>
      <c r="L22" s="5">
        <f t="shared" si="1"/>
        <v>0</v>
      </c>
      <c r="M22" s="5">
        <f t="shared" si="1"/>
        <v>0</v>
      </c>
      <c r="N22" s="5">
        <f t="shared" si="1"/>
        <v>0</v>
      </c>
      <c r="O22" s="5">
        <f t="shared" si="1"/>
        <v>0</v>
      </c>
      <c r="P22" s="5">
        <f t="shared" si="1"/>
        <v>0</v>
      </c>
      <c r="Q22" s="5">
        <f t="shared" si="0"/>
        <v>0</v>
      </c>
    </row>
    <row r="23" spans="3:17" x14ac:dyDescent="0.35">
      <c r="D23" s="3" t="s">
        <v>43</v>
      </c>
      <c r="E23" s="9" t="e">
        <f>E21/E19</f>
        <v>#DIV/0!</v>
      </c>
      <c r="F23" s="9" t="e">
        <f t="shared" ref="F23:P23" si="2">F20/F19</f>
        <v>#DIV/0!</v>
      </c>
      <c r="G23" s="9" t="e">
        <f t="shared" si="2"/>
        <v>#DIV/0!</v>
      </c>
      <c r="H23" s="9" t="e">
        <f t="shared" si="2"/>
        <v>#DIV/0!</v>
      </c>
      <c r="I23" s="9" t="e">
        <f t="shared" si="2"/>
        <v>#DIV/0!</v>
      </c>
      <c r="J23" s="9" t="e">
        <f t="shared" si="2"/>
        <v>#DIV/0!</v>
      </c>
      <c r="K23" s="9" t="e">
        <f t="shared" si="2"/>
        <v>#DIV/0!</v>
      </c>
      <c r="L23" s="9" t="e">
        <f t="shared" si="2"/>
        <v>#DIV/0!</v>
      </c>
      <c r="M23" s="9" t="e">
        <f t="shared" si="2"/>
        <v>#DIV/0!</v>
      </c>
      <c r="N23" s="9" t="e">
        <f t="shared" si="2"/>
        <v>#DIV/0!</v>
      </c>
      <c r="O23" s="9" t="e">
        <f t="shared" si="2"/>
        <v>#DIV/0!</v>
      </c>
      <c r="P23" s="9" t="e">
        <f t="shared" si="2"/>
        <v>#DIV/0!</v>
      </c>
    </row>
    <row r="25" spans="3:17" x14ac:dyDescent="0.35">
      <c r="C25" s="7" t="s">
        <v>3</v>
      </c>
      <c r="E25" s="11">
        <f>E18</f>
        <v>45839</v>
      </c>
      <c r="F25" s="11">
        <f t="shared" ref="F25:P28" si="3">F18</f>
        <v>45870</v>
      </c>
      <c r="G25" s="11">
        <f t="shared" si="3"/>
        <v>45901</v>
      </c>
      <c r="H25" s="11">
        <f t="shared" si="3"/>
        <v>45931</v>
      </c>
      <c r="I25" s="11">
        <f t="shared" si="3"/>
        <v>45962</v>
      </c>
      <c r="J25" s="11">
        <f t="shared" si="3"/>
        <v>45992</v>
      </c>
      <c r="K25" s="11">
        <f t="shared" si="3"/>
        <v>46023</v>
      </c>
      <c r="L25" s="11">
        <f t="shared" si="3"/>
        <v>46054</v>
      </c>
      <c r="M25" s="11">
        <f t="shared" si="3"/>
        <v>46082</v>
      </c>
      <c r="N25" s="11">
        <f t="shared" si="3"/>
        <v>46113</v>
      </c>
      <c r="O25" s="11">
        <f t="shared" si="3"/>
        <v>46143</v>
      </c>
      <c r="P25" s="11">
        <f t="shared" si="3"/>
        <v>46174</v>
      </c>
    </row>
    <row r="26" spans="3:17" x14ac:dyDescent="0.35">
      <c r="D26" s="3" t="str">
        <f>D19</f>
        <v>Budget 2025-26</v>
      </c>
      <c r="E26" s="5">
        <f>E19</f>
        <v>0</v>
      </c>
      <c r="F26" s="5">
        <f t="shared" si="3"/>
        <v>0</v>
      </c>
      <c r="G26" s="5">
        <f t="shared" si="3"/>
        <v>0</v>
      </c>
      <c r="H26" s="5">
        <f t="shared" si="3"/>
        <v>0</v>
      </c>
      <c r="I26" s="5">
        <f t="shared" si="3"/>
        <v>0</v>
      </c>
      <c r="J26" s="5">
        <f t="shared" si="3"/>
        <v>0</v>
      </c>
      <c r="K26" s="5">
        <f t="shared" si="3"/>
        <v>0</v>
      </c>
      <c r="L26" s="5">
        <f t="shared" si="3"/>
        <v>0</v>
      </c>
      <c r="M26" s="5">
        <f t="shared" si="3"/>
        <v>0</v>
      </c>
      <c r="N26" s="5">
        <f t="shared" si="3"/>
        <v>0</v>
      </c>
      <c r="O26" s="5">
        <f t="shared" si="3"/>
        <v>0</v>
      </c>
      <c r="P26" s="5">
        <f t="shared" si="3"/>
        <v>0</v>
      </c>
    </row>
    <row r="27" spans="3:17" x14ac:dyDescent="0.35">
      <c r="D27" s="3" t="str">
        <f t="shared" ref="D27:E30" si="4">D20</f>
        <v>Actual 2025-26</v>
      </c>
      <c r="E27" s="5">
        <f t="shared" si="4"/>
        <v>0</v>
      </c>
      <c r="F27" s="5">
        <f t="shared" si="3"/>
        <v>0</v>
      </c>
      <c r="G27" s="5">
        <f t="shared" si="3"/>
        <v>0</v>
      </c>
      <c r="H27" s="5">
        <f t="shared" si="3"/>
        <v>0</v>
      </c>
      <c r="I27" s="5">
        <f t="shared" si="3"/>
        <v>0</v>
      </c>
      <c r="J27" s="5">
        <f t="shared" si="3"/>
        <v>0</v>
      </c>
      <c r="K27" s="5">
        <f t="shared" si="3"/>
        <v>0</v>
      </c>
      <c r="L27" s="5">
        <f t="shared" si="3"/>
        <v>0</v>
      </c>
      <c r="M27" s="5">
        <f t="shared" si="3"/>
        <v>0</v>
      </c>
      <c r="N27" s="5">
        <f t="shared" si="3"/>
        <v>0</v>
      </c>
      <c r="O27" s="5">
        <f t="shared" si="3"/>
        <v>0</v>
      </c>
      <c r="P27" s="5">
        <f t="shared" si="3"/>
        <v>0</v>
      </c>
    </row>
    <row r="28" spans="3:17" x14ac:dyDescent="0.35">
      <c r="D28" s="3" t="str">
        <f t="shared" si="4"/>
        <v>Actual 2024-25</v>
      </c>
      <c r="E28" s="5">
        <f t="shared" si="4"/>
        <v>0</v>
      </c>
      <c r="F28" s="5">
        <f t="shared" si="3"/>
        <v>0</v>
      </c>
      <c r="G28" s="5">
        <f t="shared" si="3"/>
        <v>0</v>
      </c>
      <c r="H28" s="5">
        <f t="shared" si="3"/>
        <v>0</v>
      </c>
      <c r="I28" s="5">
        <f t="shared" si="3"/>
        <v>0</v>
      </c>
      <c r="J28" s="5">
        <f t="shared" si="3"/>
        <v>0</v>
      </c>
      <c r="K28" s="5">
        <f t="shared" si="3"/>
        <v>0</v>
      </c>
      <c r="L28" s="5">
        <f t="shared" si="3"/>
        <v>0</v>
      </c>
      <c r="M28" s="5">
        <f t="shared" si="3"/>
        <v>0</v>
      </c>
      <c r="N28" s="5">
        <f t="shared" si="3"/>
        <v>0</v>
      </c>
      <c r="O28" s="5">
        <f t="shared" si="3"/>
        <v>0</v>
      </c>
      <c r="P28" s="5">
        <f t="shared" si="3"/>
        <v>0</v>
      </c>
    </row>
    <row r="29" spans="3:17" x14ac:dyDescent="0.35">
      <c r="D29" s="3" t="str">
        <f t="shared" si="4"/>
        <v>Difference</v>
      </c>
      <c r="E29" s="5">
        <f>SUM($E22:E22)</f>
        <v>0</v>
      </c>
      <c r="F29" s="5">
        <f>SUM($E22:F22)</f>
        <v>0</v>
      </c>
      <c r="G29" s="5">
        <f>SUM($E22:G22)</f>
        <v>0</v>
      </c>
      <c r="H29" s="5">
        <f>SUM($E22:H22)</f>
        <v>0</v>
      </c>
      <c r="I29" s="5">
        <f>SUM($E22:I22)</f>
        <v>0</v>
      </c>
      <c r="J29" s="5">
        <f>SUM($E22:J22)</f>
        <v>0</v>
      </c>
      <c r="K29" s="5">
        <f>SUM($E22:K22)</f>
        <v>0</v>
      </c>
      <c r="L29" s="5">
        <f>SUM($E22:L22)</f>
        <v>0</v>
      </c>
      <c r="M29" s="5">
        <f>SUM($E22:M22)</f>
        <v>0</v>
      </c>
      <c r="N29" s="5">
        <f>SUM($E22:N22)</f>
        <v>0</v>
      </c>
      <c r="O29" s="5">
        <f>SUM($E22:O22)</f>
        <v>0</v>
      </c>
      <c r="P29" s="5">
        <f>SUM($E22:P22)</f>
        <v>0</v>
      </c>
    </row>
    <row r="30" spans="3:17" x14ac:dyDescent="0.35">
      <c r="D30" s="3" t="str">
        <f t="shared" si="4"/>
        <v>Realisation</v>
      </c>
      <c r="E30" s="9" t="e">
        <f>E28/E26</f>
        <v>#DIV/0!</v>
      </c>
      <c r="F30" s="9" t="e">
        <f t="shared" ref="F30:P30" si="5">F27/F26</f>
        <v>#DIV/0!</v>
      </c>
      <c r="G30" s="9" t="e">
        <f t="shared" si="5"/>
        <v>#DIV/0!</v>
      </c>
      <c r="H30" s="9" t="e">
        <f t="shared" si="5"/>
        <v>#DIV/0!</v>
      </c>
      <c r="I30" s="9" t="e">
        <f t="shared" si="5"/>
        <v>#DIV/0!</v>
      </c>
      <c r="J30" s="9" t="e">
        <f t="shared" si="5"/>
        <v>#DIV/0!</v>
      </c>
      <c r="K30" s="9" t="e">
        <f t="shared" si="5"/>
        <v>#DIV/0!</v>
      </c>
      <c r="L30" s="9" t="e">
        <f t="shared" si="5"/>
        <v>#DIV/0!</v>
      </c>
      <c r="M30" s="9" t="e">
        <f t="shared" si="5"/>
        <v>#DIV/0!</v>
      </c>
      <c r="N30" s="9" t="e">
        <f t="shared" si="5"/>
        <v>#DIV/0!</v>
      </c>
      <c r="O30" s="9" t="e">
        <f t="shared" si="5"/>
        <v>#DIV/0!</v>
      </c>
      <c r="P30" s="9" t="e">
        <f t="shared" si="5"/>
        <v>#DIV/0!</v>
      </c>
    </row>
  </sheetData>
  <mergeCells count="2">
    <mergeCell ref="J4:Q8"/>
    <mergeCell ref="J10:Q15"/>
  </mergeCells>
  <conditionalFormatting sqref="C3">
    <cfRule type="expression" dxfId="308" priority="2">
      <formula>S4&lt;S6</formula>
    </cfRule>
  </conditionalFormatting>
  <conditionalFormatting sqref="C5">
    <cfRule type="expression" dxfId="307" priority="3">
      <formula>S4&gt;=S5</formula>
    </cfRule>
  </conditionalFormatting>
  <conditionalFormatting sqref="C4">
    <cfRule type="expression" dxfId="306" priority="1">
      <formula>AND(S4&gt;=S6,S4&lt;S5)</formula>
    </cfRule>
  </conditionalFormatting>
  <hyperlinks>
    <hyperlink ref="L1" location="Dashboard!A1" display="Dashboard"/>
  </hyperlinks>
  <pageMargins left="0.7" right="0.7" top="0.75" bottom="0.75" header="0.3" footer="0.3"/>
  <pageSetup orientation="portrait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11713" r:id="rId4" name="Spinner 1">
              <controlPr defaultSize="0" autoPict="0">
                <anchor moveWithCells="1" sizeWithCells="1">
                  <from>
                    <xdr:col>9</xdr:col>
                    <xdr:colOff>19050</xdr:colOff>
                    <xdr:row>0</xdr:row>
                    <xdr:rowOff>38100</xdr:rowOff>
                  </from>
                  <to>
                    <xdr:col>9</xdr:col>
                    <xdr:colOff>400050</xdr:colOff>
                    <xdr:row>1</xdr:row>
                    <xdr:rowOff>152400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9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77"/>
  <dimension ref="A1:S30"/>
  <sheetViews>
    <sheetView zoomScale="90" zoomScaleNormal="90" workbookViewId="0">
      <selection activeCell="L1" sqref="L1"/>
    </sheetView>
  </sheetViews>
  <sheetFormatPr defaultColWidth="9.1796875" defaultRowHeight="14.5" x14ac:dyDescent="0.35"/>
  <cols>
    <col min="1" max="1" width="9.1796875" style="3"/>
    <col min="2" max="2" width="5.1796875" style="3" customWidth="1"/>
    <col min="3" max="3" width="6.26953125" style="3" customWidth="1"/>
    <col min="4" max="4" width="21.26953125" style="3" bestFit="1" customWidth="1"/>
    <col min="5" max="16" width="11.1796875" style="3" customWidth="1"/>
    <col min="17" max="17" width="12" style="3" bestFit="1" customWidth="1"/>
    <col min="18" max="18" width="9.1796875" style="3" customWidth="1"/>
    <col min="19" max="16384" width="9.1796875" style="3"/>
  </cols>
  <sheetData>
    <row r="1" spans="1:19" ht="21" x14ac:dyDescent="0.5">
      <c r="A1" s="4" t="s">
        <v>4</v>
      </c>
      <c r="B1" s="4">
        <f>Dashboard!A102</f>
        <v>0</v>
      </c>
      <c r="C1" s="4" t="str">
        <f>Dashboard!B102</f>
        <v>TOTAL ACTIVE SEWER CONNECTION SOUTHERN REGION</v>
      </c>
      <c r="D1" s="4"/>
      <c r="G1" s="3" t="s">
        <v>9</v>
      </c>
      <c r="I1" s="12">
        <f>INDEX($E$18:$P$18,Actual_month)</f>
        <v>46054</v>
      </c>
      <c r="L1" s="16" t="s">
        <v>19</v>
      </c>
      <c r="R1" s="5"/>
    </row>
    <row r="2" spans="1:19" x14ac:dyDescent="0.35">
      <c r="A2" s="3" t="s">
        <v>13</v>
      </c>
      <c r="C2" s="3" t="s">
        <v>27</v>
      </c>
      <c r="R2" s="6"/>
    </row>
    <row r="3" spans="1:19" ht="25.5" customHeight="1" thickBot="1" x14ac:dyDescent="0.4">
      <c r="C3" s="1" t="s">
        <v>5</v>
      </c>
      <c r="E3" s="10"/>
      <c r="F3" s="10"/>
      <c r="G3" s="10"/>
      <c r="H3" s="10"/>
      <c r="I3" s="10"/>
      <c r="J3" s="3" t="s">
        <v>6</v>
      </c>
      <c r="K3" s="10"/>
      <c r="M3" s="10"/>
      <c r="N3" s="10"/>
      <c r="O3" s="10"/>
      <c r="P3" s="10"/>
    </row>
    <row r="4" spans="1:19" ht="25.5" customHeight="1" x14ac:dyDescent="0.35">
      <c r="C4" s="1" t="s">
        <v>5</v>
      </c>
      <c r="E4" s="10"/>
      <c r="F4" s="10"/>
      <c r="G4" s="10"/>
      <c r="H4" s="10"/>
      <c r="I4" s="10"/>
      <c r="J4" s="401"/>
      <c r="K4" s="402"/>
      <c r="L4" s="402"/>
      <c r="M4" s="402"/>
      <c r="N4" s="402"/>
      <c r="O4" s="402"/>
      <c r="P4" s="402"/>
      <c r="Q4" s="403"/>
      <c r="R4" s="3" t="s">
        <v>22</v>
      </c>
      <c r="S4" s="5">
        <f>INDEX(E27:P27,Actual_month)</f>
        <v>0</v>
      </c>
    </row>
    <row r="5" spans="1:19" ht="25.5" customHeight="1" x14ac:dyDescent="0.35">
      <c r="C5" s="1" t="s">
        <v>5</v>
      </c>
      <c r="E5" s="10"/>
      <c r="F5" s="10"/>
      <c r="G5" s="10"/>
      <c r="H5" s="10"/>
      <c r="I5" s="10"/>
      <c r="J5" s="404"/>
      <c r="K5" s="405"/>
      <c r="L5" s="405"/>
      <c r="M5" s="405"/>
      <c r="N5" s="405"/>
      <c r="O5" s="405"/>
      <c r="P5" s="405"/>
      <c r="Q5" s="406"/>
      <c r="R5" s="3" t="s">
        <v>23</v>
      </c>
      <c r="S5" s="5">
        <f>INDEX(E26:P26,Actual_month)</f>
        <v>0</v>
      </c>
    </row>
    <row r="6" spans="1:19" x14ac:dyDescent="0.35">
      <c r="J6" s="404"/>
      <c r="K6" s="405"/>
      <c r="L6" s="405"/>
      <c r="M6" s="405"/>
      <c r="N6" s="405"/>
      <c r="O6" s="405"/>
      <c r="P6" s="405"/>
      <c r="Q6" s="406"/>
      <c r="R6" s="6">
        <v>0.9</v>
      </c>
      <c r="S6" s="5">
        <f>+S5*R6</f>
        <v>0</v>
      </c>
    </row>
    <row r="7" spans="1:19" x14ac:dyDescent="0.35">
      <c r="J7" s="404"/>
      <c r="K7" s="405"/>
      <c r="L7" s="405"/>
      <c r="M7" s="405"/>
      <c r="N7" s="405"/>
      <c r="O7" s="405"/>
      <c r="P7" s="405"/>
      <c r="Q7" s="406"/>
    </row>
    <row r="8" spans="1:19" ht="15" thickBot="1" x14ac:dyDescent="0.4">
      <c r="J8" s="407"/>
      <c r="K8" s="408"/>
      <c r="L8" s="408"/>
      <c r="M8" s="408"/>
      <c r="N8" s="408"/>
      <c r="O8" s="408"/>
      <c r="P8" s="408"/>
      <c r="Q8" s="409"/>
    </row>
    <row r="9" spans="1:19" ht="15" thickBot="1" x14ac:dyDescent="0.4">
      <c r="J9" s="3" t="s">
        <v>12</v>
      </c>
    </row>
    <row r="10" spans="1:19" x14ac:dyDescent="0.35">
      <c r="J10" s="401"/>
      <c r="K10" s="402"/>
      <c r="L10" s="402"/>
      <c r="M10" s="402"/>
      <c r="N10" s="402"/>
      <c r="O10" s="402"/>
      <c r="P10" s="402"/>
      <c r="Q10" s="403"/>
    </row>
    <row r="11" spans="1:19" x14ac:dyDescent="0.35">
      <c r="J11" s="404"/>
      <c r="K11" s="405"/>
      <c r="L11" s="405"/>
      <c r="M11" s="405"/>
      <c r="N11" s="405"/>
      <c r="O11" s="405"/>
      <c r="P11" s="405"/>
      <c r="Q11" s="406"/>
    </row>
    <row r="12" spans="1:19" x14ac:dyDescent="0.35">
      <c r="J12" s="404"/>
      <c r="K12" s="405"/>
      <c r="L12" s="405"/>
      <c r="M12" s="405"/>
      <c r="N12" s="405"/>
      <c r="O12" s="405"/>
      <c r="P12" s="405"/>
      <c r="Q12" s="406"/>
    </row>
    <row r="13" spans="1:19" x14ac:dyDescent="0.35">
      <c r="J13" s="404"/>
      <c r="K13" s="405"/>
      <c r="L13" s="405"/>
      <c r="M13" s="405"/>
      <c r="N13" s="405"/>
      <c r="O13" s="405"/>
      <c r="P13" s="405"/>
      <c r="Q13" s="406"/>
    </row>
    <row r="14" spans="1:19" x14ac:dyDescent="0.35">
      <c r="J14" s="404"/>
      <c r="K14" s="405"/>
      <c r="L14" s="405"/>
      <c r="M14" s="405"/>
      <c r="N14" s="405"/>
      <c r="O14" s="405"/>
      <c r="P14" s="405"/>
      <c r="Q14" s="406"/>
    </row>
    <row r="15" spans="1:19" ht="15" thickBot="1" x14ac:dyDescent="0.4">
      <c r="J15" s="407"/>
      <c r="K15" s="408"/>
      <c r="L15" s="408"/>
      <c r="M15" s="408"/>
      <c r="N15" s="408"/>
      <c r="O15" s="408"/>
      <c r="P15" s="408"/>
      <c r="Q15" s="409"/>
    </row>
    <row r="18" spans="3:17" x14ac:dyDescent="0.35">
      <c r="C18" s="7" t="s">
        <v>8</v>
      </c>
      <c r="E18" s="11">
        <f>'KPI 1'!E18</f>
        <v>45839</v>
      </c>
      <c r="F18" s="11">
        <f>'KPI 1'!F18</f>
        <v>45870</v>
      </c>
      <c r="G18" s="11">
        <f>'KPI 1'!G18</f>
        <v>45901</v>
      </c>
      <c r="H18" s="11">
        <f>'KPI 1'!H18</f>
        <v>45931</v>
      </c>
      <c r="I18" s="11">
        <f>'KPI 1'!I18</f>
        <v>45962</v>
      </c>
      <c r="J18" s="11">
        <f>'KPI 1'!J18</f>
        <v>45992</v>
      </c>
      <c r="K18" s="11">
        <f>'KPI 1'!K18</f>
        <v>46023</v>
      </c>
      <c r="L18" s="11">
        <f>'KPI 1'!L18</f>
        <v>46054</v>
      </c>
      <c r="M18" s="11">
        <f>'KPI 1'!M18</f>
        <v>46082</v>
      </c>
      <c r="N18" s="11">
        <f>'KPI 1'!N18</f>
        <v>46113</v>
      </c>
      <c r="O18" s="11">
        <f>'KPI 1'!O18</f>
        <v>46143</v>
      </c>
      <c r="P18" s="11">
        <f>'KPI 1'!P18</f>
        <v>46174</v>
      </c>
      <c r="Q18" s="8" t="s">
        <v>0</v>
      </c>
    </row>
    <row r="19" spans="3:17" x14ac:dyDescent="0.35">
      <c r="D19" s="3" t="str">
        <f>'KPI 1'!D19</f>
        <v>Budget 2025-26</v>
      </c>
      <c r="E19" s="5">
        <f>'budget 2025-26'!D96</f>
        <v>0</v>
      </c>
      <c r="F19" s="5">
        <f>'budget 2025-26'!E96</f>
        <v>0</v>
      </c>
      <c r="G19" s="5">
        <f>'budget 2025-26'!F96</f>
        <v>0</v>
      </c>
      <c r="H19" s="5">
        <f>'budget 2025-26'!G96</f>
        <v>0</v>
      </c>
      <c r="I19" s="5">
        <f>'budget 2025-26'!H96</f>
        <v>0</v>
      </c>
      <c r="J19" s="5">
        <f>'budget 2025-26'!I96</f>
        <v>0</v>
      </c>
      <c r="K19" s="5">
        <f>'budget 2025-26'!J96</f>
        <v>0</v>
      </c>
      <c r="L19" s="5">
        <f>'budget 2025-26'!K96</f>
        <v>0</v>
      </c>
      <c r="M19" s="5">
        <f>'budget 2025-26'!L96</f>
        <v>0</v>
      </c>
      <c r="N19" s="5">
        <f>'budget 2025-26'!M96</f>
        <v>0</v>
      </c>
      <c r="O19" s="5">
        <f>'budget 2025-26'!N96</f>
        <v>0</v>
      </c>
      <c r="P19" s="5">
        <f>'budget 2025-26'!O96</f>
        <v>0</v>
      </c>
      <c r="Q19" s="5">
        <f>SUM(E19:P19)</f>
        <v>0</v>
      </c>
    </row>
    <row r="20" spans="3:17" x14ac:dyDescent="0.35">
      <c r="D20" s="3" t="str">
        <f>'KPI 1'!D20</f>
        <v>Actual 2025-26</v>
      </c>
      <c r="E20" s="5">
        <f>'Input Actual2025-26'!E99</f>
        <v>0</v>
      </c>
      <c r="F20" s="5">
        <f>'Input Actual2025-26'!F99</f>
        <v>0</v>
      </c>
      <c r="G20" s="5">
        <f>'Input Actual2025-26'!G99</f>
        <v>0</v>
      </c>
      <c r="H20" s="5">
        <f>'Input Actual2025-26'!H99</f>
        <v>0</v>
      </c>
      <c r="I20" s="5">
        <f>'Input Actual2025-26'!I99</f>
        <v>0</v>
      </c>
      <c r="J20" s="5">
        <f>'Input Actual2025-26'!J99</f>
        <v>0</v>
      </c>
      <c r="K20" s="5">
        <f>'Input Actual2025-26'!K99</f>
        <v>0</v>
      </c>
      <c r="L20" s="5">
        <f>'Input Actual2025-26'!L99</f>
        <v>0</v>
      </c>
      <c r="M20" s="5">
        <f>'Input Actual2025-26'!M99</f>
        <v>0</v>
      </c>
      <c r="N20" s="5">
        <f>'Input Actual2025-26'!N99</f>
        <v>0</v>
      </c>
      <c r="O20" s="5">
        <f>'Input Actual2025-26'!O99</f>
        <v>0</v>
      </c>
      <c r="P20" s="5">
        <f>'Input Actual2025-26'!P99</f>
        <v>0</v>
      </c>
      <c r="Q20" s="5">
        <f t="shared" ref="Q20:Q22" si="0">SUM(E20:P20)</f>
        <v>0</v>
      </c>
    </row>
    <row r="21" spans="3:17" x14ac:dyDescent="0.35">
      <c r="D21" s="3" t="s">
        <v>424</v>
      </c>
      <c r="E21" s="5">
        <f>'Input Actual2024-25'!E92</f>
        <v>0</v>
      </c>
      <c r="F21" s="5">
        <f>'Input Actual2024-25'!F92</f>
        <v>0</v>
      </c>
      <c r="G21" s="5">
        <f>'Input Actual2024-25'!G92</f>
        <v>0</v>
      </c>
      <c r="H21" s="5">
        <f>'Input Actual2024-25'!H92</f>
        <v>0</v>
      </c>
      <c r="I21" s="5">
        <f>'Input Actual2024-25'!I92</f>
        <v>0</v>
      </c>
      <c r="J21" s="5">
        <f>'Input Actual2024-25'!J92</f>
        <v>0</v>
      </c>
      <c r="K21" s="5">
        <f>'Input Actual2024-25'!K92</f>
        <v>0</v>
      </c>
      <c r="L21" s="5">
        <f>'Input Actual2024-25'!L92</f>
        <v>0</v>
      </c>
      <c r="M21" s="5">
        <f>'Input Actual2024-25'!M92</f>
        <v>0</v>
      </c>
      <c r="N21" s="5">
        <f>'Input Actual2024-25'!N92</f>
        <v>0</v>
      </c>
      <c r="O21" s="5">
        <f>'Input Actual2024-25'!O92</f>
        <v>0</v>
      </c>
      <c r="P21" s="5">
        <f>'Input Actual2024-25'!P92</f>
        <v>0</v>
      </c>
      <c r="Q21" s="5">
        <f t="shared" si="0"/>
        <v>0</v>
      </c>
    </row>
    <row r="22" spans="3:17" x14ac:dyDescent="0.35">
      <c r="D22" s="3" t="s">
        <v>7</v>
      </c>
      <c r="E22" s="5">
        <f t="shared" ref="E22:P22" si="1">IF(E20=0,0,E20-E19)</f>
        <v>0</v>
      </c>
      <c r="F22" s="5">
        <f t="shared" si="1"/>
        <v>0</v>
      </c>
      <c r="G22" s="5">
        <f t="shared" si="1"/>
        <v>0</v>
      </c>
      <c r="H22" s="5">
        <f t="shared" si="1"/>
        <v>0</v>
      </c>
      <c r="I22" s="5">
        <f t="shared" si="1"/>
        <v>0</v>
      </c>
      <c r="J22" s="5">
        <f t="shared" si="1"/>
        <v>0</v>
      </c>
      <c r="K22" s="5">
        <f t="shared" si="1"/>
        <v>0</v>
      </c>
      <c r="L22" s="5">
        <f t="shared" si="1"/>
        <v>0</v>
      </c>
      <c r="M22" s="5">
        <f t="shared" si="1"/>
        <v>0</v>
      </c>
      <c r="N22" s="5">
        <f t="shared" si="1"/>
        <v>0</v>
      </c>
      <c r="O22" s="5">
        <f t="shared" si="1"/>
        <v>0</v>
      </c>
      <c r="P22" s="5">
        <f t="shared" si="1"/>
        <v>0</v>
      </c>
      <c r="Q22" s="5">
        <f t="shared" si="0"/>
        <v>0</v>
      </c>
    </row>
    <row r="23" spans="3:17" x14ac:dyDescent="0.35">
      <c r="D23" s="3" t="s">
        <v>43</v>
      </c>
      <c r="E23" s="9" t="e">
        <f>E21/E19</f>
        <v>#DIV/0!</v>
      </c>
      <c r="F23" s="9" t="e">
        <f t="shared" ref="F23:P23" si="2">F20/F19</f>
        <v>#DIV/0!</v>
      </c>
      <c r="G23" s="9" t="e">
        <f t="shared" si="2"/>
        <v>#DIV/0!</v>
      </c>
      <c r="H23" s="9" t="e">
        <f t="shared" si="2"/>
        <v>#DIV/0!</v>
      </c>
      <c r="I23" s="9" t="e">
        <f t="shared" si="2"/>
        <v>#DIV/0!</v>
      </c>
      <c r="J23" s="9" t="e">
        <f t="shared" si="2"/>
        <v>#DIV/0!</v>
      </c>
      <c r="K23" s="9" t="e">
        <f t="shared" si="2"/>
        <v>#DIV/0!</v>
      </c>
      <c r="L23" s="9" t="e">
        <f t="shared" si="2"/>
        <v>#DIV/0!</v>
      </c>
      <c r="M23" s="9" t="e">
        <f t="shared" si="2"/>
        <v>#DIV/0!</v>
      </c>
      <c r="N23" s="9" t="e">
        <f t="shared" si="2"/>
        <v>#DIV/0!</v>
      </c>
      <c r="O23" s="9" t="e">
        <f t="shared" si="2"/>
        <v>#DIV/0!</v>
      </c>
      <c r="P23" s="9" t="e">
        <f t="shared" si="2"/>
        <v>#DIV/0!</v>
      </c>
    </row>
    <row r="25" spans="3:17" x14ac:dyDescent="0.35">
      <c r="C25" s="7" t="s">
        <v>3</v>
      </c>
      <c r="E25" s="11">
        <f>E18</f>
        <v>45839</v>
      </c>
      <c r="F25" s="11">
        <f t="shared" ref="F25:P28" si="3">F18</f>
        <v>45870</v>
      </c>
      <c r="G25" s="11">
        <f t="shared" si="3"/>
        <v>45901</v>
      </c>
      <c r="H25" s="11">
        <f t="shared" si="3"/>
        <v>45931</v>
      </c>
      <c r="I25" s="11">
        <f t="shared" si="3"/>
        <v>45962</v>
      </c>
      <c r="J25" s="11">
        <f t="shared" si="3"/>
        <v>45992</v>
      </c>
      <c r="K25" s="11">
        <f t="shared" si="3"/>
        <v>46023</v>
      </c>
      <c r="L25" s="11">
        <f t="shared" si="3"/>
        <v>46054</v>
      </c>
      <c r="M25" s="11">
        <f t="shared" si="3"/>
        <v>46082</v>
      </c>
      <c r="N25" s="11">
        <f t="shared" si="3"/>
        <v>46113</v>
      </c>
      <c r="O25" s="11">
        <f t="shared" si="3"/>
        <v>46143</v>
      </c>
      <c r="P25" s="11">
        <f t="shared" si="3"/>
        <v>46174</v>
      </c>
    </row>
    <row r="26" spans="3:17" x14ac:dyDescent="0.35">
      <c r="D26" s="3" t="str">
        <f>D19</f>
        <v>Budget 2025-26</v>
      </c>
      <c r="E26" s="5">
        <f>E19</f>
        <v>0</v>
      </c>
      <c r="F26" s="5">
        <f t="shared" si="3"/>
        <v>0</v>
      </c>
      <c r="G26" s="5">
        <f t="shared" si="3"/>
        <v>0</v>
      </c>
      <c r="H26" s="5">
        <f t="shared" si="3"/>
        <v>0</v>
      </c>
      <c r="I26" s="5">
        <f t="shared" si="3"/>
        <v>0</v>
      </c>
      <c r="J26" s="5">
        <f t="shared" si="3"/>
        <v>0</v>
      </c>
      <c r="K26" s="5">
        <f t="shared" si="3"/>
        <v>0</v>
      </c>
      <c r="L26" s="5">
        <f t="shared" si="3"/>
        <v>0</v>
      </c>
      <c r="M26" s="5">
        <f t="shared" si="3"/>
        <v>0</v>
      </c>
      <c r="N26" s="5">
        <f t="shared" si="3"/>
        <v>0</v>
      </c>
      <c r="O26" s="5">
        <f t="shared" si="3"/>
        <v>0</v>
      </c>
      <c r="P26" s="5">
        <f t="shared" si="3"/>
        <v>0</v>
      </c>
    </row>
    <row r="27" spans="3:17" x14ac:dyDescent="0.35">
      <c r="D27" s="3" t="str">
        <f t="shared" ref="D27:E30" si="4">D20</f>
        <v>Actual 2025-26</v>
      </c>
      <c r="E27" s="5">
        <f t="shared" si="4"/>
        <v>0</v>
      </c>
      <c r="F27" s="5">
        <f t="shared" si="3"/>
        <v>0</v>
      </c>
      <c r="G27" s="5">
        <f t="shared" si="3"/>
        <v>0</v>
      </c>
      <c r="H27" s="5">
        <f t="shared" si="3"/>
        <v>0</v>
      </c>
      <c r="I27" s="5">
        <f t="shared" si="3"/>
        <v>0</v>
      </c>
      <c r="J27" s="5">
        <f t="shared" si="3"/>
        <v>0</v>
      </c>
      <c r="K27" s="5">
        <f t="shared" si="3"/>
        <v>0</v>
      </c>
      <c r="L27" s="5">
        <f t="shared" si="3"/>
        <v>0</v>
      </c>
      <c r="M27" s="5">
        <f t="shared" si="3"/>
        <v>0</v>
      </c>
      <c r="N27" s="5">
        <f t="shared" si="3"/>
        <v>0</v>
      </c>
      <c r="O27" s="5">
        <f t="shared" si="3"/>
        <v>0</v>
      </c>
      <c r="P27" s="5">
        <f t="shared" si="3"/>
        <v>0</v>
      </c>
    </row>
    <row r="28" spans="3:17" x14ac:dyDescent="0.35">
      <c r="D28" s="3" t="str">
        <f t="shared" si="4"/>
        <v>Actual 2024-25</v>
      </c>
      <c r="E28" s="5">
        <f t="shared" si="4"/>
        <v>0</v>
      </c>
      <c r="F28" s="5">
        <f t="shared" si="3"/>
        <v>0</v>
      </c>
      <c r="G28" s="5">
        <f t="shared" si="3"/>
        <v>0</v>
      </c>
      <c r="H28" s="5">
        <f t="shared" si="3"/>
        <v>0</v>
      </c>
      <c r="I28" s="5">
        <f t="shared" si="3"/>
        <v>0</v>
      </c>
      <c r="J28" s="5">
        <f t="shared" si="3"/>
        <v>0</v>
      </c>
      <c r="K28" s="5">
        <f t="shared" si="3"/>
        <v>0</v>
      </c>
      <c r="L28" s="5">
        <f t="shared" si="3"/>
        <v>0</v>
      </c>
      <c r="M28" s="5">
        <f t="shared" si="3"/>
        <v>0</v>
      </c>
      <c r="N28" s="5">
        <f t="shared" si="3"/>
        <v>0</v>
      </c>
      <c r="O28" s="5">
        <f t="shared" si="3"/>
        <v>0</v>
      </c>
      <c r="P28" s="5">
        <f t="shared" si="3"/>
        <v>0</v>
      </c>
    </row>
    <row r="29" spans="3:17" x14ac:dyDescent="0.35">
      <c r="D29" s="3" t="str">
        <f t="shared" si="4"/>
        <v>Difference</v>
      </c>
      <c r="E29" s="5">
        <f>SUM($E22:E22)</f>
        <v>0</v>
      </c>
      <c r="F29" s="5">
        <f>SUM($E22:F22)</f>
        <v>0</v>
      </c>
      <c r="G29" s="5">
        <f>SUM($E22:G22)</f>
        <v>0</v>
      </c>
      <c r="H29" s="5">
        <f>SUM($E22:H22)</f>
        <v>0</v>
      </c>
      <c r="I29" s="5">
        <f>SUM($E22:I22)</f>
        <v>0</v>
      </c>
      <c r="J29" s="5">
        <f>SUM($E22:J22)</f>
        <v>0</v>
      </c>
      <c r="K29" s="5">
        <f>SUM($E22:K22)</f>
        <v>0</v>
      </c>
      <c r="L29" s="5">
        <f>SUM($E22:L22)</f>
        <v>0</v>
      </c>
      <c r="M29" s="5">
        <f>SUM($E22:M22)</f>
        <v>0</v>
      </c>
      <c r="N29" s="5">
        <f>SUM($E22:N22)</f>
        <v>0</v>
      </c>
      <c r="O29" s="5">
        <f>SUM($E22:O22)</f>
        <v>0</v>
      </c>
      <c r="P29" s="5">
        <f>SUM($E22:P22)</f>
        <v>0</v>
      </c>
    </row>
    <row r="30" spans="3:17" x14ac:dyDescent="0.35">
      <c r="D30" s="3" t="str">
        <f t="shared" si="4"/>
        <v>Realisation</v>
      </c>
      <c r="E30" s="9" t="e">
        <f>E28/E26</f>
        <v>#DIV/0!</v>
      </c>
      <c r="F30" s="9" t="e">
        <f t="shared" ref="F30:P30" si="5">F27/F26</f>
        <v>#DIV/0!</v>
      </c>
      <c r="G30" s="9" t="e">
        <f t="shared" si="5"/>
        <v>#DIV/0!</v>
      </c>
      <c r="H30" s="9" t="e">
        <f t="shared" si="5"/>
        <v>#DIV/0!</v>
      </c>
      <c r="I30" s="9" t="e">
        <f t="shared" si="5"/>
        <v>#DIV/0!</v>
      </c>
      <c r="J30" s="9" t="e">
        <f t="shared" si="5"/>
        <v>#DIV/0!</v>
      </c>
      <c r="K30" s="9" t="e">
        <f t="shared" si="5"/>
        <v>#DIV/0!</v>
      </c>
      <c r="L30" s="9" t="e">
        <f t="shared" si="5"/>
        <v>#DIV/0!</v>
      </c>
      <c r="M30" s="9" t="e">
        <f t="shared" si="5"/>
        <v>#DIV/0!</v>
      </c>
      <c r="N30" s="9" t="e">
        <f t="shared" si="5"/>
        <v>#DIV/0!</v>
      </c>
      <c r="O30" s="9" t="e">
        <f t="shared" si="5"/>
        <v>#DIV/0!</v>
      </c>
      <c r="P30" s="9" t="e">
        <f t="shared" si="5"/>
        <v>#DIV/0!</v>
      </c>
    </row>
  </sheetData>
  <mergeCells count="2">
    <mergeCell ref="J4:Q8"/>
    <mergeCell ref="J10:Q15"/>
  </mergeCells>
  <conditionalFormatting sqref="C3">
    <cfRule type="expression" dxfId="305" priority="2">
      <formula>S4&lt;S6</formula>
    </cfRule>
  </conditionalFormatting>
  <conditionalFormatting sqref="C5">
    <cfRule type="expression" dxfId="304" priority="3">
      <formula>S4&gt;=S5</formula>
    </cfRule>
  </conditionalFormatting>
  <conditionalFormatting sqref="C4">
    <cfRule type="expression" dxfId="303" priority="1">
      <formula>AND(S4&gt;=S6,S4&lt;S5)</formula>
    </cfRule>
  </conditionalFormatting>
  <hyperlinks>
    <hyperlink ref="L1" location="Dashboard!A1" display="Dashboard"/>
  </hyperlinks>
  <pageMargins left="0.7" right="0.7" top="0.75" bottom="0.75" header="0.3" footer="0.3"/>
  <pageSetup orientation="portrait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12737" r:id="rId4" name="Spinner 1">
              <controlPr defaultSize="0" autoPict="0">
                <anchor moveWithCells="1" sizeWithCells="1">
                  <from>
                    <xdr:col>9</xdr:col>
                    <xdr:colOff>19050</xdr:colOff>
                    <xdr:row>0</xdr:row>
                    <xdr:rowOff>38100</xdr:rowOff>
                  </from>
                  <to>
                    <xdr:col>9</xdr:col>
                    <xdr:colOff>400050</xdr:colOff>
                    <xdr:row>1</xdr:row>
                    <xdr:rowOff>152400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9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78">
    <tabColor rgb="FFFFC000"/>
  </sheetPr>
  <dimension ref="A1:S30"/>
  <sheetViews>
    <sheetView zoomScale="90" zoomScaleNormal="90" workbookViewId="0">
      <selection activeCell="L1" sqref="L1"/>
    </sheetView>
  </sheetViews>
  <sheetFormatPr defaultColWidth="9.1796875" defaultRowHeight="14.5" x14ac:dyDescent="0.35"/>
  <cols>
    <col min="1" max="1" width="9.1796875" style="3"/>
    <col min="2" max="2" width="5.1796875" style="3" customWidth="1"/>
    <col min="3" max="3" width="6.26953125" style="3" customWidth="1"/>
    <col min="4" max="4" width="21.26953125" style="3" bestFit="1" customWidth="1"/>
    <col min="5" max="16" width="11.1796875" style="3" customWidth="1"/>
    <col min="17" max="17" width="12" style="3" bestFit="1" customWidth="1"/>
    <col min="18" max="18" width="9.1796875" style="3" customWidth="1"/>
    <col min="19" max="16384" width="9.1796875" style="3"/>
  </cols>
  <sheetData>
    <row r="1" spans="1:19" ht="21" x14ac:dyDescent="0.5">
      <c r="A1" s="4" t="s">
        <v>4</v>
      </c>
      <c r="B1" s="4">
        <f>Dashboard!A106</f>
        <v>1</v>
      </c>
      <c r="C1" s="4" t="str">
        <f>Dashboard!B106</f>
        <v>TOTAL WATER CONNECTIONS</v>
      </c>
      <c r="D1" s="4"/>
      <c r="G1" s="3" t="s">
        <v>9</v>
      </c>
      <c r="I1" s="12">
        <f>INDEX($E$18:$P$18,Actual_month)</f>
        <v>46054</v>
      </c>
      <c r="L1" s="16" t="s">
        <v>19</v>
      </c>
      <c r="R1" s="5"/>
    </row>
    <row r="2" spans="1:19" x14ac:dyDescent="0.35">
      <c r="A2" s="3" t="s">
        <v>13</v>
      </c>
      <c r="C2" s="3" t="s">
        <v>27</v>
      </c>
      <c r="R2" s="6"/>
    </row>
    <row r="3" spans="1:19" ht="25.5" customHeight="1" thickBot="1" x14ac:dyDescent="0.4">
      <c r="C3" s="1" t="s">
        <v>5</v>
      </c>
      <c r="E3" s="10"/>
      <c r="F3" s="10"/>
      <c r="G3" s="10"/>
      <c r="H3" s="10"/>
      <c r="I3" s="10"/>
      <c r="J3" s="3" t="s">
        <v>6</v>
      </c>
      <c r="K3" s="10"/>
      <c r="M3" s="10"/>
      <c r="N3" s="10"/>
      <c r="O3" s="10"/>
      <c r="P3" s="10"/>
    </row>
    <row r="4" spans="1:19" ht="25.5" customHeight="1" x14ac:dyDescent="0.35">
      <c r="C4" s="1" t="s">
        <v>5</v>
      </c>
      <c r="E4" s="10"/>
      <c r="F4" s="10"/>
      <c r="G4" s="10"/>
      <c r="H4" s="10"/>
      <c r="I4" s="10"/>
      <c r="J4" s="401"/>
      <c r="K4" s="402"/>
      <c r="L4" s="402"/>
      <c r="M4" s="402"/>
      <c r="N4" s="402"/>
      <c r="O4" s="402"/>
      <c r="P4" s="402"/>
      <c r="Q4" s="403"/>
      <c r="R4" s="3" t="s">
        <v>22</v>
      </c>
      <c r="S4" s="5">
        <f>INDEX(E27:P27,Actual_month)</f>
        <v>13179</v>
      </c>
    </row>
    <row r="5" spans="1:19" ht="25.5" customHeight="1" x14ac:dyDescent="0.35">
      <c r="C5" s="1" t="s">
        <v>5</v>
      </c>
      <c r="E5" s="10"/>
      <c r="F5" s="10"/>
      <c r="G5" s="10"/>
      <c r="H5" s="10"/>
      <c r="I5" s="10"/>
      <c r="J5" s="404"/>
      <c r="K5" s="405"/>
      <c r="L5" s="405"/>
      <c r="M5" s="405"/>
      <c r="N5" s="405"/>
      <c r="O5" s="405"/>
      <c r="P5" s="405"/>
      <c r="Q5" s="406"/>
      <c r="R5" s="3" t="s">
        <v>23</v>
      </c>
      <c r="S5" s="5">
        <f>INDEX(E26:P26,Actual_month)</f>
        <v>13663</v>
      </c>
    </row>
    <row r="6" spans="1:19" x14ac:dyDescent="0.35">
      <c r="J6" s="404"/>
      <c r="K6" s="405"/>
      <c r="L6" s="405"/>
      <c r="M6" s="405"/>
      <c r="N6" s="405"/>
      <c r="O6" s="405"/>
      <c r="P6" s="405"/>
      <c r="Q6" s="406"/>
      <c r="R6" s="6">
        <v>0.9</v>
      </c>
      <c r="S6" s="5">
        <f>+S5*R6</f>
        <v>12296.7</v>
      </c>
    </row>
    <row r="7" spans="1:19" x14ac:dyDescent="0.35">
      <c r="J7" s="404"/>
      <c r="K7" s="405"/>
      <c r="L7" s="405"/>
      <c r="M7" s="405"/>
      <c r="N7" s="405"/>
      <c r="O7" s="405"/>
      <c r="P7" s="405"/>
      <c r="Q7" s="406"/>
    </row>
    <row r="8" spans="1:19" ht="15" thickBot="1" x14ac:dyDescent="0.4">
      <c r="J8" s="407"/>
      <c r="K8" s="408"/>
      <c r="L8" s="408"/>
      <c r="M8" s="408"/>
      <c r="N8" s="408"/>
      <c r="O8" s="408"/>
      <c r="P8" s="408"/>
      <c r="Q8" s="409"/>
    </row>
    <row r="9" spans="1:19" ht="15" thickBot="1" x14ac:dyDescent="0.4">
      <c r="J9" s="3" t="s">
        <v>12</v>
      </c>
    </row>
    <row r="10" spans="1:19" x14ac:dyDescent="0.35">
      <c r="J10" s="401"/>
      <c r="K10" s="402"/>
      <c r="L10" s="402"/>
      <c r="M10" s="402"/>
      <c r="N10" s="402"/>
      <c r="O10" s="402"/>
      <c r="P10" s="402"/>
      <c r="Q10" s="403"/>
    </row>
    <row r="11" spans="1:19" x14ac:dyDescent="0.35">
      <c r="J11" s="404"/>
      <c r="K11" s="405"/>
      <c r="L11" s="405"/>
      <c r="M11" s="405"/>
      <c r="N11" s="405"/>
      <c r="O11" s="405"/>
      <c r="P11" s="405"/>
      <c r="Q11" s="406"/>
    </row>
    <row r="12" spans="1:19" x14ac:dyDescent="0.35">
      <c r="J12" s="404"/>
      <c r="K12" s="405"/>
      <c r="L12" s="405"/>
      <c r="M12" s="405"/>
      <c r="N12" s="405"/>
      <c r="O12" s="405"/>
      <c r="P12" s="405"/>
      <c r="Q12" s="406"/>
    </row>
    <row r="13" spans="1:19" x14ac:dyDescent="0.35">
      <c r="J13" s="404"/>
      <c r="K13" s="405"/>
      <c r="L13" s="405"/>
      <c r="M13" s="405"/>
      <c r="N13" s="405"/>
      <c r="O13" s="405"/>
      <c r="P13" s="405"/>
      <c r="Q13" s="406"/>
    </row>
    <row r="14" spans="1:19" x14ac:dyDescent="0.35">
      <c r="J14" s="404"/>
      <c r="K14" s="405"/>
      <c r="L14" s="405"/>
      <c r="M14" s="405"/>
      <c r="N14" s="405"/>
      <c r="O14" s="405"/>
      <c r="P14" s="405"/>
      <c r="Q14" s="406"/>
    </row>
    <row r="15" spans="1:19" ht="15" thickBot="1" x14ac:dyDescent="0.4">
      <c r="J15" s="407"/>
      <c r="K15" s="408"/>
      <c r="L15" s="408"/>
      <c r="M15" s="408"/>
      <c r="N15" s="408"/>
      <c r="O15" s="408"/>
      <c r="P15" s="408"/>
      <c r="Q15" s="409"/>
    </row>
    <row r="18" spans="3:17" x14ac:dyDescent="0.35">
      <c r="C18" s="7" t="s">
        <v>8</v>
      </c>
      <c r="E18" s="11">
        <f>'KPI 1'!E18</f>
        <v>45839</v>
      </c>
      <c r="F18" s="11">
        <f>'KPI 1'!F18</f>
        <v>45870</v>
      </c>
      <c r="G18" s="11">
        <f>'KPI 1'!G18</f>
        <v>45901</v>
      </c>
      <c r="H18" s="11">
        <f>'KPI 1'!H18</f>
        <v>45931</v>
      </c>
      <c r="I18" s="11">
        <f>'KPI 1'!I18</f>
        <v>45962</v>
      </c>
      <c r="J18" s="11">
        <f>'KPI 1'!J18</f>
        <v>45992</v>
      </c>
      <c r="K18" s="11">
        <f>'KPI 1'!K18</f>
        <v>46023</v>
      </c>
      <c r="L18" s="11">
        <f>'KPI 1'!L18</f>
        <v>46054</v>
      </c>
      <c r="M18" s="11">
        <f>'KPI 1'!M18</f>
        <v>46082</v>
      </c>
      <c r="N18" s="11">
        <f>'KPI 1'!N18</f>
        <v>46113</v>
      </c>
      <c r="O18" s="11">
        <f>'KPI 1'!O18</f>
        <v>46143</v>
      </c>
      <c r="P18" s="11">
        <f>'KPI 1'!P18</f>
        <v>46174</v>
      </c>
      <c r="Q18" s="8" t="s">
        <v>0</v>
      </c>
    </row>
    <row r="19" spans="3:17" x14ac:dyDescent="0.35">
      <c r="D19" s="3" t="str">
        <f>'KPI 1'!D19</f>
        <v>Budget 2025-26</v>
      </c>
      <c r="E19" s="5">
        <f>'budget 2025-26'!D99</f>
        <v>12347</v>
      </c>
      <c r="F19" s="5">
        <f>'budget 2025-26'!E99</f>
        <v>12494</v>
      </c>
      <c r="G19" s="5">
        <f>'budget 2025-26'!F99</f>
        <v>12643</v>
      </c>
      <c r="H19" s="5">
        <f>'budget 2025-26'!G99</f>
        <v>12862</v>
      </c>
      <c r="I19" s="5">
        <f>'budget 2025-26'!H99</f>
        <v>13071</v>
      </c>
      <c r="J19" s="5">
        <f>'budget 2025-26'!I99</f>
        <v>13270</v>
      </c>
      <c r="K19" s="5">
        <f>'budget 2025-26'!J99</f>
        <v>13474</v>
      </c>
      <c r="L19" s="5">
        <f>'budget 2025-26'!K99</f>
        <v>13663</v>
      </c>
      <c r="M19" s="5">
        <f>'budget 2025-26'!L99</f>
        <v>13837</v>
      </c>
      <c r="N19" s="5">
        <f>'budget 2025-26'!M99</f>
        <v>13991</v>
      </c>
      <c r="O19" s="5">
        <f>'budget 2025-26'!N99</f>
        <v>14145</v>
      </c>
      <c r="P19" s="5">
        <f>'budget 2025-26'!O99</f>
        <v>14297</v>
      </c>
      <c r="Q19" s="5">
        <f>SUM(E19:P19)</f>
        <v>160094</v>
      </c>
    </row>
    <row r="20" spans="3:17" x14ac:dyDescent="0.35">
      <c r="D20" s="3" t="str">
        <f>'KPI 1'!D20</f>
        <v>Actual 2025-26</v>
      </c>
      <c r="E20" s="5">
        <f>'Input Actual2025-26'!E102</f>
        <v>12317</v>
      </c>
      <c r="F20" s="5">
        <f>'Input Actual2025-26'!F102</f>
        <v>12467</v>
      </c>
      <c r="G20" s="5">
        <f>'Input Actual2025-26'!G102</f>
        <v>12595</v>
      </c>
      <c r="H20" s="5">
        <f>'Input Actual2025-26'!H102</f>
        <v>12736</v>
      </c>
      <c r="I20" s="5">
        <f>'Input Actual2025-26'!I102</f>
        <v>12830</v>
      </c>
      <c r="J20" s="5">
        <f>'Input Actual2025-26'!J102</f>
        <v>12956</v>
      </c>
      <c r="K20" s="5">
        <f>'Input Actual2025-26'!K102</f>
        <v>13106</v>
      </c>
      <c r="L20" s="5">
        <f>'Input Actual2025-26'!L102</f>
        <v>13179</v>
      </c>
      <c r="M20" s="5">
        <f>'Input Actual2025-26'!M102</f>
        <v>0</v>
      </c>
      <c r="N20" s="5">
        <f>'Input Actual2025-26'!N102</f>
        <v>0</v>
      </c>
      <c r="O20" s="5">
        <f>'Input Actual2025-26'!O102</f>
        <v>0</v>
      </c>
      <c r="P20" s="5">
        <f>'Input Actual2025-26'!P102</f>
        <v>0</v>
      </c>
      <c r="Q20" s="5">
        <f t="shared" ref="Q20:Q22" si="0">SUM(E20:P20)</f>
        <v>102186</v>
      </c>
    </row>
    <row r="21" spans="3:17" x14ac:dyDescent="0.35">
      <c r="D21" s="3" t="s">
        <v>424</v>
      </c>
      <c r="E21" s="5">
        <f>'Input Actual2024-25'!E95</f>
        <v>11410</v>
      </c>
      <c r="F21" s="5">
        <f>'Input Actual2024-25'!F95</f>
        <v>11461</v>
      </c>
      <c r="G21" s="5">
        <f>'Input Actual2024-25'!G95</f>
        <v>11487</v>
      </c>
      <c r="H21" s="5">
        <f>'Input Actual2024-25'!H95</f>
        <v>11494</v>
      </c>
      <c r="I21" s="5">
        <f>'Input Actual2024-25'!I95</f>
        <v>11534</v>
      </c>
      <c r="J21" s="5">
        <f>'Input Actual2024-25'!J95</f>
        <v>11588</v>
      </c>
      <c r="K21" s="5">
        <f>'Input Actual2024-25'!K95</f>
        <v>11714</v>
      </c>
      <c r="L21" s="5">
        <f>'Input Actual2024-25'!L95</f>
        <v>11796</v>
      </c>
      <c r="M21" s="5">
        <f>'Input Actual2024-25'!M95</f>
        <v>11884</v>
      </c>
      <c r="N21" s="5">
        <f>'Input Actual2024-25'!N95</f>
        <v>12038</v>
      </c>
      <c r="O21" s="5">
        <f>'Input Actual2024-25'!O95</f>
        <v>12097</v>
      </c>
      <c r="P21" s="5">
        <f>'Input Actual2024-25'!P95</f>
        <v>12181</v>
      </c>
      <c r="Q21" s="5">
        <f t="shared" si="0"/>
        <v>140684</v>
      </c>
    </row>
    <row r="22" spans="3:17" x14ac:dyDescent="0.35">
      <c r="D22" s="3" t="s">
        <v>7</v>
      </c>
      <c r="E22" s="5">
        <f t="shared" ref="E22:P22" si="1">IF(E20=0,0,E20-E19)</f>
        <v>-30</v>
      </c>
      <c r="F22" s="5">
        <f t="shared" si="1"/>
        <v>-27</v>
      </c>
      <c r="G22" s="5">
        <f t="shared" si="1"/>
        <v>-48</v>
      </c>
      <c r="H22" s="5">
        <f t="shared" si="1"/>
        <v>-126</v>
      </c>
      <c r="I22" s="5">
        <f t="shared" si="1"/>
        <v>-241</v>
      </c>
      <c r="J22" s="5">
        <f t="shared" si="1"/>
        <v>-314</v>
      </c>
      <c r="K22" s="5">
        <f t="shared" si="1"/>
        <v>-368</v>
      </c>
      <c r="L22" s="5">
        <f t="shared" si="1"/>
        <v>-484</v>
      </c>
      <c r="M22" s="5">
        <f t="shared" si="1"/>
        <v>0</v>
      </c>
      <c r="N22" s="5">
        <f t="shared" si="1"/>
        <v>0</v>
      </c>
      <c r="O22" s="5">
        <f t="shared" si="1"/>
        <v>0</v>
      </c>
      <c r="P22" s="5">
        <f t="shared" si="1"/>
        <v>0</v>
      </c>
      <c r="Q22" s="5">
        <f t="shared" si="0"/>
        <v>-1638</v>
      </c>
    </row>
    <row r="23" spans="3:17" x14ac:dyDescent="0.35">
      <c r="D23" s="3" t="s">
        <v>43</v>
      </c>
      <c r="E23" s="9">
        <f>E21/E19</f>
        <v>0.92411112011014818</v>
      </c>
      <c r="F23" s="9">
        <f t="shared" ref="F23:P23" si="2">F20/F19</f>
        <v>0.99783896270209704</v>
      </c>
      <c r="G23" s="9">
        <f t="shared" si="2"/>
        <v>0.99620343272957368</v>
      </c>
      <c r="H23" s="9">
        <f t="shared" si="2"/>
        <v>0.99020370082413312</v>
      </c>
      <c r="I23" s="9">
        <f t="shared" si="2"/>
        <v>0.98156223701323542</v>
      </c>
      <c r="J23" s="9">
        <f t="shared" si="2"/>
        <v>0.97633760361718158</v>
      </c>
      <c r="K23" s="9">
        <f t="shared" si="2"/>
        <v>0.97268814012171589</v>
      </c>
      <c r="L23" s="9">
        <f t="shared" si="2"/>
        <v>0.96457586181658495</v>
      </c>
      <c r="M23" s="9">
        <f t="shared" si="2"/>
        <v>0</v>
      </c>
      <c r="N23" s="9">
        <f t="shared" si="2"/>
        <v>0</v>
      </c>
      <c r="O23" s="9">
        <f t="shared" si="2"/>
        <v>0</v>
      </c>
      <c r="P23" s="9">
        <f t="shared" si="2"/>
        <v>0</v>
      </c>
    </row>
    <row r="25" spans="3:17" x14ac:dyDescent="0.35">
      <c r="C25" s="7" t="s">
        <v>3</v>
      </c>
      <c r="E25" s="11">
        <f>E18</f>
        <v>45839</v>
      </c>
      <c r="F25" s="11">
        <f t="shared" ref="F25:P25" si="3">F18</f>
        <v>45870</v>
      </c>
      <c r="G25" s="11">
        <f t="shared" si="3"/>
        <v>45901</v>
      </c>
      <c r="H25" s="11">
        <f t="shared" si="3"/>
        <v>45931</v>
      </c>
      <c r="I25" s="11">
        <f t="shared" si="3"/>
        <v>45962</v>
      </c>
      <c r="J25" s="11">
        <f t="shared" si="3"/>
        <v>45992</v>
      </c>
      <c r="K25" s="11">
        <f t="shared" si="3"/>
        <v>46023</v>
      </c>
      <c r="L25" s="11">
        <f t="shared" si="3"/>
        <v>46054</v>
      </c>
      <c r="M25" s="11">
        <f t="shared" si="3"/>
        <v>46082</v>
      </c>
      <c r="N25" s="11">
        <f t="shared" si="3"/>
        <v>46113</v>
      </c>
      <c r="O25" s="11">
        <f t="shared" si="3"/>
        <v>46143</v>
      </c>
      <c r="P25" s="11">
        <f t="shared" si="3"/>
        <v>46174</v>
      </c>
    </row>
    <row r="26" spans="3:17" x14ac:dyDescent="0.35">
      <c r="D26" s="3" t="str">
        <f>D19</f>
        <v>Budget 2025-26</v>
      </c>
      <c r="E26" s="5">
        <f>E19</f>
        <v>12347</v>
      </c>
      <c r="F26" s="5">
        <f t="shared" ref="F26:P26" si="4">F19</f>
        <v>12494</v>
      </c>
      <c r="G26" s="5">
        <f t="shared" si="4"/>
        <v>12643</v>
      </c>
      <c r="H26" s="5">
        <f t="shared" si="4"/>
        <v>12862</v>
      </c>
      <c r="I26" s="5">
        <f t="shared" si="4"/>
        <v>13071</v>
      </c>
      <c r="J26" s="5">
        <f t="shared" si="4"/>
        <v>13270</v>
      </c>
      <c r="K26" s="5">
        <f t="shared" si="4"/>
        <v>13474</v>
      </c>
      <c r="L26" s="5">
        <f t="shared" si="4"/>
        <v>13663</v>
      </c>
      <c r="M26" s="5">
        <f t="shared" si="4"/>
        <v>13837</v>
      </c>
      <c r="N26" s="5">
        <f t="shared" si="4"/>
        <v>13991</v>
      </c>
      <c r="O26" s="5">
        <f t="shared" si="4"/>
        <v>14145</v>
      </c>
      <c r="P26" s="5">
        <f t="shared" si="4"/>
        <v>14297</v>
      </c>
    </row>
    <row r="27" spans="3:17" x14ac:dyDescent="0.35">
      <c r="D27" s="3" t="str">
        <f t="shared" ref="D27:D30" si="5">D20</f>
        <v>Actual 2025-26</v>
      </c>
      <c r="E27" s="5">
        <f>E20</f>
        <v>12317</v>
      </c>
      <c r="F27" s="5">
        <f t="shared" ref="F27:P27" si="6">F20</f>
        <v>12467</v>
      </c>
      <c r="G27" s="5">
        <f t="shared" si="6"/>
        <v>12595</v>
      </c>
      <c r="H27" s="5">
        <f t="shared" si="6"/>
        <v>12736</v>
      </c>
      <c r="I27" s="5">
        <f t="shared" si="6"/>
        <v>12830</v>
      </c>
      <c r="J27" s="5">
        <f t="shared" si="6"/>
        <v>12956</v>
      </c>
      <c r="K27" s="5">
        <f t="shared" si="6"/>
        <v>13106</v>
      </c>
      <c r="L27" s="5">
        <f t="shared" si="6"/>
        <v>13179</v>
      </c>
      <c r="M27" s="5">
        <f t="shared" si="6"/>
        <v>0</v>
      </c>
      <c r="N27" s="5">
        <f t="shared" si="6"/>
        <v>0</v>
      </c>
      <c r="O27" s="5">
        <f t="shared" si="6"/>
        <v>0</v>
      </c>
      <c r="P27" s="5">
        <f t="shared" si="6"/>
        <v>0</v>
      </c>
    </row>
    <row r="28" spans="3:17" x14ac:dyDescent="0.35">
      <c r="D28" s="3" t="str">
        <f t="shared" si="5"/>
        <v>Actual 2024-25</v>
      </c>
      <c r="E28" s="5">
        <f>E21</f>
        <v>11410</v>
      </c>
      <c r="F28" s="5">
        <f t="shared" ref="F28:P28" si="7">F21</f>
        <v>11461</v>
      </c>
      <c r="G28" s="5">
        <f t="shared" si="7"/>
        <v>11487</v>
      </c>
      <c r="H28" s="5">
        <f t="shared" si="7"/>
        <v>11494</v>
      </c>
      <c r="I28" s="5">
        <f t="shared" si="7"/>
        <v>11534</v>
      </c>
      <c r="J28" s="5">
        <f t="shared" si="7"/>
        <v>11588</v>
      </c>
      <c r="K28" s="5">
        <f t="shared" si="7"/>
        <v>11714</v>
      </c>
      <c r="L28" s="5">
        <f t="shared" si="7"/>
        <v>11796</v>
      </c>
      <c r="M28" s="5">
        <f t="shared" si="7"/>
        <v>11884</v>
      </c>
      <c r="N28" s="5">
        <f t="shared" si="7"/>
        <v>12038</v>
      </c>
      <c r="O28" s="5">
        <f t="shared" si="7"/>
        <v>12097</v>
      </c>
      <c r="P28" s="5">
        <f t="shared" si="7"/>
        <v>12181</v>
      </c>
    </row>
    <row r="29" spans="3:17" x14ac:dyDescent="0.35">
      <c r="D29" s="3" t="str">
        <f t="shared" si="5"/>
        <v>Difference</v>
      </c>
      <c r="E29" s="5">
        <f>SUM($E22:E22)</f>
        <v>-30</v>
      </c>
      <c r="F29" s="5">
        <f>SUM($E22:F22)</f>
        <v>-57</v>
      </c>
      <c r="G29" s="5">
        <f>SUM($E22:G22)</f>
        <v>-105</v>
      </c>
      <c r="H29" s="5">
        <f>SUM($E22:H22)</f>
        <v>-231</v>
      </c>
      <c r="I29" s="5">
        <f>SUM($E22:I22)</f>
        <v>-472</v>
      </c>
      <c r="J29" s="5">
        <f>SUM($E22:J22)</f>
        <v>-786</v>
      </c>
      <c r="K29" s="5">
        <f>SUM($E22:K22)</f>
        <v>-1154</v>
      </c>
      <c r="L29" s="5">
        <f>SUM($E22:L22)</f>
        <v>-1638</v>
      </c>
      <c r="M29" s="5">
        <f>SUM($E22:M22)</f>
        <v>-1638</v>
      </c>
      <c r="N29" s="5">
        <f>SUM($E22:N22)</f>
        <v>-1638</v>
      </c>
      <c r="O29" s="5">
        <f>SUM($E22:O22)</f>
        <v>-1638</v>
      </c>
      <c r="P29" s="5">
        <f>SUM($E22:P22)</f>
        <v>-1638</v>
      </c>
    </row>
    <row r="30" spans="3:17" x14ac:dyDescent="0.35">
      <c r="D30" s="3" t="str">
        <f t="shared" si="5"/>
        <v>Realisation</v>
      </c>
      <c r="E30" s="9">
        <f>E28/E26</f>
        <v>0.92411112011014818</v>
      </c>
      <c r="F30" s="9">
        <f t="shared" ref="F30:P30" si="8">F27/F26</f>
        <v>0.99783896270209704</v>
      </c>
      <c r="G30" s="9">
        <f t="shared" si="8"/>
        <v>0.99620343272957368</v>
      </c>
      <c r="H30" s="9">
        <f t="shared" si="8"/>
        <v>0.99020370082413312</v>
      </c>
      <c r="I30" s="9">
        <f t="shared" si="8"/>
        <v>0.98156223701323542</v>
      </c>
      <c r="J30" s="9">
        <f t="shared" si="8"/>
        <v>0.97633760361718158</v>
      </c>
      <c r="K30" s="9">
        <f t="shared" si="8"/>
        <v>0.97268814012171589</v>
      </c>
      <c r="L30" s="9">
        <f t="shared" si="8"/>
        <v>0.96457586181658495</v>
      </c>
      <c r="M30" s="9">
        <f t="shared" si="8"/>
        <v>0</v>
      </c>
      <c r="N30" s="9">
        <f t="shared" si="8"/>
        <v>0</v>
      </c>
      <c r="O30" s="9">
        <f t="shared" si="8"/>
        <v>0</v>
      </c>
      <c r="P30" s="9">
        <f t="shared" si="8"/>
        <v>0</v>
      </c>
    </row>
  </sheetData>
  <mergeCells count="2">
    <mergeCell ref="J4:Q8"/>
    <mergeCell ref="J10:Q15"/>
  </mergeCells>
  <conditionalFormatting sqref="C3">
    <cfRule type="expression" dxfId="302" priority="2">
      <formula>S4&lt;S6</formula>
    </cfRule>
  </conditionalFormatting>
  <conditionalFormatting sqref="C5">
    <cfRule type="expression" dxfId="301" priority="3">
      <formula>S4&gt;=S5</formula>
    </cfRule>
  </conditionalFormatting>
  <conditionalFormatting sqref="C4">
    <cfRule type="expression" dxfId="300" priority="1">
      <formula>AND(S4&gt;=S6,S4&lt;S5)</formula>
    </cfRule>
  </conditionalFormatting>
  <hyperlinks>
    <hyperlink ref="L1" location="Dashboard!A1" display="Dashboard"/>
  </hyperlinks>
  <pageMargins left="0.7" right="0.7" top="0.75" bottom="0.75" header="0.3" footer="0.3"/>
  <pageSetup orientation="portrait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13761" r:id="rId4" name="Spinner 1">
              <controlPr defaultSize="0" autoPict="0">
                <anchor moveWithCells="1" sizeWithCells="1">
                  <from>
                    <xdr:col>9</xdr:col>
                    <xdr:colOff>19050</xdr:colOff>
                    <xdr:row>0</xdr:row>
                    <xdr:rowOff>38100</xdr:rowOff>
                  </from>
                  <to>
                    <xdr:col>9</xdr:col>
                    <xdr:colOff>400050</xdr:colOff>
                    <xdr:row>1</xdr:row>
                    <xdr:rowOff>152400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9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FFC000"/>
  </sheetPr>
  <dimension ref="A1:S30"/>
  <sheetViews>
    <sheetView zoomScale="90" zoomScaleNormal="90" workbookViewId="0">
      <selection activeCell="L1" sqref="L1"/>
    </sheetView>
  </sheetViews>
  <sheetFormatPr defaultColWidth="9.1796875" defaultRowHeight="14.5" x14ac:dyDescent="0.35"/>
  <cols>
    <col min="1" max="1" width="9.1796875" style="3"/>
    <col min="2" max="2" width="5.1796875" style="3" customWidth="1"/>
    <col min="3" max="3" width="6.26953125" style="3" customWidth="1"/>
    <col min="4" max="4" width="21.26953125" style="3" bestFit="1" customWidth="1"/>
    <col min="5" max="16" width="11.1796875" style="3" customWidth="1"/>
    <col min="17" max="17" width="12" style="3" bestFit="1" customWidth="1"/>
    <col min="18" max="18" width="9.1796875" style="3" customWidth="1"/>
    <col min="19" max="16384" width="9.1796875" style="3"/>
  </cols>
  <sheetData>
    <row r="1" spans="1:19" ht="21" x14ac:dyDescent="0.5">
      <c r="A1" s="4" t="s">
        <v>4</v>
      </c>
      <c r="B1" s="4">
        <f>Dashboard!A106</f>
        <v>1</v>
      </c>
      <c r="C1" s="4" t="str">
        <f>Dashboard!B110</f>
        <v>TOTAL NEW CONNECTION WATER</v>
      </c>
      <c r="D1" s="4"/>
      <c r="G1" s="3" t="s">
        <v>9</v>
      </c>
      <c r="I1" s="12">
        <f>INDEX($E$18:$P$18,Actual_month)</f>
        <v>46054</v>
      </c>
      <c r="L1" s="16" t="s">
        <v>19</v>
      </c>
      <c r="R1" s="5"/>
    </row>
    <row r="2" spans="1:19" x14ac:dyDescent="0.35">
      <c r="A2" s="3" t="s">
        <v>13</v>
      </c>
      <c r="C2" s="3" t="s">
        <v>27</v>
      </c>
      <c r="R2" s="6"/>
    </row>
    <row r="3" spans="1:19" ht="25.5" customHeight="1" thickBot="1" x14ac:dyDescent="0.4">
      <c r="C3" s="1" t="s">
        <v>5</v>
      </c>
      <c r="E3" s="10"/>
      <c r="F3" s="10"/>
      <c r="G3" s="10"/>
      <c r="H3" s="10"/>
      <c r="I3" s="10"/>
      <c r="J3" s="3" t="s">
        <v>6</v>
      </c>
      <c r="K3" s="10"/>
      <c r="M3" s="10"/>
      <c r="N3" s="10"/>
      <c r="O3" s="10"/>
      <c r="P3" s="10"/>
    </row>
    <row r="4" spans="1:19" ht="25.5" customHeight="1" x14ac:dyDescent="0.35">
      <c r="C4" s="1" t="s">
        <v>5</v>
      </c>
      <c r="E4" s="10"/>
      <c r="F4" s="10"/>
      <c r="G4" s="10"/>
      <c r="H4" s="10"/>
      <c r="I4" s="10"/>
      <c r="J4" s="401"/>
      <c r="K4" s="402"/>
      <c r="L4" s="402"/>
      <c r="M4" s="402"/>
      <c r="N4" s="402"/>
      <c r="O4" s="402"/>
      <c r="P4" s="402"/>
      <c r="Q4" s="403"/>
      <c r="R4" s="3" t="s">
        <v>22</v>
      </c>
      <c r="S4" s="5">
        <f>INDEX(E27:P27,Actual_month)</f>
        <v>1029</v>
      </c>
    </row>
    <row r="5" spans="1:19" ht="25.5" customHeight="1" x14ac:dyDescent="0.35">
      <c r="C5" s="1" t="s">
        <v>5</v>
      </c>
      <c r="E5" s="10"/>
      <c r="F5" s="10"/>
      <c r="G5" s="10"/>
      <c r="H5" s="10"/>
      <c r="I5" s="10"/>
      <c r="J5" s="404"/>
      <c r="K5" s="405"/>
      <c r="L5" s="405"/>
      <c r="M5" s="405"/>
      <c r="N5" s="405"/>
      <c r="O5" s="405"/>
      <c r="P5" s="405"/>
      <c r="Q5" s="406"/>
      <c r="R5" s="3" t="s">
        <v>23</v>
      </c>
      <c r="S5" s="5">
        <f>INDEX(E26:P26,Actual_month)</f>
        <v>1482</v>
      </c>
    </row>
    <row r="6" spans="1:19" x14ac:dyDescent="0.35">
      <c r="J6" s="404"/>
      <c r="K6" s="405"/>
      <c r="L6" s="405"/>
      <c r="M6" s="405"/>
      <c r="N6" s="405"/>
      <c r="O6" s="405"/>
      <c r="P6" s="405"/>
      <c r="Q6" s="406"/>
      <c r="R6" s="6">
        <v>0.9</v>
      </c>
      <c r="S6" s="5">
        <f>+S5*R6</f>
        <v>1333.8</v>
      </c>
    </row>
    <row r="7" spans="1:19" x14ac:dyDescent="0.35">
      <c r="J7" s="404"/>
      <c r="K7" s="405"/>
      <c r="L7" s="405"/>
      <c r="M7" s="405"/>
      <c r="N7" s="405"/>
      <c r="O7" s="405"/>
      <c r="P7" s="405"/>
      <c r="Q7" s="406"/>
    </row>
    <row r="8" spans="1:19" ht="15" thickBot="1" x14ac:dyDescent="0.4">
      <c r="J8" s="407"/>
      <c r="K8" s="408"/>
      <c r="L8" s="408"/>
      <c r="M8" s="408"/>
      <c r="N8" s="408"/>
      <c r="O8" s="408"/>
      <c r="P8" s="408"/>
      <c r="Q8" s="409"/>
    </row>
    <row r="9" spans="1:19" ht="15" thickBot="1" x14ac:dyDescent="0.4">
      <c r="J9" s="3" t="s">
        <v>12</v>
      </c>
    </row>
    <row r="10" spans="1:19" x14ac:dyDescent="0.35">
      <c r="J10" s="401"/>
      <c r="K10" s="402"/>
      <c r="L10" s="402"/>
      <c r="M10" s="402"/>
      <c r="N10" s="402"/>
      <c r="O10" s="402"/>
      <c r="P10" s="402"/>
      <c r="Q10" s="403"/>
    </row>
    <row r="11" spans="1:19" x14ac:dyDescent="0.35">
      <c r="J11" s="404"/>
      <c r="K11" s="405"/>
      <c r="L11" s="405"/>
      <c r="M11" s="405"/>
      <c r="N11" s="405"/>
      <c r="O11" s="405"/>
      <c r="P11" s="405"/>
      <c r="Q11" s="406"/>
    </row>
    <row r="12" spans="1:19" x14ac:dyDescent="0.35">
      <c r="J12" s="404"/>
      <c r="K12" s="405"/>
      <c r="L12" s="405"/>
      <c r="M12" s="405"/>
      <c r="N12" s="405"/>
      <c r="O12" s="405"/>
      <c r="P12" s="405"/>
      <c r="Q12" s="406"/>
    </row>
    <row r="13" spans="1:19" x14ac:dyDescent="0.35">
      <c r="J13" s="404"/>
      <c r="K13" s="405"/>
      <c r="L13" s="405"/>
      <c r="M13" s="405"/>
      <c r="N13" s="405"/>
      <c r="O13" s="405"/>
      <c r="P13" s="405"/>
      <c r="Q13" s="406"/>
    </row>
    <row r="14" spans="1:19" x14ac:dyDescent="0.35">
      <c r="J14" s="404"/>
      <c r="K14" s="405"/>
      <c r="L14" s="405"/>
      <c r="M14" s="405"/>
      <c r="N14" s="405"/>
      <c r="O14" s="405"/>
      <c r="P14" s="405"/>
      <c r="Q14" s="406"/>
    </row>
    <row r="15" spans="1:19" ht="15" thickBot="1" x14ac:dyDescent="0.4">
      <c r="J15" s="407"/>
      <c r="K15" s="408"/>
      <c r="L15" s="408"/>
      <c r="M15" s="408"/>
      <c r="N15" s="408"/>
      <c r="O15" s="408"/>
      <c r="P15" s="408"/>
      <c r="Q15" s="409"/>
    </row>
    <row r="18" spans="3:17" x14ac:dyDescent="0.35">
      <c r="C18" s="7" t="s">
        <v>8</v>
      </c>
      <c r="E18" s="11">
        <f>'KPI 1'!E18</f>
        <v>45839</v>
      </c>
      <c r="F18" s="11">
        <f>'KPI 1'!F18</f>
        <v>45870</v>
      </c>
      <c r="G18" s="11">
        <f>'KPI 1'!G18</f>
        <v>45901</v>
      </c>
      <c r="H18" s="11">
        <f>'KPI 1'!H18</f>
        <v>45931</v>
      </c>
      <c r="I18" s="11">
        <f>'KPI 1'!I18</f>
        <v>45962</v>
      </c>
      <c r="J18" s="11">
        <f>'KPI 1'!J18</f>
        <v>45992</v>
      </c>
      <c r="K18" s="11">
        <f>'KPI 1'!K18</f>
        <v>46023</v>
      </c>
      <c r="L18" s="11">
        <f>'KPI 1'!L18</f>
        <v>46054</v>
      </c>
      <c r="M18" s="11">
        <f>'KPI 1'!M18</f>
        <v>46082</v>
      </c>
      <c r="N18" s="11">
        <f>'KPI 1'!N18</f>
        <v>46113</v>
      </c>
      <c r="O18" s="11">
        <f>'KPI 1'!O18</f>
        <v>46143</v>
      </c>
      <c r="P18" s="11">
        <f>'KPI 1'!P18</f>
        <v>46174</v>
      </c>
      <c r="Q18" s="8" t="s">
        <v>0</v>
      </c>
    </row>
    <row r="19" spans="3:17" x14ac:dyDescent="0.35">
      <c r="D19" s="3" t="str">
        <f>'KPI 1'!D19</f>
        <v>Budget 2025-26</v>
      </c>
      <c r="E19" s="5">
        <f>'budget 2025-26'!D103</f>
        <v>166</v>
      </c>
      <c r="F19" s="5">
        <f>'budget 2025-26'!E103</f>
        <v>147</v>
      </c>
      <c r="G19" s="5">
        <f>'budget 2025-26'!F103</f>
        <v>149</v>
      </c>
      <c r="H19" s="5">
        <f>'budget 2025-26'!G103</f>
        <v>219</v>
      </c>
      <c r="I19" s="5">
        <f>'budget 2025-26'!H103</f>
        <v>209</v>
      </c>
      <c r="J19" s="5">
        <f>'budget 2025-26'!I103</f>
        <v>199</v>
      </c>
      <c r="K19" s="5">
        <f>'budget 2025-26'!J103</f>
        <v>204</v>
      </c>
      <c r="L19" s="5">
        <f>'budget 2025-26'!K103</f>
        <v>189</v>
      </c>
      <c r="M19" s="5">
        <f>'budget 2025-26'!L103</f>
        <v>174</v>
      </c>
      <c r="N19" s="5">
        <f>'budget 2025-26'!M103</f>
        <v>154</v>
      </c>
      <c r="O19" s="5">
        <f>'budget 2025-26'!N103</f>
        <v>154</v>
      </c>
      <c r="P19" s="5">
        <f>'budget 2025-26'!O103</f>
        <v>152</v>
      </c>
      <c r="Q19" s="5">
        <f>SUM(E19:P19)</f>
        <v>2116</v>
      </c>
    </row>
    <row r="20" spans="3:17" x14ac:dyDescent="0.35">
      <c r="D20" s="3" t="str">
        <f>'KPI 1'!D20</f>
        <v>Actual 2025-26</v>
      </c>
      <c r="E20" s="5">
        <f>'Input Actual2025-26'!E106</f>
        <v>137</v>
      </c>
      <c r="F20" s="5">
        <f>'Input Actual2025-26'!F106</f>
        <v>154</v>
      </c>
      <c r="G20" s="5">
        <f>'Input Actual2025-26'!G106</f>
        <v>130</v>
      </c>
      <c r="H20" s="5">
        <f>'Input Actual2025-26'!H106</f>
        <v>149</v>
      </c>
      <c r="I20" s="5">
        <f>'Input Actual2025-26'!I106</f>
        <v>96</v>
      </c>
      <c r="J20" s="5">
        <f>'Input Actual2025-26'!J106</f>
        <v>134</v>
      </c>
      <c r="K20" s="5">
        <f>'Input Actual2025-26'!K106</f>
        <v>154</v>
      </c>
      <c r="L20" s="5">
        <f>'Input Actual2025-26'!L106</f>
        <v>75</v>
      </c>
      <c r="M20" s="5">
        <f>'Input Actual2025-26'!M106</f>
        <v>0</v>
      </c>
      <c r="N20" s="5">
        <f>'Input Actual2025-26'!N106</f>
        <v>0</v>
      </c>
      <c r="O20" s="5">
        <f>'Input Actual2025-26'!O106</f>
        <v>0</v>
      </c>
      <c r="P20" s="5">
        <f>'Input Actual2025-26'!P106</f>
        <v>0</v>
      </c>
      <c r="Q20" s="5">
        <f t="shared" ref="Q20:Q22" si="0">SUM(E20:P20)</f>
        <v>1029</v>
      </c>
    </row>
    <row r="21" spans="3:17" x14ac:dyDescent="0.35">
      <c r="D21" s="3" t="s">
        <v>424</v>
      </c>
      <c r="E21" s="5">
        <f>'Input Actual2024-25'!E99</f>
        <v>78</v>
      </c>
      <c r="F21" s="5">
        <f>'Input Actual2024-25'!F99</f>
        <v>51</v>
      </c>
      <c r="G21" s="5">
        <f>'Input Actual2024-25'!G99</f>
        <v>26</v>
      </c>
      <c r="H21" s="5">
        <f>'Input Actual2024-25'!H99</f>
        <v>10</v>
      </c>
      <c r="I21" s="5">
        <f>'Input Actual2024-25'!I99</f>
        <v>39</v>
      </c>
      <c r="J21" s="5">
        <f>'Input Actual2024-25'!J99</f>
        <v>56</v>
      </c>
      <c r="K21" s="5">
        <f>'Input Actual2024-25'!K99</f>
        <v>129</v>
      </c>
      <c r="L21" s="5">
        <f>'Input Actual2024-25'!L99</f>
        <v>86</v>
      </c>
      <c r="M21" s="5">
        <f>'Input Actual2024-25'!M99</f>
        <v>90</v>
      </c>
      <c r="N21" s="5">
        <f>'Input Actual2024-25'!N99</f>
        <v>159</v>
      </c>
      <c r="O21" s="5">
        <f>'Input Actual2024-25'!O99</f>
        <v>59</v>
      </c>
      <c r="P21" s="5">
        <f>'Input Actual2024-25'!P99</f>
        <v>87</v>
      </c>
      <c r="Q21" s="5">
        <f t="shared" si="0"/>
        <v>870</v>
      </c>
    </row>
    <row r="22" spans="3:17" x14ac:dyDescent="0.35">
      <c r="D22" s="3" t="s">
        <v>7</v>
      </c>
      <c r="E22" s="5">
        <f t="shared" ref="E22:P22" si="1">IF(E20=0,0,E20-E19)</f>
        <v>-29</v>
      </c>
      <c r="F22" s="5">
        <f t="shared" si="1"/>
        <v>7</v>
      </c>
      <c r="G22" s="5">
        <f t="shared" si="1"/>
        <v>-19</v>
      </c>
      <c r="H22" s="5">
        <f t="shared" si="1"/>
        <v>-70</v>
      </c>
      <c r="I22" s="5">
        <f t="shared" si="1"/>
        <v>-113</v>
      </c>
      <c r="J22" s="5">
        <f t="shared" si="1"/>
        <v>-65</v>
      </c>
      <c r="K22" s="5">
        <f t="shared" si="1"/>
        <v>-50</v>
      </c>
      <c r="L22" s="5">
        <f t="shared" si="1"/>
        <v>-114</v>
      </c>
      <c r="M22" s="5">
        <f t="shared" si="1"/>
        <v>0</v>
      </c>
      <c r="N22" s="5">
        <f t="shared" si="1"/>
        <v>0</v>
      </c>
      <c r="O22" s="5">
        <f t="shared" si="1"/>
        <v>0</v>
      </c>
      <c r="P22" s="5">
        <f t="shared" si="1"/>
        <v>0</v>
      </c>
      <c r="Q22" s="5">
        <f t="shared" si="0"/>
        <v>-453</v>
      </c>
    </row>
    <row r="23" spans="3:17" x14ac:dyDescent="0.35">
      <c r="D23" s="3" t="s">
        <v>43</v>
      </c>
      <c r="E23" s="9">
        <f>E21/E19</f>
        <v>0.46987951807228917</v>
      </c>
      <c r="F23" s="9">
        <f t="shared" ref="F23:P23" si="2">F20/F19</f>
        <v>1.0476190476190477</v>
      </c>
      <c r="G23" s="9">
        <f t="shared" si="2"/>
        <v>0.87248322147651003</v>
      </c>
      <c r="H23" s="9">
        <f t="shared" si="2"/>
        <v>0.68036529680365299</v>
      </c>
      <c r="I23" s="9">
        <f t="shared" si="2"/>
        <v>0.45933014354066987</v>
      </c>
      <c r="J23" s="9">
        <f t="shared" si="2"/>
        <v>0.6733668341708543</v>
      </c>
      <c r="K23" s="9">
        <f t="shared" si="2"/>
        <v>0.75490196078431371</v>
      </c>
      <c r="L23" s="9">
        <f t="shared" si="2"/>
        <v>0.3968253968253968</v>
      </c>
      <c r="M23" s="9">
        <f t="shared" si="2"/>
        <v>0</v>
      </c>
      <c r="N23" s="9">
        <f t="shared" si="2"/>
        <v>0</v>
      </c>
      <c r="O23" s="9">
        <f t="shared" si="2"/>
        <v>0</v>
      </c>
      <c r="P23" s="9">
        <f t="shared" si="2"/>
        <v>0</v>
      </c>
    </row>
    <row r="25" spans="3:17" x14ac:dyDescent="0.35">
      <c r="C25" s="7" t="s">
        <v>3</v>
      </c>
      <c r="E25" s="11">
        <f>E18</f>
        <v>45839</v>
      </c>
      <c r="F25" s="11">
        <f t="shared" ref="F25:P28" si="3">F18</f>
        <v>45870</v>
      </c>
      <c r="G25" s="11">
        <f t="shared" si="3"/>
        <v>45901</v>
      </c>
      <c r="H25" s="11">
        <f t="shared" si="3"/>
        <v>45931</v>
      </c>
      <c r="I25" s="11">
        <f t="shared" si="3"/>
        <v>45962</v>
      </c>
      <c r="J25" s="11">
        <f t="shared" si="3"/>
        <v>45992</v>
      </c>
      <c r="K25" s="11">
        <f t="shared" si="3"/>
        <v>46023</v>
      </c>
      <c r="L25" s="11">
        <f t="shared" si="3"/>
        <v>46054</v>
      </c>
      <c r="M25" s="11">
        <f t="shared" si="3"/>
        <v>46082</v>
      </c>
      <c r="N25" s="11">
        <f t="shared" si="3"/>
        <v>46113</v>
      </c>
      <c r="O25" s="11">
        <f t="shared" si="3"/>
        <v>46143</v>
      </c>
      <c r="P25" s="11">
        <f t="shared" si="3"/>
        <v>46174</v>
      </c>
    </row>
    <row r="26" spans="3:17" x14ac:dyDescent="0.35">
      <c r="D26" s="3" t="str">
        <f>D19</f>
        <v>Budget 2025-26</v>
      </c>
      <c r="E26" s="5">
        <f>SUM($E19:E19)</f>
        <v>166</v>
      </c>
      <c r="F26" s="5">
        <f>SUM($E19:F19)</f>
        <v>313</v>
      </c>
      <c r="G26" s="5">
        <f>SUM($E19:G19)</f>
        <v>462</v>
      </c>
      <c r="H26" s="5">
        <f>SUM($E19:H19)</f>
        <v>681</v>
      </c>
      <c r="I26" s="5">
        <f>SUM($E19:I19)</f>
        <v>890</v>
      </c>
      <c r="J26" s="5">
        <f>SUM($E19:J19)</f>
        <v>1089</v>
      </c>
      <c r="K26" s="5">
        <f>SUM($E19:K19)</f>
        <v>1293</v>
      </c>
      <c r="L26" s="5">
        <f>SUM($E19:L19)</f>
        <v>1482</v>
      </c>
      <c r="M26" s="5">
        <f>SUM($E19:M19)</f>
        <v>1656</v>
      </c>
      <c r="N26" s="5">
        <f>SUM($E19:N19)</f>
        <v>1810</v>
      </c>
      <c r="O26" s="5">
        <f>SUM($E19:O19)</f>
        <v>1964</v>
      </c>
      <c r="P26" s="5">
        <f>SUM($E19:P19)</f>
        <v>2116</v>
      </c>
    </row>
    <row r="27" spans="3:17" x14ac:dyDescent="0.35">
      <c r="D27" s="3" t="str">
        <f t="shared" ref="D27:D30" si="4">D20</f>
        <v>Actual 2025-26</v>
      </c>
      <c r="E27" s="5">
        <f>SUM($E20:E20)</f>
        <v>137</v>
      </c>
      <c r="F27" s="5">
        <f>SUM($E20:F20)</f>
        <v>291</v>
      </c>
      <c r="G27" s="5">
        <f>SUM($E20:G20)</f>
        <v>421</v>
      </c>
      <c r="H27" s="5">
        <f>SUM($E20:H20)</f>
        <v>570</v>
      </c>
      <c r="I27" s="5">
        <f>SUM($E20:I20)</f>
        <v>666</v>
      </c>
      <c r="J27" s="5">
        <f>SUM($E20:J20)</f>
        <v>800</v>
      </c>
      <c r="K27" s="5">
        <f>SUM($E20:K20)</f>
        <v>954</v>
      </c>
      <c r="L27" s="5">
        <f>SUM($E20:L20)</f>
        <v>1029</v>
      </c>
      <c r="M27" s="5">
        <f>SUM($E20:M20)</f>
        <v>1029</v>
      </c>
      <c r="N27" s="5">
        <f>SUM($E20:N20)</f>
        <v>1029</v>
      </c>
      <c r="O27" s="5">
        <f>SUM($E20:O20)</f>
        <v>1029</v>
      </c>
      <c r="P27" s="5">
        <f>SUM($E20:P20)</f>
        <v>1029</v>
      </c>
    </row>
    <row r="28" spans="3:17" x14ac:dyDescent="0.35">
      <c r="D28" s="3" t="str">
        <f t="shared" si="4"/>
        <v>Actual 2024-25</v>
      </c>
      <c r="E28" s="5">
        <f>E21</f>
        <v>78</v>
      </c>
      <c r="F28" s="5">
        <f t="shared" si="3"/>
        <v>51</v>
      </c>
      <c r="G28" s="5">
        <f t="shared" si="3"/>
        <v>26</v>
      </c>
      <c r="H28" s="5">
        <f t="shared" si="3"/>
        <v>10</v>
      </c>
      <c r="I28" s="5">
        <f t="shared" si="3"/>
        <v>39</v>
      </c>
      <c r="J28" s="5">
        <f t="shared" si="3"/>
        <v>56</v>
      </c>
      <c r="K28" s="5">
        <f t="shared" si="3"/>
        <v>129</v>
      </c>
      <c r="L28" s="5">
        <f t="shared" si="3"/>
        <v>86</v>
      </c>
      <c r="M28" s="5">
        <f t="shared" si="3"/>
        <v>90</v>
      </c>
      <c r="N28" s="5">
        <f t="shared" si="3"/>
        <v>159</v>
      </c>
      <c r="O28" s="5">
        <f t="shared" si="3"/>
        <v>59</v>
      </c>
      <c r="P28" s="5">
        <f t="shared" si="3"/>
        <v>87</v>
      </c>
    </row>
    <row r="29" spans="3:17" x14ac:dyDescent="0.35">
      <c r="D29" s="3" t="str">
        <f t="shared" si="4"/>
        <v>Difference</v>
      </c>
      <c r="E29" s="5">
        <f>SUM($E22:E22)</f>
        <v>-29</v>
      </c>
      <c r="F29" s="5">
        <f>SUM($E22:F22)</f>
        <v>-22</v>
      </c>
      <c r="G29" s="5">
        <f>SUM($E22:G22)</f>
        <v>-41</v>
      </c>
      <c r="H29" s="5">
        <f>SUM($E22:H22)</f>
        <v>-111</v>
      </c>
      <c r="I29" s="5">
        <f>SUM($E22:I22)</f>
        <v>-224</v>
      </c>
      <c r="J29" s="5">
        <f>SUM($E22:J22)</f>
        <v>-289</v>
      </c>
      <c r="K29" s="5">
        <f>SUM($E22:K22)</f>
        <v>-339</v>
      </c>
      <c r="L29" s="5">
        <f>SUM($E22:L22)</f>
        <v>-453</v>
      </c>
      <c r="M29" s="5">
        <f>SUM($E22:M22)</f>
        <v>-453</v>
      </c>
      <c r="N29" s="5">
        <f>SUM($E22:N22)</f>
        <v>-453</v>
      </c>
      <c r="O29" s="5">
        <f>SUM($E22:O22)</f>
        <v>-453</v>
      </c>
      <c r="P29" s="5">
        <f>SUM($E22:P22)</f>
        <v>-453</v>
      </c>
    </row>
    <row r="30" spans="3:17" x14ac:dyDescent="0.35">
      <c r="D30" s="3" t="str">
        <f t="shared" si="4"/>
        <v>Realisation</v>
      </c>
      <c r="E30" s="9">
        <f>E28/E26</f>
        <v>0.46987951807228917</v>
      </c>
      <c r="F30" s="9">
        <f t="shared" ref="F30:P30" si="5">F27/F26</f>
        <v>0.92971246006389774</v>
      </c>
      <c r="G30" s="9">
        <f t="shared" si="5"/>
        <v>0.91125541125541121</v>
      </c>
      <c r="H30" s="9">
        <f t="shared" si="5"/>
        <v>0.83700440528634357</v>
      </c>
      <c r="I30" s="9">
        <f t="shared" si="5"/>
        <v>0.74831460674157302</v>
      </c>
      <c r="J30" s="9">
        <f t="shared" si="5"/>
        <v>0.7346189164370982</v>
      </c>
      <c r="K30" s="9">
        <f t="shared" si="5"/>
        <v>0.73781902552204182</v>
      </c>
      <c r="L30" s="9">
        <f t="shared" si="5"/>
        <v>0.69433198380566796</v>
      </c>
      <c r="M30" s="9">
        <f t="shared" si="5"/>
        <v>0.62137681159420288</v>
      </c>
      <c r="N30" s="9">
        <f t="shared" si="5"/>
        <v>0.56850828729281766</v>
      </c>
      <c r="O30" s="9">
        <f t="shared" si="5"/>
        <v>0.52393075356415475</v>
      </c>
      <c r="P30" s="9">
        <f t="shared" si="5"/>
        <v>0.48629489603024573</v>
      </c>
    </row>
  </sheetData>
  <mergeCells count="2">
    <mergeCell ref="J4:Q8"/>
    <mergeCell ref="J10:Q15"/>
  </mergeCells>
  <conditionalFormatting sqref="C3">
    <cfRule type="expression" dxfId="299" priority="2">
      <formula>S4&lt;S6</formula>
    </cfRule>
  </conditionalFormatting>
  <conditionalFormatting sqref="C5">
    <cfRule type="expression" dxfId="298" priority="3">
      <formula>S4&gt;=S5</formula>
    </cfRule>
  </conditionalFormatting>
  <conditionalFormatting sqref="C4">
    <cfRule type="expression" dxfId="297" priority="1">
      <formula>AND(S4&gt;=S6,S4&lt;S5)</formula>
    </cfRule>
  </conditionalFormatting>
  <hyperlinks>
    <hyperlink ref="L1" location="Dashboard!A1" display="Dashboard"/>
  </hyperlinks>
  <pageMargins left="0.7" right="0.7" top="0.75" bottom="0.75" header="0.3" footer="0.3"/>
  <pageSetup orientation="portrait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105921" r:id="rId4" name="Spinner 1">
              <controlPr defaultSize="0" autoPict="0">
                <anchor moveWithCells="1" sizeWithCells="1">
                  <from>
                    <xdr:col>9</xdr:col>
                    <xdr:colOff>19050</xdr:colOff>
                    <xdr:row>0</xdr:row>
                    <xdr:rowOff>38100</xdr:rowOff>
                  </from>
                  <to>
                    <xdr:col>9</xdr:col>
                    <xdr:colOff>400050</xdr:colOff>
                    <xdr:row>1</xdr:row>
                    <xdr:rowOff>152400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10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FFC000"/>
  </sheetPr>
  <dimension ref="A1:S30"/>
  <sheetViews>
    <sheetView zoomScale="90" zoomScaleNormal="90" workbookViewId="0">
      <selection activeCell="L1" sqref="L1"/>
    </sheetView>
  </sheetViews>
  <sheetFormatPr defaultColWidth="9.1796875" defaultRowHeight="14.5" x14ac:dyDescent="0.35"/>
  <cols>
    <col min="1" max="1" width="9.1796875" style="3"/>
    <col min="2" max="2" width="5.1796875" style="3" customWidth="1"/>
    <col min="3" max="3" width="6.26953125" style="3" customWidth="1"/>
    <col min="4" max="4" width="21.26953125" style="3" bestFit="1" customWidth="1"/>
    <col min="5" max="16" width="11.1796875" style="3" customWidth="1"/>
    <col min="17" max="17" width="12" style="3" bestFit="1" customWidth="1"/>
    <col min="18" max="18" width="9.1796875" style="3" customWidth="1"/>
    <col min="19" max="16384" width="9.1796875" style="3"/>
  </cols>
  <sheetData>
    <row r="1" spans="1:19" ht="21" x14ac:dyDescent="0.5">
      <c r="A1" s="4" t="s">
        <v>4</v>
      </c>
      <c r="B1" s="4">
        <f>Dashboard!A108</f>
        <v>3</v>
      </c>
      <c r="C1" s="4" t="str">
        <f>Dashboard!B111</f>
        <v>TOTAL NEW CONNECTIONS SEWER</v>
      </c>
      <c r="D1" s="4"/>
      <c r="G1" s="3" t="s">
        <v>9</v>
      </c>
      <c r="I1" s="12">
        <f>INDEX($E$18:$P$18,Actual_month)</f>
        <v>46054</v>
      </c>
      <c r="L1" s="16" t="s">
        <v>19</v>
      </c>
      <c r="R1" s="5"/>
    </row>
    <row r="2" spans="1:19" x14ac:dyDescent="0.35">
      <c r="A2" s="3" t="s">
        <v>13</v>
      </c>
      <c r="C2" s="3" t="s">
        <v>27</v>
      </c>
      <c r="R2" s="6"/>
    </row>
    <row r="3" spans="1:19" ht="25.5" customHeight="1" thickBot="1" x14ac:dyDescent="0.4">
      <c r="C3" s="1" t="s">
        <v>5</v>
      </c>
      <c r="E3" s="10"/>
      <c r="F3" s="10"/>
      <c r="G3" s="10"/>
      <c r="H3" s="10"/>
      <c r="I3" s="10"/>
      <c r="J3" s="3" t="s">
        <v>6</v>
      </c>
      <c r="K3" s="10"/>
      <c r="M3" s="10"/>
      <c r="N3" s="10"/>
      <c r="O3" s="10"/>
      <c r="P3" s="10"/>
    </row>
    <row r="4" spans="1:19" ht="25.5" customHeight="1" x14ac:dyDescent="0.35">
      <c r="C4" s="1" t="s">
        <v>5</v>
      </c>
      <c r="E4" s="10"/>
      <c r="F4" s="10"/>
      <c r="G4" s="10"/>
      <c r="H4" s="10"/>
      <c r="I4" s="10"/>
      <c r="J4" s="401"/>
      <c r="K4" s="402"/>
      <c r="L4" s="402"/>
      <c r="M4" s="402"/>
      <c r="N4" s="402"/>
      <c r="O4" s="402"/>
      <c r="P4" s="402"/>
      <c r="Q4" s="403"/>
      <c r="R4" s="3" t="s">
        <v>22</v>
      </c>
      <c r="S4" s="5">
        <f>INDEX(E27:P27,Actual_month)</f>
        <v>25</v>
      </c>
    </row>
    <row r="5" spans="1:19" ht="25.5" customHeight="1" x14ac:dyDescent="0.35">
      <c r="C5" s="1" t="s">
        <v>5</v>
      </c>
      <c r="E5" s="10"/>
      <c r="F5" s="10"/>
      <c r="G5" s="10"/>
      <c r="H5" s="10"/>
      <c r="I5" s="10"/>
      <c r="J5" s="404"/>
      <c r="K5" s="405"/>
      <c r="L5" s="405"/>
      <c r="M5" s="405"/>
      <c r="N5" s="405"/>
      <c r="O5" s="405"/>
      <c r="P5" s="405"/>
      <c r="Q5" s="406"/>
      <c r="R5" s="3" t="s">
        <v>23</v>
      </c>
      <c r="S5" s="5">
        <f>INDEX(E26:P26,Actual_month)</f>
        <v>113</v>
      </c>
    </row>
    <row r="6" spans="1:19" x14ac:dyDescent="0.35">
      <c r="J6" s="404"/>
      <c r="K6" s="405"/>
      <c r="L6" s="405"/>
      <c r="M6" s="405"/>
      <c r="N6" s="405"/>
      <c r="O6" s="405"/>
      <c r="P6" s="405"/>
      <c r="Q6" s="406"/>
      <c r="R6" s="6">
        <v>0.9</v>
      </c>
      <c r="S6" s="5">
        <f>+S5*R6</f>
        <v>101.7</v>
      </c>
    </row>
    <row r="7" spans="1:19" x14ac:dyDescent="0.35">
      <c r="J7" s="404"/>
      <c r="K7" s="405"/>
      <c r="L7" s="405"/>
      <c r="M7" s="405"/>
      <c r="N7" s="405"/>
      <c r="O7" s="405"/>
      <c r="P7" s="405"/>
      <c r="Q7" s="406"/>
    </row>
    <row r="8" spans="1:19" ht="15" thickBot="1" x14ac:dyDescent="0.4">
      <c r="J8" s="407"/>
      <c r="K8" s="408"/>
      <c r="L8" s="408"/>
      <c r="M8" s="408"/>
      <c r="N8" s="408"/>
      <c r="O8" s="408"/>
      <c r="P8" s="408"/>
      <c r="Q8" s="409"/>
    </row>
    <row r="9" spans="1:19" ht="15" thickBot="1" x14ac:dyDescent="0.4">
      <c r="J9" s="3" t="s">
        <v>12</v>
      </c>
    </row>
    <row r="10" spans="1:19" x14ac:dyDescent="0.35">
      <c r="J10" s="401"/>
      <c r="K10" s="402"/>
      <c r="L10" s="402"/>
      <c r="M10" s="402"/>
      <c r="N10" s="402"/>
      <c r="O10" s="402"/>
      <c r="P10" s="402"/>
      <c r="Q10" s="403"/>
    </row>
    <row r="11" spans="1:19" x14ac:dyDescent="0.35">
      <c r="J11" s="404"/>
      <c r="K11" s="405"/>
      <c r="L11" s="405"/>
      <c r="M11" s="405"/>
      <c r="N11" s="405"/>
      <c r="O11" s="405"/>
      <c r="P11" s="405"/>
      <c r="Q11" s="406"/>
    </row>
    <row r="12" spans="1:19" x14ac:dyDescent="0.35">
      <c r="J12" s="404"/>
      <c r="K12" s="405"/>
      <c r="L12" s="405"/>
      <c r="M12" s="405"/>
      <c r="N12" s="405"/>
      <c r="O12" s="405"/>
      <c r="P12" s="405"/>
      <c r="Q12" s="406"/>
    </row>
    <row r="13" spans="1:19" x14ac:dyDescent="0.35">
      <c r="J13" s="404"/>
      <c r="K13" s="405"/>
      <c r="L13" s="405"/>
      <c r="M13" s="405"/>
      <c r="N13" s="405"/>
      <c r="O13" s="405"/>
      <c r="P13" s="405"/>
      <c r="Q13" s="406"/>
    </row>
    <row r="14" spans="1:19" x14ac:dyDescent="0.35">
      <c r="J14" s="404"/>
      <c r="K14" s="405"/>
      <c r="L14" s="405"/>
      <c r="M14" s="405"/>
      <c r="N14" s="405"/>
      <c r="O14" s="405"/>
      <c r="P14" s="405"/>
      <c r="Q14" s="406"/>
    </row>
    <row r="15" spans="1:19" ht="15" thickBot="1" x14ac:dyDescent="0.4">
      <c r="J15" s="407"/>
      <c r="K15" s="408"/>
      <c r="L15" s="408"/>
      <c r="M15" s="408"/>
      <c r="N15" s="408"/>
      <c r="O15" s="408"/>
      <c r="P15" s="408"/>
      <c r="Q15" s="409"/>
    </row>
    <row r="18" spans="3:17" x14ac:dyDescent="0.35">
      <c r="C18" s="7" t="s">
        <v>8</v>
      </c>
      <c r="E18" s="11">
        <f>'KPI 1'!E18</f>
        <v>45839</v>
      </c>
      <c r="F18" s="11">
        <f>'KPI 1'!F18</f>
        <v>45870</v>
      </c>
      <c r="G18" s="11">
        <f>'KPI 1'!G18</f>
        <v>45901</v>
      </c>
      <c r="H18" s="11">
        <f>'KPI 1'!H18</f>
        <v>45931</v>
      </c>
      <c r="I18" s="11">
        <f>'KPI 1'!I18</f>
        <v>45962</v>
      </c>
      <c r="J18" s="11">
        <f>'KPI 1'!J18</f>
        <v>45992</v>
      </c>
      <c r="K18" s="11">
        <f>'KPI 1'!K18</f>
        <v>46023</v>
      </c>
      <c r="L18" s="11">
        <f>'KPI 1'!L18</f>
        <v>46054</v>
      </c>
      <c r="M18" s="11">
        <f>'KPI 1'!M18</f>
        <v>46082</v>
      </c>
      <c r="N18" s="11">
        <f>'KPI 1'!N18</f>
        <v>46113</v>
      </c>
      <c r="O18" s="11">
        <f>'KPI 1'!O18</f>
        <v>46143</v>
      </c>
      <c r="P18" s="11">
        <f>'KPI 1'!P18</f>
        <v>46174</v>
      </c>
      <c r="Q18" s="8" t="s">
        <v>0</v>
      </c>
    </row>
    <row r="19" spans="3:17" x14ac:dyDescent="0.35">
      <c r="D19" s="3" t="str">
        <f>'KPI 1'!D19</f>
        <v>Budget 2025-26</v>
      </c>
      <c r="E19" s="5">
        <f>'budget 2025-26'!D104</f>
        <v>15</v>
      </c>
      <c r="F19" s="5">
        <f>'budget 2025-26'!E104</f>
        <v>14</v>
      </c>
      <c r="G19" s="5">
        <f>'budget 2025-26'!F104</f>
        <v>14</v>
      </c>
      <c r="H19" s="5">
        <f>'budget 2025-26'!G104</f>
        <v>14</v>
      </c>
      <c r="I19" s="5">
        <f>'budget 2025-26'!H104</f>
        <v>14</v>
      </c>
      <c r="J19" s="5">
        <f>'budget 2025-26'!I104</f>
        <v>14</v>
      </c>
      <c r="K19" s="5">
        <f>'budget 2025-26'!J104</f>
        <v>14</v>
      </c>
      <c r="L19" s="5">
        <f>'budget 2025-26'!K104</f>
        <v>14</v>
      </c>
      <c r="M19" s="5">
        <f>'budget 2025-26'!L104</f>
        <v>14</v>
      </c>
      <c r="N19" s="5">
        <f>'budget 2025-26'!M104</f>
        <v>14</v>
      </c>
      <c r="O19" s="5">
        <f>'budget 2025-26'!N104</f>
        <v>14</v>
      </c>
      <c r="P19" s="5">
        <f>'budget 2025-26'!O104</f>
        <v>14</v>
      </c>
      <c r="Q19" s="5">
        <f>SUM(E19:P19)</f>
        <v>169</v>
      </c>
    </row>
    <row r="20" spans="3:17" x14ac:dyDescent="0.35">
      <c r="D20" s="3" t="str">
        <f>'KPI 1'!D20</f>
        <v>Actual 2025-26</v>
      </c>
      <c r="E20" s="5">
        <f>'Input Actual2025-26'!E107</f>
        <v>0</v>
      </c>
      <c r="F20" s="5">
        <f>'Input Actual2025-26'!F107</f>
        <v>4</v>
      </c>
      <c r="G20" s="5">
        <f>'Input Actual2025-26'!G107</f>
        <v>4</v>
      </c>
      <c r="H20" s="5">
        <f>'Input Actual2025-26'!H107</f>
        <v>3</v>
      </c>
      <c r="I20" s="5">
        <f>'Input Actual2025-26'!I107</f>
        <v>5</v>
      </c>
      <c r="J20" s="5">
        <f>'Input Actual2025-26'!J107</f>
        <v>0</v>
      </c>
      <c r="K20" s="5">
        <f>'Input Actual2025-26'!K107</f>
        <v>4</v>
      </c>
      <c r="L20" s="5">
        <f>'Input Actual2025-26'!L107</f>
        <v>5</v>
      </c>
      <c r="M20" s="5">
        <f>'Input Actual2025-26'!M107</f>
        <v>0</v>
      </c>
      <c r="N20" s="5">
        <f>'Input Actual2025-26'!N107</f>
        <v>0</v>
      </c>
      <c r="O20" s="5">
        <f>'Input Actual2025-26'!O107</f>
        <v>0</v>
      </c>
      <c r="P20" s="5">
        <f>'Input Actual2025-26'!P107</f>
        <v>0</v>
      </c>
      <c r="Q20" s="5">
        <f t="shared" ref="Q20:Q22" si="0">SUM(E20:P20)</f>
        <v>25</v>
      </c>
    </row>
    <row r="21" spans="3:17" x14ac:dyDescent="0.35">
      <c r="D21" s="3" t="s">
        <v>424</v>
      </c>
      <c r="E21" s="5">
        <f>'Input Actual2024-25'!E100</f>
        <v>3</v>
      </c>
      <c r="F21" s="5">
        <f>'Input Actual2024-25'!F100</f>
        <v>10</v>
      </c>
      <c r="G21" s="5">
        <f>'Input Actual2024-25'!G100</f>
        <v>3</v>
      </c>
      <c r="H21" s="5">
        <f>'Input Actual2024-25'!H100</f>
        <v>2</v>
      </c>
      <c r="I21" s="5">
        <f>'Input Actual2024-25'!I100</f>
        <v>0</v>
      </c>
      <c r="J21" s="5">
        <f>'Input Actual2024-25'!J100</f>
        <v>4</v>
      </c>
      <c r="K21" s="5">
        <f>'Input Actual2024-25'!K100</f>
        <v>1</v>
      </c>
      <c r="L21" s="5">
        <f>'Input Actual2024-25'!L100</f>
        <v>6</v>
      </c>
      <c r="M21" s="5">
        <f>'Input Actual2024-25'!M100</f>
        <v>4</v>
      </c>
      <c r="N21" s="5">
        <f>'Input Actual2024-25'!N100</f>
        <v>3</v>
      </c>
      <c r="O21" s="5">
        <f>'Input Actual2024-25'!O100</f>
        <v>0</v>
      </c>
      <c r="P21" s="5">
        <f>'Input Actual2024-25'!P100</f>
        <v>3</v>
      </c>
      <c r="Q21" s="5">
        <f t="shared" si="0"/>
        <v>39</v>
      </c>
    </row>
    <row r="22" spans="3:17" x14ac:dyDescent="0.35">
      <c r="D22" s="3" t="s">
        <v>7</v>
      </c>
      <c r="E22" s="5">
        <f t="shared" ref="E22:P22" si="1">IF(E20=0,0,E20-E19)</f>
        <v>0</v>
      </c>
      <c r="F22" s="5">
        <f t="shared" si="1"/>
        <v>-10</v>
      </c>
      <c r="G22" s="5">
        <f t="shared" si="1"/>
        <v>-10</v>
      </c>
      <c r="H22" s="5">
        <f t="shared" si="1"/>
        <v>-11</v>
      </c>
      <c r="I22" s="5">
        <f t="shared" si="1"/>
        <v>-9</v>
      </c>
      <c r="J22" s="5">
        <f t="shared" si="1"/>
        <v>0</v>
      </c>
      <c r="K22" s="5">
        <f t="shared" si="1"/>
        <v>-10</v>
      </c>
      <c r="L22" s="5">
        <f t="shared" si="1"/>
        <v>-9</v>
      </c>
      <c r="M22" s="5">
        <f t="shared" si="1"/>
        <v>0</v>
      </c>
      <c r="N22" s="5">
        <f t="shared" si="1"/>
        <v>0</v>
      </c>
      <c r="O22" s="5">
        <f t="shared" si="1"/>
        <v>0</v>
      </c>
      <c r="P22" s="5">
        <f t="shared" si="1"/>
        <v>0</v>
      </c>
      <c r="Q22" s="5">
        <f t="shared" si="0"/>
        <v>-59</v>
      </c>
    </row>
    <row r="23" spans="3:17" x14ac:dyDescent="0.35">
      <c r="D23" s="3" t="s">
        <v>43</v>
      </c>
      <c r="E23" s="9">
        <f>E21/E19</f>
        <v>0.2</v>
      </c>
      <c r="F23" s="9">
        <f t="shared" ref="F23:P23" si="2">F20/F19</f>
        <v>0.2857142857142857</v>
      </c>
      <c r="G23" s="9">
        <f t="shared" si="2"/>
        <v>0.2857142857142857</v>
      </c>
      <c r="H23" s="9">
        <f t="shared" si="2"/>
        <v>0.21428571428571427</v>
      </c>
      <c r="I23" s="9">
        <f t="shared" si="2"/>
        <v>0.35714285714285715</v>
      </c>
      <c r="J23" s="9">
        <f t="shared" si="2"/>
        <v>0</v>
      </c>
      <c r="K23" s="9">
        <f t="shared" si="2"/>
        <v>0.2857142857142857</v>
      </c>
      <c r="L23" s="9">
        <f t="shared" si="2"/>
        <v>0.35714285714285715</v>
      </c>
      <c r="M23" s="9">
        <f t="shared" si="2"/>
        <v>0</v>
      </c>
      <c r="N23" s="9">
        <f t="shared" si="2"/>
        <v>0</v>
      </c>
      <c r="O23" s="9">
        <f t="shared" si="2"/>
        <v>0</v>
      </c>
      <c r="P23" s="9">
        <f t="shared" si="2"/>
        <v>0</v>
      </c>
    </row>
    <row r="25" spans="3:17" x14ac:dyDescent="0.35">
      <c r="C25" s="7" t="s">
        <v>3</v>
      </c>
      <c r="E25" s="11">
        <f>E18</f>
        <v>45839</v>
      </c>
      <c r="F25" s="11">
        <f t="shared" ref="F25:P28" si="3">F18</f>
        <v>45870</v>
      </c>
      <c r="G25" s="11">
        <f t="shared" si="3"/>
        <v>45901</v>
      </c>
      <c r="H25" s="11">
        <f t="shared" si="3"/>
        <v>45931</v>
      </c>
      <c r="I25" s="11">
        <f t="shared" si="3"/>
        <v>45962</v>
      </c>
      <c r="J25" s="11">
        <f t="shared" si="3"/>
        <v>45992</v>
      </c>
      <c r="K25" s="11">
        <f t="shared" si="3"/>
        <v>46023</v>
      </c>
      <c r="L25" s="11">
        <f t="shared" si="3"/>
        <v>46054</v>
      </c>
      <c r="M25" s="11">
        <f t="shared" si="3"/>
        <v>46082</v>
      </c>
      <c r="N25" s="11">
        <f t="shared" si="3"/>
        <v>46113</v>
      </c>
      <c r="O25" s="11">
        <f t="shared" si="3"/>
        <v>46143</v>
      </c>
      <c r="P25" s="11">
        <f t="shared" si="3"/>
        <v>46174</v>
      </c>
    </row>
    <row r="26" spans="3:17" x14ac:dyDescent="0.35">
      <c r="D26" s="3" t="str">
        <f>D19</f>
        <v>Budget 2025-26</v>
      </c>
      <c r="E26" s="5">
        <f>SUM($E19:E19)</f>
        <v>15</v>
      </c>
      <c r="F26" s="5">
        <f>SUM($E19:F19)</f>
        <v>29</v>
      </c>
      <c r="G26" s="5">
        <f>SUM($E19:G19)</f>
        <v>43</v>
      </c>
      <c r="H26" s="5">
        <f>SUM($E19:H19)</f>
        <v>57</v>
      </c>
      <c r="I26" s="5">
        <f>SUM($E19:I19)</f>
        <v>71</v>
      </c>
      <c r="J26" s="5">
        <f>SUM($E19:J19)</f>
        <v>85</v>
      </c>
      <c r="K26" s="5">
        <f>SUM($E19:K19)</f>
        <v>99</v>
      </c>
      <c r="L26" s="5">
        <f>SUM($E19:L19)</f>
        <v>113</v>
      </c>
      <c r="M26" s="5">
        <f>SUM($E19:M19)</f>
        <v>127</v>
      </c>
      <c r="N26" s="5">
        <f>SUM($E19:N19)</f>
        <v>141</v>
      </c>
      <c r="O26" s="5">
        <f>SUM($E19:O19)</f>
        <v>155</v>
      </c>
      <c r="P26" s="5">
        <f>SUM($E19:P19)</f>
        <v>169</v>
      </c>
    </row>
    <row r="27" spans="3:17" x14ac:dyDescent="0.35">
      <c r="D27" s="3" t="str">
        <f t="shared" ref="D27:E30" si="4">D20</f>
        <v>Actual 2025-26</v>
      </c>
      <c r="E27" s="5">
        <f>SUM($E20:E20)</f>
        <v>0</v>
      </c>
      <c r="F27" s="5">
        <f>SUM($E20:F20)</f>
        <v>4</v>
      </c>
      <c r="G27" s="5">
        <f>SUM($E20:G20)</f>
        <v>8</v>
      </c>
      <c r="H27" s="5">
        <f>SUM($E20:H20)</f>
        <v>11</v>
      </c>
      <c r="I27" s="5">
        <f>SUM($E20:I20)</f>
        <v>16</v>
      </c>
      <c r="J27" s="5">
        <f>SUM($E20:J20)</f>
        <v>16</v>
      </c>
      <c r="K27" s="5">
        <f>SUM($E20:K20)</f>
        <v>20</v>
      </c>
      <c r="L27" s="5">
        <f>SUM($E20:L20)</f>
        <v>25</v>
      </c>
      <c r="M27" s="5">
        <f>SUM($E20:M20)</f>
        <v>25</v>
      </c>
      <c r="N27" s="5">
        <f>SUM($E20:N20)</f>
        <v>25</v>
      </c>
      <c r="O27" s="5">
        <f>SUM($E20:O20)</f>
        <v>25</v>
      </c>
      <c r="P27" s="5">
        <f>SUM($E20:P20)</f>
        <v>25</v>
      </c>
    </row>
    <row r="28" spans="3:17" x14ac:dyDescent="0.35">
      <c r="D28" s="3" t="str">
        <f t="shared" si="4"/>
        <v>Actual 2024-25</v>
      </c>
      <c r="E28" s="5">
        <f t="shared" si="4"/>
        <v>3</v>
      </c>
      <c r="F28" s="5">
        <f t="shared" si="3"/>
        <v>10</v>
      </c>
      <c r="G28" s="5">
        <f t="shared" si="3"/>
        <v>3</v>
      </c>
      <c r="H28" s="5">
        <f t="shared" si="3"/>
        <v>2</v>
      </c>
      <c r="I28" s="5">
        <f t="shared" si="3"/>
        <v>0</v>
      </c>
      <c r="J28" s="5">
        <f t="shared" si="3"/>
        <v>4</v>
      </c>
      <c r="K28" s="5">
        <f t="shared" si="3"/>
        <v>1</v>
      </c>
      <c r="L28" s="5">
        <f t="shared" si="3"/>
        <v>6</v>
      </c>
      <c r="M28" s="5">
        <f t="shared" si="3"/>
        <v>4</v>
      </c>
      <c r="N28" s="5">
        <f t="shared" si="3"/>
        <v>3</v>
      </c>
      <c r="O28" s="5">
        <f t="shared" si="3"/>
        <v>0</v>
      </c>
      <c r="P28" s="5">
        <f t="shared" si="3"/>
        <v>3</v>
      </c>
    </row>
    <row r="29" spans="3:17" x14ac:dyDescent="0.35">
      <c r="D29" s="3" t="str">
        <f t="shared" si="4"/>
        <v>Difference</v>
      </c>
      <c r="E29" s="5">
        <f>SUM($E22:E22)</f>
        <v>0</v>
      </c>
      <c r="F29" s="5">
        <f>SUM($E22:F22)</f>
        <v>-10</v>
      </c>
      <c r="G29" s="5">
        <f>SUM($E22:G22)</f>
        <v>-20</v>
      </c>
      <c r="H29" s="5">
        <f>SUM($E22:H22)</f>
        <v>-31</v>
      </c>
      <c r="I29" s="5">
        <f>SUM($E22:I22)</f>
        <v>-40</v>
      </c>
      <c r="J29" s="5">
        <f>SUM($E22:J22)</f>
        <v>-40</v>
      </c>
      <c r="K29" s="5">
        <f>SUM($E22:K22)</f>
        <v>-50</v>
      </c>
      <c r="L29" s="5">
        <f>SUM($E22:L22)</f>
        <v>-59</v>
      </c>
      <c r="M29" s="5">
        <f>SUM($E22:M22)</f>
        <v>-59</v>
      </c>
      <c r="N29" s="5">
        <f>SUM($E22:N22)</f>
        <v>-59</v>
      </c>
      <c r="O29" s="5">
        <f>SUM($E22:O22)</f>
        <v>-59</v>
      </c>
      <c r="P29" s="5">
        <f>SUM($E22:P22)</f>
        <v>-59</v>
      </c>
    </row>
    <row r="30" spans="3:17" x14ac:dyDescent="0.35">
      <c r="D30" s="3" t="str">
        <f t="shared" si="4"/>
        <v>Realisation</v>
      </c>
      <c r="E30" s="9">
        <f>E28/E26</f>
        <v>0.2</v>
      </c>
      <c r="F30" s="9">
        <f t="shared" ref="F30:P30" si="5">F27/F26</f>
        <v>0.13793103448275862</v>
      </c>
      <c r="G30" s="9">
        <f t="shared" si="5"/>
        <v>0.18604651162790697</v>
      </c>
      <c r="H30" s="9">
        <f t="shared" si="5"/>
        <v>0.19298245614035087</v>
      </c>
      <c r="I30" s="9">
        <f t="shared" si="5"/>
        <v>0.22535211267605634</v>
      </c>
      <c r="J30" s="9">
        <f t="shared" si="5"/>
        <v>0.18823529411764706</v>
      </c>
      <c r="K30" s="9">
        <f t="shared" si="5"/>
        <v>0.20202020202020202</v>
      </c>
      <c r="L30" s="9">
        <f t="shared" si="5"/>
        <v>0.22123893805309736</v>
      </c>
      <c r="M30" s="9">
        <f t="shared" si="5"/>
        <v>0.19685039370078741</v>
      </c>
      <c r="N30" s="9">
        <f t="shared" si="5"/>
        <v>0.1773049645390071</v>
      </c>
      <c r="O30" s="9">
        <f t="shared" si="5"/>
        <v>0.16129032258064516</v>
      </c>
      <c r="P30" s="9">
        <f t="shared" si="5"/>
        <v>0.14792899408284024</v>
      </c>
    </row>
  </sheetData>
  <mergeCells count="2">
    <mergeCell ref="J4:Q8"/>
    <mergeCell ref="J10:Q15"/>
  </mergeCells>
  <conditionalFormatting sqref="C3">
    <cfRule type="expression" dxfId="296" priority="2">
      <formula>S4&lt;S6</formula>
    </cfRule>
  </conditionalFormatting>
  <conditionalFormatting sqref="C5">
    <cfRule type="expression" dxfId="295" priority="3">
      <formula>S4&gt;=S5</formula>
    </cfRule>
  </conditionalFormatting>
  <conditionalFormatting sqref="C4">
    <cfRule type="expression" dxfId="294" priority="1">
      <formula>AND(S4&gt;=S6,S4&lt;S5)</formula>
    </cfRule>
  </conditionalFormatting>
  <hyperlinks>
    <hyperlink ref="L1" location="Dashboard!A1" display="Dashboard"/>
  </hyperlinks>
  <pageMargins left="0.7" right="0.7" top="0.75" bottom="0.75" header="0.3" footer="0.3"/>
  <pageSetup orientation="portrait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106945" r:id="rId4" name="Spinner 1">
              <controlPr defaultSize="0" autoPict="0">
                <anchor moveWithCells="1" sizeWithCells="1">
                  <from>
                    <xdr:col>9</xdr:col>
                    <xdr:colOff>19050</xdr:colOff>
                    <xdr:row>0</xdr:row>
                    <xdr:rowOff>38100</xdr:rowOff>
                  </from>
                  <to>
                    <xdr:col>9</xdr:col>
                    <xdr:colOff>400050</xdr:colOff>
                    <xdr:row>1</xdr:row>
                    <xdr:rowOff>152400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10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79">
    <tabColor rgb="FFFFC000"/>
  </sheetPr>
  <dimension ref="A1:S30"/>
  <sheetViews>
    <sheetView zoomScale="90" zoomScaleNormal="90" workbookViewId="0">
      <selection activeCell="L1" sqref="L1"/>
    </sheetView>
  </sheetViews>
  <sheetFormatPr defaultColWidth="9.1796875" defaultRowHeight="14.5" x14ac:dyDescent="0.35"/>
  <cols>
    <col min="1" max="1" width="9.1796875" style="3"/>
    <col min="2" max="2" width="5.1796875" style="3" customWidth="1"/>
    <col min="3" max="3" width="6.26953125" style="3" customWidth="1"/>
    <col min="4" max="4" width="21.26953125" style="3" bestFit="1" customWidth="1"/>
    <col min="5" max="16" width="11.1796875" style="3" customWidth="1"/>
    <col min="17" max="17" width="12" style="3" bestFit="1" customWidth="1"/>
    <col min="18" max="18" width="9.1796875" style="3" customWidth="1"/>
    <col min="19" max="16384" width="9.1796875" style="3"/>
  </cols>
  <sheetData>
    <row r="1" spans="1:19" ht="21" x14ac:dyDescent="0.5">
      <c r="A1" s="4" t="s">
        <v>4</v>
      </c>
      <c r="B1" s="4">
        <f>Dashboard!A107</f>
        <v>2</v>
      </c>
      <c r="C1" s="4" t="str">
        <f>Dashboard!B107</f>
        <v xml:space="preserve">TOTAL SEWER CONNECTIONS </v>
      </c>
      <c r="D1" s="4"/>
      <c r="G1" s="3" t="s">
        <v>9</v>
      </c>
      <c r="I1" s="12">
        <f>INDEX($E$18:$P$18,Actual_month)</f>
        <v>46054</v>
      </c>
      <c r="L1" s="16" t="s">
        <v>19</v>
      </c>
      <c r="R1" s="5"/>
    </row>
    <row r="2" spans="1:19" x14ac:dyDescent="0.35">
      <c r="A2" s="3" t="s">
        <v>13</v>
      </c>
      <c r="C2" s="3" t="s">
        <v>27</v>
      </c>
      <c r="R2" s="6"/>
    </row>
    <row r="3" spans="1:19" ht="25.5" customHeight="1" thickBot="1" x14ac:dyDescent="0.4">
      <c r="C3" s="1" t="s">
        <v>5</v>
      </c>
      <c r="E3" s="10"/>
      <c r="F3" s="10"/>
      <c r="G3" s="10"/>
      <c r="H3" s="10"/>
      <c r="I3" s="10"/>
      <c r="J3" s="3" t="s">
        <v>6</v>
      </c>
      <c r="K3" s="10"/>
      <c r="M3" s="10"/>
      <c r="N3" s="10"/>
      <c r="O3" s="10"/>
      <c r="P3" s="10"/>
    </row>
    <row r="4" spans="1:19" ht="25.5" customHeight="1" x14ac:dyDescent="0.35">
      <c r="C4" s="1" t="s">
        <v>5</v>
      </c>
      <c r="E4" s="10"/>
      <c r="F4" s="10"/>
      <c r="G4" s="10"/>
      <c r="H4" s="10"/>
      <c r="I4" s="10"/>
      <c r="J4" s="401"/>
      <c r="K4" s="402"/>
      <c r="L4" s="402"/>
      <c r="M4" s="402"/>
      <c r="N4" s="402"/>
      <c r="O4" s="402"/>
      <c r="P4" s="402"/>
      <c r="Q4" s="403"/>
      <c r="R4" s="3" t="s">
        <v>22</v>
      </c>
      <c r="S4" s="5">
        <f>INDEX(E27:P27,Actual_month)</f>
        <v>2176</v>
      </c>
    </row>
    <row r="5" spans="1:19" ht="25.5" customHeight="1" x14ac:dyDescent="0.35">
      <c r="C5" s="1" t="s">
        <v>5</v>
      </c>
      <c r="E5" s="10"/>
      <c r="F5" s="10"/>
      <c r="G5" s="10"/>
      <c r="H5" s="10"/>
      <c r="I5" s="10"/>
      <c r="J5" s="404"/>
      <c r="K5" s="405"/>
      <c r="L5" s="405"/>
      <c r="M5" s="405"/>
      <c r="N5" s="405"/>
      <c r="O5" s="405"/>
      <c r="P5" s="405"/>
      <c r="Q5" s="406"/>
      <c r="R5" s="3" t="s">
        <v>23</v>
      </c>
      <c r="S5" s="5">
        <f>INDEX(E26:P26,Actual_month)</f>
        <v>2267</v>
      </c>
    </row>
    <row r="6" spans="1:19" x14ac:dyDescent="0.35">
      <c r="J6" s="404"/>
      <c r="K6" s="405"/>
      <c r="L6" s="405"/>
      <c r="M6" s="405"/>
      <c r="N6" s="405"/>
      <c r="O6" s="405"/>
      <c r="P6" s="405"/>
      <c r="Q6" s="406"/>
      <c r="R6" s="6">
        <v>0.9</v>
      </c>
      <c r="S6" s="5">
        <f>+S5*R6</f>
        <v>2040.3</v>
      </c>
    </row>
    <row r="7" spans="1:19" x14ac:dyDescent="0.35">
      <c r="J7" s="404"/>
      <c r="K7" s="405"/>
      <c r="L7" s="405"/>
      <c r="M7" s="405"/>
      <c r="N7" s="405"/>
      <c r="O7" s="405"/>
      <c r="P7" s="405"/>
      <c r="Q7" s="406"/>
    </row>
    <row r="8" spans="1:19" ht="15" thickBot="1" x14ac:dyDescent="0.4">
      <c r="J8" s="407"/>
      <c r="K8" s="408"/>
      <c r="L8" s="408"/>
      <c r="M8" s="408"/>
      <c r="N8" s="408"/>
      <c r="O8" s="408"/>
      <c r="P8" s="408"/>
      <c r="Q8" s="409"/>
    </row>
    <row r="9" spans="1:19" ht="15" thickBot="1" x14ac:dyDescent="0.4">
      <c r="J9" s="3" t="s">
        <v>12</v>
      </c>
    </row>
    <row r="10" spans="1:19" x14ac:dyDescent="0.35">
      <c r="J10" s="401"/>
      <c r="K10" s="402"/>
      <c r="L10" s="402"/>
      <c r="M10" s="402"/>
      <c r="N10" s="402"/>
      <c r="O10" s="402"/>
      <c r="P10" s="402"/>
      <c r="Q10" s="403"/>
    </row>
    <row r="11" spans="1:19" x14ac:dyDescent="0.35">
      <c r="J11" s="404"/>
      <c r="K11" s="405"/>
      <c r="L11" s="405"/>
      <c r="M11" s="405"/>
      <c r="N11" s="405"/>
      <c r="O11" s="405"/>
      <c r="P11" s="405"/>
      <c r="Q11" s="406"/>
    </row>
    <row r="12" spans="1:19" x14ac:dyDescent="0.35">
      <c r="J12" s="404"/>
      <c r="K12" s="405"/>
      <c r="L12" s="405"/>
      <c r="M12" s="405"/>
      <c r="N12" s="405"/>
      <c r="O12" s="405"/>
      <c r="P12" s="405"/>
      <c r="Q12" s="406"/>
    </row>
    <row r="13" spans="1:19" x14ac:dyDescent="0.35">
      <c r="J13" s="404"/>
      <c r="K13" s="405"/>
      <c r="L13" s="405"/>
      <c r="M13" s="405"/>
      <c r="N13" s="405"/>
      <c r="O13" s="405"/>
      <c r="P13" s="405"/>
      <c r="Q13" s="406"/>
    </row>
    <row r="14" spans="1:19" x14ac:dyDescent="0.35">
      <c r="J14" s="404"/>
      <c r="K14" s="405"/>
      <c r="L14" s="405"/>
      <c r="M14" s="405"/>
      <c r="N14" s="405"/>
      <c r="O14" s="405"/>
      <c r="P14" s="405"/>
      <c r="Q14" s="406"/>
    </row>
    <row r="15" spans="1:19" ht="15" thickBot="1" x14ac:dyDescent="0.4">
      <c r="J15" s="407"/>
      <c r="K15" s="408"/>
      <c r="L15" s="408"/>
      <c r="M15" s="408"/>
      <c r="N15" s="408"/>
      <c r="O15" s="408"/>
      <c r="P15" s="408"/>
      <c r="Q15" s="409"/>
    </row>
    <row r="18" spans="3:17" x14ac:dyDescent="0.35">
      <c r="C18" s="7" t="s">
        <v>8</v>
      </c>
      <c r="E18" s="11">
        <f>'KPI 1'!E18</f>
        <v>45839</v>
      </c>
      <c r="F18" s="11">
        <f>'KPI 1'!F18</f>
        <v>45870</v>
      </c>
      <c r="G18" s="11">
        <f>'KPI 1'!G18</f>
        <v>45901</v>
      </c>
      <c r="H18" s="11">
        <f>'KPI 1'!H18</f>
        <v>45931</v>
      </c>
      <c r="I18" s="11">
        <f>'KPI 1'!I18</f>
        <v>45962</v>
      </c>
      <c r="J18" s="11">
        <f>'KPI 1'!J18</f>
        <v>45992</v>
      </c>
      <c r="K18" s="11">
        <f>'KPI 1'!K18</f>
        <v>46023</v>
      </c>
      <c r="L18" s="11">
        <f>'KPI 1'!L18</f>
        <v>46054</v>
      </c>
      <c r="M18" s="11">
        <f>'KPI 1'!M18</f>
        <v>46082</v>
      </c>
      <c r="N18" s="11">
        <f>'KPI 1'!N18</f>
        <v>46113</v>
      </c>
      <c r="O18" s="11">
        <f>'KPI 1'!O18</f>
        <v>46143</v>
      </c>
      <c r="P18" s="11">
        <f>'KPI 1'!P18</f>
        <v>46174</v>
      </c>
      <c r="Q18" s="8" t="s">
        <v>0</v>
      </c>
    </row>
    <row r="19" spans="3:17" x14ac:dyDescent="0.35">
      <c r="D19" s="3" t="str">
        <f>'KPI 1'!D19</f>
        <v>Budget 2025-26</v>
      </c>
      <c r="E19" s="5">
        <f>'budget 2025-26'!D100</f>
        <v>2169</v>
      </c>
      <c r="F19" s="5">
        <f>'budget 2025-26'!E100</f>
        <v>2183</v>
      </c>
      <c r="G19" s="5">
        <f>'budget 2025-26'!F100</f>
        <v>2197</v>
      </c>
      <c r="H19" s="5">
        <f>'budget 2025-26'!G100</f>
        <v>2211</v>
      </c>
      <c r="I19" s="5">
        <f>'budget 2025-26'!H100</f>
        <v>2225</v>
      </c>
      <c r="J19" s="5">
        <f>'budget 2025-26'!I100</f>
        <v>2239</v>
      </c>
      <c r="K19" s="5">
        <f>'budget 2025-26'!J100</f>
        <v>2253</v>
      </c>
      <c r="L19" s="5">
        <f>'budget 2025-26'!K100</f>
        <v>2267</v>
      </c>
      <c r="M19" s="5">
        <f>'budget 2025-26'!L100</f>
        <v>2281</v>
      </c>
      <c r="N19" s="5">
        <f>'budget 2025-26'!M100</f>
        <v>2295</v>
      </c>
      <c r="O19" s="5">
        <f>'budget 2025-26'!N100</f>
        <v>2309</v>
      </c>
      <c r="P19" s="5">
        <f>'budget 2025-26'!O100</f>
        <v>2323</v>
      </c>
      <c r="Q19" s="5">
        <f>SUM(E19:P19)</f>
        <v>26952</v>
      </c>
    </row>
    <row r="20" spans="3:17" x14ac:dyDescent="0.35">
      <c r="D20" s="3" t="str">
        <f>'KPI 1'!D20</f>
        <v>Actual 2025-26</v>
      </c>
      <c r="E20" s="5">
        <f>'Input Actual2025-26'!E103</f>
        <v>2153</v>
      </c>
      <c r="F20" s="5">
        <f>'Input Actual2025-26'!F103</f>
        <v>2161</v>
      </c>
      <c r="G20" s="5">
        <f>'Input Actual2025-26'!G103</f>
        <v>2163</v>
      </c>
      <c r="H20" s="5">
        <f>'Input Actual2025-26'!H103</f>
        <v>2161</v>
      </c>
      <c r="I20" s="5">
        <f>'Input Actual2025-26'!I103</f>
        <v>2163</v>
      </c>
      <c r="J20" s="5">
        <f>'Input Actual2025-26'!J103</f>
        <v>2170</v>
      </c>
      <c r="K20" s="5">
        <f>'Input Actual2025-26'!K103</f>
        <v>2175</v>
      </c>
      <c r="L20" s="5">
        <f>'Input Actual2025-26'!L103</f>
        <v>2176</v>
      </c>
      <c r="M20" s="5">
        <f>'Input Actual2025-26'!M103</f>
        <v>0</v>
      </c>
      <c r="N20" s="5">
        <f>'Input Actual2025-26'!N103</f>
        <v>0</v>
      </c>
      <c r="O20" s="5">
        <f>'Input Actual2025-26'!O103</f>
        <v>0</v>
      </c>
      <c r="P20" s="5">
        <f>'Input Actual2025-26'!P103</f>
        <v>0</v>
      </c>
      <c r="Q20" s="5">
        <f t="shared" ref="Q20:Q22" si="0">SUM(E20:P20)</f>
        <v>17322</v>
      </c>
    </row>
    <row r="21" spans="3:17" x14ac:dyDescent="0.35">
      <c r="D21" s="3" t="s">
        <v>424</v>
      </c>
      <c r="E21" s="5">
        <f>'Input Actual2024-25'!E96</f>
        <v>2104</v>
      </c>
      <c r="F21" s="5">
        <f>'Input Actual2024-25'!F96</f>
        <v>2114</v>
      </c>
      <c r="G21" s="5">
        <f>'Input Actual2024-25'!G96</f>
        <v>2117</v>
      </c>
      <c r="H21" s="5">
        <f>'Input Actual2024-25'!H96</f>
        <v>2118</v>
      </c>
      <c r="I21" s="5">
        <f>'Input Actual2024-25'!I96</f>
        <v>2125</v>
      </c>
      <c r="J21" s="5">
        <f>'Input Actual2024-25'!J96</f>
        <v>2125</v>
      </c>
      <c r="K21" s="5">
        <f>'Input Actual2024-25'!K96</f>
        <v>2133</v>
      </c>
      <c r="L21" s="5">
        <f>'Input Actual2024-25'!L96</f>
        <v>2141</v>
      </c>
      <c r="M21" s="5">
        <f>'Input Actual2024-25'!M96</f>
        <v>2152</v>
      </c>
      <c r="N21" s="5">
        <f>'Input Actual2024-25'!N96</f>
        <v>2154</v>
      </c>
      <c r="O21" s="5">
        <f>'Input Actual2024-25'!O96</f>
        <v>2153</v>
      </c>
      <c r="P21" s="5">
        <f>'Input Actual2024-25'!P96</f>
        <v>2154</v>
      </c>
      <c r="Q21" s="5">
        <f t="shared" si="0"/>
        <v>25590</v>
      </c>
    </row>
    <row r="22" spans="3:17" x14ac:dyDescent="0.35">
      <c r="D22" s="3" t="s">
        <v>7</v>
      </c>
      <c r="E22" s="5">
        <f t="shared" ref="E22:P22" si="1">IF(E20=0,0,E20-E19)</f>
        <v>-16</v>
      </c>
      <c r="F22" s="5">
        <f t="shared" si="1"/>
        <v>-22</v>
      </c>
      <c r="G22" s="5">
        <f t="shared" si="1"/>
        <v>-34</v>
      </c>
      <c r="H22" s="5">
        <f t="shared" si="1"/>
        <v>-50</v>
      </c>
      <c r="I22" s="5">
        <f t="shared" si="1"/>
        <v>-62</v>
      </c>
      <c r="J22" s="5">
        <f t="shared" si="1"/>
        <v>-69</v>
      </c>
      <c r="K22" s="5">
        <f t="shared" si="1"/>
        <v>-78</v>
      </c>
      <c r="L22" s="5">
        <f t="shared" si="1"/>
        <v>-91</v>
      </c>
      <c r="M22" s="5">
        <f t="shared" si="1"/>
        <v>0</v>
      </c>
      <c r="N22" s="5">
        <f t="shared" si="1"/>
        <v>0</v>
      </c>
      <c r="O22" s="5">
        <f t="shared" si="1"/>
        <v>0</v>
      </c>
      <c r="P22" s="5">
        <f t="shared" si="1"/>
        <v>0</v>
      </c>
      <c r="Q22" s="5">
        <f t="shared" si="0"/>
        <v>-422</v>
      </c>
    </row>
    <row r="23" spans="3:17" x14ac:dyDescent="0.35">
      <c r="D23" s="3" t="s">
        <v>43</v>
      </c>
      <c r="E23" s="9">
        <f>E21/E19</f>
        <v>0.97003227293683725</v>
      </c>
      <c r="F23" s="9">
        <f t="shared" ref="F23:P23" si="2">F20/F19</f>
        <v>0.98992212551534586</v>
      </c>
      <c r="G23" s="9">
        <f t="shared" si="2"/>
        <v>0.98452435138825667</v>
      </c>
      <c r="H23" s="9">
        <f t="shared" si="2"/>
        <v>0.97738579828132066</v>
      </c>
      <c r="I23" s="9">
        <f t="shared" si="2"/>
        <v>0.97213483146067414</v>
      </c>
      <c r="J23" s="9">
        <f t="shared" si="2"/>
        <v>0.96918267083519427</v>
      </c>
      <c r="K23" s="9">
        <f t="shared" si="2"/>
        <v>0.96537949400798939</v>
      </c>
      <c r="L23" s="9">
        <f t="shared" si="2"/>
        <v>0.95985884428760482</v>
      </c>
      <c r="M23" s="9">
        <f t="shared" si="2"/>
        <v>0</v>
      </c>
      <c r="N23" s="9">
        <f t="shared" si="2"/>
        <v>0</v>
      </c>
      <c r="O23" s="9">
        <f t="shared" si="2"/>
        <v>0</v>
      </c>
      <c r="P23" s="9">
        <f t="shared" si="2"/>
        <v>0</v>
      </c>
    </row>
    <row r="25" spans="3:17" x14ac:dyDescent="0.35">
      <c r="C25" s="7" t="s">
        <v>3</v>
      </c>
      <c r="E25" s="11">
        <f>E18</f>
        <v>45839</v>
      </c>
      <c r="F25" s="11">
        <f t="shared" ref="F25:P25" si="3">F18</f>
        <v>45870</v>
      </c>
      <c r="G25" s="11">
        <f t="shared" si="3"/>
        <v>45901</v>
      </c>
      <c r="H25" s="11">
        <f t="shared" si="3"/>
        <v>45931</v>
      </c>
      <c r="I25" s="11">
        <f t="shared" si="3"/>
        <v>45962</v>
      </c>
      <c r="J25" s="11">
        <f t="shared" si="3"/>
        <v>45992</v>
      </c>
      <c r="K25" s="11">
        <f t="shared" si="3"/>
        <v>46023</v>
      </c>
      <c r="L25" s="11">
        <f t="shared" si="3"/>
        <v>46054</v>
      </c>
      <c r="M25" s="11">
        <f t="shared" si="3"/>
        <v>46082</v>
      </c>
      <c r="N25" s="11">
        <f t="shared" si="3"/>
        <v>46113</v>
      </c>
      <c r="O25" s="11">
        <f t="shared" si="3"/>
        <v>46143</v>
      </c>
      <c r="P25" s="11">
        <f t="shared" si="3"/>
        <v>46174</v>
      </c>
    </row>
    <row r="26" spans="3:17" x14ac:dyDescent="0.35">
      <c r="D26" s="3" t="str">
        <f>D19</f>
        <v>Budget 2025-26</v>
      </c>
      <c r="E26" s="5">
        <f>E19</f>
        <v>2169</v>
      </c>
      <c r="F26" s="5">
        <f t="shared" ref="F26:P26" si="4">F19</f>
        <v>2183</v>
      </c>
      <c r="G26" s="5">
        <f t="shared" si="4"/>
        <v>2197</v>
      </c>
      <c r="H26" s="5">
        <f t="shared" si="4"/>
        <v>2211</v>
      </c>
      <c r="I26" s="5">
        <f t="shared" si="4"/>
        <v>2225</v>
      </c>
      <c r="J26" s="5">
        <f t="shared" si="4"/>
        <v>2239</v>
      </c>
      <c r="K26" s="5">
        <f t="shared" si="4"/>
        <v>2253</v>
      </c>
      <c r="L26" s="5">
        <f t="shared" si="4"/>
        <v>2267</v>
      </c>
      <c r="M26" s="5">
        <f t="shared" si="4"/>
        <v>2281</v>
      </c>
      <c r="N26" s="5">
        <f t="shared" si="4"/>
        <v>2295</v>
      </c>
      <c r="O26" s="5">
        <f t="shared" si="4"/>
        <v>2309</v>
      </c>
      <c r="P26" s="5">
        <f t="shared" si="4"/>
        <v>2323</v>
      </c>
    </row>
    <row r="27" spans="3:17" x14ac:dyDescent="0.35">
      <c r="D27" s="3" t="str">
        <f t="shared" ref="D27:E30" si="5">D20</f>
        <v>Actual 2025-26</v>
      </c>
      <c r="E27" s="5">
        <f t="shared" si="5"/>
        <v>2153</v>
      </c>
      <c r="F27" s="5">
        <f t="shared" ref="F27:P27" si="6">F20</f>
        <v>2161</v>
      </c>
      <c r="G27" s="5">
        <f t="shared" si="6"/>
        <v>2163</v>
      </c>
      <c r="H27" s="5">
        <f t="shared" si="6"/>
        <v>2161</v>
      </c>
      <c r="I27" s="5">
        <f t="shared" si="6"/>
        <v>2163</v>
      </c>
      <c r="J27" s="5">
        <f t="shared" si="6"/>
        <v>2170</v>
      </c>
      <c r="K27" s="5">
        <f t="shared" si="6"/>
        <v>2175</v>
      </c>
      <c r="L27" s="5">
        <f t="shared" si="6"/>
        <v>2176</v>
      </c>
      <c r="M27" s="5">
        <f t="shared" si="6"/>
        <v>0</v>
      </c>
      <c r="N27" s="5">
        <f t="shared" si="6"/>
        <v>0</v>
      </c>
      <c r="O27" s="5">
        <f t="shared" si="6"/>
        <v>0</v>
      </c>
      <c r="P27" s="5">
        <f t="shared" si="6"/>
        <v>0</v>
      </c>
    </row>
    <row r="28" spans="3:17" x14ac:dyDescent="0.35">
      <c r="D28" s="3" t="str">
        <f t="shared" si="5"/>
        <v>Actual 2024-25</v>
      </c>
      <c r="E28" s="5">
        <f t="shared" si="5"/>
        <v>2104</v>
      </c>
      <c r="F28" s="5">
        <f t="shared" ref="F28:P28" si="7">F21</f>
        <v>2114</v>
      </c>
      <c r="G28" s="5">
        <f t="shared" si="7"/>
        <v>2117</v>
      </c>
      <c r="H28" s="5">
        <f t="shared" si="7"/>
        <v>2118</v>
      </c>
      <c r="I28" s="5">
        <f t="shared" si="7"/>
        <v>2125</v>
      </c>
      <c r="J28" s="5">
        <f t="shared" si="7"/>
        <v>2125</v>
      </c>
      <c r="K28" s="5">
        <f t="shared" si="7"/>
        <v>2133</v>
      </c>
      <c r="L28" s="5">
        <f t="shared" si="7"/>
        <v>2141</v>
      </c>
      <c r="M28" s="5">
        <f t="shared" si="7"/>
        <v>2152</v>
      </c>
      <c r="N28" s="5">
        <f t="shared" si="7"/>
        <v>2154</v>
      </c>
      <c r="O28" s="5">
        <f t="shared" si="7"/>
        <v>2153</v>
      </c>
      <c r="P28" s="5">
        <f t="shared" si="7"/>
        <v>2154</v>
      </c>
    </row>
    <row r="29" spans="3:17" x14ac:dyDescent="0.35">
      <c r="D29" s="3" t="str">
        <f t="shared" si="5"/>
        <v>Difference</v>
      </c>
      <c r="E29" s="5">
        <f>SUM($E22:E22)</f>
        <v>-16</v>
      </c>
      <c r="F29" s="5">
        <f>SUM($E22:F22)</f>
        <v>-38</v>
      </c>
      <c r="G29" s="5">
        <f>SUM($E22:G22)</f>
        <v>-72</v>
      </c>
      <c r="H29" s="5">
        <f>SUM($E22:H22)</f>
        <v>-122</v>
      </c>
      <c r="I29" s="5">
        <f>SUM($E22:I22)</f>
        <v>-184</v>
      </c>
      <c r="J29" s="5">
        <f>SUM($E22:J22)</f>
        <v>-253</v>
      </c>
      <c r="K29" s="5">
        <f>SUM($E22:K22)</f>
        <v>-331</v>
      </c>
      <c r="L29" s="5">
        <f>SUM($E22:L22)</f>
        <v>-422</v>
      </c>
      <c r="M29" s="5">
        <f>SUM($E22:M22)</f>
        <v>-422</v>
      </c>
      <c r="N29" s="5">
        <f>SUM($E22:N22)</f>
        <v>-422</v>
      </c>
      <c r="O29" s="5">
        <f>SUM($E22:O22)</f>
        <v>-422</v>
      </c>
      <c r="P29" s="5">
        <f>SUM($E22:P22)</f>
        <v>-422</v>
      </c>
    </row>
    <row r="30" spans="3:17" x14ac:dyDescent="0.35">
      <c r="D30" s="3" t="str">
        <f t="shared" si="5"/>
        <v>Realisation</v>
      </c>
      <c r="E30" s="9">
        <f>E28/E26</f>
        <v>0.97003227293683725</v>
      </c>
      <c r="F30" s="9">
        <f t="shared" ref="F30:P30" si="8">F27/F26</f>
        <v>0.98992212551534586</v>
      </c>
      <c r="G30" s="9">
        <f t="shared" si="8"/>
        <v>0.98452435138825667</v>
      </c>
      <c r="H30" s="9">
        <f t="shared" si="8"/>
        <v>0.97738579828132066</v>
      </c>
      <c r="I30" s="9">
        <f t="shared" si="8"/>
        <v>0.97213483146067414</v>
      </c>
      <c r="J30" s="9">
        <f t="shared" si="8"/>
        <v>0.96918267083519427</v>
      </c>
      <c r="K30" s="9">
        <f t="shared" si="8"/>
        <v>0.96537949400798939</v>
      </c>
      <c r="L30" s="9">
        <f t="shared" si="8"/>
        <v>0.95985884428760482</v>
      </c>
      <c r="M30" s="9">
        <f t="shared" si="8"/>
        <v>0</v>
      </c>
      <c r="N30" s="9">
        <f t="shared" si="8"/>
        <v>0</v>
      </c>
      <c r="O30" s="9">
        <f t="shared" si="8"/>
        <v>0</v>
      </c>
      <c r="P30" s="9">
        <f t="shared" si="8"/>
        <v>0</v>
      </c>
    </row>
  </sheetData>
  <mergeCells count="2">
    <mergeCell ref="J4:Q8"/>
    <mergeCell ref="J10:Q15"/>
  </mergeCells>
  <conditionalFormatting sqref="C3">
    <cfRule type="expression" dxfId="293" priority="2">
      <formula>S4&lt;S6</formula>
    </cfRule>
  </conditionalFormatting>
  <conditionalFormatting sqref="C5">
    <cfRule type="expression" dxfId="292" priority="3">
      <formula>S4&gt;=S5</formula>
    </cfRule>
  </conditionalFormatting>
  <conditionalFormatting sqref="C4">
    <cfRule type="expression" dxfId="291" priority="1">
      <formula>AND(S4&gt;=S6,S4&lt;S5)</formula>
    </cfRule>
  </conditionalFormatting>
  <hyperlinks>
    <hyperlink ref="L1" location="Dashboard!A1" display="Dashboard"/>
  </hyperlinks>
  <pageMargins left="0.7" right="0.7" top="0.75" bottom="0.75" header="0.3" footer="0.3"/>
  <pageSetup orientation="portrait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14785" r:id="rId4" name="Spinner 1">
              <controlPr defaultSize="0" autoPict="0">
                <anchor moveWithCells="1" sizeWithCells="1">
                  <from>
                    <xdr:col>9</xdr:col>
                    <xdr:colOff>19050</xdr:colOff>
                    <xdr:row>0</xdr:row>
                    <xdr:rowOff>38100</xdr:rowOff>
                  </from>
                  <to>
                    <xdr:col>9</xdr:col>
                    <xdr:colOff>400050</xdr:colOff>
                    <xdr:row>1</xdr:row>
                    <xdr:rowOff>152400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10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80">
    <tabColor rgb="FFFFC000"/>
  </sheetPr>
  <dimension ref="A1:S30"/>
  <sheetViews>
    <sheetView zoomScale="90" zoomScaleNormal="90" workbookViewId="0">
      <selection activeCell="L1" sqref="L1"/>
    </sheetView>
  </sheetViews>
  <sheetFormatPr defaultColWidth="9.1796875" defaultRowHeight="14.5" x14ac:dyDescent="0.35"/>
  <cols>
    <col min="1" max="1" width="9.1796875" style="3"/>
    <col min="2" max="2" width="5.1796875" style="3" customWidth="1"/>
    <col min="3" max="3" width="6.26953125" style="3" customWidth="1"/>
    <col min="4" max="4" width="21.26953125" style="3" bestFit="1" customWidth="1"/>
    <col min="5" max="16" width="11.1796875" style="3" customWidth="1"/>
    <col min="17" max="17" width="12" style="3" bestFit="1" customWidth="1"/>
    <col min="18" max="18" width="9.1796875" style="3" customWidth="1"/>
    <col min="19" max="16384" width="9.1796875" style="3"/>
  </cols>
  <sheetData>
    <row r="1" spans="1:19" ht="21" x14ac:dyDescent="0.5">
      <c r="A1" s="4" t="s">
        <v>4</v>
      </c>
      <c r="B1" s="4">
        <f>Dashboard!A108</f>
        <v>3</v>
      </c>
      <c r="C1" s="4" t="str">
        <f>Dashboard!B108</f>
        <v>TOTAL ACTIVE WATER CONNECTIONS</v>
      </c>
      <c r="D1" s="4"/>
      <c r="G1" s="3" t="s">
        <v>9</v>
      </c>
      <c r="I1" s="12">
        <f>INDEX($E$18:$P$18,Actual_month)</f>
        <v>46054</v>
      </c>
      <c r="L1" s="16" t="s">
        <v>19</v>
      </c>
      <c r="R1" s="5"/>
    </row>
    <row r="2" spans="1:19" x14ac:dyDescent="0.35">
      <c r="A2" s="3" t="s">
        <v>13</v>
      </c>
      <c r="C2" s="3" t="s">
        <v>27</v>
      </c>
      <c r="R2" s="6"/>
    </row>
    <row r="3" spans="1:19" ht="25.5" customHeight="1" thickBot="1" x14ac:dyDescent="0.4">
      <c r="C3" s="1" t="s">
        <v>5</v>
      </c>
      <c r="E3" s="10"/>
      <c r="F3" s="10"/>
      <c r="G3" s="10"/>
      <c r="H3" s="10"/>
      <c r="I3" s="10"/>
      <c r="J3" s="3" t="s">
        <v>6</v>
      </c>
      <c r="K3" s="10"/>
      <c r="M3" s="10"/>
      <c r="N3" s="10"/>
      <c r="O3" s="10"/>
      <c r="P3" s="10"/>
    </row>
    <row r="4" spans="1:19" ht="25.5" customHeight="1" x14ac:dyDescent="0.35">
      <c r="C4" s="1" t="s">
        <v>5</v>
      </c>
      <c r="E4" s="10"/>
      <c r="F4" s="10"/>
      <c r="G4" s="10"/>
      <c r="H4" s="10"/>
      <c r="I4" s="10"/>
      <c r="J4" s="401"/>
      <c r="K4" s="402"/>
      <c r="L4" s="402"/>
      <c r="M4" s="402"/>
      <c r="N4" s="402"/>
      <c r="O4" s="402"/>
      <c r="P4" s="402"/>
      <c r="Q4" s="403"/>
      <c r="R4" s="3" t="s">
        <v>22</v>
      </c>
      <c r="S4" s="5">
        <f>INDEX(E27:P27,Actual_month)</f>
        <v>11095</v>
      </c>
    </row>
    <row r="5" spans="1:19" ht="25.5" customHeight="1" x14ac:dyDescent="0.35">
      <c r="C5" s="1" t="s">
        <v>5</v>
      </c>
      <c r="E5" s="10"/>
      <c r="F5" s="10"/>
      <c r="G5" s="10"/>
      <c r="H5" s="10"/>
      <c r="I5" s="10"/>
      <c r="J5" s="404"/>
      <c r="K5" s="405"/>
      <c r="L5" s="405"/>
      <c r="M5" s="405"/>
      <c r="N5" s="405"/>
      <c r="O5" s="405"/>
      <c r="P5" s="405"/>
      <c r="Q5" s="406"/>
      <c r="R5" s="3" t="s">
        <v>23</v>
      </c>
      <c r="S5" s="5">
        <f>INDEX(E26:P26,Actual_month)</f>
        <v>11689</v>
      </c>
    </row>
    <row r="6" spans="1:19" x14ac:dyDescent="0.35">
      <c r="J6" s="404"/>
      <c r="K6" s="405"/>
      <c r="L6" s="405"/>
      <c r="M6" s="405"/>
      <c r="N6" s="405"/>
      <c r="O6" s="405"/>
      <c r="P6" s="405"/>
      <c r="Q6" s="406"/>
      <c r="R6" s="6">
        <v>0.9</v>
      </c>
      <c r="S6" s="5">
        <f>+S5*R6</f>
        <v>10520.1</v>
      </c>
    </row>
    <row r="7" spans="1:19" x14ac:dyDescent="0.35">
      <c r="J7" s="404"/>
      <c r="K7" s="405"/>
      <c r="L7" s="405"/>
      <c r="M7" s="405"/>
      <c r="N7" s="405"/>
      <c r="O7" s="405"/>
      <c r="P7" s="405"/>
      <c r="Q7" s="406"/>
    </row>
    <row r="8" spans="1:19" ht="15" thickBot="1" x14ac:dyDescent="0.4">
      <c r="J8" s="407"/>
      <c r="K8" s="408"/>
      <c r="L8" s="408"/>
      <c r="M8" s="408"/>
      <c r="N8" s="408"/>
      <c r="O8" s="408"/>
      <c r="P8" s="408"/>
      <c r="Q8" s="409"/>
    </row>
    <row r="9" spans="1:19" ht="15" thickBot="1" x14ac:dyDescent="0.4">
      <c r="J9" s="3" t="s">
        <v>12</v>
      </c>
    </row>
    <row r="10" spans="1:19" x14ac:dyDescent="0.35">
      <c r="J10" s="401"/>
      <c r="K10" s="402"/>
      <c r="L10" s="402"/>
      <c r="M10" s="402"/>
      <c r="N10" s="402"/>
      <c r="O10" s="402"/>
      <c r="P10" s="402"/>
      <c r="Q10" s="403"/>
    </row>
    <row r="11" spans="1:19" x14ac:dyDescent="0.35">
      <c r="J11" s="404"/>
      <c r="K11" s="405"/>
      <c r="L11" s="405"/>
      <c r="M11" s="405"/>
      <c r="N11" s="405"/>
      <c r="O11" s="405"/>
      <c r="P11" s="405"/>
      <c r="Q11" s="406"/>
    </row>
    <row r="12" spans="1:19" x14ac:dyDescent="0.35">
      <c r="J12" s="404"/>
      <c r="K12" s="405"/>
      <c r="L12" s="405"/>
      <c r="M12" s="405"/>
      <c r="N12" s="405"/>
      <c r="O12" s="405"/>
      <c r="P12" s="405"/>
      <c r="Q12" s="406"/>
    </row>
    <row r="13" spans="1:19" x14ac:dyDescent="0.35">
      <c r="J13" s="404"/>
      <c r="K13" s="405"/>
      <c r="L13" s="405"/>
      <c r="M13" s="405"/>
      <c r="N13" s="405"/>
      <c r="O13" s="405"/>
      <c r="P13" s="405"/>
      <c r="Q13" s="406"/>
    </row>
    <row r="14" spans="1:19" x14ac:dyDescent="0.35">
      <c r="J14" s="404"/>
      <c r="K14" s="405"/>
      <c r="L14" s="405"/>
      <c r="M14" s="405"/>
      <c r="N14" s="405"/>
      <c r="O14" s="405"/>
      <c r="P14" s="405"/>
      <c r="Q14" s="406"/>
    </row>
    <row r="15" spans="1:19" ht="15" thickBot="1" x14ac:dyDescent="0.4">
      <c r="J15" s="407"/>
      <c r="K15" s="408"/>
      <c r="L15" s="408"/>
      <c r="M15" s="408"/>
      <c r="N15" s="408"/>
      <c r="O15" s="408"/>
      <c r="P15" s="408"/>
      <c r="Q15" s="409"/>
    </row>
    <row r="18" spans="3:17" x14ac:dyDescent="0.35">
      <c r="C18" s="7" t="s">
        <v>8</v>
      </c>
      <c r="E18" s="11">
        <f>'KPI 1'!E18</f>
        <v>45839</v>
      </c>
      <c r="F18" s="11">
        <f>'KPI 1'!F18</f>
        <v>45870</v>
      </c>
      <c r="G18" s="11">
        <f>'KPI 1'!G18</f>
        <v>45901</v>
      </c>
      <c r="H18" s="11">
        <f>'KPI 1'!H18</f>
        <v>45931</v>
      </c>
      <c r="I18" s="11">
        <f>'KPI 1'!I18</f>
        <v>45962</v>
      </c>
      <c r="J18" s="11">
        <f>'KPI 1'!J18</f>
        <v>45992</v>
      </c>
      <c r="K18" s="11">
        <f>'KPI 1'!K18</f>
        <v>46023</v>
      </c>
      <c r="L18" s="11">
        <f>'KPI 1'!L18</f>
        <v>46054</v>
      </c>
      <c r="M18" s="11">
        <f>'KPI 1'!M18</f>
        <v>46082</v>
      </c>
      <c r="N18" s="11">
        <f>'KPI 1'!N18</f>
        <v>46113</v>
      </c>
      <c r="O18" s="11">
        <f>'KPI 1'!O18</f>
        <v>46143</v>
      </c>
      <c r="P18" s="11">
        <f>'KPI 1'!P18</f>
        <v>46174</v>
      </c>
      <c r="Q18" s="8" t="s">
        <v>0</v>
      </c>
    </row>
    <row r="19" spans="3:17" x14ac:dyDescent="0.35">
      <c r="D19" s="3" t="str">
        <f>'KPI 1'!D19</f>
        <v>Budget 2025-26</v>
      </c>
      <c r="E19" s="5">
        <f>'budget 2025-26'!D101</f>
        <v>10373</v>
      </c>
      <c r="F19" s="5">
        <f>'budget 2025-26'!E101</f>
        <v>10520</v>
      </c>
      <c r="G19" s="5">
        <f>'budget 2025-26'!F101</f>
        <v>10669</v>
      </c>
      <c r="H19" s="5">
        <f>'budget 2025-26'!G101</f>
        <v>10888</v>
      </c>
      <c r="I19" s="5">
        <f>'budget 2025-26'!H101</f>
        <v>11097</v>
      </c>
      <c r="J19" s="5">
        <f>'budget 2025-26'!I101</f>
        <v>11296</v>
      </c>
      <c r="K19" s="5">
        <f>'budget 2025-26'!J101</f>
        <v>11500</v>
      </c>
      <c r="L19" s="5">
        <f>'budget 2025-26'!K101</f>
        <v>11689</v>
      </c>
      <c r="M19" s="5">
        <f>'budget 2025-26'!L101</f>
        <v>11863</v>
      </c>
      <c r="N19" s="5">
        <f>'budget 2025-26'!M101</f>
        <v>12017</v>
      </c>
      <c r="O19" s="5">
        <f>'budget 2025-26'!N101</f>
        <v>12171</v>
      </c>
      <c r="P19" s="5">
        <f>'budget 2025-26'!O101</f>
        <v>12323</v>
      </c>
      <c r="Q19" s="5">
        <f>SUM(E19:P19)</f>
        <v>136406</v>
      </c>
    </row>
    <row r="20" spans="3:17" x14ac:dyDescent="0.35">
      <c r="D20" s="3" t="str">
        <f>'KPI 1'!D20</f>
        <v>Actual 2025-26</v>
      </c>
      <c r="E20" s="5">
        <f>'Input Actual2025-26'!E104</f>
        <v>10307</v>
      </c>
      <c r="F20" s="5">
        <f>'Input Actual2025-26'!F104</f>
        <v>10417</v>
      </c>
      <c r="G20" s="5">
        <f>'Input Actual2025-26'!G104</f>
        <v>10547</v>
      </c>
      <c r="H20" s="5">
        <f>'Input Actual2025-26'!H104</f>
        <v>10660</v>
      </c>
      <c r="I20" s="5">
        <f>'Input Actual2025-26'!I104</f>
        <v>10743</v>
      </c>
      <c r="J20" s="5">
        <f>'Input Actual2025-26'!J104</f>
        <v>10863</v>
      </c>
      <c r="K20" s="5">
        <f>'Input Actual2025-26'!K104</f>
        <v>10982</v>
      </c>
      <c r="L20" s="5">
        <f>'Input Actual2025-26'!L104</f>
        <v>11095</v>
      </c>
      <c r="M20" s="5">
        <f>'Input Actual2025-26'!M104</f>
        <v>0</v>
      </c>
      <c r="N20" s="5">
        <f>'Input Actual2025-26'!N104</f>
        <v>0</v>
      </c>
      <c r="O20" s="5">
        <f>'Input Actual2025-26'!O104</f>
        <v>0</v>
      </c>
      <c r="P20" s="5">
        <f>'Input Actual2025-26'!P104</f>
        <v>0</v>
      </c>
      <c r="Q20" s="5">
        <f t="shared" ref="Q20:Q22" si="0">SUM(E20:P20)</f>
        <v>85614</v>
      </c>
    </row>
    <row r="21" spans="3:17" x14ac:dyDescent="0.35">
      <c r="D21" s="3" t="s">
        <v>424</v>
      </c>
      <c r="E21" s="5">
        <f>'Input Actual2024-25'!E97</f>
        <v>9620</v>
      </c>
      <c r="F21" s="5">
        <f>'Input Actual2024-25'!F97</f>
        <v>9656</v>
      </c>
      <c r="G21" s="5">
        <f>'Input Actual2024-25'!G97</f>
        <v>9702</v>
      </c>
      <c r="H21" s="5">
        <f>'Input Actual2024-25'!H97</f>
        <v>9709</v>
      </c>
      <c r="I21" s="5">
        <f>'Input Actual2024-25'!I97</f>
        <v>9756</v>
      </c>
      <c r="J21" s="5">
        <f>'Input Actual2024-25'!J97</f>
        <v>9788</v>
      </c>
      <c r="K21" s="5">
        <f>'Input Actual2024-25'!K97</f>
        <v>9804</v>
      </c>
      <c r="L21" s="5">
        <f>'Input Actual2024-25'!L97</f>
        <v>9900</v>
      </c>
      <c r="M21" s="5">
        <f>'Input Actual2024-25'!M97</f>
        <v>9969</v>
      </c>
      <c r="N21" s="5">
        <f>'Input Actual2024-25'!N97</f>
        <v>10053</v>
      </c>
      <c r="O21" s="5">
        <f>'Input Actual2024-25'!O97</f>
        <v>10138</v>
      </c>
      <c r="P21" s="5">
        <f>'Input Actual2024-25'!P97</f>
        <v>10195</v>
      </c>
      <c r="Q21" s="5">
        <f t="shared" si="0"/>
        <v>118290</v>
      </c>
    </row>
    <row r="22" spans="3:17" x14ac:dyDescent="0.35">
      <c r="D22" s="3" t="s">
        <v>7</v>
      </c>
      <c r="E22" s="5">
        <f t="shared" ref="E22:P22" si="1">IF(E20=0,0,E20-E19)</f>
        <v>-66</v>
      </c>
      <c r="F22" s="5">
        <f t="shared" si="1"/>
        <v>-103</v>
      </c>
      <c r="G22" s="5">
        <f t="shared" si="1"/>
        <v>-122</v>
      </c>
      <c r="H22" s="5">
        <f t="shared" si="1"/>
        <v>-228</v>
      </c>
      <c r="I22" s="5">
        <f t="shared" si="1"/>
        <v>-354</v>
      </c>
      <c r="J22" s="5">
        <f t="shared" si="1"/>
        <v>-433</v>
      </c>
      <c r="K22" s="5">
        <f t="shared" si="1"/>
        <v>-518</v>
      </c>
      <c r="L22" s="5">
        <f t="shared" si="1"/>
        <v>-594</v>
      </c>
      <c r="M22" s="5">
        <f t="shared" si="1"/>
        <v>0</v>
      </c>
      <c r="N22" s="5">
        <f t="shared" si="1"/>
        <v>0</v>
      </c>
      <c r="O22" s="5">
        <f t="shared" si="1"/>
        <v>0</v>
      </c>
      <c r="P22" s="5">
        <f t="shared" si="1"/>
        <v>0</v>
      </c>
      <c r="Q22" s="5">
        <f t="shared" si="0"/>
        <v>-2418</v>
      </c>
    </row>
    <row r="23" spans="3:17" x14ac:dyDescent="0.35">
      <c r="D23" s="3" t="s">
        <v>43</v>
      </c>
      <c r="E23" s="9">
        <f>E21/E19</f>
        <v>0.92740769304926252</v>
      </c>
      <c r="F23" s="9">
        <f t="shared" ref="F23:P23" si="2">F20/F19</f>
        <v>0.99020912547528517</v>
      </c>
      <c r="G23" s="9">
        <f t="shared" si="2"/>
        <v>0.9885650014059425</v>
      </c>
      <c r="H23" s="9">
        <f t="shared" si="2"/>
        <v>0.97905951506245403</v>
      </c>
      <c r="I23" s="9">
        <f t="shared" si="2"/>
        <v>0.96809948634766152</v>
      </c>
      <c r="J23" s="9">
        <f t="shared" si="2"/>
        <v>0.96166784702549579</v>
      </c>
      <c r="K23" s="9">
        <f t="shared" si="2"/>
        <v>0.95495652173913048</v>
      </c>
      <c r="L23" s="9">
        <f t="shared" si="2"/>
        <v>0.94918299255710492</v>
      </c>
      <c r="M23" s="9">
        <f t="shared" si="2"/>
        <v>0</v>
      </c>
      <c r="N23" s="9">
        <f t="shared" si="2"/>
        <v>0</v>
      </c>
      <c r="O23" s="9">
        <f t="shared" si="2"/>
        <v>0</v>
      </c>
      <c r="P23" s="9">
        <f t="shared" si="2"/>
        <v>0</v>
      </c>
    </row>
    <row r="25" spans="3:17" x14ac:dyDescent="0.35">
      <c r="C25" s="7" t="s">
        <v>3</v>
      </c>
      <c r="E25" s="11">
        <f>E18</f>
        <v>45839</v>
      </c>
      <c r="F25" s="11">
        <f t="shared" ref="F25:P28" si="3">F18</f>
        <v>45870</v>
      </c>
      <c r="G25" s="11">
        <f t="shared" si="3"/>
        <v>45901</v>
      </c>
      <c r="H25" s="11">
        <f t="shared" si="3"/>
        <v>45931</v>
      </c>
      <c r="I25" s="11">
        <f t="shared" si="3"/>
        <v>45962</v>
      </c>
      <c r="J25" s="11">
        <f t="shared" si="3"/>
        <v>45992</v>
      </c>
      <c r="K25" s="11">
        <f t="shared" si="3"/>
        <v>46023</v>
      </c>
      <c r="L25" s="11">
        <f t="shared" si="3"/>
        <v>46054</v>
      </c>
      <c r="M25" s="11">
        <f t="shared" si="3"/>
        <v>46082</v>
      </c>
      <c r="N25" s="11">
        <f t="shared" si="3"/>
        <v>46113</v>
      </c>
      <c r="O25" s="11">
        <f t="shared" si="3"/>
        <v>46143</v>
      </c>
      <c r="P25" s="11">
        <f t="shared" si="3"/>
        <v>46174</v>
      </c>
    </row>
    <row r="26" spans="3:17" x14ac:dyDescent="0.35">
      <c r="D26" s="3" t="str">
        <f>D19</f>
        <v>Budget 2025-26</v>
      </c>
      <c r="E26" s="5">
        <f>E19</f>
        <v>10373</v>
      </c>
      <c r="F26" s="5">
        <f t="shared" si="3"/>
        <v>10520</v>
      </c>
      <c r="G26" s="5">
        <f t="shared" si="3"/>
        <v>10669</v>
      </c>
      <c r="H26" s="5">
        <f t="shared" si="3"/>
        <v>10888</v>
      </c>
      <c r="I26" s="5">
        <f t="shared" si="3"/>
        <v>11097</v>
      </c>
      <c r="J26" s="5">
        <f t="shared" si="3"/>
        <v>11296</v>
      </c>
      <c r="K26" s="5">
        <f t="shared" si="3"/>
        <v>11500</v>
      </c>
      <c r="L26" s="5">
        <f t="shared" si="3"/>
        <v>11689</v>
      </c>
      <c r="M26" s="5">
        <f t="shared" si="3"/>
        <v>11863</v>
      </c>
      <c r="N26" s="5">
        <f t="shared" si="3"/>
        <v>12017</v>
      </c>
      <c r="O26" s="5">
        <f t="shared" si="3"/>
        <v>12171</v>
      </c>
      <c r="P26" s="5">
        <f t="shared" si="3"/>
        <v>12323</v>
      </c>
    </row>
    <row r="27" spans="3:17" x14ac:dyDescent="0.35">
      <c r="D27" s="3" t="str">
        <f t="shared" ref="D27:E30" si="4">D20</f>
        <v>Actual 2025-26</v>
      </c>
      <c r="E27" s="5">
        <f t="shared" si="4"/>
        <v>10307</v>
      </c>
      <c r="F27" s="5">
        <f t="shared" si="3"/>
        <v>10417</v>
      </c>
      <c r="G27" s="5">
        <f t="shared" si="3"/>
        <v>10547</v>
      </c>
      <c r="H27" s="5">
        <f t="shared" si="3"/>
        <v>10660</v>
      </c>
      <c r="I27" s="5">
        <f t="shared" si="3"/>
        <v>10743</v>
      </c>
      <c r="J27" s="5">
        <f t="shared" si="3"/>
        <v>10863</v>
      </c>
      <c r="K27" s="5">
        <f t="shared" si="3"/>
        <v>10982</v>
      </c>
      <c r="L27" s="5">
        <f t="shared" si="3"/>
        <v>11095</v>
      </c>
      <c r="M27" s="5">
        <f t="shared" si="3"/>
        <v>0</v>
      </c>
      <c r="N27" s="5">
        <f t="shared" si="3"/>
        <v>0</v>
      </c>
      <c r="O27" s="5">
        <f t="shared" si="3"/>
        <v>0</v>
      </c>
      <c r="P27" s="5">
        <f t="shared" si="3"/>
        <v>0</v>
      </c>
    </row>
    <row r="28" spans="3:17" x14ac:dyDescent="0.35">
      <c r="D28" s="3" t="str">
        <f t="shared" si="4"/>
        <v>Actual 2024-25</v>
      </c>
      <c r="E28" s="5">
        <f t="shared" si="4"/>
        <v>9620</v>
      </c>
      <c r="F28" s="5">
        <f t="shared" si="3"/>
        <v>9656</v>
      </c>
      <c r="G28" s="5">
        <f t="shared" si="3"/>
        <v>9702</v>
      </c>
      <c r="H28" s="5">
        <f t="shared" si="3"/>
        <v>9709</v>
      </c>
      <c r="I28" s="5">
        <f t="shared" si="3"/>
        <v>9756</v>
      </c>
      <c r="J28" s="5">
        <f t="shared" si="3"/>
        <v>9788</v>
      </c>
      <c r="K28" s="5">
        <f t="shared" si="3"/>
        <v>9804</v>
      </c>
      <c r="L28" s="5">
        <f t="shared" si="3"/>
        <v>9900</v>
      </c>
      <c r="M28" s="5">
        <f t="shared" si="3"/>
        <v>9969</v>
      </c>
      <c r="N28" s="5">
        <f t="shared" si="3"/>
        <v>10053</v>
      </c>
      <c r="O28" s="5">
        <f t="shared" si="3"/>
        <v>10138</v>
      </c>
      <c r="P28" s="5">
        <f t="shared" si="3"/>
        <v>10195</v>
      </c>
    </row>
    <row r="29" spans="3:17" x14ac:dyDescent="0.35">
      <c r="D29" s="3" t="str">
        <f t="shared" si="4"/>
        <v>Difference</v>
      </c>
      <c r="E29" s="5">
        <f>SUM($E22:E22)</f>
        <v>-66</v>
      </c>
      <c r="F29" s="5">
        <f>SUM($E22:F22)</f>
        <v>-169</v>
      </c>
      <c r="G29" s="5">
        <f>SUM($E22:G22)</f>
        <v>-291</v>
      </c>
      <c r="H29" s="5">
        <f>SUM($E22:H22)</f>
        <v>-519</v>
      </c>
      <c r="I29" s="5">
        <f>SUM($E22:I22)</f>
        <v>-873</v>
      </c>
      <c r="J29" s="5">
        <f>SUM($E22:J22)</f>
        <v>-1306</v>
      </c>
      <c r="K29" s="5">
        <f>SUM($E22:K22)</f>
        <v>-1824</v>
      </c>
      <c r="L29" s="5">
        <f>SUM($E22:L22)</f>
        <v>-2418</v>
      </c>
      <c r="M29" s="5">
        <f>SUM($E22:M22)</f>
        <v>-2418</v>
      </c>
      <c r="N29" s="5">
        <f>SUM($E22:N22)</f>
        <v>-2418</v>
      </c>
      <c r="O29" s="5">
        <f>SUM($E22:O22)</f>
        <v>-2418</v>
      </c>
      <c r="P29" s="5">
        <f>SUM($E22:P22)</f>
        <v>-2418</v>
      </c>
    </row>
    <row r="30" spans="3:17" x14ac:dyDescent="0.35">
      <c r="D30" s="3" t="str">
        <f t="shared" si="4"/>
        <v>Realisation</v>
      </c>
      <c r="E30" s="9">
        <f>E28/E26</f>
        <v>0.92740769304926252</v>
      </c>
      <c r="F30" s="9">
        <f t="shared" ref="F30:P30" si="5">F27/F26</f>
        <v>0.99020912547528517</v>
      </c>
      <c r="G30" s="9">
        <f t="shared" si="5"/>
        <v>0.9885650014059425</v>
      </c>
      <c r="H30" s="9">
        <f t="shared" si="5"/>
        <v>0.97905951506245403</v>
      </c>
      <c r="I30" s="9">
        <f t="shared" si="5"/>
        <v>0.96809948634766152</v>
      </c>
      <c r="J30" s="9">
        <f t="shared" si="5"/>
        <v>0.96166784702549579</v>
      </c>
      <c r="K30" s="9">
        <f t="shared" si="5"/>
        <v>0.95495652173913048</v>
      </c>
      <c r="L30" s="9">
        <f t="shared" si="5"/>
        <v>0.94918299255710492</v>
      </c>
      <c r="M30" s="9">
        <f t="shared" si="5"/>
        <v>0</v>
      </c>
      <c r="N30" s="9">
        <f t="shared" si="5"/>
        <v>0</v>
      </c>
      <c r="O30" s="9">
        <f t="shared" si="5"/>
        <v>0</v>
      </c>
      <c r="P30" s="9">
        <f t="shared" si="5"/>
        <v>0</v>
      </c>
    </row>
  </sheetData>
  <mergeCells count="2">
    <mergeCell ref="J4:Q8"/>
    <mergeCell ref="J10:Q15"/>
  </mergeCells>
  <conditionalFormatting sqref="C3">
    <cfRule type="expression" dxfId="290" priority="2">
      <formula>S4&lt;S6</formula>
    </cfRule>
  </conditionalFormatting>
  <conditionalFormatting sqref="C5">
    <cfRule type="expression" dxfId="289" priority="3">
      <formula>S4&gt;=S5</formula>
    </cfRule>
  </conditionalFormatting>
  <conditionalFormatting sqref="C4">
    <cfRule type="expression" dxfId="288" priority="1">
      <formula>AND(S4&gt;=S6,S4&lt;S5)</formula>
    </cfRule>
  </conditionalFormatting>
  <hyperlinks>
    <hyperlink ref="L1" location="Dashboard!A1" display="Dashboard"/>
  </hyperlinks>
  <pageMargins left="0.7" right="0.7" top="0.75" bottom="0.75" header="0.3" footer="0.3"/>
  <pageSetup orientation="portrait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15809" r:id="rId4" name="Spinner 1">
              <controlPr defaultSize="0" autoPict="0">
                <anchor moveWithCells="1" sizeWithCells="1">
                  <from>
                    <xdr:col>9</xdr:col>
                    <xdr:colOff>19050</xdr:colOff>
                    <xdr:row>0</xdr:row>
                    <xdr:rowOff>38100</xdr:rowOff>
                  </from>
                  <to>
                    <xdr:col>9</xdr:col>
                    <xdr:colOff>400050</xdr:colOff>
                    <xdr:row>1</xdr:row>
                    <xdr:rowOff>152400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10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81">
    <tabColor rgb="FFFFC000"/>
  </sheetPr>
  <dimension ref="A1:S30"/>
  <sheetViews>
    <sheetView zoomScale="90" zoomScaleNormal="90" workbookViewId="0">
      <selection activeCell="L1" sqref="L1"/>
    </sheetView>
  </sheetViews>
  <sheetFormatPr defaultColWidth="9.1796875" defaultRowHeight="14.5" x14ac:dyDescent="0.35"/>
  <cols>
    <col min="1" max="1" width="9.1796875" style="3"/>
    <col min="2" max="2" width="5.1796875" style="3" customWidth="1"/>
    <col min="3" max="3" width="6.26953125" style="3" customWidth="1"/>
    <col min="4" max="4" width="21.26953125" style="3" bestFit="1" customWidth="1"/>
    <col min="5" max="16" width="11.1796875" style="3" customWidth="1"/>
    <col min="17" max="17" width="12" style="3" bestFit="1" customWidth="1"/>
    <col min="18" max="18" width="9.1796875" style="3" customWidth="1"/>
    <col min="19" max="16384" width="9.1796875" style="3"/>
  </cols>
  <sheetData>
    <row r="1" spans="1:19" ht="21" x14ac:dyDescent="0.5">
      <c r="A1" s="4" t="s">
        <v>4</v>
      </c>
      <c r="B1" s="4">
        <f>Dashboard!A109</f>
        <v>4</v>
      </c>
      <c r="C1" s="4" t="str">
        <f>Dashboard!B109</f>
        <v>TOTAL SEWER ACTIVE CONNECTIONS</v>
      </c>
      <c r="D1" s="4"/>
      <c r="G1" s="3" t="s">
        <v>9</v>
      </c>
      <c r="I1" s="12">
        <f>INDEX($E$18:$P$18,Actual_month)</f>
        <v>46054</v>
      </c>
      <c r="L1" s="16" t="s">
        <v>19</v>
      </c>
      <c r="R1" s="5"/>
    </row>
    <row r="2" spans="1:19" x14ac:dyDescent="0.35">
      <c r="A2" s="3" t="s">
        <v>13</v>
      </c>
      <c r="C2" s="3" t="s">
        <v>27</v>
      </c>
      <c r="R2" s="6"/>
    </row>
    <row r="3" spans="1:19" ht="25.5" customHeight="1" thickBot="1" x14ac:dyDescent="0.4">
      <c r="C3" s="1" t="s">
        <v>5</v>
      </c>
      <c r="E3" s="10"/>
      <c r="F3" s="10"/>
      <c r="G3" s="10"/>
      <c r="H3" s="10"/>
      <c r="I3" s="10"/>
      <c r="J3" s="3" t="s">
        <v>6</v>
      </c>
      <c r="K3" s="10"/>
      <c r="M3" s="10"/>
      <c r="N3" s="10"/>
      <c r="O3" s="10"/>
      <c r="P3" s="10"/>
    </row>
    <row r="4" spans="1:19" ht="25.5" customHeight="1" x14ac:dyDescent="0.35">
      <c r="C4" s="1" t="s">
        <v>5</v>
      </c>
      <c r="E4" s="10"/>
      <c r="F4" s="10"/>
      <c r="G4" s="10"/>
      <c r="H4" s="10"/>
      <c r="I4" s="10"/>
      <c r="J4" s="401"/>
      <c r="K4" s="402"/>
      <c r="L4" s="402"/>
      <c r="M4" s="402"/>
      <c r="N4" s="402"/>
      <c r="O4" s="402"/>
      <c r="P4" s="402"/>
      <c r="Q4" s="403"/>
      <c r="R4" s="3" t="s">
        <v>22</v>
      </c>
      <c r="S4" s="5">
        <f>INDEX(E27:P27,Actual_month)</f>
        <v>1851</v>
      </c>
    </row>
    <row r="5" spans="1:19" ht="25.5" customHeight="1" x14ac:dyDescent="0.35">
      <c r="C5" s="1" t="s">
        <v>5</v>
      </c>
      <c r="E5" s="10"/>
      <c r="F5" s="10"/>
      <c r="G5" s="10"/>
      <c r="H5" s="10"/>
      <c r="I5" s="10"/>
      <c r="J5" s="404"/>
      <c r="K5" s="405"/>
      <c r="L5" s="405"/>
      <c r="M5" s="405"/>
      <c r="N5" s="405"/>
      <c r="O5" s="405"/>
      <c r="P5" s="405"/>
      <c r="Q5" s="406"/>
      <c r="R5" s="3" t="s">
        <v>23</v>
      </c>
      <c r="S5" s="5">
        <f>INDEX(E26:P26,Actual_month)</f>
        <v>1946</v>
      </c>
    </row>
    <row r="6" spans="1:19" x14ac:dyDescent="0.35">
      <c r="J6" s="404"/>
      <c r="K6" s="405"/>
      <c r="L6" s="405"/>
      <c r="M6" s="405"/>
      <c r="N6" s="405"/>
      <c r="O6" s="405"/>
      <c r="P6" s="405"/>
      <c r="Q6" s="406"/>
      <c r="R6" s="6">
        <v>0.9</v>
      </c>
      <c r="S6" s="5">
        <f>+S5*R6</f>
        <v>1751.4</v>
      </c>
    </row>
    <row r="7" spans="1:19" x14ac:dyDescent="0.35">
      <c r="J7" s="404"/>
      <c r="K7" s="405"/>
      <c r="L7" s="405"/>
      <c r="M7" s="405"/>
      <c r="N7" s="405"/>
      <c r="O7" s="405"/>
      <c r="P7" s="405"/>
      <c r="Q7" s="406"/>
    </row>
    <row r="8" spans="1:19" ht="15" thickBot="1" x14ac:dyDescent="0.4">
      <c r="J8" s="407"/>
      <c r="K8" s="408"/>
      <c r="L8" s="408"/>
      <c r="M8" s="408"/>
      <c r="N8" s="408"/>
      <c r="O8" s="408"/>
      <c r="P8" s="408"/>
      <c r="Q8" s="409"/>
    </row>
    <row r="9" spans="1:19" ht="15" thickBot="1" x14ac:dyDescent="0.4">
      <c r="J9" s="3" t="s">
        <v>12</v>
      </c>
    </row>
    <row r="10" spans="1:19" x14ac:dyDescent="0.35">
      <c r="J10" s="401"/>
      <c r="K10" s="402"/>
      <c r="L10" s="402"/>
      <c r="M10" s="402"/>
      <c r="N10" s="402"/>
      <c r="O10" s="402"/>
      <c r="P10" s="402"/>
      <c r="Q10" s="403"/>
    </row>
    <row r="11" spans="1:19" x14ac:dyDescent="0.35">
      <c r="J11" s="404"/>
      <c r="K11" s="405"/>
      <c r="L11" s="405"/>
      <c r="M11" s="405"/>
      <c r="N11" s="405"/>
      <c r="O11" s="405"/>
      <c r="P11" s="405"/>
      <c r="Q11" s="406"/>
    </row>
    <row r="12" spans="1:19" x14ac:dyDescent="0.35">
      <c r="J12" s="404"/>
      <c r="K12" s="405"/>
      <c r="L12" s="405"/>
      <c r="M12" s="405"/>
      <c r="N12" s="405"/>
      <c r="O12" s="405"/>
      <c r="P12" s="405"/>
      <c r="Q12" s="406"/>
    </row>
    <row r="13" spans="1:19" x14ac:dyDescent="0.35">
      <c r="J13" s="404"/>
      <c r="K13" s="405"/>
      <c r="L13" s="405"/>
      <c r="M13" s="405"/>
      <c r="N13" s="405"/>
      <c r="O13" s="405"/>
      <c r="P13" s="405"/>
      <c r="Q13" s="406"/>
    </row>
    <row r="14" spans="1:19" x14ac:dyDescent="0.35">
      <c r="J14" s="404"/>
      <c r="K14" s="405"/>
      <c r="L14" s="405"/>
      <c r="M14" s="405"/>
      <c r="N14" s="405"/>
      <c r="O14" s="405"/>
      <c r="P14" s="405"/>
      <c r="Q14" s="406"/>
    </row>
    <row r="15" spans="1:19" ht="15" thickBot="1" x14ac:dyDescent="0.4">
      <c r="J15" s="407"/>
      <c r="K15" s="408"/>
      <c r="L15" s="408"/>
      <c r="M15" s="408"/>
      <c r="N15" s="408"/>
      <c r="O15" s="408"/>
      <c r="P15" s="408"/>
      <c r="Q15" s="409"/>
    </row>
    <row r="18" spans="3:17" x14ac:dyDescent="0.35">
      <c r="C18" s="7" t="s">
        <v>8</v>
      </c>
      <c r="E18" s="11">
        <f>'KPI 1'!E18</f>
        <v>45839</v>
      </c>
      <c r="F18" s="11">
        <f>'KPI 1'!F18</f>
        <v>45870</v>
      </c>
      <c r="G18" s="11">
        <f>'KPI 1'!G18</f>
        <v>45901</v>
      </c>
      <c r="H18" s="11">
        <f>'KPI 1'!H18</f>
        <v>45931</v>
      </c>
      <c r="I18" s="11">
        <f>'KPI 1'!I18</f>
        <v>45962</v>
      </c>
      <c r="J18" s="11">
        <f>'KPI 1'!J18</f>
        <v>45992</v>
      </c>
      <c r="K18" s="11">
        <f>'KPI 1'!K18</f>
        <v>46023</v>
      </c>
      <c r="L18" s="11">
        <f>'KPI 1'!L18</f>
        <v>46054</v>
      </c>
      <c r="M18" s="11">
        <f>'KPI 1'!M18</f>
        <v>46082</v>
      </c>
      <c r="N18" s="11">
        <f>'KPI 1'!N18</f>
        <v>46113</v>
      </c>
      <c r="O18" s="11">
        <f>'KPI 1'!O18</f>
        <v>46143</v>
      </c>
      <c r="P18" s="11">
        <f>'KPI 1'!P18</f>
        <v>46174</v>
      </c>
      <c r="Q18" s="8" t="s">
        <v>0</v>
      </c>
    </row>
    <row r="19" spans="3:17" x14ac:dyDescent="0.35">
      <c r="D19" s="3" t="str">
        <f>'KPI 1'!D19</f>
        <v>Budget 2025-26</v>
      </c>
      <c r="E19" s="5">
        <f>'budget 2025-26'!D102</f>
        <v>1848</v>
      </c>
      <c r="F19" s="5">
        <f>'budget 2025-26'!E102</f>
        <v>1862</v>
      </c>
      <c r="G19" s="5">
        <f>'budget 2025-26'!F102</f>
        <v>1876</v>
      </c>
      <c r="H19" s="5">
        <f>'budget 2025-26'!G102</f>
        <v>1890</v>
      </c>
      <c r="I19" s="5">
        <f>'budget 2025-26'!H102</f>
        <v>1904</v>
      </c>
      <c r="J19" s="5">
        <f>'budget 2025-26'!I102</f>
        <v>1918</v>
      </c>
      <c r="K19" s="5">
        <f>'budget 2025-26'!J102</f>
        <v>1932</v>
      </c>
      <c r="L19" s="5">
        <f>'budget 2025-26'!K102</f>
        <v>1946</v>
      </c>
      <c r="M19" s="5">
        <f>'budget 2025-26'!L102</f>
        <v>1960</v>
      </c>
      <c r="N19" s="5">
        <f>'budget 2025-26'!M102</f>
        <v>1974</v>
      </c>
      <c r="O19" s="5">
        <f>'budget 2025-26'!N102</f>
        <v>1988</v>
      </c>
      <c r="P19" s="5">
        <f>'budget 2025-26'!O102</f>
        <v>2002</v>
      </c>
      <c r="Q19" s="5">
        <f>SUM(E19:P19)</f>
        <v>23100</v>
      </c>
    </row>
    <row r="20" spans="3:17" x14ac:dyDescent="0.35">
      <c r="D20" s="3" t="str">
        <f>'KPI 1'!D20</f>
        <v>Actual 2025-26</v>
      </c>
      <c r="E20" s="5">
        <f>'Input Actual2025-26'!E105</f>
        <v>1830</v>
      </c>
      <c r="F20" s="5">
        <f>'Input Actual2025-26'!F105</f>
        <v>1837</v>
      </c>
      <c r="G20" s="5">
        <f>'Input Actual2025-26'!G105</f>
        <v>1839</v>
      </c>
      <c r="H20" s="5">
        <f>'Input Actual2025-26'!H105</f>
        <v>1835</v>
      </c>
      <c r="I20" s="5">
        <f>'Input Actual2025-26'!I105</f>
        <v>1836</v>
      </c>
      <c r="J20" s="5">
        <f>'Input Actual2025-26'!J105</f>
        <v>1845</v>
      </c>
      <c r="K20" s="5">
        <f>'Input Actual2025-26'!K105</f>
        <v>1851</v>
      </c>
      <c r="L20" s="5">
        <f>'Input Actual2025-26'!L105</f>
        <v>1851</v>
      </c>
      <c r="M20" s="5">
        <f>'Input Actual2025-26'!M105</f>
        <v>0</v>
      </c>
      <c r="N20" s="5">
        <f>'Input Actual2025-26'!N105</f>
        <v>0</v>
      </c>
      <c r="O20" s="5">
        <f>'Input Actual2025-26'!O105</f>
        <v>0</v>
      </c>
      <c r="P20" s="5">
        <f>'Input Actual2025-26'!P105</f>
        <v>0</v>
      </c>
      <c r="Q20" s="5">
        <f t="shared" ref="Q20:Q22" si="0">SUM(E20:P20)</f>
        <v>14724</v>
      </c>
    </row>
    <row r="21" spans="3:17" x14ac:dyDescent="0.35">
      <c r="D21" s="3" t="s">
        <v>424</v>
      </c>
      <c r="E21" s="5">
        <f>'Input Actual2024-25'!E98</f>
        <v>1788</v>
      </c>
      <c r="F21" s="5">
        <f>'Input Actual2024-25'!F98</f>
        <v>1797</v>
      </c>
      <c r="G21" s="5">
        <f>'Input Actual2024-25'!G98</f>
        <v>1798</v>
      </c>
      <c r="H21" s="5">
        <f>'Input Actual2024-25'!H98</f>
        <v>1799</v>
      </c>
      <c r="I21" s="5">
        <f>'Input Actual2024-25'!I98</f>
        <v>1806</v>
      </c>
      <c r="J21" s="5">
        <f>'Input Actual2024-25'!J98</f>
        <v>1805</v>
      </c>
      <c r="K21" s="5">
        <f>'Input Actual2024-25'!K98</f>
        <v>1812</v>
      </c>
      <c r="L21" s="5">
        <f>'Input Actual2024-25'!L98</f>
        <v>1821</v>
      </c>
      <c r="M21" s="5">
        <f>'Input Actual2024-25'!M98</f>
        <v>1831</v>
      </c>
      <c r="N21" s="5">
        <f>'Input Actual2024-25'!N98</f>
        <v>1835</v>
      </c>
      <c r="O21" s="5">
        <f>'Input Actual2024-25'!O98</f>
        <v>1832</v>
      </c>
      <c r="P21" s="5">
        <f>'Input Actual2024-25'!P98</f>
        <v>1833</v>
      </c>
      <c r="Q21" s="5">
        <f t="shared" si="0"/>
        <v>21757</v>
      </c>
    </row>
    <row r="22" spans="3:17" x14ac:dyDescent="0.35">
      <c r="D22" s="3" t="s">
        <v>7</v>
      </c>
      <c r="E22" s="5">
        <f t="shared" ref="E22:P22" si="1">IF(E20=0,0,E20-E19)</f>
        <v>-18</v>
      </c>
      <c r="F22" s="5">
        <f t="shared" si="1"/>
        <v>-25</v>
      </c>
      <c r="G22" s="5">
        <f t="shared" si="1"/>
        <v>-37</v>
      </c>
      <c r="H22" s="5">
        <f t="shared" si="1"/>
        <v>-55</v>
      </c>
      <c r="I22" s="5">
        <f t="shared" si="1"/>
        <v>-68</v>
      </c>
      <c r="J22" s="5">
        <f t="shared" si="1"/>
        <v>-73</v>
      </c>
      <c r="K22" s="5">
        <f t="shared" si="1"/>
        <v>-81</v>
      </c>
      <c r="L22" s="5">
        <f t="shared" si="1"/>
        <v>-95</v>
      </c>
      <c r="M22" s="5">
        <f t="shared" si="1"/>
        <v>0</v>
      </c>
      <c r="N22" s="5">
        <f t="shared" si="1"/>
        <v>0</v>
      </c>
      <c r="O22" s="5">
        <f t="shared" si="1"/>
        <v>0</v>
      </c>
      <c r="P22" s="5">
        <f t="shared" si="1"/>
        <v>0</v>
      </c>
      <c r="Q22" s="5">
        <f t="shared" si="0"/>
        <v>-452</v>
      </c>
    </row>
    <row r="23" spans="3:17" x14ac:dyDescent="0.35">
      <c r="D23" s="3" t="s">
        <v>43</v>
      </c>
      <c r="E23" s="9">
        <f>E21/E19</f>
        <v>0.96753246753246758</v>
      </c>
      <c r="F23" s="9">
        <f t="shared" ref="F23:P23" si="2">F20/F19</f>
        <v>0.98657357679914071</v>
      </c>
      <c r="G23" s="9">
        <f t="shared" si="2"/>
        <v>0.98027718550106613</v>
      </c>
      <c r="H23" s="9">
        <f t="shared" si="2"/>
        <v>0.97089947089947093</v>
      </c>
      <c r="I23" s="9">
        <f t="shared" si="2"/>
        <v>0.9642857142857143</v>
      </c>
      <c r="J23" s="9">
        <f t="shared" si="2"/>
        <v>0.96193952033368091</v>
      </c>
      <c r="K23" s="9">
        <f t="shared" si="2"/>
        <v>0.95807453416149069</v>
      </c>
      <c r="L23" s="9">
        <f t="shared" si="2"/>
        <v>0.95118191161356624</v>
      </c>
      <c r="M23" s="9">
        <f t="shared" si="2"/>
        <v>0</v>
      </c>
      <c r="N23" s="9">
        <f t="shared" si="2"/>
        <v>0</v>
      </c>
      <c r="O23" s="9">
        <f t="shared" si="2"/>
        <v>0</v>
      </c>
      <c r="P23" s="9">
        <f t="shared" si="2"/>
        <v>0</v>
      </c>
    </row>
    <row r="25" spans="3:17" x14ac:dyDescent="0.35">
      <c r="C25" s="7" t="s">
        <v>3</v>
      </c>
      <c r="E25" s="11">
        <f>E18</f>
        <v>45839</v>
      </c>
      <c r="F25" s="11">
        <f t="shared" ref="F25:P28" si="3">F18</f>
        <v>45870</v>
      </c>
      <c r="G25" s="11">
        <f t="shared" si="3"/>
        <v>45901</v>
      </c>
      <c r="H25" s="11">
        <f t="shared" si="3"/>
        <v>45931</v>
      </c>
      <c r="I25" s="11">
        <f t="shared" si="3"/>
        <v>45962</v>
      </c>
      <c r="J25" s="11">
        <f t="shared" si="3"/>
        <v>45992</v>
      </c>
      <c r="K25" s="11">
        <f t="shared" si="3"/>
        <v>46023</v>
      </c>
      <c r="L25" s="11">
        <f t="shared" si="3"/>
        <v>46054</v>
      </c>
      <c r="M25" s="11">
        <f t="shared" si="3"/>
        <v>46082</v>
      </c>
      <c r="N25" s="11">
        <f t="shared" si="3"/>
        <v>46113</v>
      </c>
      <c r="O25" s="11">
        <f t="shared" si="3"/>
        <v>46143</v>
      </c>
      <c r="P25" s="11">
        <f t="shared" si="3"/>
        <v>46174</v>
      </c>
    </row>
    <row r="26" spans="3:17" x14ac:dyDescent="0.35">
      <c r="D26" s="3" t="str">
        <f>D19</f>
        <v>Budget 2025-26</v>
      </c>
      <c r="E26" s="5">
        <f>E19</f>
        <v>1848</v>
      </c>
      <c r="F26" s="5">
        <f t="shared" si="3"/>
        <v>1862</v>
      </c>
      <c r="G26" s="5">
        <f t="shared" si="3"/>
        <v>1876</v>
      </c>
      <c r="H26" s="5">
        <f t="shared" si="3"/>
        <v>1890</v>
      </c>
      <c r="I26" s="5">
        <f t="shared" si="3"/>
        <v>1904</v>
      </c>
      <c r="J26" s="5">
        <f t="shared" si="3"/>
        <v>1918</v>
      </c>
      <c r="K26" s="5">
        <f t="shared" si="3"/>
        <v>1932</v>
      </c>
      <c r="L26" s="5">
        <f t="shared" si="3"/>
        <v>1946</v>
      </c>
      <c r="M26" s="5">
        <f t="shared" si="3"/>
        <v>1960</v>
      </c>
      <c r="N26" s="5">
        <f t="shared" si="3"/>
        <v>1974</v>
      </c>
      <c r="O26" s="5">
        <f t="shared" si="3"/>
        <v>1988</v>
      </c>
      <c r="P26" s="5">
        <f t="shared" si="3"/>
        <v>2002</v>
      </c>
    </row>
    <row r="27" spans="3:17" x14ac:dyDescent="0.35">
      <c r="D27" s="3" t="str">
        <f t="shared" ref="D27:E30" si="4">D20</f>
        <v>Actual 2025-26</v>
      </c>
      <c r="E27" s="5">
        <f t="shared" si="4"/>
        <v>1830</v>
      </c>
      <c r="F27" s="5">
        <f t="shared" si="3"/>
        <v>1837</v>
      </c>
      <c r="G27" s="5">
        <f t="shared" si="3"/>
        <v>1839</v>
      </c>
      <c r="H27" s="5">
        <f t="shared" si="3"/>
        <v>1835</v>
      </c>
      <c r="I27" s="5">
        <f t="shared" si="3"/>
        <v>1836</v>
      </c>
      <c r="J27" s="5">
        <f t="shared" si="3"/>
        <v>1845</v>
      </c>
      <c r="K27" s="5">
        <f t="shared" si="3"/>
        <v>1851</v>
      </c>
      <c r="L27" s="5">
        <f t="shared" si="3"/>
        <v>1851</v>
      </c>
      <c r="M27" s="5">
        <f t="shared" si="3"/>
        <v>0</v>
      </c>
      <c r="N27" s="5">
        <f t="shared" si="3"/>
        <v>0</v>
      </c>
      <c r="O27" s="5">
        <f t="shared" si="3"/>
        <v>0</v>
      </c>
      <c r="P27" s="5">
        <f t="shared" si="3"/>
        <v>0</v>
      </c>
    </row>
    <row r="28" spans="3:17" x14ac:dyDescent="0.35">
      <c r="D28" s="3" t="str">
        <f t="shared" si="4"/>
        <v>Actual 2024-25</v>
      </c>
      <c r="E28" s="5">
        <f t="shared" si="4"/>
        <v>1788</v>
      </c>
      <c r="F28" s="5">
        <f t="shared" si="3"/>
        <v>1797</v>
      </c>
      <c r="G28" s="5">
        <f t="shared" si="3"/>
        <v>1798</v>
      </c>
      <c r="H28" s="5">
        <f t="shared" si="3"/>
        <v>1799</v>
      </c>
      <c r="I28" s="5">
        <f t="shared" si="3"/>
        <v>1806</v>
      </c>
      <c r="J28" s="5">
        <f t="shared" si="3"/>
        <v>1805</v>
      </c>
      <c r="K28" s="5">
        <f t="shared" si="3"/>
        <v>1812</v>
      </c>
      <c r="L28" s="5">
        <f t="shared" si="3"/>
        <v>1821</v>
      </c>
      <c r="M28" s="5">
        <f t="shared" si="3"/>
        <v>1831</v>
      </c>
      <c r="N28" s="5">
        <f t="shared" si="3"/>
        <v>1835</v>
      </c>
      <c r="O28" s="5">
        <f t="shared" si="3"/>
        <v>1832</v>
      </c>
      <c r="P28" s="5">
        <f t="shared" si="3"/>
        <v>1833</v>
      </c>
    </row>
    <row r="29" spans="3:17" x14ac:dyDescent="0.35">
      <c r="D29" s="3" t="str">
        <f t="shared" si="4"/>
        <v>Difference</v>
      </c>
      <c r="E29" s="5">
        <f>SUM($E22:E22)</f>
        <v>-18</v>
      </c>
      <c r="F29" s="5">
        <f>SUM($E22:F22)</f>
        <v>-43</v>
      </c>
      <c r="G29" s="5">
        <f>SUM($E22:G22)</f>
        <v>-80</v>
      </c>
      <c r="H29" s="5">
        <f>SUM($E22:H22)</f>
        <v>-135</v>
      </c>
      <c r="I29" s="5">
        <f>SUM($E22:I22)</f>
        <v>-203</v>
      </c>
      <c r="J29" s="5">
        <f>SUM($E22:J22)</f>
        <v>-276</v>
      </c>
      <c r="K29" s="5">
        <f>SUM($E22:K22)</f>
        <v>-357</v>
      </c>
      <c r="L29" s="5">
        <f>SUM($E22:L22)</f>
        <v>-452</v>
      </c>
      <c r="M29" s="5">
        <f>SUM($E22:M22)</f>
        <v>-452</v>
      </c>
      <c r="N29" s="5">
        <f>SUM($E22:N22)</f>
        <v>-452</v>
      </c>
      <c r="O29" s="5">
        <f>SUM($E22:O22)</f>
        <v>-452</v>
      </c>
      <c r="P29" s="5">
        <f>SUM($E22:P22)</f>
        <v>-452</v>
      </c>
    </row>
    <row r="30" spans="3:17" x14ac:dyDescent="0.35">
      <c r="D30" s="3" t="str">
        <f t="shared" si="4"/>
        <v>Realisation</v>
      </c>
      <c r="E30" s="9">
        <f>E28/E26</f>
        <v>0.96753246753246758</v>
      </c>
      <c r="F30" s="9">
        <f t="shared" ref="F30:P30" si="5">F27/F26</f>
        <v>0.98657357679914071</v>
      </c>
      <c r="G30" s="9">
        <f t="shared" si="5"/>
        <v>0.98027718550106613</v>
      </c>
      <c r="H30" s="9">
        <f t="shared" si="5"/>
        <v>0.97089947089947093</v>
      </c>
      <c r="I30" s="9">
        <f t="shared" si="5"/>
        <v>0.9642857142857143</v>
      </c>
      <c r="J30" s="9">
        <f t="shared" si="5"/>
        <v>0.96193952033368091</v>
      </c>
      <c r="K30" s="9">
        <f t="shared" si="5"/>
        <v>0.95807453416149069</v>
      </c>
      <c r="L30" s="9">
        <f t="shared" si="5"/>
        <v>0.95118191161356624</v>
      </c>
      <c r="M30" s="9">
        <f t="shared" si="5"/>
        <v>0</v>
      </c>
      <c r="N30" s="9">
        <f t="shared" si="5"/>
        <v>0</v>
      </c>
      <c r="O30" s="9">
        <f t="shared" si="5"/>
        <v>0</v>
      </c>
      <c r="P30" s="9">
        <f t="shared" si="5"/>
        <v>0</v>
      </c>
    </row>
  </sheetData>
  <mergeCells count="2">
    <mergeCell ref="J4:Q8"/>
    <mergeCell ref="J10:Q15"/>
  </mergeCells>
  <conditionalFormatting sqref="C3">
    <cfRule type="expression" dxfId="287" priority="2">
      <formula>S4&lt;S6</formula>
    </cfRule>
  </conditionalFormatting>
  <conditionalFormatting sqref="C5">
    <cfRule type="expression" dxfId="286" priority="3">
      <formula>S4&gt;=S5</formula>
    </cfRule>
  </conditionalFormatting>
  <conditionalFormatting sqref="C4">
    <cfRule type="expression" dxfId="285" priority="1">
      <formula>AND(S4&gt;=S6,S4&lt;S5)</formula>
    </cfRule>
  </conditionalFormatting>
  <hyperlinks>
    <hyperlink ref="L1" location="Dashboard!A1" display="Dashboard"/>
  </hyperlinks>
  <pageMargins left="0.7" right="0.7" top="0.75" bottom="0.75" header="0.3" footer="0.3"/>
  <pageSetup orientation="portrait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16833" r:id="rId4" name="Spinner 1">
              <controlPr defaultSize="0" autoPict="0">
                <anchor moveWithCells="1" sizeWithCells="1">
                  <from>
                    <xdr:col>9</xdr:col>
                    <xdr:colOff>19050</xdr:colOff>
                    <xdr:row>0</xdr:row>
                    <xdr:rowOff>38100</xdr:rowOff>
                  </from>
                  <to>
                    <xdr:col>9</xdr:col>
                    <xdr:colOff>400050</xdr:colOff>
                    <xdr:row>1</xdr:row>
                    <xdr:rowOff>152400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10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82">
    <tabColor rgb="FFFFC000"/>
  </sheetPr>
  <dimension ref="A1:S30"/>
  <sheetViews>
    <sheetView zoomScale="90" zoomScaleNormal="90" workbookViewId="0">
      <selection activeCell="L1" sqref="L1"/>
    </sheetView>
  </sheetViews>
  <sheetFormatPr defaultColWidth="9.1796875" defaultRowHeight="14.5" x14ac:dyDescent="0.35"/>
  <cols>
    <col min="1" max="1" width="9.1796875" style="3"/>
    <col min="2" max="2" width="5.1796875" style="3" customWidth="1"/>
    <col min="3" max="3" width="6.26953125" style="3" customWidth="1"/>
    <col min="4" max="4" width="21.26953125" style="3" bestFit="1" customWidth="1"/>
    <col min="5" max="16" width="11.1796875" style="3" customWidth="1"/>
    <col min="17" max="17" width="12" style="3" bestFit="1" customWidth="1"/>
    <col min="18" max="18" width="9.1796875" style="3" customWidth="1"/>
    <col min="19" max="16384" width="9.1796875" style="3"/>
  </cols>
  <sheetData>
    <row r="1" spans="1:19" ht="21" x14ac:dyDescent="0.5">
      <c r="A1" s="4" t="s">
        <v>4</v>
      </c>
      <c r="B1" s="4">
        <f>Dashboard!A112</f>
        <v>5</v>
      </c>
      <c r="C1" s="4" t="str">
        <f>Dashboard!B112</f>
        <v>% ACTIVE CONNECTIONS</v>
      </c>
      <c r="D1" s="4"/>
      <c r="G1" s="3" t="s">
        <v>9</v>
      </c>
      <c r="I1" s="12">
        <f>INDEX($E$18:$P$18,Actual_month)</f>
        <v>46054</v>
      </c>
      <c r="L1" s="16" t="s">
        <v>19</v>
      </c>
      <c r="R1" s="5"/>
    </row>
    <row r="2" spans="1:19" x14ac:dyDescent="0.35">
      <c r="A2" s="3" t="s">
        <v>13</v>
      </c>
      <c r="C2" s="3" t="s">
        <v>27</v>
      </c>
      <c r="R2" s="6"/>
    </row>
    <row r="3" spans="1:19" ht="25.5" customHeight="1" thickBot="1" x14ac:dyDescent="0.4">
      <c r="C3" s="1" t="s">
        <v>5</v>
      </c>
      <c r="E3" s="10"/>
      <c r="F3" s="10"/>
      <c r="G3" s="10"/>
      <c r="H3" s="10"/>
      <c r="I3" s="10"/>
      <c r="J3" s="3" t="s">
        <v>6</v>
      </c>
      <c r="K3" s="10"/>
      <c r="M3" s="10"/>
      <c r="N3" s="10"/>
      <c r="O3" s="10"/>
      <c r="P3" s="10"/>
    </row>
    <row r="4" spans="1:19" ht="25.5" customHeight="1" x14ac:dyDescent="0.35">
      <c r="C4" s="1" t="s">
        <v>5</v>
      </c>
      <c r="E4" s="10"/>
      <c r="F4" s="10"/>
      <c r="G4" s="10"/>
      <c r="H4" s="10"/>
      <c r="I4" s="10"/>
      <c r="J4" s="401"/>
      <c r="K4" s="402"/>
      <c r="L4" s="402"/>
      <c r="M4" s="402"/>
      <c r="N4" s="402"/>
      <c r="O4" s="402"/>
      <c r="P4" s="402"/>
      <c r="Q4" s="403"/>
      <c r="R4" s="3" t="s">
        <v>22</v>
      </c>
      <c r="S4" s="5">
        <f>INDEX(E27:P27,Actual_month)</f>
        <v>0.84311299251058291</v>
      </c>
    </row>
    <row r="5" spans="1:19" ht="25.5" customHeight="1" x14ac:dyDescent="0.35">
      <c r="C5" s="1" t="s">
        <v>5</v>
      </c>
      <c r="E5" s="10"/>
      <c r="F5" s="10"/>
      <c r="G5" s="10"/>
      <c r="H5" s="10"/>
      <c r="I5" s="10"/>
      <c r="J5" s="404"/>
      <c r="K5" s="405"/>
      <c r="L5" s="405"/>
      <c r="M5" s="405"/>
      <c r="N5" s="405"/>
      <c r="O5" s="405"/>
      <c r="P5" s="405"/>
      <c r="Q5" s="406"/>
      <c r="R5" s="3" t="s">
        <v>23</v>
      </c>
      <c r="S5" s="5">
        <f>INDEX(E26:P26,Actual_month)</f>
        <v>0.85593220338983056</v>
      </c>
    </row>
    <row r="6" spans="1:19" x14ac:dyDescent="0.35">
      <c r="J6" s="404"/>
      <c r="K6" s="405"/>
      <c r="L6" s="405"/>
      <c r="M6" s="405"/>
      <c r="N6" s="405"/>
      <c r="O6" s="405"/>
      <c r="P6" s="405"/>
      <c r="Q6" s="406"/>
      <c r="R6" s="6">
        <v>0.9</v>
      </c>
      <c r="S6" s="5">
        <f>+S5*R6</f>
        <v>0.77033898305084747</v>
      </c>
    </row>
    <row r="7" spans="1:19" x14ac:dyDescent="0.35">
      <c r="J7" s="404"/>
      <c r="K7" s="405"/>
      <c r="L7" s="405"/>
      <c r="M7" s="405"/>
      <c r="N7" s="405"/>
      <c r="O7" s="405"/>
      <c r="P7" s="405"/>
      <c r="Q7" s="406"/>
    </row>
    <row r="8" spans="1:19" ht="15" thickBot="1" x14ac:dyDescent="0.4">
      <c r="J8" s="407"/>
      <c r="K8" s="408"/>
      <c r="L8" s="408"/>
      <c r="M8" s="408"/>
      <c r="N8" s="408"/>
      <c r="O8" s="408"/>
      <c r="P8" s="408"/>
      <c r="Q8" s="409"/>
    </row>
    <row r="9" spans="1:19" ht="15" thickBot="1" x14ac:dyDescent="0.4">
      <c r="J9" s="3" t="s">
        <v>12</v>
      </c>
    </row>
    <row r="10" spans="1:19" x14ac:dyDescent="0.35">
      <c r="J10" s="401"/>
      <c r="K10" s="402"/>
      <c r="L10" s="402"/>
      <c r="M10" s="402"/>
      <c r="N10" s="402"/>
      <c r="O10" s="402"/>
      <c r="P10" s="402"/>
      <c r="Q10" s="403"/>
    </row>
    <row r="11" spans="1:19" x14ac:dyDescent="0.35">
      <c r="J11" s="404"/>
      <c r="K11" s="405"/>
      <c r="L11" s="405"/>
      <c r="M11" s="405"/>
      <c r="N11" s="405"/>
      <c r="O11" s="405"/>
      <c r="P11" s="405"/>
      <c r="Q11" s="406"/>
    </row>
    <row r="12" spans="1:19" x14ac:dyDescent="0.35">
      <c r="J12" s="404"/>
      <c r="K12" s="405"/>
      <c r="L12" s="405"/>
      <c r="M12" s="405"/>
      <c r="N12" s="405"/>
      <c r="O12" s="405"/>
      <c r="P12" s="405"/>
      <c r="Q12" s="406"/>
    </row>
    <row r="13" spans="1:19" x14ac:dyDescent="0.35">
      <c r="J13" s="404"/>
      <c r="K13" s="405"/>
      <c r="L13" s="405"/>
      <c r="M13" s="405"/>
      <c r="N13" s="405"/>
      <c r="O13" s="405"/>
      <c r="P13" s="405"/>
      <c r="Q13" s="406"/>
    </row>
    <row r="14" spans="1:19" x14ac:dyDescent="0.35">
      <c r="J14" s="404"/>
      <c r="K14" s="405"/>
      <c r="L14" s="405"/>
      <c r="M14" s="405"/>
      <c r="N14" s="405"/>
      <c r="O14" s="405"/>
      <c r="P14" s="405"/>
      <c r="Q14" s="406"/>
    </row>
    <row r="15" spans="1:19" ht="15" thickBot="1" x14ac:dyDescent="0.4">
      <c r="J15" s="407"/>
      <c r="K15" s="408"/>
      <c r="L15" s="408"/>
      <c r="M15" s="408"/>
      <c r="N15" s="408"/>
      <c r="O15" s="408"/>
      <c r="P15" s="408"/>
      <c r="Q15" s="409"/>
    </row>
    <row r="18" spans="3:17" x14ac:dyDescent="0.35">
      <c r="C18" s="7" t="s">
        <v>8</v>
      </c>
      <c r="E18" s="11">
        <f>'KPI 1'!E18</f>
        <v>45839</v>
      </c>
      <c r="F18" s="11">
        <f>'KPI 1'!F18</f>
        <v>45870</v>
      </c>
      <c r="G18" s="11">
        <f>'KPI 1'!G18</f>
        <v>45901</v>
      </c>
      <c r="H18" s="11">
        <f>'KPI 1'!H18</f>
        <v>45931</v>
      </c>
      <c r="I18" s="11">
        <f>'KPI 1'!I18</f>
        <v>45962</v>
      </c>
      <c r="J18" s="11">
        <f>'KPI 1'!J18</f>
        <v>45992</v>
      </c>
      <c r="K18" s="11">
        <f>'KPI 1'!K18</f>
        <v>46023</v>
      </c>
      <c r="L18" s="11">
        <f>'KPI 1'!L18</f>
        <v>46054</v>
      </c>
      <c r="M18" s="11">
        <f>'KPI 1'!M18</f>
        <v>46082</v>
      </c>
      <c r="N18" s="11">
        <f>'KPI 1'!N18</f>
        <v>46113</v>
      </c>
      <c r="O18" s="11">
        <f>'KPI 1'!O18</f>
        <v>46143</v>
      </c>
      <c r="P18" s="11">
        <f>'KPI 1'!P18</f>
        <v>46174</v>
      </c>
      <c r="Q18" s="8" t="s">
        <v>0</v>
      </c>
    </row>
    <row r="19" spans="3:17" x14ac:dyDescent="0.35">
      <c r="D19" s="3" t="str">
        <f>'KPI 1'!D19</f>
        <v>Budget 2025-26</v>
      </c>
      <c r="E19" s="9">
        <f>'budget 2025-26'!D105</f>
        <v>0.84189859465417471</v>
      </c>
      <c r="F19" s="9">
        <f>'budget 2025-26'!E105</f>
        <v>0.84363289500579142</v>
      </c>
      <c r="G19" s="9">
        <f>'budget 2025-26'!F105</f>
        <v>0.8453504043126685</v>
      </c>
      <c r="H19" s="9">
        <f>'budget 2025-26'!G105</f>
        <v>0.84774099383002721</v>
      </c>
      <c r="I19" s="9">
        <f>'budget 2025-26'!H105</f>
        <v>0.8499607740585774</v>
      </c>
      <c r="J19" s="9">
        <f>'budget 2025-26'!I105</f>
        <v>0.85202140692501127</v>
      </c>
      <c r="K19" s="9">
        <f>'budget 2025-26'!J105</f>
        <v>0.8540726139759649</v>
      </c>
      <c r="L19" s="9">
        <f>'budget 2025-26'!K105</f>
        <v>0.85593220338983056</v>
      </c>
      <c r="M19" s="9">
        <f>'budget 2025-26'!L105</f>
        <v>0.85761260702320385</v>
      </c>
      <c r="N19" s="9">
        <f>'budget 2025-26'!M105</f>
        <v>0.85908141962421714</v>
      </c>
      <c r="O19" s="9">
        <f>'budget 2025-26'!N105</f>
        <v>0.86052023823994161</v>
      </c>
      <c r="P19" s="9">
        <f>'budget 2025-26'!O105</f>
        <v>0.86191335740072206</v>
      </c>
      <c r="Q19" s="5">
        <f>SUM(E19:P19)</f>
        <v>10.229737508440129</v>
      </c>
    </row>
    <row r="20" spans="3:17" x14ac:dyDescent="0.35">
      <c r="D20" s="3" t="str">
        <f>'KPI 1'!D20</f>
        <v>Actual 2025-26</v>
      </c>
      <c r="E20" s="9">
        <f>'Input Actual2025-26'!E108</f>
        <v>0.8387698686938494</v>
      </c>
      <c r="F20" s="9">
        <f>'Input Actual2025-26'!F108</f>
        <v>0.83770850423844678</v>
      </c>
      <c r="G20" s="9">
        <f>'Input Actual2025-26'!G108</f>
        <v>0.83927361431088221</v>
      </c>
      <c r="H20" s="9">
        <f>'Input Actual2025-26'!H108</f>
        <v>0.83875948177485404</v>
      </c>
      <c r="I20" s="9">
        <f>'Input Actual2025-26'!I108</f>
        <v>0.83899152938037747</v>
      </c>
      <c r="J20" s="9">
        <f>'Input Actual2025-26'!J108</f>
        <v>0.84014280047600154</v>
      </c>
      <c r="K20" s="9">
        <f>'Input Actual2025-26'!K108</f>
        <v>0.83980106014004319</v>
      </c>
      <c r="L20" s="9">
        <f>'Input Actual2025-26'!L108</f>
        <v>0.84311299251058291</v>
      </c>
      <c r="M20" s="9" t="e">
        <f>'Input Actual2025-26'!M108</f>
        <v>#DIV/0!</v>
      </c>
      <c r="N20" s="9" t="e">
        <f>'Input Actual2025-26'!N108</f>
        <v>#DIV/0!</v>
      </c>
      <c r="O20" s="9" t="e">
        <f>'Input Actual2025-26'!O108</f>
        <v>#DIV/0!</v>
      </c>
      <c r="P20" s="9" t="e">
        <f>'Input Actual2025-26'!P108</f>
        <v>#DIV/0!</v>
      </c>
      <c r="Q20" s="5" t="e">
        <f t="shared" ref="Q20:Q22" si="0">SUM(E20:P20)</f>
        <v>#DIV/0!</v>
      </c>
    </row>
    <row r="21" spans="3:17" x14ac:dyDescent="0.35">
      <c r="D21" s="3" t="s">
        <v>424</v>
      </c>
      <c r="E21" s="9">
        <f>'Input Actual2024-25'!E101</f>
        <v>0.8441616101820334</v>
      </c>
      <c r="F21" s="9">
        <f>'Input Actual2024-25'!F101</f>
        <v>0.84368324125230199</v>
      </c>
      <c r="G21" s="9">
        <f>'Input Actual2024-25'!G101</f>
        <v>0.84533960599823577</v>
      </c>
      <c r="H21" s="9">
        <f>'Input Actual2024-25'!H101</f>
        <v>0.84543050249779605</v>
      </c>
      <c r="I21" s="9">
        <f>'Input Actual2024-25'!I101</f>
        <v>0.84647485174610149</v>
      </c>
      <c r="J21" s="9">
        <f>'Input Actual2024-25'!J101</f>
        <v>0.84540217312039667</v>
      </c>
      <c r="K21" s="9">
        <f>'Input Actual2024-25'!K101</f>
        <v>0.83888206831804724</v>
      </c>
      <c r="L21" s="9">
        <f>'Input Actual2024-25'!L101</f>
        <v>0.84099878022529961</v>
      </c>
      <c r="M21" s="9">
        <f>'Input Actual2024-25'!M101</f>
        <v>0.84069535480193791</v>
      </c>
      <c r="N21" s="9">
        <f>'Input Actual2024-25'!N101</f>
        <v>0.83765501691093569</v>
      </c>
      <c r="O21" s="9">
        <f>'Input Actual2024-25'!O101</f>
        <v>0.84</v>
      </c>
      <c r="P21" s="9">
        <f>'Input Actual2024-25'!P101</f>
        <v>0.83906522497384028</v>
      </c>
      <c r="Q21" s="5">
        <f t="shared" si="0"/>
        <v>10.107788430026925</v>
      </c>
    </row>
    <row r="22" spans="3:17" x14ac:dyDescent="0.35">
      <c r="D22" s="3" t="s">
        <v>7</v>
      </c>
      <c r="E22" s="5">
        <f t="shared" ref="E22:P22" si="1">IF(E20=0,0,E20-E19)</f>
        <v>-3.1287259603253181E-3</v>
      </c>
      <c r="F22" s="5">
        <f t="shared" si="1"/>
        <v>-5.9243907673446339E-3</v>
      </c>
      <c r="G22" s="5">
        <f t="shared" si="1"/>
        <v>-6.0767900017862919E-3</v>
      </c>
      <c r="H22" s="5">
        <f t="shared" si="1"/>
        <v>-8.9815120551731686E-3</v>
      </c>
      <c r="I22" s="5">
        <f t="shared" si="1"/>
        <v>-1.096924467819993E-2</v>
      </c>
      <c r="J22" s="5">
        <f t="shared" si="1"/>
        <v>-1.1878606449009732E-2</v>
      </c>
      <c r="K22" s="5">
        <f t="shared" si="1"/>
        <v>-1.4271553835921713E-2</v>
      </c>
      <c r="L22" s="5">
        <f t="shared" si="1"/>
        <v>-1.2819210879247644E-2</v>
      </c>
      <c r="M22" s="5" t="e">
        <f t="shared" si="1"/>
        <v>#DIV/0!</v>
      </c>
      <c r="N22" s="5" t="e">
        <f t="shared" si="1"/>
        <v>#DIV/0!</v>
      </c>
      <c r="O22" s="5" t="e">
        <f t="shared" si="1"/>
        <v>#DIV/0!</v>
      </c>
      <c r="P22" s="5" t="e">
        <f t="shared" si="1"/>
        <v>#DIV/0!</v>
      </c>
      <c r="Q22" s="5" t="e">
        <f t="shared" si="0"/>
        <v>#DIV/0!</v>
      </c>
    </row>
    <row r="23" spans="3:17" x14ac:dyDescent="0.35">
      <c r="D23" s="3" t="s">
        <v>43</v>
      </c>
      <c r="E23" s="9">
        <f>E21/E19</f>
        <v>1.0026879906228947</v>
      </c>
      <c r="F23" s="9">
        <f t="shared" ref="F23:P23" si="2">F20/F19</f>
        <v>0.99297752517425963</v>
      </c>
      <c r="G23" s="9">
        <f t="shared" si="2"/>
        <v>0.99281151346141816</v>
      </c>
      <c r="H23" s="9">
        <f t="shared" si="2"/>
        <v>0.98940535833404086</v>
      </c>
      <c r="I23" s="9">
        <f t="shared" si="2"/>
        <v>0.9870944106916586</v>
      </c>
      <c r="J23" s="9">
        <f t="shared" si="2"/>
        <v>0.98605832394296267</v>
      </c>
      <c r="K23" s="9">
        <f t="shared" si="2"/>
        <v>0.98328999946563866</v>
      </c>
      <c r="L23" s="9">
        <f t="shared" si="2"/>
        <v>0.98502310016087902</v>
      </c>
      <c r="M23" s="9" t="e">
        <f t="shared" si="2"/>
        <v>#DIV/0!</v>
      </c>
      <c r="N23" s="9" t="e">
        <f t="shared" si="2"/>
        <v>#DIV/0!</v>
      </c>
      <c r="O23" s="9" t="e">
        <f t="shared" si="2"/>
        <v>#DIV/0!</v>
      </c>
      <c r="P23" s="9" t="e">
        <f t="shared" si="2"/>
        <v>#DIV/0!</v>
      </c>
    </row>
    <row r="25" spans="3:17" x14ac:dyDescent="0.35">
      <c r="C25" s="7" t="s">
        <v>3</v>
      </c>
      <c r="E25" s="11">
        <f>E18</f>
        <v>45839</v>
      </c>
      <c r="F25" s="11">
        <f t="shared" ref="F25:P28" si="3">F18</f>
        <v>45870</v>
      </c>
      <c r="G25" s="11">
        <f t="shared" si="3"/>
        <v>45901</v>
      </c>
      <c r="H25" s="11">
        <f t="shared" si="3"/>
        <v>45931</v>
      </c>
      <c r="I25" s="11">
        <f t="shared" si="3"/>
        <v>45962</v>
      </c>
      <c r="J25" s="11">
        <f t="shared" si="3"/>
        <v>45992</v>
      </c>
      <c r="K25" s="11">
        <f t="shared" si="3"/>
        <v>46023</v>
      </c>
      <c r="L25" s="11">
        <f t="shared" si="3"/>
        <v>46054</v>
      </c>
      <c r="M25" s="11">
        <f t="shared" si="3"/>
        <v>46082</v>
      </c>
      <c r="N25" s="11">
        <f t="shared" si="3"/>
        <v>46113</v>
      </c>
      <c r="O25" s="11">
        <f t="shared" si="3"/>
        <v>46143</v>
      </c>
      <c r="P25" s="11">
        <f t="shared" si="3"/>
        <v>46174</v>
      </c>
    </row>
    <row r="26" spans="3:17" x14ac:dyDescent="0.35">
      <c r="D26" s="3" t="str">
        <f>D19</f>
        <v>Budget 2025-26</v>
      </c>
      <c r="E26" s="9">
        <f>E19</f>
        <v>0.84189859465417471</v>
      </c>
      <c r="F26" s="9">
        <f t="shared" si="3"/>
        <v>0.84363289500579142</v>
      </c>
      <c r="G26" s="9">
        <f t="shared" si="3"/>
        <v>0.8453504043126685</v>
      </c>
      <c r="H26" s="9">
        <f t="shared" si="3"/>
        <v>0.84774099383002721</v>
      </c>
      <c r="I26" s="9">
        <f t="shared" si="3"/>
        <v>0.8499607740585774</v>
      </c>
      <c r="J26" s="9">
        <f t="shared" si="3"/>
        <v>0.85202140692501127</v>
      </c>
      <c r="K26" s="9">
        <f t="shared" si="3"/>
        <v>0.8540726139759649</v>
      </c>
      <c r="L26" s="9">
        <f t="shared" si="3"/>
        <v>0.85593220338983056</v>
      </c>
      <c r="M26" s="9">
        <f t="shared" si="3"/>
        <v>0.85761260702320385</v>
      </c>
      <c r="N26" s="9">
        <f t="shared" si="3"/>
        <v>0.85908141962421714</v>
      </c>
      <c r="O26" s="9">
        <f t="shared" si="3"/>
        <v>0.86052023823994161</v>
      </c>
      <c r="P26" s="9">
        <f t="shared" si="3"/>
        <v>0.86191335740072206</v>
      </c>
    </row>
    <row r="27" spans="3:17" x14ac:dyDescent="0.35">
      <c r="D27" s="3" t="str">
        <f t="shared" ref="D27:E30" si="4">D20</f>
        <v>Actual 2025-26</v>
      </c>
      <c r="E27" s="9">
        <f t="shared" si="4"/>
        <v>0.8387698686938494</v>
      </c>
      <c r="F27" s="9">
        <f t="shared" si="3"/>
        <v>0.83770850423844678</v>
      </c>
      <c r="G27" s="9">
        <f t="shared" si="3"/>
        <v>0.83927361431088221</v>
      </c>
      <c r="H27" s="9">
        <f t="shared" si="3"/>
        <v>0.83875948177485404</v>
      </c>
      <c r="I27" s="9">
        <f t="shared" si="3"/>
        <v>0.83899152938037747</v>
      </c>
      <c r="J27" s="9">
        <f t="shared" si="3"/>
        <v>0.84014280047600154</v>
      </c>
      <c r="K27" s="9">
        <f t="shared" si="3"/>
        <v>0.83980106014004319</v>
      </c>
      <c r="L27" s="9">
        <f t="shared" si="3"/>
        <v>0.84311299251058291</v>
      </c>
      <c r="M27" s="9" t="e">
        <f t="shared" si="3"/>
        <v>#DIV/0!</v>
      </c>
      <c r="N27" s="9" t="e">
        <f t="shared" si="3"/>
        <v>#DIV/0!</v>
      </c>
      <c r="O27" s="9" t="e">
        <f t="shared" si="3"/>
        <v>#DIV/0!</v>
      </c>
      <c r="P27" s="9" t="e">
        <f t="shared" si="3"/>
        <v>#DIV/0!</v>
      </c>
    </row>
    <row r="28" spans="3:17" x14ac:dyDescent="0.35">
      <c r="D28" s="3" t="str">
        <f t="shared" si="4"/>
        <v>Actual 2024-25</v>
      </c>
      <c r="E28" s="9">
        <f t="shared" si="4"/>
        <v>0.8441616101820334</v>
      </c>
      <c r="F28" s="9">
        <f t="shared" si="3"/>
        <v>0.84368324125230199</v>
      </c>
      <c r="G28" s="9">
        <f t="shared" si="3"/>
        <v>0.84533960599823577</v>
      </c>
      <c r="H28" s="9">
        <f t="shared" si="3"/>
        <v>0.84543050249779605</v>
      </c>
      <c r="I28" s="9">
        <f t="shared" si="3"/>
        <v>0.84647485174610149</v>
      </c>
      <c r="J28" s="9">
        <f t="shared" si="3"/>
        <v>0.84540217312039667</v>
      </c>
      <c r="K28" s="9">
        <f t="shared" si="3"/>
        <v>0.83888206831804724</v>
      </c>
      <c r="L28" s="9">
        <f t="shared" si="3"/>
        <v>0.84099878022529961</v>
      </c>
      <c r="M28" s="9">
        <f t="shared" si="3"/>
        <v>0.84069535480193791</v>
      </c>
      <c r="N28" s="9">
        <f t="shared" si="3"/>
        <v>0.83765501691093569</v>
      </c>
      <c r="O28" s="9">
        <f t="shared" si="3"/>
        <v>0.84</v>
      </c>
      <c r="P28" s="9">
        <f t="shared" si="3"/>
        <v>0.83906522497384028</v>
      </c>
    </row>
    <row r="29" spans="3:17" x14ac:dyDescent="0.35">
      <c r="D29" s="3" t="str">
        <f t="shared" si="4"/>
        <v>Difference</v>
      </c>
      <c r="E29" s="5">
        <f>SUM($E22:E22)</f>
        <v>-3.1287259603253181E-3</v>
      </c>
      <c r="F29" s="5">
        <f>SUM($E22:F22)</f>
        <v>-9.053116727669952E-3</v>
      </c>
      <c r="G29" s="5">
        <f>SUM($E22:G22)</f>
        <v>-1.5129906729456244E-2</v>
      </c>
      <c r="H29" s="5">
        <f>SUM($E22:H22)</f>
        <v>-2.4111418784629413E-2</v>
      </c>
      <c r="I29" s="5">
        <f>SUM($E22:I22)</f>
        <v>-3.5080663462829342E-2</v>
      </c>
      <c r="J29" s="5">
        <f>SUM($E22:J22)</f>
        <v>-4.6959269911839074E-2</v>
      </c>
      <c r="K29" s="5">
        <f>SUM($E22:K22)</f>
        <v>-6.1230823747760788E-2</v>
      </c>
      <c r="L29" s="5">
        <f>SUM($E22:L22)</f>
        <v>-7.4050034627008432E-2</v>
      </c>
      <c r="M29" s="5" t="e">
        <f>SUM($E22:M22)</f>
        <v>#DIV/0!</v>
      </c>
      <c r="N29" s="5" t="e">
        <f>SUM($E22:N22)</f>
        <v>#DIV/0!</v>
      </c>
      <c r="O29" s="5" t="e">
        <f>SUM($E22:O22)</f>
        <v>#DIV/0!</v>
      </c>
      <c r="P29" s="5" t="e">
        <f>SUM($E22:P22)</f>
        <v>#DIV/0!</v>
      </c>
    </row>
    <row r="30" spans="3:17" x14ac:dyDescent="0.35">
      <c r="D30" s="3" t="str">
        <f t="shared" si="4"/>
        <v>Realisation</v>
      </c>
      <c r="E30" s="9">
        <f>E28/E26</f>
        <v>1.0026879906228947</v>
      </c>
      <c r="F30" s="9">
        <f t="shared" ref="F30:P30" si="5">F27/F26</f>
        <v>0.99297752517425963</v>
      </c>
      <c r="G30" s="9">
        <f t="shared" si="5"/>
        <v>0.99281151346141816</v>
      </c>
      <c r="H30" s="9">
        <f t="shared" si="5"/>
        <v>0.98940535833404086</v>
      </c>
      <c r="I30" s="9">
        <f t="shared" si="5"/>
        <v>0.9870944106916586</v>
      </c>
      <c r="J30" s="9">
        <f t="shared" si="5"/>
        <v>0.98605832394296267</v>
      </c>
      <c r="K30" s="9">
        <f t="shared" si="5"/>
        <v>0.98328999946563866</v>
      </c>
      <c r="L30" s="9">
        <f t="shared" si="5"/>
        <v>0.98502310016087902</v>
      </c>
      <c r="M30" s="9" t="e">
        <f t="shared" si="5"/>
        <v>#DIV/0!</v>
      </c>
      <c r="N30" s="9" t="e">
        <f t="shared" si="5"/>
        <v>#DIV/0!</v>
      </c>
      <c r="O30" s="9" t="e">
        <f t="shared" si="5"/>
        <v>#DIV/0!</v>
      </c>
      <c r="P30" s="9" t="e">
        <f t="shared" si="5"/>
        <v>#DIV/0!</v>
      </c>
    </row>
  </sheetData>
  <mergeCells count="2">
    <mergeCell ref="J4:Q8"/>
    <mergeCell ref="J10:Q15"/>
  </mergeCells>
  <conditionalFormatting sqref="C3">
    <cfRule type="expression" dxfId="284" priority="2">
      <formula>S4&lt;S6</formula>
    </cfRule>
  </conditionalFormatting>
  <conditionalFormatting sqref="C5">
    <cfRule type="expression" dxfId="283" priority="3">
      <formula>S4&gt;=S5</formula>
    </cfRule>
  </conditionalFormatting>
  <conditionalFormatting sqref="C4">
    <cfRule type="expression" dxfId="282" priority="1">
      <formula>AND(S4&gt;=S6,S4&lt;S5)</formula>
    </cfRule>
  </conditionalFormatting>
  <hyperlinks>
    <hyperlink ref="L1" location="Dashboard!A1" display="Dashboard"/>
  </hyperlinks>
  <pageMargins left="0.7" right="0.7" top="0.75" bottom="0.75" header="0.3" footer="0.3"/>
  <pageSetup orientation="portrait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17857" r:id="rId4" name="Spinner 1">
              <controlPr defaultSize="0" autoPict="0">
                <anchor moveWithCells="1" sizeWithCells="1">
                  <from>
                    <xdr:col>9</xdr:col>
                    <xdr:colOff>19050</xdr:colOff>
                    <xdr:row>0</xdr:row>
                    <xdr:rowOff>38100</xdr:rowOff>
                  </from>
                  <to>
                    <xdr:col>9</xdr:col>
                    <xdr:colOff>400050</xdr:colOff>
                    <xdr:row>1</xdr:row>
                    <xdr:rowOff>152400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10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83">
    <tabColor rgb="FFFFC000"/>
  </sheetPr>
  <dimension ref="A1:S30"/>
  <sheetViews>
    <sheetView zoomScale="90" zoomScaleNormal="90" workbookViewId="0">
      <selection activeCell="L1" sqref="L1"/>
    </sheetView>
  </sheetViews>
  <sheetFormatPr defaultColWidth="9.1796875" defaultRowHeight="14.5" x14ac:dyDescent="0.35"/>
  <cols>
    <col min="1" max="1" width="9.1796875" style="3"/>
    <col min="2" max="2" width="5.1796875" style="3" customWidth="1"/>
    <col min="3" max="3" width="6.26953125" style="3" customWidth="1"/>
    <col min="4" max="4" width="21.26953125" style="3" bestFit="1" customWidth="1"/>
    <col min="5" max="16" width="11.1796875" style="3" customWidth="1"/>
    <col min="17" max="17" width="12" style="3" bestFit="1" customWidth="1"/>
    <col min="18" max="18" width="9.1796875" style="3" customWidth="1"/>
    <col min="19" max="16384" width="9.1796875" style="3"/>
  </cols>
  <sheetData>
    <row r="1" spans="1:19" ht="21" x14ac:dyDescent="0.5">
      <c r="A1" s="4" t="s">
        <v>4</v>
      </c>
      <c r="B1" s="4">
        <f>Dashboard!A114</f>
        <v>1</v>
      </c>
      <c r="C1" s="4" t="str">
        <f>Dashboard!B114</f>
        <v>CBD - WATER(M3)</v>
      </c>
      <c r="D1" s="4"/>
      <c r="G1" s="3" t="s">
        <v>9</v>
      </c>
      <c r="I1" s="12">
        <f>INDEX($E$18:$P$18,Actual_month)</f>
        <v>46054</v>
      </c>
      <c r="L1" s="16" t="s">
        <v>19</v>
      </c>
      <c r="R1" s="5"/>
    </row>
    <row r="2" spans="1:19" x14ac:dyDescent="0.35">
      <c r="A2" s="3" t="s">
        <v>13</v>
      </c>
      <c r="C2" s="3" t="s">
        <v>27</v>
      </c>
      <c r="R2" s="6"/>
    </row>
    <row r="3" spans="1:19" ht="25.5" customHeight="1" thickBot="1" x14ac:dyDescent="0.4">
      <c r="C3" s="1" t="s">
        <v>5</v>
      </c>
      <c r="E3" s="10"/>
      <c r="F3" s="10"/>
      <c r="G3" s="10"/>
      <c r="H3" s="10"/>
      <c r="I3" s="10"/>
      <c r="J3" s="3" t="s">
        <v>6</v>
      </c>
      <c r="K3" s="10"/>
      <c r="M3" s="10"/>
      <c r="N3" s="10"/>
      <c r="O3" s="10"/>
      <c r="P3" s="10"/>
    </row>
    <row r="4" spans="1:19" ht="25.5" customHeight="1" x14ac:dyDescent="0.35">
      <c r="C4" s="1" t="s">
        <v>5</v>
      </c>
      <c r="E4" s="10"/>
      <c r="F4" s="10"/>
      <c r="G4" s="10"/>
      <c r="H4" s="10"/>
      <c r="I4" s="10"/>
      <c r="J4" s="401"/>
      <c r="K4" s="402"/>
      <c r="L4" s="402"/>
      <c r="M4" s="402"/>
      <c r="N4" s="402"/>
      <c r="O4" s="402"/>
      <c r="P4" s="402"/>
      <c r="Q4" s="403"/>
      <c r="R4" s="3" t="s">
        <v>22</v>
      </c>
      <c r="S4" s="5">
        <f>INDEX(E27:P27,Actual_month)</f>
        <v>125957</v>
      </c>
    </row>
    <row r="5" spans="1:19" ht="25.5" customHeight="1" x14ac:dyDescent="0.35">
      <c r="C5" s="1" t="s">
        <v>5</v>
      </c>
      <c r="E5" s="10"/>
      <c r="F5" s="10"/>
      <c r="G5" s="10"/>
      <c r="H5" s="10"/>
      <c r="I5" s="10"/>
      <c r="J5" s="404"/>
      <c r="K5" s="405"/>
      <c r="L5" s="405"/>
      <c r="M5" s="405"/>
      <c r="N5" s="405"/>
      <c r="O5" s="405"/>
      <c r="P5" s="405"/>
      <c r="Q5" s="406"/>
      <c r="R5" s="3" t="s">
        <v>23</v>
      </c>
      <c r="S5" s="5">
        <f>INDEX(E26:P26,Actual_month)</f>
        <v>129411.97896950578</v>
      </c>
    </row>
    <row r="6" spans="1:19" x14ac:dyDescent="0.35">
      <c r="J6" s="404"/>
      <c r="K6" s="405"/>
      <c r="L6" s="405"/>
      <c r="M6" s="405"/>
      <c r="N6" s="405"/>
      <c r="O6" s="405"/>
      <c r="P6" s="405"/>
      <c r="Q6" s="406"/>
      <c r="R6" s="6">
        <v>0.9</v>
      </c>
      <c r="S6" s="5">
        <f>+S5*R6</f>
        <v>116470.78107255521</v>
      </c>
    </row>
    <row r="7" spans="1:19" x14ac:dyDescent="0.35">
      <c r="J7" s="404"/>
      <c r="K7" s="405"/>
      <c r="L7" s="405"/>
      <c r="M7" s="405"/>
      <c r="N7" s="405"/>
      <c r="O7" s="405"/>
      <c r="P7" s="405"/>
      <c r="Q7" s="406"/>
    </row>
    <row r="8" spans="1:19" ht="15" thickBot="1" x14ac:dyDescent="0.4">
      <c r="J8" s="407"/>
      <c r="K8" s="408"/>
      <c r="L8" s="408"/>
      <c r="M8" s="408"/>
      <c r="N8" s="408"/>
      <c r="O8" s="408"/>
      <c r="P8" s="408"/>
      <c r="Q8" s="409"/>
    </row>
    <row r="9" spans="1:19" ht="15" thickBot="1" x14ac:dyDescent="0.4">
      <c r="J9" s="3" t="s">
        <v>12</v>
      </c>
    </row>
    <row r="10" spans="1:19" x14ac:dyDescent="0.35">
      <c r="J10" s="401"/>
      <c r="K10" s="402"/>
      <c r="L10" s="402"/>
      <c r="M10" s="402"/>
      <c r="N10" s="402"/>
      <c r="O10" s="402"/>
      <c r="P10" s="402"/>
      <c r="Q10" s="403"/>
    </row>
    <row r="11" spans="1:19" x14ac:dyDescent="0.35">
      <c r="J11" s="404"/>
      <c r="K11" s="405"/>
      <c r="L11" s="405"/>
      <c r="M11" s="405"/>
      <c r="N11" s="405"/>
      <c r="O11" s="405"/>
      <c r="P11" s="405"/>
      <c r="Q11" s="406"/>
    </row>
    <row r="12" spans="1:19" x14ac:dyDescent="0.35">
      <c r="J12" s="404"/>
      <c r="K12" s="405"/>
      <c r="L12" s="405"/>
      <c r="M12" s="405"/>
      <c r="N12" s="405"/>
      <c r="O12" s="405"/>
      <c r="P12" s="405"/>
      <c r="Q12" s="406"/>
    </row>
    <row r="13" spans="1:19" x14ac:dyDescent="0.35">
      <c r="J13" s="404"/>
      <c r="K13" s="405"/>
      <c r="L13" s="405"/>
      <c r="M13" s="405"/>
      <c r="N13" s="405"/>
      <c r="O13" s="405"/>
      <c r="P13" s="405"/>
      <c r="Q13" s="406"/>
    </row>
    <row r="14" spans="1:19" x14ac:dyDescent="0.35">
      <c r="J14" s="404"/>
      <c r="K14" s="405"/>
      <c r="L14" s="405"/>
      <c r="M14" s="405"/>
      <c r="N14" s="405"/>
      <c r="O14" s="405"/>
      <c r="P14" s="405"/>
      <c r="Q14" s="406"/>
    </row>
    <row r="15" spans="1:19" ht="15" thickBot="1" x14ac:dyDescent="0.4">
      <c r="J15" s="407"/>
      <c r="K15" s="408"/>
      <c r="L15" s="408"/>
      <c r="M15" s="408"/>
      <c r="N15" s="408"/>
      <c r="O15" s="408"/>
      <c r="P15" s="408"/>
      <c r="Q15" s="409"/>
    </row>
    <row r="18" spans="3:17" x14ac:dyDescent="0.35">
      <c r="C18" s="7" t="s">
        <v>8</v>
      </c>
      <c r="E18" s="11">
        <f>'KPI 1'!E18</f>
        <v>45839</v>
      </c>
      <c r="F18" s="11">
        <f>'KPI 1'!F18</f>
        <v>45870</v>
      </c>
      <c r="G18" s="11">
        <f>'KPI 1'!G18</f>
        <v>45901</v>
      </c>
      <c r="H18" s="11">
        <f>'KPI 1'!H18</f>
        <v>45931</v>
      </c>
      <c r="I18" s="11">
        <f>'KPI 1'!I18</f>
        <v>45962</v>
      </c>
      <c r="J18" s="11">
        <f>'KPI 1'!J18</f>
        <v>45992</v>
      </c>
      <c r="K18" s="11">
        <f>'KPI 1'!K18</f>
        <v>46023</v>
      </c>
      <c r="L18" s="11">
        <f>'KPI 1'!L18</f>
        <v>46054</v>
      </c>
      <c r="M18" s="11">
        <f>'KPI 1'!M18</f>
        <v>46082</v>
      </c>
      <c r="N18" s="11">
        <f>'KPI 1'!N18</f>
        <v>46113</v>
      </c>
      <c r="O18" s="11">
        <f>'KPI 1'!O18</f>
        <v>46143</v>
      </c>
      <c r="P18" s="11">
        <f>'KPI 1'!P18</f>
        <v>46174</v>
      </c>
      <c r="Q18" s="8" t="s">
        <v>0</v>
      </c>
    </row>
    <row r="19" spans="3:17" x14ac:dyDescent="0.35">
      <c r="D19" s="3" t="str">
        <f>'KPI 1'!D19</f>
        <v>Budget 2025-26</v>
      </c>
      <c r="E19" s="49">
        <f>'budget 2025-26'!D107</f>
        <v>16134.369786189976</v>
      </c>
      <c r="F19" s="49">
        <f>'budget 2025-26'!E107</f>
        <v>16146.406239046619</v>
      </c>
      <c r="G19" s="49">
        <f>'budget 2025-26'!F107</f>
        <v>16158.442691903261</v>
      </c>
      <c r="H19" s="49">
        <f>'budget 2025-26'!G107</f>
        <v>16170.479144759904</v>
      </c>
      <c r="I19" s="49">
        <f>'budget 2025-26'!H107</f>
        <v>16182.515597616546</v>
      </c>
      <c r="J19" s="49">
        <f>'budget 2025-26'!I107</f>
        <v>16194.552050473189</v>
      </c>
      <c r="K19" s="49">
        <f>'budget 2025-26'!J107</f>
        <v>16206.588503329831</v>
      </c>
      <c r="L19" s="49">
        <f>'budget 2025-26'!K107</f>
        <v>16218.62495618647</v>
      </c>
      <c r="M19" s="49">
        <f>'budget 2025-26'!L107</f>
        <v>16230.661409043112</v>
      </c>
      <c r="N19" s="49">
        <f>'budget 2025-26'!M107</f>
        <v>16242.697861899755</v>
      </c>
      <c r="O19" s="49">
        <f>'budget 2025-26'!N107</f>
        <v>16254.734314756397</v>
      </c>
      <c r="P19" s="49">
        <f>'budget 2025-26'!O107</f>
        <v>16266.770767613039</v>
      </c>
      <c r="Q19" s="5">
        <f>SUM(E19:P19)</f>
        <v>194406.84332281814</v>
      </c>
    </row>
    <row r="20" spans="3:17" x14ac:dyDescent="0.35">
      <c r="D20" s="3" t="str">
        <f>'KPI 1'!D20</f>
        <v>Actual 2025-26</v>
      </c>
      <c r="E20" s="49">
        <f>'Input Actual2025-26'!E110</f>
        <v>12992</v>
      </c>
      <c r="F20" s="49">
        <f>'Input Actual2025-26'!F110</f>
        <v>17788</v>
      </c>
      <c r="G20" s="49">
        <f>'Input Actual2025-26'!G110</f>
        <v>16452</v>
      </c>
      <c r="H20" s="49">
        <f>'Input Actual2025-26'!H110</f>
        <v>16186</v>
      </c>
      <c r="I20" s="49">
        <f>'Input Actual2025-26'!I110</f>
        <v>13605</v>
      </c>
      <c r="J20" s="49">
        <f>'Input Actual2025-26'!J110</f>
        <v>12217</v>
      </c>
      <c r="K20" s="49">
        <f>'Input Actual2025-26'!K110</f>
        <v>20906</v>
      </c>
      <c r="L20" s="49">
        <f>'Input Actual2025-26'!L110</f>
        <v>15811</v>
      </c>
      <c r="M20" s="49">
        <f>'Input Actual2025-26'!M110</f>
        <v>0</v>
      </c>
      <c r="N20" s="49">
        <f>'Input Actual2025-26'!N110</f>
        <v>0</v>
      </c>
      <c r="O20" s="49">
        <f>'Input Actual2025-26'!O110</f>
        <v>0</v>
      </c>
      <c r="P20" s="49">
        <f>'Input Actual2025-26'!P110</f>
        <v>0</v>
      </c>
      <c r="Q20" s="5">
        <f t="shared" ref="Q20:Q22" si="0">SUM(E20:P20)</f>
        <v>125957</v>
      </c>
    </row>
    <row r="21" spans="3:17" x14ac:dyDescent="0.35">
      <c r="D21" s="3" t="s">
        <v>424</v>
      </c>
      <c r="E21" s="49">
        <f>'Input Actual2024-25'!E103</f>
        <v>15333</v>
      </c>
      <c r="F21" s="49">
        <f>'Input Actual2024-25'!F103</f>
        <v>18128</v>
      </c>
      <c r="G21" s="49">
        <f>'Input Actual2024-25'!G103</f>
        <v>15348</v>
      </c>
      <c r="H21" s="49">
        <f>'Input Actual2024-25'!H103</f>
        <v>17288</v>
      </c>
      <c r="I21" s="49">
        <f>'Input Actual2024-25'!I103</f>
        <v>16464</v>
      </c>
      <c r="J21" s="49">
        <f>'Input Actual2024-25'!J103</f>
        <v>11402</v>
      </c>
      <c r="K21" s="49">
        <f>'Input Actual2024-25'!K103</f>
        <v>21639</v>
      </c>
      <c r="L21" s="49">
        <f>'Input Actual2024-25'!L103</f>
        <v>16771</v>
      </c>
      <c r="M21" s="49">
        <f>'Input Actual2024-25'!M103</f>
        <v>16898</v>
      </c>
      <c r="N21" s="49">
        <f>'Input Actual2024-25'!N103</f>
        <v>14822</v>
      </c>
      <c r="O21" s="49">
        <f>'Input Actual2024-25'!O103</f>
        <v>15647</v>
      </c>
      <c r="P21" s="49">
        <f>'Input Actual2024-25'!P103</f>
        <v>15127</v>
      </c>
      <c r="Q21" s="5">
        <f t="shared" si="0"/>
        <v>194867</v>
      </c>
    </row>
    <row r="22" spans="3:17" x14ac:dyDescent="0.35">
      <c r="D22" s="3" t="s">
        <v>7</v>
      </c>
      <c r="E22" s="5">
        <f t="shared" ref="E22:P22" si="1">IF(E20=0,0,E20-E19)</f>
        <v>-3142.3697861899764</v>
      </c>
      <c r="F22" s="5">
        <f t="shared" si="1"/>
        <v>1641.5937609533812</v>
      </c>
      <c r="G22" s="5">
        <f t="shared" si="1"/>
        <v>293.55730809673878</v>
      </c>
      <c r="H22" s="5">
        <f t="shared" si="1"/>
        <v>15.520855240096353</v>
      </c>
      <c r="I22" s="5">
        <f t="shared" si="1"/>
        <v>-2577.5155976165461</v>
      </c>
      <c r="J22" s="5">
        <f t="shared" si="1"/>
        <v>-3977.5520504731885</v>
      </c>
      <c r="K22" s="5">
        <f t="shared" si="1"/>
        <v>4699.4114966701691</v>
      </c>
      <c r="L22" s="5">
        <f t="shared" si="1"/>
        <v>-407.62495618646972</v>
      </c>
      <c r="M22" s="5">
        <f t="shared" si="1"/>
        <v>0</v>
      </c>
      <c r="N22" s="5">
        <f t="shared" si="1"/>
        <v>0</v>
      </c>
      <c r="O22" s="5">
        <f t="shared" si="1"/>
        <v>0</v>
      </c>
      <c r="P22" s="5">
        <f t="shared" si="1"/>
        <v>0</v>
      </c>
      <c r="Q22" s="5">
        <f t="shared" si="0"/>
        <v>-3454.9789695057952</v>
      </c>
    </row>
    <row r="23" spans="3:17" x14ac:dyDescent="0.35">
      <c r="D23" s="3" t="s">
        <v>43</v>
      </c>
      <c r="E23" s="9">
        <f>E21/E19</f>
        <v>0.9503315098879227</v>
      </c>
      <c r="F23" s="9">
        <f t="shared" ref="F23:P23" si="2">F20/F19</f>
        <v>1.101669296352989</v>
      </c>
      <c r="G23" s="9">
        <f t="shared" si="2"/>
        <v>1.0181674257658404</v>
      </c>
      <c r="H23" s="9">
        <f t="shared" si="2"/>
        <v>1.0009598265519006</v>
      </c>
      <c r="I23" s="9">
        <f t="shared" si="2"/>
        <v>0.84072219290824124</v>
      </c>
      <c r="J23" s="9">
        <f t="shared" si="2"/>
        <v>0.75438949851305281</v>
      </c>
      <c r="K23" s="9">
        <f t="shared" si="2"/>
        <v>1.289969199606976</v>
      </c>
      <c r="L23" s="9">
        <f t="shared" si="2"/>
        <v>0.97486686095229147</v>
      </c>
      <c r="M23" s="9">
        <f t="shared" si="2"/>
        <v>0</v>
      </c>
      <c r="N23" s="9">
        <f t="shared" si="2"/>
        <v>0</v>
      </c>
      <c r="O23" s="9">
        <f t="shared" si="2"/>
        <v>0</v>
      </c>
      <c r="P23" s="9">
        <f t="shared" si="2"/>
        <v>0</v>
      </c>
    </row>
    <row r="25" spans="3:17" x14ac:dyDescent="0.35">
      <c r="C25" s="7" t="s">
        <v>3</v>
      </c>
      <c r="E25" s="11">
        <f>E18</f>
        <v>45839</v>
      </c>
      <c r="F25" s="11">
        <f t="shared" ref="F25:P25" si="3">F18</f>
        <v>45870</v>
      </c>
      <c r="G25" s="11">
        <f t="shared" si="3"/>
        <v>45901</v>
      </c>
      <c r="H25" s="11">
        <f t="shared" si="3"/>
        <v>45931</v>
      </c>
      <c r="I25" s="11">
        <f t="shared" si="3"/>
        <v>45962</v>
      </c>
      <c r="J25" s="11">
        <f t="shared" si="3"/>
        <v>45992</v>
      </c>
      <c r="K25" s="11">
        <f t="shared" si="3"/>
        <v>46023</v>
      </c>
      <c r="L25" s="11">
        <f t="shared" si="3"/>
        <v>46054</v>
      </c>
      <c r="M25" s="11">
        <f t="shared" si="3"/>
        <v>46082</v>
      </c>
      <c r="N25" s="11">
        <f t="shared" si="3"/>
        <v>46113</v>
      </c>
      <c r="O25" s="11">
        <f t="shared" si="3"/>
        <v>46143</v>
      </c>
      <c r="P25" s="11">
        <f t="shared" si="3"/>
        <v>46174</v>
      </c>
    </row>
    <row r="26" spans="3:17" x14ac:dyDescent="0.35">
      <c r="D26" s="3" t="str">
        <f>D19</f>
        <v>Budget 2025-26</v>
      </c>
      <c r="E26" s="5">
        <f>SUM($E19:E19)</f>
        <v>16134.369786189976</v>
      </c>
      <c r="F26" s="5">
        <f>SUM($E19:F19)</f>
        <v>32280.776025236595</v>
      </c>
      <c r="G26" s="5">
        <f>SUM($E19:G19)</f>
        <v>48439.218717139855</v>
      </c>
      <c r="H26" s="5">
        <f>SUM($E19:H19)</f>
        <v>64609.69786189976</v>
      </c>
      <c r="I26" s="5">
        <f>SUM($E19:I19)</f>
        <v>80792.213459516308</v>
      </c>
      <c r="J26" s="5">
        <f>SUM($E19:J19)</f>
        <v>96986.765509989491</v>
      </c>
      <c r="K26" s="5">
        <f>SUM($E19:K19)</f>
        <v>113193.35401331932</v>
      </c>
      <c r="L26" s="5">
        <f>SUM($E19:L19)</f>
        <v>129411.97896950578</v>
      </c>
      <c r="M26" s="5">
        <f>SUM($E19:M19)</f>
        <v>145642.64037854891</v>
      </c>
      <c r="N26" s="5">
        <f>SUM($E19:N19)</f>
        <v>161885.33824044868</v>
      </c>
      <c r="O26" s="5">
        <f>SUM($E19:O19)</f>
        <v>178140.07255520509</v>
      </c>
      <c r="P26" s="5">
        <f>SUM($E19:P19)</f>
        <v>194406.84332281814</v>
      </c>
    </row>
    <row r="27" spans="3:17" x14ac:dyDescent="0.35">
      <c r="D27" s="3" t="str">
        <f t="shared" ref="D27:D30" si="4">D20</f>
        <v>Actual 2025-26</v>
      </c>
      <c r="E27" s="5">
        <f>SUM($E20:E20)</f>
        <v>12992</v>
      </c>
      <c r="F27" s="5">
        <f>SUM($E20:F20)</f>
        <v>30780</v>
      </c>
      <c r="G27" s="5">
        <f>SUM($E20:G20)</f>
        <v>47232</v>
      </c>
      <c r="H27" s="5">
        <f>SUM($E20:H20)</f>
        <v>63418</v>
      </c>
      <c r="I27" s="5">
        <f>SUM($E20:I20)</f>
        <v>77023</v>
      </c>
      <c r="J27" s="5">
        <f>SUM($E20:J20)</f>
        <v>89240</v>
      </c>
      <c r="K27" s="5">
        <f>SUM($E20:K20)</f>
        <v>110146</v>
      </c>
      <c r="L27" s="5">
        <f>SUM($E20:L20)</f>
        <v>125957</v>
      </c>
      <c r="M27" s="5">
        <f>SUM($E20:M20)</f>
        <v>125957</v>
      </c>
      <c r="N27" s="5">
        <f>SUM($E20:N20)</f>
        <v>125957</v>
      </c>
      <c r="O27" s="5">
        <f>SUM($E20:O20)</f>
        <v>125957</v>
      </c>
      <c r="P27" s="5">
        <f>SUM($E20:P20)</f>
        <v>125957</v>
      </c>
    </row>
    <row r="28" spans="3:17" x14ac:dyDescent="0.35">
      <c r="D28" s="3" t="str">
        <f t="shared" si="4"/>
        <v>Actual 2024-25</v>
      </c>
      <c r="E28" s="5">
        <f>SUM($E21:E21)</f>
        <v>15333</v>
      </c>
      <c r="F28" s="5">
        <f>SUM($E21:F21)</f>
        <v>33461</v>
      </c>
      <c r="G28" s="5">
        <f>SUM($E21:G21)</f>
        <v>48809</v>
      </c>
      <c r="H28" s="5">
        <f>SUM($E21:H21)</f>
        <v>66097</v>
      </c>
      <c r="I28" s="5">
        <f>SUM($E21:I21)</f>
        <v>82561</v>
      </c>
      <c r="J28" s="5">
        <f>SUM($E21:J21)</f>
        <v>93963</v>
      </c>
      <c r="K28" s="5">
        <f>SUM($E21:K21)</f>
        <v>115602</v>
      </c>
      <c r="L28" s="5">
        <f>SUM($E21:L21)</f>
        <v>132373</v>
      </c>
      <c r="M28" s="5">
        <f>SUM($E21:M21)</f>
        <v>149271</v>
      </c>
      <c r="N28" s="5">
        <f>SUM($E21:N21)</f>
        <v>164093</v>
      </c>
      <c r="O28" s="5">
        <f>SUM($E21:O21)</f>
        <v>179740</v>
      </c>
      <c r="P28" s="5">
        <f>SUM($E21:P21)</f>
        <v>194867</v>
      </c>
    </row>
    <row r="29" spans="3:17" x14ac:dyDescent="0.35">
      <c r="D29" s="3" t="str">
        <f t="shared" si="4"/>
        <v>Difference</v>
      </c>
      <c r="E29" s="5">
        <f>SUM($E22:E22)</f>
        <v>-3142.3697861899764</v>
      </c>
      <c r="F29" s="5">
        <f>SUM($E22:F22)</f>
        <v>-1500.7760252365952</v>
      </c>
      <c r="G29" s="5">
        <f>SUM($E22:G22)</f>
        <v>-1207.2187171398564</v>
      </c>
      <c r="H29" s="5">
        <f>SUM($E22:H22)</f>
        <v>-1191.69786189976</v>
      </c>
      <c r="I29" s="5">
        <f>SUM($E22:I22)</f>
        <v>-3769.2134595163061</v>
      </c>
      <c r="J29" s="5">
        <f>SUM($E22:J22)</f>
        <v>-7746.7655099894946</v>
      </c>
      <c r="K29" s="5">
        <f>SUM($E22:K22)</f>
        <v>-3047.3540133193255</v>
      </c>
      <c r="L29" s="5">
        <f>SUM($E22:L22)</f>
        <v>-3454.9789695057952</v>
      </c>
      <c r="M29" s="5">
        <f>SUM($E22:M22)</f>
        <v>-3454.9789695057952</v>
      </c>
      <c r="N29" s="5">
        <f>SUM($E22:N22)</f>
        <v>-3454.9789695057952</v>
      </c>
      <c r="O29" s="5">
        <f>SUM($E22:O22)</f>
        <v>-3454.9789695057952</v>
      </c>
      <c r="P29" s="5">
        <f>SUM($E22:P22)</f>
        <v>-3454.9789695057952</v>
      </c>
    </row>
    <row r="30" spans="3:17" x14ac:dyDescent="0.35">
      <c r="D30" s="3" t="str">
        <f t="shared" si="4"/>
        <v>Realisation</v>
      </c>
      <c r="E30" s="9">
        <f>E28/E26</f>
        <v>0.9503315098879227</v>
      </c>
      <c r="F30" s="9">
        <f t="shared" ref="F30:P30" si="5">F27/F26</f>
        <v>0.95350867574982356</v>
      </c>
      <c r="G30" s="9">
        <f t="shared" si="5"/>
        <v>0.97507765919616929</v>
      </c>
      <c r="H30" s="9">
        <f t="shared" si="5"/>
        <v>0.98155543360615993</v>
      </c>
      <c r="I30" s="9">
        <f t="shared" si="5"/>
        <v>0.9533468226934394</v>
      </c>
      <c r="J30" s="9">
        <f t="shared" si="5"/>
        <v>0.92012554012648684</v>
      </c>
      <c r="K30" s="9">
        <f t="shared" si="5"/>
        <v>0.97307833096843532</v>
      </c>
      <c r="L30" s="9">
        <f t="shared" si="5"/>
        <v>0.97330247943801318</v>
      </c>
      <c r="M30" s="9">
        <f t="shared" si="5"/>
        <v>0.86483601006283095</v>
      </c>
      <c r="N30" s="9">
        <f t="shared" si="5"/>
        <v>0.77806304986629349</v>
      </c>
      <c r="O30" s="9">
        <f t="shared" si="5"/>
        <v>0.70706718703601235</v>
      </c>
      <c r="P30" s="9">
        <f t="shared" si="5"/>
        <v>0.64790414703069266</v>
      </c>
    </row>
  </sheetData>
  <mergeCells count="2">
    <mergeCell ref="J4:Q8"/>
    <mergeCell ref="J10:Q15"/>
  </mergeCells>
  <conditionalFormatting sqref="C3">
    <cfRule type="expression" dxfId="281" priority="2">
      <formula>S4&lt;S6</formula>
    </cfRule>
  </conditionalFormatting>
  <conditionalFormatting sqref="C5">
    <cfRule type="expression" dxfId="280" priority="3">
      <formula>S4&gt;=S5</formula>
    </cfRule>
  </conditionalFormatting>
  <conditionalFormatting sqref="C4">
    <cfRule type="expression" dxfId="279" priority="1">
      <formula>AND(S4&gt;=S6,S4&lt;S5)</formula>
    </cfRule>
  </conditionalFormatting>
  <hyperlinks>
    <hyperlink ref="L1" location="Dashboard!A1" display="Dashboard"/>
  </hyperlinks>
  <pageMargins left="0.7" right="0.7" top="0.75" bottom="0.75" header="0.3" footer="0.3"/>
  <pageSetup orientation="portrait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18881" r:id="rId4" name="Spinner 1">
              <controlPr defaultSize="0" autoPict="0">
                <anchor moveWithCells="1" sizeWithCells="1">
                  <from>
                    <xdr:col>9</xdr:col>
                    <xdr:colOff>19050</xdr:colOff>
                    <xdr:row>0</xdr:row>
                    <xdr:rowOff>38100</xdr:rowOff>
                  </from>
                  <to>
                    <xdr:col>9</xdr:col>
                    <xdr:colOff>400050</xdr:colOff>
                    <xdr:row>1</xdr:row>
                    <xdr:rowOff>152400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10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84">
    <tabColor rgb="FFFFC000"/>
  </sheetPr>
  <dimension ref="A1:S30"/>
  <sheetViews>
    <sheetView zoomScale="90" zoomScaleNormal="90" workbookViewId="0">
      <selection activeCell="L1" sqref="L1"/>
    </sheetView>
  </sheetViews>
  <sheetFormatPr defaultColWidth="9.1796875" defaultRowHeight="14.5" x14ac:dyDescent="0.35"/>
  <cols>
    <col min="1" max="1" width="9.1796875" style="3"/>
    <col min="2" max="2" width="5.1796875" style="3" customWidth="1"/>
    <col min="3" max="3" width="6.26953125" style="3" customWidth="1"/>
    <col min="4" max="4" width="21.26953125" style="3" bestFit="1" customWidth="1"/>
    <col min="5" max="16" width="11.1796875" style="3" customWidth="1"/>
    <col min="17" max="17" width="12" style="3" bestFit="1" customWidth="1"/>
    <col min="18" max="18" width="9.1796875" style="3" customWidth="1"/>
    <col min="19" max="16384" width="9.1796875" style="3"/>
  </cols>
  <sheetData>
    <row r="1" spans="1:19" ht="21" x14ac:dyDescent="0.5">
      <c r="A1" s="4" t="s">
        <v>4</v>
      </c>
      <c r="B1" s="4">
        <f>Dashboard!A115</f>
        <v>2</v>
      </c>
      <c r="C1" s="4" t="str">
        <f>Dashboard!B115</f>
        <v>CCCR - WATER(M3)</v>
      </c>
      <c r="D1" s="4"/>
      <c r="G1" s="3" t="s">
        <v>9</v>
      </c>
      <c r="I1" s="12">
        <f>INDEX($E$18:$P$18,Actual_month)</f>
        <v>46054</v>
      </c>
      <c r="L1" s="16" t="s">
        <v>19</v>
      </c>
      <c r="R1" s="5"/>
    </row>
    <row r="2" spans="1:19" x14ac:dyDescent="0.35">
      <c r="A2" s="3" t="s">
        <v>13</v>
      </c>
      <c r="C2" s="3" t="s">
        <v>27</v>
      </c>
      <c r="R2" s="6"/>
    </row>
    <row r="3" spans="1:19" ht="25.5" customHeight="1" thickBot="1" x14ac:dyDescent="0.4">
      <c r="C3" s="1" t="s">
        <v>5</v>
      </c>
      <c r="E3" s="10"/>
      <c r="F3" s="10"/>
      <c r="G3" s="10"/>
      <c r="H3" s="10"/>
      <c r="I3" s="10"/>
      <c r="J3" s="3" t="s">
        <v>6</v>
      </c>
      <c r="K3" s="10"/>
      <c r="M3" s="10"/>
      <c r="N3" s="10"/>
      <c r="O3" s="10"/>
      <c r="P3" s="10"/>
    </row>
    <row r="4" spans="1:19" ht="25.5" customHeight="1" x14ac:dyDescent="0.35">
      <c r="C4" s="1" t="s">
        <v>5</v>
      </c>
      <c r="E4" s="10"/>
      <c r="F4" s="10"/>
      <c r="G4" s="10"/>
      <c r="H4" s="10"/>
      <c r="I4" s="10"/>
      <c r="J4" s="401"/>
      <c r="K4" s="402"/>
      <c r="L4" s="402"/>
      <c r="M4" s="402"/>
      <c r="N4" s="402"/>
      <c r="O4" s="402"/>
      <c r="P4" s="402"/>
      <c r="Q4" s="403"/>
      <c r="R4" s="3" t="s">
        <v>22</v>
      </c>
      <c r="S4" s="5">
        <f>INDEX(E27:P27,Actual_month)</f>
        <v>127731</v>
      </c>
    </row>
    <row r="5" spans="1:19" ht="25.5" customHeight="1" x14ac:dyDescent="0.35">
      <c r="C5" s="1" t="s">
        <v>5</v>
      </c>
      <c r="E5" s="10"/>
      <c r="F5" s="10"/>
      <c r="G5" s="10"/>
      <c r="H5" s="10"/>
      <c r="I5" s="10"/>
      <c r="J5" s="404"/>
      <c r="K5" s="405"/>
      <c r="L5" s="405"/>
      <c r="M5" s="405"/>
      <c r="N5" s="405"/>
      <c r="O5" s="405"/>
      <c r="P5" s="405"/>
      <c r="Q5" s="406"/>
      <c r="R5" s="3" t="s">
        <v>23</v>
      </c>
      <c r="S5" s="5">
        <f>INDEX(E26:P26,Actual_month)</f>
        <v>130834.10228977131</v>
      </c>
    </row>
    <row r="6" spans="1:19" x14ac:dyDescent="0.35">
      <c r="J6" s="404"/>
      <c r="K6" s="405"/>
      <c r="L6" s="405"/>
      <c r="M6" s="405"/>
      <c r="N6" s="405"/>
      <c r="O6" s="405"/>
      <c r="P6" s="405"/>
      <c r="Q6" s="406"/>
      <c r="R6" s="6">
        <v>0.9</v>
      </c>
      <c r="S6" s="5">
        <f>+S5*R6</f>
        <v>117750.69206079419</v>
      </c>
    </row>
    <row r="7" spans="1:19" x14ac:dyDescent="0.35">
      <c r="J7" s="404"/>
      <c r="K7" s="405"/>
      <c r="L7" s="405"/>
      <c r="M7" s="405"/>
      <c r="N7" s="405"/>
      <c r="O7" s="405"/>
      <c r="P7" s="405"/>
      <c r="Q7" s="406"/>
    </row>
    <row r="8" spans="1:19" ht="15" thickBot="1" x14ac:dyDescent="0.4">
      <c r="J8" s="407"/>
      <c r="K8" s="408"/>
      <c r="L8" s="408"/>
      <c r="M8" s="408"/>
      <c r="N8" s="408"/>
      <c r="O8" s="408"/>
      <c r="P8" s="408"/>
      <c r="Q8" s="409"/>
    </row>
    <row r="9" spans="1:19" ht="15" thickBot="1" x14ac:dyDescent="0.4">
      <c r="J9" s="3" t="s">
        <v>12</v>
      </c>
    </row>
    <row r="10" spans="1:19" x14ac:dyDescent="0.35">
      <c r="J10" s="401"/>
      <c r="K10" s="402"/>
      <c r="L10" s="402"/>
      <c r="M10" s="402"/>
      <c r="N10" s="402"/>
      <c r="O10" s="402"/>
      <c r="P10" s="402"/>
      <c r="Q10" s="403"/>
    </row>
    <row r="11" spans="1:19" x14ac:dyDescent="0.35">
      <c r="J11" s="404"/>
      <c r="K11" s="405"/>
      <c r="L11" s="405"/>
      <c r="M11" s="405"/>
      <c r="N11" s="405"/>
      <c r="O11" s="405"/>
      <c r="P11" s="405"/>
      <c r="Q11" s="406"/>
    </row>
    <row r="12" spans="1:19" x14ac:dyDescent="0.35">
      <c r="J12" s="404"/>
      <c r="K12" s="405"/>
      <c r="L12" s="405"/>
      <c r="M12" s="405"/>
      <c r="N12" s="405"/>
      <c r="O12" s="405"/>
      <c r="P12" s="405"/>
      <c r="Q12" s="406"/>
    </row>
    <row r="13" spans="1:19" x14ac:dyDescent="0.35">
      <c r="J13" s="404"/>
      <c r="K13" s="405"/>
      <c r="L13" s="405"/>
      <c r="M13" s="405"/>
      <c r="N13" s="405"/>
      <c r="O13" s="405"/>
      <c r="P13" s="405"/>
      <c r="Q13" s="406"/>
    </row>
    <row r="14" spans="1:19" x14ac:dyDescent="0.35">
      <c r="J14" s="404"/>
      <c r="K14" s="405"/>
      <c r="L14" s="405"/>
      <c r="M14" s="405"/>
      <c r="N14" s="405"/>
      <c r="O14" s="405"/>
      <c r="P14" s="405"/>
      <c r="Q14" s="406"/>
    </row>
    <row r="15" spans="1:19" ht="15" thickBot="1" x14ac:dyDescent="0.4">
      <c r="J15" s="407"/>
      <c r="K15" s="408"/>
      <c r="L15" s="408"/>
      <c r="M15" s="408"/>
      <c r="N15" s="408"/>
      <c r="O15" s="408"/>
      <c r="P15" s="408"/>
      <c r="Q15" s="409"/>
    </row>
    <row r="18" spans="3:17" x14ac:dyDescent="0.35">
      <c r="C18" s="7" t="s">
        <v>8</v>
      </c>
      <c r="E18" s="11">
        <f>'KPI 1'!E18</f>
        <v>45839</v>
      </c>
      <c r="F18" s="11">
        <f>'KPI 1'!F18</f>
        <v>45870</v>
      </c>
      <c r="G18" s="11">
        <f>'KPI 1'!G18</f>
        <v>45901</v>
      </c>
      <c r="H18" s="11">
        <f>'KPI 1'!H18</f>
        <v>45931</v>
      </c>
      <c r="I18" s="11">
        <f>'KPI 1'!I18</f>
        <v>45962</v>
      </c>
      <c r="J18" s="11">
        <f>'KPI 1'!J18</f>
        <v>45992</v>
      </c>
      <c r="K18" s="11">
        <f>'KPI 1'!K18</f>
        <v>46023</v>
      </c>
      <c r="L18" s="11">
        <f>'KPI 1'!L18</f>
        <v>46054</v>
      </c>
      <c r="M18" s="11">
        <f>'KPI 1'!M18</f>
        <v>46082</v>
      </c>
      <c r="N18" s="11">
        <f>'KPI 1'!N18</f>
        <v>46113</v>
      </c>
      <c r="O18" s="11">
        <f>'KPI 1'!O18</f>
        <v>46143</v>
      </c>
      <c r="P18" s="11">
        <f>'KPI 1'!P18</f>
        <v>46174</v>
      </c>
      <c r="Q18" s="8" t="s">
        <v>0</v>
      </c>
    </row>
    <row r="19" spans="3:17" x14ac:dyDescent="0.35">
      <c r="D19" s="3" t="str">
        <f>'KPI 1'!D19</f>
        <v>Budget 2025-26</v>
      </c>
      <c r="E19" s="49">
        <f>'budget 2025-26'!D108</f>
        <v>15540.334546280268</v>
      </c>
      <c r="F19" s="49">
        <f>'budget 2025-26'!E108</f>
        <v>15772.885471977739</v>
      </c>
      <c r="G19" s="49">
        <f>'budget 2025-26'!F108</f>
        <v>16005.436397675212</v>
      </c>
      <c r="H19" s="49">
        <f>'budget 2025-26'!G108</f>
        <v>16237.987323372683</v>
      </c>
      <c r="I19" s="49">
        <f>'budget 2025-26'!H108</f>
        <v>16470.538249070152</v>
      </c>
      <c r="J19" s="49">
        <f>'budget 2025-26'!I108</f>
        <v>16703.089174767621</v>
      </c>
      <c r="K19" s="49">
        <f>'budget 2025-26'!J108</f>
        <v>16935.640100465091</v>
      </c>
      <c r="L19" s="49">
        <f>'budget 2025-26'!K108</f>
        <v>17168.19102616256</v>
      </c>
      <c r="M19" s="49">
        <f>'budget 2025-26'!L108</f>
        <v>17400.741951860036</v>
      </c>
      <c r="N19" s="49">
        <f>'budget 2025-26'!M108</f>
        <v>17633.292877557506</v>
      </c>
      <c r="O19" s="49">
        <f>'budget 2025-26'!N108</f>
        <v>17865.843803254975</v>
      </c>
      <c r="P19" s="49">
        <f>'budget 2025-26'!O108</f>
        <v>18098.394728952448</v>
      </c>
      <c r="Q19" s="5">
        <f>SUM(E19:P19)</f>
        <v>201832.37565139626</v>
      </c>
    </row>
    <row r="20" spans="3:17" x14ac:dyDescent="0.35">
      <c r="D20" s="3" t="str">
        <f>'KPI 1'!D20</f>
        <v>Actual 2025-26</v>
      </c>
      <c r="E20" s="49">
        <f>'Input Actual2025-26'!E111</f>
        <v>15991</v>
      </c>
      <c r="F20" s="49">
        <f>'Input Actual2025-26'!F111</f>
        <v>15410</v>
      </c>
      <c r="G20" s="49">
        <f>'Input Actual2025-26'!G111</f>
        <v>13572</v>
      </c>
      <c r="H20" s="49">
        <f>'Input Actual2025-26'!H111</f>
        <v>16565</v>
      </c>
      <c r="I20" s="49">
        <f>'Input Actual2025-26'!I111</f>
        <v>15215</v>
      </c>
      <c r="J20" s="49">
        <f>'Input Actual2025-26'!J111</f>
        <v>12683</v>
      </c>
      <c r="K20" s="49">
        <f>'Input Actual2025-26'!K111</f>
        <v>20921</v>
      </c>
      <c r="L20" s="49">
        <f>'Input Actual2025-26'!L111</f>
        <v>17374</v>
      </c>
      <c r="M20" s="49">
        <f>'Input Actual2025-26'!M111</f>
        <v>0</v>
      </c>
      <c r="N20" s="49">
        <f>'Input Actual2025-26'!N111</f>
        <v>0</v>
      </c>
      <c r="O20" s="49">
        <f>'Input Actual2025-26'!O111</f>
        <v>0</v>
      </c>
      <c r="P20" s="49">
        <f>'Input Actual2025-26'!P111</f>
        <v>0</v>
      </c>
      <c r="Q20" s="5">
        <f t="shared" ref="Q20:Q22" si="0">SUM(E20:P20)</f>
        <v>127731</v>
      </c>
    </row>
    <row r="21" spans="3:17" x14ac:dyDescent="0.35">
      <c r="D21" s="3" t="s">
        <v>424</v>
      </c>
      <c r="E21" s="49">
        <f>'Input Actual2024-25'!E104</f>
        <v>13187</v>
      </c>
      <c r="F21" s="49">
        <f>'Input Actual2024-25'!F104</f>
        <v>19014</v>
      </c>
      <c r="G21" s="49">
        <f>'Input Actual2024-25'!G104</f>
        <v>14518</v>
      </c>
      <c r="H21" s="49">
        <f>'Input Actual2024-25'!H104</f>
        <v>15348</v>
      </c>
      <c r="I21" s="49">
        <f>'Input Actual2024-25'!I104</f>
        <v>15020</v>
      </c>
      <c r="J21" s="49">
        <f>'Input Actual2024-25'!J104</f>
        <v>11149</v>
      </c>
      <c r="K21" s="49">
        <f>'Input Actual2024-25'!K104</f>
        <v>18653</v>
      </c>
      <c r="L21" s="49">
        <f>'Input Actual2024-25'!L104</f>
        <v>16512</v>
      </c>
      <c r="M21" s="49">
        <f>'Input Actual2024-25'!M104</f>
        <v>16356</v>
      </c>
      <c r="N21" s="49">
        <f>'Input Actual2024-25'!N104</f>
        <v>14401</v>
      </c>
      <c r="O21" s="49">
        <f>'Input Actual2024-25'!O104</f>
        <v>18217</v>
      </c>
      <c r="P21" s="49">
        <f>'Input Actual2024-25'!P104</f>
        <v>18443</v>
      </c>
      <c r="Q21" s="5">
        <f t="shared" si="0"/>
        <v>190818</v>
      </c>
    </row>
    <row r="22" spans="3:17" x14ac:dyDescent="0.35">
      <c r="D22" s="3" t="s">
        <v>7</v>
      </c>
      <c r="E22" s="5">
        <f t="shared" ref="E22:P22" si="1">IF(E20=0,0,E20-E19)</f>
        <v>450.66545371973189</v>
      </c>
      <c r="F22" s="5">
        <f t="shared" si="1"/>
        <v>-362.88547197773914</v>
      </c>
      <c r="G22" s="5">
        <f t="shared" si="1"/>
        <v>-2433.436397675212</v>
      </c>
      <c r="H22" s="5">
        <f t="shared" si="1"/>
        <v>327.01267662731698</v>
      </c>
      <c r="I22" s="5">
        <f t="shared" si="1"/>
        <v>-1255.5382490701522</v>
      </c>
      <c r="J22" s="5">
        <f t="shared" si="1"/>
        <v>-4020.0891747676214</v>
      </c>
      <c r="K22" s="5">
        <f t="shared" si="1"/>
        <v>3985.3598995349093</v>
      </c>
      <c r="L22" s="5">
        <f t="shared" si="1"/>
        <v>205.80897383744013</v>
      </c>
      <c r="M22" s="5">
        <f t="shared" si="1"/>
        <v>0</v>
      </c>
      <c r="N22" s="5">
        <f t="shared" si="1"/>
        <v>0</v>
      </c>
      <c r="O22" s="5">
        <f t="shared" si="1"/>
        <v>0</v>
      </c>
      <c r="P22" s="5">
        <f t="shared" si="1"/>
        <v>0</v>
      </c>
      <c r="Q22" s="5">
        <f t="shared" si="0"/>
        <v>-3103.1022897713265</v>
      </c>
    </row>
    <row r="23" spans="3:17" x14ac:dyDescent="0.35">
      <c r="D23" s="3" t="s">
        <v>43</v>
      </c>
      <c r="E23" s="9">
        <f>E21/E19</f>
        <v>0.84856603059143521</v>
      </c>
      <c r="F23" s="9">
        <f t="shared" ref="F23:P23" si="2">F20/F19</f>
        <v>0.97699308267834406</v>
      </c>
      <c r="G23" s="9">
        <f t="shared" si="2"/>
        <v>0.84796188387411486</v>
      </c>
      <c r="H23" s="9">
        <f t="shared" si="2"/>
        <v>1.0201387444216452</v>
      </c>
      <c r="I23" s="9">
        <f t="shared" si="2"/>
        <v>0.92377066067400471</v>
      </c>
      <c r="J23" s="9">
        <f t="shared" si="2"/>
        <v>0.75932061831768616</v>
      </c>
      <c r="K23" s="9">
        <f t="shared" si="2"/>
        <v>1.2353238422576931</v>
      </c>
      <c r="L23" s="9">
        <f t="shared" si="2"/>
        <v>1.0119878077733298</v>
      </c>
      <c r="M23" s="9">
        <f t="shared" si="2"/>
        <v>0</v>
      </c>
      <c r="N23" s="9">
        <f t="shared" si="2"/>
        <v>0</v>
      </c>
      <c r="O23" s="9">
        <f t="shared" si="2"/>
        <v>0</v>
      </c>
      <c r="P23" s="9">
        <f t="shared" si="2"/>
        <v>0</v>
      </c>
    </row>
    <row r="25" spans="3:17" x14ac:dyDescent="0.35">
      <c r="C25" s="7" t="s">
        <v>3</v>
      </c>
      <c r="E25" s="11">
        <f>E18</f>
        <v>45839</v>
      </c>
      <c r="F25" s="11">
        <f t="shared" ref="F25:P25" si="3">F18</f>
        <v>45870</v>
      </c>
      <c r="G25" s="11">
        <f t="shared" si="3"/>
        <v>45901</v>
      </c>
      <c r="H25" s="11">
        <f t="shared" si="3"/>
        <v>45931</v>
      </c>
      <c r="I25" s="11">
        <f t="shared" si="3"/>
        <v>45962</v>
      </c>
      <c r="J25" s="11">
        <f t="shared" si="3"/>
        <v>45992</v>
      </c>
      <c r="K25" s="11">
        <f t="shared" si="3"/>
        <v>46023</v>
      </c>
      <c r="L25" s="11">
        <f t="shared" si="3"/>
        <v>46054</v>
      </c>
      <c r="M25" s="11">
        <f t="shared" si="3"/>
        <v>46082</v>
      </c>
      <c r="N25" s="11">
        <f t="shared" si="3"/>
        <v>46113</v>
      </c>
      <c r="O25" s="11">
        <f t="shared" si="3"/>
        <v>46143</v>
      </c>
      <c r="P25" s="11">
        <f t="shared" si="3"/>
        <v>46174</v>
      </c>
    </row>
    <row r="26" spans="3:17" x14ac:dyDescent="0.35">
      <c r="D26" s="3" t="str">
        <f>D19</f>
        <v>Budget 2025-26</v>
      </c>
      <c r="E26" s="5">
        <f>SUM($E19:E19)</f>
        <v>15540.334546280268</v>
      </c>
      <c r="F26" s="5">
        <f>SUM($E19:F19)</f>
        <v>31313.220018258005</v>
      </c>
      <c r="G26" s="5">
        <f>SUM($E19:G19)</f>
        <v>47318.656415933219</v>
      </c>
      <c r="H26" s="5">
        <f>SUM($E19:H19)</f>
        <v>63556.643739305902</v>
      </c>
      <c r="I26" s="5">
        <f>SUM($E19:I19)</f>
        <v>80027.181988376047</v>
      </c>
      <c r="J26" s="5">
        <f>SUM($E19:J19)</f>
        <v>96730.271163143669</v>
      </c>
      <c r="K26" s="5">
        <f>SUM($E19:K19)</f>
        <v>113665.91126360875</v>
      </c>
      <c r="L26" s="5">
        <f>SUM($E19:L19)</f>
        <v>130834.10228977131</v>
      </c>
      <c r="M26" s="5">
        <f>SUM($E19:M19)</f>
        <v>148234.84424163133</v>
      </c>
      <c r="N26" s="5">
        <f>SUM($E19:N19)</f>
        <v>165868.13711918885</v>
      </c>
      <c r="O26" s="5">
        <f>SUM($E19:O19)</f>
        <v>183733.98092244382</v>
      </c>
      <c r="P26" s="5">
        <f>SUM($E19:P19)</f>
        <v>201832.37565139626</v>
      </c>
    </row>
    <row r="27" spans="3:17" x14ac:dyDescent="0.35">
      <c r="D27" s="3" t="str">
        <f t="shared" ref="D27:D30" si="4">D20</f>
        <v>Actual 2025-26</v>
      </c>
      <c r="E27" s="5">
        <f>SUM($E20:E20)</f>
        <v>15991</v>
      </c>
      <c r="F27" s="5">
        <f>SUM($E20:F20)</f>
        <v>31401</v>
      </c>
      <c r="G27" s="5">
        <f>SUM($E20:G20)</f>
        <v>44973</v>
      </c>
      <c r="H27" s="5">
        <f>SUM($E20:H20)</f>
        <v>61538</v>
      </c>
      <c r="I27" s="5">
        <f>SUM($E20:I20)</f>
        <v>76753</v>
      </c>
      <c r="J27" s="5">
        <f>SUM($E20:J20)</f>
        <v>89436</v>
      </c>
      <c r="K27" s="5">
        <f>SUM($E20:K20)</f>
        <v>110357</v>
      </c>
      <c r="L27" s="5">
        <f>SUM($E20:L20)</f>
        <v>127731</v>
      </c>
      <c r="M27" s="5">
        <f>SUM($E20:M20)</f>
        <v>127731</v>
      </c>
      <c r="N27" s="5">
        <f>SUM($E20:N20)</f>
        <v>127731</v>
      </c>
      <c r="O27" s="5">
        <f>SUM($E20:O20)</f>
        <v>127731</v>
      </c>
      <c r="P27" s="5">
        <f>SUM($E20:P20)</f>
        <v>127731</v>
      </c>
    </row>
    <row r="28" spans="3:17" x14ac:dyDescent="0.35">
      <c r="D28" s="3" t="str">
        <f t="shared" si="4"/>
        <v>Actual 2024-25</v>
      </c>
      <c r="E28" s="5">
        <f>SUM($E21:E21)</f>
        <v>13187</v>
      </c>
      <c r="F28" s="5">
        <f>SUM($E21:F21)</f>
        <v>32201</v>
      </c>
      <c r="G28" s="5">
        <f>SUM($E21:G21)</f>
        <v>46719</v>
      </c>
      <c r="H28" s="5">
        <f>SUM($E21:H21)</f>
        <v>62067</v>
      </c>
      <c r="I28" s="5">
        <f>SUM($E21:I21)</f>
        <v>77087</v>
      </c>
      <c r="J28" s="5">
        <f>SUM($E21:J21)</f>
        <v>88236</v>
      </c>
      <c r="K28" s="5">
        <f>SUM($E21:K21)</f>
        <v>106889</v>
      </c>
      <c r="L28" s="5">
        <f>SUM($E21:L21)</f>
        <v>123401</v>
      </c>
      <c r="M28" s="5">
        <f>SUM($E21:M21)</f>
        <v>139757</v>
      </c>
      <c r="N28" s="5">
        <f>SUM($E21:N21)</f>
        <v>154158</v>
      </c>
      <c r="O28" s="5">
        <f>SUM($E21:O21)</f>
        <v>172375</v>
      </c>
      <c r="P28" s="5">
        <f>SUM($E21:P21)</f>
        <v>190818</v>
      </c>
    </row>
    <row r="29" spans="3:17" x14ac:dyDescent="0.35">
      <c r="D29" s="3" t="str">
        <f t="shared" si="4"/>
        <v>Difference</v>
      </c>
      <c r="E29" s="5">
        <f>SUM($E22:E22)</f>
        <v>450.66545371973189</v>
      </c>
      <c r="F29" s="5">
        <f>SUM($E22:F22)</f>
        <v>87.779981741992742</v>
      </c>
      <c r="G29" s="5">
        <f>SUM($E22:G22)</f>
        <v>-2345.6564159332193</v>
      </c>
      <c r="H29" s="5">
        <f>SUM($E22:H22)</f>
        <v>-2018.6437393059023</v>
      </c>
      <c r="I29" s="5">
        <f>SUM($E22:I22)</f>
        <v>-3274.1819883760545</v>
      </c>
      <c r="J29" s="5">
        <f>SUM($E22:J22)</f>
        <v>-7294.2711631436759</v>
      </c>
      <c r="K29" s="5">
        <f>SUM($E22:K22)</f>
        <v>-3308.9112636087666</v>
      </c>
      <c r="L29" s="5">
        <f>SUM($E22:L22)</f>
        <v>-3103.1022897713265</v>
      </c>
      <c r="M29" s="5">
        <f>SUM($E22:M22)</f>
        <v>-3103.1022897713265</v>
      </c>
      <c r="N29" s="5">
        <f>SUM($E22:N22)</f>
        <v>-3103.1022897713265</v>
      </c>
      <c r="O29" s="5">
        <f>SUM($E22:O22)</f>
        <v>-3103.1022897713265</v>
      </c>
      <c r="P29" s="5">
        <f>SUM($E22:P22)</f>
        <v>-3103.1022897713265</v>
      </c>
    </row>
    <row r="30" spans="3:17" x14ac:dyDescent="0.35">
      <c r="D30" s="3" t="str">
        <f t="shared" si="4"/>
        <v>Realisation</v>
      </c>
      <c r="E30" s="9">
        <f>E28/E26</f>
        <v>0.84856603059143521</v>
      </c>
      <c r="F30" s="9">
        <f t="shared" ref="F30:P30" si="5">F27/F26</f>
        <v>1.002803288249845</v>
      </c>
      <c r="G30" s="9">
        <f t="shared" si="5"/>
        <v>0.95042850762044495</v>
      </c>
      <c r="H30" s="9">
        <f t="shared" si="5"/>
        <v>0.96823866679326409</v>
      </c>
      <c r="I30" s="9">
        <f t="shared" si="5"/>
        <v>0.9590866264808422</v>
      </c>
      <c r="J30" s="9">
        <f t="shared" si="5"/>
        <v>0.92459163945853851</v>
      </c>
      <c r="K30" s="9">
        <f t="shared" si="5"/>
        <v>0.97088915025776834</v>
      </c>
      <c r="L30" s="9">
        <f t="shared" si="5"/>
        <v>0.97628216011374036</v>
      </c>
      <c r="M30" s="9">
        <f t="shared" si="5"/>
        <v>0.86167999604594392</v>
      </c>
      <c r="N30" s="9">
        <f t="shared" si="5"/>
        <v>0.77007556857177206</v>
      </c>
      <c r="O30" s="9">
        <f t="shared" si="5"/>
        <v>0.69519530006763797</v>
      </c>
      <c r="P30" s="9">
        <f t="shared" si="5"/>
        <v>0.63285684265351094</v>
      </c>
    </row>
  </sheetData>
  <mergeCells count="2">
    <mergeCell ref="J4:Q8"/>
    <mergeCell ref="J10:Q15"/>
  </mergeCells>
  <conditionalFormatting sqref="C3">
    <cfRule type="expression" dxfId="278" priority="2">
      <formula>S4&lt;S6</formula>
    </cfRule>
  </conditionalFormatting>
  <conditionalFormatting sqref="C5">
    <cfRule type="expression" dxfId="277" priority="3">
      <formula>S4&gt;=S5</formula>
    </cfRule>
  </conditionalFormatting>
  <conditionalFormatting sqref="C4">
    <cfRule type="expression" dxfId="276" priority="1">
      <formula>AND(S4&gt;=S6,S4&lt;S5)</formula>
    </cfRule>
  </conditionalFormatting>
  <hyperlinks>
    <hyperlink ref="L1" location="Dashboard!A1" display="Dashboard"/>
  </hyperlinks>
  <pageMargins left="0.7" right="0.7" top="0.75" bottom="0.75" header="0.3" footer="0.3"/>
  <pageSetup orientation="portrait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19905" r:id="rId4" name="Spinner 1">
              <controlPr defaultSize="0" autoPict="0">
                <anchor moveWithCells="1" sizeWithCells="1">
                  <from>
                    <xdr:col>9</xdr:col>
                    <xdr:colOff>19050</xdr:colOff>
                    <xdr:row>0</xdr:row>
                    <xdr:rowOff>38100</xdr:rowOff>
                  </from>
                  <to>
                    <xdr:col>9</xdr:col>
                    <xdr:colOff>400050</xdr:colOff>
                    <xdr:row>1</xdr:row>
                    <xdr:rowOff>152400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10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85">
    <tabColor rgb="FFFFC000"/>
  </sheetPr>
  <dimension ref="A1:S30"/>
  <sheetViews>
    <sheetView zoomScale="90" zoomScaleNormal="90" workbookViewId="0">
      <selection activeCell="L1" sqref="L1"/>
    </sheetView>
  </sheetViews>
  <sheetFormatPr defaultColWidth="9.1796875" defaultRowHeight="14.5" x14ac:dyDescent="0.35"/>
  <cols>
    <col min="1" max="1" width="9.1796875" style="3"/>
    <col min="2" max="2" width="5.1796875" style="3" customWidth="1"/>
    <col min="3" max="3" width="6.26953125" style="3" customWidth="1"/>
    <col min="4" max="4" width="21.26953125" style="3" bestFit="1" customWidth="1"/>
    <col min="5" max="16" width="11.1796875" style="3" customWidth="1"/>
    <col min="17" max="17" width="12" style="3" bestFit="1" customWidth="1"/>
    <col min="18" max="18" width="9.1796875" style="3" customWidth="1"/>
    <col min="19" max="16384" width="9.1796875" style="3"/>
  </cols>
  <sheetData>
    <row r="1" spans="1:19" ht="21" x14ac:dyDescent="0.5">
      <c r="A1" s="4" t="s">
        <v>4</v>
      </c>
      <c r="B1" s="4">
        <f>Dashboard!A116</f>
        <v>3</v>
      </c>
      <c r="C1" s="4" t="str">
        <f>Dashboard!B116</f>
        <v>KABATI - WATER(M3)</v>
      </c>
      <c r="D1" s="4"/>
      <c r="G1" s="3" t="s">
        <v>9</v>
      </c>
      <c r="I1" s="12">
        <f>INDEX($E$18:$P$18,Actual_month)</f>
        <v>46054</v>
      </c>
      <c r="L1" s="16" t="s">
        <v>19</v>
      </c>
      <c r="R1" s="5"/>
    </row>
    <row r="2" spans="1:19" x14ac:dyDescent="0.35">
      <c r="A2" s="3" t="s">
        <v>13</v>
      </c>
      <c r="C2" s="3" t="s">
        <v>27</v>
      </c>
      <c r="R2" s="6"/>
    </row>
    <row r="3" spans="1:19" ht="25.5" customHeight="1" thickBot="1" x14ac:dyDescent="0.4">
      <c r="C3" s="1" t="s">
        <v>5</v>
      </c>
      <c r="E3" s="10"/>
      <c r="F3" s="10"/>
      <c r="G3" s="10"/>
      <c r="H3" s="10"/>
      <c r="I3" s="10"/>
      <c r="J3" s="3" t="s">
        <v>6</v>
      </c>
      <c r="K3" s="10"/>
      <c r="M3" s="10"/>
      <c r="N3" s="10"/>
      <c r="O3" s="10"/>
      <c r="P3" s="10"/>
    </row>
    <row r="4" spans="1:19" ht="25.5" customHeight="1" x14ac:dyDescent="0.35">
      <c r="C4" s="1" t="s">
        <v>5</v>
      </c>
      <c r="E4" s="10"/>
      <c r="F4" s="10"/>
      <c r="G4" s="10"/>
      <c r="H4" s="10"/>
      <c r="I4" s="10"/>
      <c r="J4" s="401"/>
      <c r="K4" s="402"/>
      <c r="L4" s="402"/>
      <c r="M4" s="402"/>
      <c r="N4" s="402"/>
      <c r="O4" s="402"/>
      <c r="P4" s="402"/>
      <c r="Q4" s="403"/>
      <c r="R4" s="3" t="s">
        <v>22</v>
      </c>
      <c r="S4" s="5">
        <f>INDEX(E27:P27,Actual_month)</f>
        <v>97037</v>
      </c>
    </row>
    <row r="5" spans="1:19" ht="25.5" customHeight="1" x14ac:dyDescent="0.35">
      <c r="C5" s="1" t="s">
        <v>5</v>
      </c>
      <c r="E5" s="10"/>
      <c r="F5" s="10"/>
      <c r="G5" s="10"/>
      <c r="H5" s="10"/>
      <c r="I5" s="10"/>
      <c r="J5" s="404"/>
      <c r="K5" s="405"/>
      <c r="L5" s="405"/>
      <c r="M5" s="405"/>
      <c r="N5" s="405"/>
      <c r="O5" s="405"/>
      <c r="P5" s="405"/>
      <c r="Q5" s="406"/>
      <c r="R5" s="3" t="s">
        <v>23</v>
      </c>
      <c r="S5" s="5">
        <f>INDEX(E26:P26,Actual_month)</f>
        <v>110287.71152387623</v>
      </c>
    </row>
    <row r="6" spans="1:19" x14ac:dyDescent="0.35">
      <c r="J6" s="404"/>
      <c r="K6" s="405"/>
      <c r="L6" s="405"/>
      <c r="M6" s="405"/>
      <c r="N6" s="405"/>
      <c r="O6" s="405"/>
      <c r="P6" s="405"/>
      <c r="Q6" s="406"/>
      <c r="R6" s="6">
        <v>0.9</v>
      </c>
      <c r="S6" s="5">
        <f>+S5*R6</f>
        <v>99258.940371488614</v>
      </c>
    </row>
    <row r="7" spans="1:19" x14ac:dyDescent="0.35">
      <c r="J7" s="404"/>
      <c r="K7" s="405"/>
      <c r="L7" s="405"/>
      <c r="M7" s="405"/>
      <c r="N7" s="405"/>
      <c r="O7" s="405"/>
      <c r="P7" s="405"/>
      <c r="Q7" s="406"/>
    </row>
    <row r="8" spans="1:19" ht="15" thickBot="1" x14ac:dyDescent="0.4">
      <c r="J8" s="407"/>
      <c r="K8" s="408"/>
      <c r="L8" s="408"/>
      <c r="M8" s="408"/>
      <c r="N8" s="408"/>
      <c r="O8" s="408"/>
      <c r="P8" s="408"/>
      <c r="Q8" s="409"/>
    </row>
    <row r="9" spans="1:19" ht="15" thickBot="1" x14ac:dyDescent="0.4">
      <c r="J9" s="3" t="s">
        <v>12</v>
      </c>
    </row>
    <row r="10" spans="1:19" x14ac:dyDescent="0.35">
      <c r="J10" s="401"/>
      <c r="K10" s="402"/>
      <c r="L10" s="402"/>
      <c r="M10" s="402"/>
      <c r="N10" s="402"/>
      <c r="O10" s="402"/>
      <c r="P10" s="402"/>
      <c r="Q10" s="403"/>
    </row>
    <row r="11" spans="1:19" x14ac:dyDescent="0.35">
      <c r="J11" s="404"/>
      <c r="K11" s="405"/>
      <c r="L11" s="405"/>
      <c r="M11" s="405"/>
      <c r="N11" s="405"/>
      <c r="O11" s="405"/>
      <c r="P11" s="405"/>
      <c r="Q11" s="406"/>
    </row>
    <row r="12" spans="1:19" x14ac:dyDescent="0.35">
      <c r="J12" s="404"/>
      <c r="K12" s="405"/>
      <c r="L12" s="405"/>
      <c r="M12" s="405"/>
      <c r="N12" s="405"/>
      <c r="O12" s="405"/>
      <c r="P12" s="405"/>
      <c r="Q12" s="406"/>
    </row>
    <row r="13" spans="1:19" x14ac:dyDescent="0.35">
      <c r="J13" s="404"/>
      <c r="K13" s="405"/>
      <c r="L13" s="405"/>
      <c r="M13" s="405"/>
      <c r="N13" s="405"/>
      <c r="O13" s="405"/>
      <c r="P13" s="405"/>
      <c r="Q13" s="406"/>
    </row>
    <row r="14" spans="1:19" x14ac:dyDescent="0.35">
      <c r="J14" s="404"/>
      <c r="K14" s="405"/>
      <c r="L14" s="405"/>
      <c r="M14" s="405"/>
      <c r="N14" s="405"/>
      <c r="O14" s="405"/>
      <c r="P14" s="405"/>
      <c r="Q14" s="406"/>
    </row>
    <row r="15" spans="1:19" ht="15" thickBot="1" x14ac:dyDescent="0.4">
      <c r="J15" s="407"/>
      <c r="K15" s="408"/>
      <c r="L15" s="408"/>
      <c r="M15" s="408"/>
      <c r="N15" s="408"/>
      <c r="O15" s="408"/>
      <c r="P15" s="408"/>
      <c r="Q15" s="409"/>
    </row>
    <row r="18" spans="3:17" x14ac:dyDescent="0.35">
      <c r="C18" s="7" t="s">
        <v>8</v>
      </c>
      <c r="E18" s="11">
        <f>'KPI 1'!E18</f>
        <v>45839</v>
      </c>
      <c r="F18" s="11">
        <f>'KPI 1'!F18</f>
        <v>45870</v>
      </c>
      <c r="G18" s="11">
        <f>'KPI 1'!G18</f>
        <v>45901</v>
      </c>
      <c r="H18" s="11">
        <f>'KPI 1'!H18</f>
        <v>45931</v>
      </c>
      <c r="I18" s="11">
        <f>'KPI 1'!I18</f>
        <v>45962</v>
      </c>
      <c r="J18" s="11">
        <f>'KPI 1'!J18</f>
        <v>45992</v>
      </c>
      <c r="K18" s="11">
        <f>'KPI 1'!K18</f>
        <v>46023</v>
      </c>
      <c r="L18" s="11">
        <f>'KPI 1'!L18</f>
        <v>46054</v>
      </c>
      <c r="M18" s="11">
        <f>'KPI 1'!M18</f>
        <v>46082</v>
      </c>
      <c r="N18" s="11">
        <f>'KPI 1'!N18</f>
        <v>46113</v>
      </c>
      <c r="O18" s="11">
        <f>'KPI 1'!O18</f>
        <v>46143</v>
      </c>
      <c r="P18" s="11">
        <f>'KPI 1'!P18</f>
        <v>46174</v>
      </c>
      <c r="Q18" s="8" t="s">
        <v>0</v>
      </c>
    </row>
    <row r="19" spans="3:17" x14ac:dyDescent="0.35">
      <c r="D19" s="3" t="str">
        <f>'KPI 1'!D19</f>
        <v>Budget 2025-26</v>
      </c>
      <c r="E19" s="49">
        <f>'budget 2025-26'!D109</f>
        <v>13490.984942516672</v>
      </c>
      <c r="F19" s="49">
        <f>'budget 2025-26'!E109</f>
        <v>13575.264656221774</v>
      </c>
      <c r="G19" s="49">
        <f>'budget 2025-26'!F109</f>
        <v>13659.544369926876</v>
      </c>
      <c r="H19" s="49">
        <f>'budget 2025-26'!G109</f>
        <v>13743.824083631978</v>
      </c>
      <c r="I19" s="49">
        <f>'budget 2025-26'!H109</f>
        <v>13828.10379733708</v>
      </c>
      <c r="J19" s="49">
        <f>'budget 2025-26'!I109</f>
        <v>13912.383511042179</v>
      </c>
      <c r="K19" s="49">
        <f>'budget 2025-26'!J109</f>
        <v>13996.663224747281</v>
      </c>
      <c r="L19" s="49">
        <f>'budget 2025-26'!K109</f>
        <v>14080.942938452383</v>
      </c>
      <c r="M19" s="49">
        <f>'budget 2025-26'!L109</f>
        <v>14165.222652157485</v>
      </c>
      <c r="N19" s="49">
        <f>'budget 2025-26'!M109</f>
        <v>14249.502365862587</v>
      </c>
      <c r="O19" s="49">
        <f>'budget 2025-26'!N109</f>
        <v>14333.782079567689</v>
      </c>
      <c r="P19" s="49">
        <f>'budget 2025-26'!O109</f>
        <v>14418.061793272787</v>
      </c>
      <c r="Q19" s="5">
        <f>SUM(E19:P19)</f>
        <v>167454.2804147368</v>
      </c>
    </row>
    <row r="20" spans="3:17" x14ac:dyDescent="0.35">
      <c r="D20" s="3" t="str">
        <f>'KPI 1'!D20</f>
        <v>Actual 2025-26</v>
      </c>
      <c r="E20" s="49">
        <f>'Input Actual2025-26'!E112</f>
        <v>10344</v>
      </c>
      <c r="F20" s="49">
        <f>'Input Actual2025-26'!F112</f>
        <v>12199</v>
      </c>
      <c r="G20" s="49">
        <f>'Input Actual2025-26'!G112</f>
        <v>12554</v>
      </c>
      <c r="H20" s="49">
        <f>'Input Actual2025-26'!H112</f>
        <v>12843</v>
      </c>
      <c r="I20" s="49">
        <f>'Input Actual2025-26'!I112</f>
        <v>10930</v>
      </c>
      <c r="J20" s="49">
        <f>'Input Actual2025-26'!J112</f>
        <v>9805</v>
      </c>
      <c r="K20" s="49">
        <f>'Input Actual2025-26'!K112</f>
        <v>16301</v>
      </c>
      <c r="L20" s="49">
        <f>'Input Actual2025-26'!L112</f>
        <v>12061</v>
      </c>
      <c r="M20" s="49">
        <f>'Input Actual2025-26'!M112</f>
        <v>0</v>
      </c>
      <c r="N20" s="49">
        <f>'Input Actual2025-26'!N112</f>
        <v>0</v>
      </c>
      <c r="O20" s="49">
        <f>'Input Actual2025-26'!O112</f>
        <v>0</v>
      </c>
      <c r="P20" s="49">
        <f>'Input Actual2025-26'!P112</f>
        <v>0</v>
      </c>
      <c r="Q20" s="5">
        <f t="shared" ref="Q20:Q22" si="0">SUM(E20:P20)</f>
        <v>97037</v>
      </c>
    </row>
    <row r="21" spans="3:17" x14ac:dyDescent="0.35">
      <c r="D21" s="3" t="s">
        <v>424</v>
      </c>
      <c r="E21" s="49">
        <f>'Input Actual2024-25'!E105</f>
        <v>10925</v>
      </c>
      <c r="F21" s="49">
        <f>'Input Actual2024-25'!F105</f>
        <v>14744</v>
      </c>
      <c r="G21" s="49">
        <f>'Input Actual2024-25'!G105</f>
        <v>12771</v>
      </c>
      <c r="H21" s="49">
        <f>'Input Actual2024-25'!H105</f>
        <v>12933</v>
      </c>
      <c r="I21" s="49">
        <f>'Input Actual2024-25'!I105</f>
        <v>14236</v>
      </c>
      <c r="J21" s="49">
        <f>'Input Actual2024-25'!J105</f>
        <v>9726</v>
      </c>
      <c r="K21" s="49">
        <f>'Input Actual2024-25'!K105</f>
        <v>16508</v>
      </c>
      <c r="L21" s="49">
        <f>'Input Actual2024-25'!L105</f>
        <v>13532</v>
      </c>
      <c r="M21" s="49">
        <f>'Input Actual2024-25'!M105</f>
        <v>15434</v>
      </c>
      <c r="N21" s="49">
        <f>'Input Actual2024-25'!N105</f>
        <v>11461</v>
      </c>
      <c r="O21" s="49">
        <f>'Input Actual2024-25'!O105</f>
        <v>12714</v>
      </c>
      <c r="P21" s="49">
        <f>'Input Actual2024-25'!P105</f>
        <v>13254</v>
      </c>
      <c r="Q21" s="5">
        <f t="shared" si="0"/>
        <v>158238</v>
      </c>
    </row>
    <row r="22" spans="3:17" x14ac:dyDescent="0.35">
      <c r="D22" s="3" t="s">
        <v>7</v>
      </c>
      <c r="E22" s="5">
        <f t="shared" ref="E22:P22" si="1">IF(E20=0,0,E20-E19)</f>
        <v>-3146.9849425166722</v>
      </c>
      <c r="F22" s="5">
        <f t="shared" si="1"/>
        <v>-1376.2646562217742</v>
      </c>
      <c r="G22" s="5">
        <f t="shared" si="1"/>
        <v>-1105.5443699268762</v>
      </c>
      <c r="H22" s="5">
        <f t="shared" si="1"/>
        <v>-900.82408363197828</v>
      </c>
      <c r="I22" s="5">
        <f t="shared" si="1"/>
        <v>-2898.1037973370803</v>
      </c>
      <c r="J22" s="5">
        <f t="shared" si="1"/>
        <v>-4107.3835110421787</v>
      </c>
      <c r="K22" s="5">
        <f t="shared" si="1"/>
        <v>2304.3367752527192</v>
      </c>
      <c r="L22" s="5">
        <f t="shared" si="1"/>
        <v>-2019.9429384523828</v>
      </c>
      <c r="M22" s="5">
        <f t="shared" si="1"/>
        <v>0</v>
      </c>
      <c r="N22" s="5">
        <f t="shared" si="1"/>
        <v>0</v>
      </c>
      <c r="O22" s="5">
        <f t="shared" si="1"/>
        <v>0</v>
      </c>
      <c r="P22" s="5">
        <f t="shared" si="1"/>
        <v>0</v>
      </c>
      <c r="Q22" s="5">
        <f t="shared" si="0"/>
        <v>-13250.711523876224</v>
      </c>
    </row>
    <row r="23" spans="3:17" x14ac:dyDescent="0.35">
      <c r="D23" s="3" t="s">
        <v>43</v>
      </c>
      <c r="E23" s="9">
        <f>E21/E19</f>
        <v>0.80980002917133187</v>
      </c>
      <c r="F23" s="9">
        <f t="shared" ref="F23:P23" si="2">F20/F19</f>
        <v>0.89861968137829207</v>
      </c>
      <c r="G23" s="9">
        <f t="shared" si="2"/>
        <v>0.91906433040615432</v>
      </c>
      <c r="H23" s="9">
        <f t="shared" si="2"/>
        <v>0.9344560816443509</v>
      </c>
      <c r="I23" s="9">
        <f t="shared" si="2"/>
        <v>0.79041929104587882</v>
      </c>
      <c r="J23" s="9">
        <f t="shared" si="2"/>
        <v>0.70476780576224252</v>
      </c>
      <c r="K23" s="9">
        <f t="shared" si="2"/>
        <v>1.1646347231659084</v>
      </c>
      <c r="L23" s="9">
        <f t="shared" si="2"/>
        <v>0.856547750581653</v>
      </c>
      <c r="M23" s="9">
        <f t="shared" si="2"/>
        <v>0</v>
      </c>
      <c r="N23" s="9">
        <f t="shared" si="2"/>
        <v>0</v>
      </c>
      <c r="O23" s="9">
        <f t="shared" si="2"/>
        <v>0</v>
      </c>
      <c r="P23" s="9">
        <f t="shared" si="2"/>
        <v>0</v>
      </c>
    </row>
    <row r="25" spans="3:17" x14ac:dyDescent="0.35">
      <c r="C25" s="7" t="s">
        <v>3</v>
      </c>
      <c r="E25" s="11">
        <f>E18</f>
        <v>45839</v>
      </c>
      <c r="F25" s="11">
        <f t="shared" ref="F25:P25" si="3">F18</f>
        <v>45870</v>
      </c>
      <c r="G25" s="11">
        <f t="shared" si="3"/>
        <v>45901</v>
      </c>
      <c r="H25" s="11">
        <f t="shared" si="3"/>
        <v>45931</v>
      </c>
      <c r="I25" s="11">
        <f t="shared" si="3"/>
        <v>45962</v>
      </c>
      <c r="J25" s="11">
        <f t="shared" si="3"/>
        <v>45992</v>
      </c>
      <c r="K25" s="11">
        <f t="shared" si="3"/>
        <v>46023</v>
      </c>
      <c r="L25" s="11">
        <f t="shared" si="3"/>
        <v>46054</v>
      </c>
      <c r="M25" s="11">
        <f t="shared" si="3"/>
        <v>46082</v>
      </c>
      <c r="N25" s="11">
        <f t="shared" si="3"/>
        <v>46113</v>
      </c>
      <c r="O25" s="11">
        <f t="shared" si="3"/>
        <v>46143</v>
      </c>
      <c r="P25" s="11">
        <f t="shared" si="3"/>
        <v>46174</v>
      </c>
    </row>
    <row r="26" spans="3:17" x14ac:dyDescent="0.35">
      <c r="D26" s="3" t="str">
        <f>D19</f>
        <v>Budget 2025-26</v>
      </c>
      <c r="E26" s="5">
        <f>SUM($E19:E19)</f>
        <v>13490.984942516672</v>
      </c>
      <c r="F26" s="5">
        <f>SUM($E19:F19)</f>
        <v>27066.249598738446</v>
      </c>
      <c r="G26" s="5">
        <f>SUM($E19:G19)</f>
        <v>40725.793968665326</v>
      </c>
      <c r="H26" s="5">
        <f>SUM($E19:H19)</f>
        <v>54469.618052297301</v>
      </c>
      <c r="I26" s="5">
        <f>SUM($E19:I19)</f>
        <v>68297.721849634385</v>
      </c>
      <c r="J26" s="5">
        <f>SUM($E19:J19)</f>
        <v>82210.105360676564</v>
      </c>
      <c r="K26" s="5">
        <f>SUM($E19:K19)</f>
        <v>96206.768585423852</v>
      </c>
      <c r="L26" s="5">
        <f>SUM($E19:L19)</f>
        <v>110287.71152387623</v>
      </c>
      <c r="M26" s="5">
        <f>SUM($E19:M19)</f>
        <v>124452.93417603371</v>
      </c>
      <c r="N26" s="5">
        <f>SUM($E19:N19)</f>
        <v>138702.43654189631</v>
      </c>
      <c r="O26" s="5">
        <f>SUM($E19:O19)</f>
        <v>153036.21862146401</v>
      </c>
      <c r="P26" s="5">
        <f>SUM($E19:P19)</f>
        <v>167454.2804147368</v>
      </c>
    </row>
    <row r="27" spans="3:17" x14ac:dyDescent="0.35">
      <c r="D27" s="3" t="str">
        <f t="shared" ref="D27:D30" si="4">D20</f>
        <v>Actual 2025-26</v>
      </c>
      <c r="E27" s="5">
        <f>SUM($E20:E20)</f>
        <v>10344</v>
      </c>
      <c r="F27" s="5">
        <f>SUM($E20:F20)</f>
        <v>22543</v>
      </c>
      <c r="G27" s="5">
        <f>SUM($E20:G20)</f>
        <v>35097</v>
      </c>
      <c r="H27" s="5">
        <f>SUM($E20:H20)</f>
        <v>47940</v>
      </c>
      <c r="I27" s="5">
        <f>SUM($E20:I20)</f>
        <v>58870</v>
      </c>
      <c r="J27" s="5">
        <f>SUM($E20:J20)</f>
        <v>68675</v>
      </c>
      <c r="K27" s="5">
        <f>SUM($E20:K20)</f>
        <v>84976</v>
      </c>
      <c r="L27" s="5">
        <f>SUM($E20:L20)</f>
        <v>97037</v>
      </c>
      <c r="M27" s="5">
        <f>SUM($E20:M20)</f>
        <v>97037</v>
      </c>
      <c r="N27" s="5">
        <f>SUM($E20:N20)</f>
        <v>97037</v>
      </c>
      <c r="O27" s="5">
        <f>SUM($E20:O20)</f>
        <v>97037</v>
      </c>
      <c r="P27" s="5">
        <f>SUM($E20:P20)</f>
        <v>97037</v>
      </c>
    </row>
    <row r="28" spans="3:17" x14ac:dyDescent="0.35">
      <c r="D28" s="3" t="str">
        <f t="shared" si="4"/>
        <v>Actual 2024-25</v>
      </c>
      <c r="E28" s="5">
        <f>SUM($E21:E21)</f>
        <v>10925</v>
      </c>
      <c r="F28" s="5">
        <f>SUM($E21:F21)</f>
        <v>25669</v>
      </c>
      <c r="G28" s="5">
        <f>SUM($E21:G21)</f>
        <v>38440</v>
      </c>
      <c r="H28" s="5">
        <f>SUM($E21:H21)</f>
        <v>51373</v>
      </c>
      <c r="I28" s="5">
        <f>SUM($E21:I21)</f>
        <v>65609</v>
      </c>
      <c r="J28" s="5">
        <f>SUM($E21:J21)</f>
        <v>75335</v>
      </c>
      <c r="K28" s="5">
        <f>SUM($E21:K21)</f>
        <v>91843</v>
      </c>
      <c r="L28" s="5">
        <f>SUM($E21:L21)</f>
        <v>105375</v>
      </c>
      <c r="M28" s="5">
        <f>SUM($E21:M21)</f>
        <v>120809</v>
      </c>
      <c r="N28" s="5">
        <f>SUM($E21:N21)</f>
        <v>132270</v>
      </c>
      <c r="O28" s="5">
        <f>SUM($E21:O21)</f>
        <v>144984</v>
      </c>
      <c r="P28" s="5">
        <f>SUM($E21:P21)</f>
        <v>158238</v>
      </c>
    </row>
    <row r="29" spans="3:17" x14ac:dyDescent="0.35">
      <c r="D29" s="3" t="str">
        <f t="shared" si="4"/>
        <v>Difference</v>
      </c>
      <c r="E29" s="5">
        <f>SUM($E22:E22)</f>
        <v>-3146.9849425166722</v>
      </c>
      <c r="F29" s="5">
        <f>SUM($E22:F22)</f>
        <v>-4523.2495987384464</v>
      </c>
      <c r="G29" s="5">
        <f>SUM($E22:G22)</f>
        <v>-5628.7939686653226</v>
      </c>
      <c r="H29" s="5">
        <f>SUM($E22:H22)</f>
        <v>-6529.6180522973009</v>
      </c>
      <c r="I29" s="5">
        <f>SUM($E22:I22)</f>
        <v>-9427.7218496343812</v>
      </c>
      <c r="J29" s="5">
        <f>SUM($E22:J22)</f>
        <v>-13535.10536067656</v>
      </c>
      <c r="K29" s="5">
        <f>SUM($E22:K22)</f>
        <v>-11230.768585423841</v>
      </c>
      <c r="L29" s="5">
        <f>SUM($E22:L22)</f>
        <v>-13250.711523876224</v>
      </c>
      <c r="M29" s="5">
        <f>SUM($E22:M22)</f>
        <v>-13250.711523876224</v>
      </c>
      <c r="N29" s="5">
        <f>SUM($E22:N22)</f>
        <v>-13250.711523876224</v>
      </c>
      <c r="O29" s="5">
        <f>SUM($E22:O22)</f>
        <v>-13250.711523876224</v>
      </c>
      <c r="P29" s="5">
        <f>SUM($E22:P22)</f>
        <v>-13250.711523876224</v>
      </c>
    </row>
    <row r="30" spans="3:17" x14ac:dyDescent="0.35">
      <c r="D30" s="3" t="str">
        <f t="shared" si="4"/>
        <v>Realisation</v>
      </c>
      <c r="E30" s="9">
        <f>E28/E26</f>
        <v>0.80980002917133187</v>
      </c>
      <c r="F30" s="9">
        <f t="shared" ref="F30:P30" si="5">F27/F26</f>
        <v>0.83288229193935781</v>
      </c>
      <c r="G30" s="9">
        <f t="shared" si="5"/>
        <v>0.86178798692061953</v>
      </c>
      <c r="H30" s="9">
        <f t="shared" si="5"/>
        <v>0.88012366736208625</v>
      </c>
      <c r="I30" s="9">
        <f t="shared" si="5"/>
        <v>0.86196140084451656</v>
      </c>
      <c r="J30" s="9">
        <f t="shared" si="5"/>
        <v>0.83535959111967284</v>
      </c>
      <c r="K30" s="9">
        <f t="shared" si="5"/>
        <v>0.88326425728090185</v>
      </c>
      <c r="L30" s="9">
        <f t="shared" si="5"/>
        <v>0.87985323713052488</v>
      </c>
      <c r="M30" s="9">
        <f t="shared" si="5"/>
        <v>0.77970841461033802</v>
      </c>
      <c r="N30" s="9">
        <f t="shared" si="5"/>
        <v>0.69960559035088832</v>
      </c>
      <c r="O30" s="9">
        <f t="shared" si="5"/>
        <v>0.63407865715776468</v>
      </c>
      <c r="P30" s="9">
        <f t="shared" si="5"/>
        <v>0.5794835447601987</v>
      </c>
    </row>
  </sheetData>
  <mergeCells count="2">
    <mergeCell ref="J4:Q8"/>
    <mergeCell ref="J10:Q15"/>
  </mergeCells>
  <conditionalFormatting sqref="C3">
    <cfRule type="expression" dxfId="275" priority="2">
      <formula>S4&lt;S6</formula>
    </cfRule>
  </conditionalFormatting>
  <conditionalFormatting sqref="C5">
    <cfRule type="expression" dxfId="274" priority="3">
      <formula>S4&gt;=S5</formula>
    </cfRule>
  </conditionalFormatting>
  <conditionalFormatting sqref="C4">
    <cfRule type="expression" dxfId="273" priority="1">
      <formula>AND(S4&gt;=S6,S4&lt;S5)</formula>
    </cfRule>
  </conditionalFormatting>
  <hyperlinks>
    <hyperlink ref="L1" location="Dashboard!A1" display="Dashboard"/>
  </hyperlinks>
  <pageMargins left="0.7" right="0.7" top="0.75" bottom="0.75" header="0.3" footer="0.3"/>
  <pageSetup orientation="portrait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20929" r:id="rId4" name="Spinner 1">
              <controlPr defaultSize="0" autoPict="0">
                <anchor moveWithCells="1" sizeWithCells="1">
                  <from>
                    <xdr:col>9</xdr:col>
                    <xdr:colOff>19050</xdr:colOff>
                    <xdr:row>0</xdr:row>
                    <xdr:rowOff>38100</xdr:rowOff>
                  </from>
                  <to>
                    <xdr:col>9</xdr:col>
                    <xdr:colOff>400050</xdr:colOff>
                    <xdr:row>1</xdr:row>
                    <xdr:rowOff>152400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10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86">
    <tabColor rgb="FFFFC000"/>
  </sheetPr>
  <dimension ref="A1:S30"/>
  <sheetViews>
    <sheetView zoomScale="90" zoomScaleNormal="90" workbookViewId="0">
      <selection activeCell="L1" sqref="L1"/>
    </sheetView>
  </sheetViews>
  <sheetFormatPr defaultColWidth="9.1796875" defaultRowHeight="14.5" x14ac:dyDescent="0.35"/>
  <cols>
    <col min="1" max="1" width="9.1796875" style="3"/>
    <col min="2" max="2" width="5.1796875" style="3" customWidth="1"/>
    <col min="3" max="3" width="6.26953125" style="3" customWidth="1"/>
    <col min="4" max="4" width="21.26953125" style="3" bestFit="1" customWidth="1"/>
    <col min="5" max="16" width="11.1796875" style="3" customWidth="1"/>
    <col min="17" max="17" width="12" style="3" bestFit="1" customWidth="1"/>
    <col min="18" max="18" width="9.1796875" style="3" customWidth="1"/>
    <col min="19" max="16384" width="9.1796875" style="3"/>
  </cols>
  <sheetData>
    <row r="1" spans="1:19" ht="21" x14ac:dyDescent="0.5">
      <c r="A1" s="4" t="s">
        <v>4</v>
      </c>
      <c r="B1" s="4">
        <f>Dashboard!A117</f>
        <v>4</v>
      </c>
      <c r="C1" s="4" t="str">
        <f>Dashboard!B117</f>
        <v>SITE - WATER(M3)</v>
      </c>
      <c r="D1" s="4"/>
      <c r="G1" s="3" t="s">
        <v>9</v>
      </c>
      <c r="I1" s="12">
        <f>INDEX($E$18:$P$18,Actual_month)</f>
        <v>46054</v>
      </c>
      <c r="L1" s="16" t="s">
        <v>19</v>
      </c>
      <c r="R1" s="5"/>
    </row>
    <row r="2" spans="1:19" x14ac:dyDescent="0.35">
      <c r="A2" s="3" t="s">
        <v>13</v>
      </c>
      <c r="C2" s="3" t="s">
        <v>27</v>
      </c>
      <c r="R2" s="6"/>
    </row>
    <row r="3" spans="1:19" ht="25.5" customHeight="1" thickBot="1" x14ac:dyDescent="0.4">
      <c r="C3" s="1" t="s">
        <v>5</v>
      </c>
      <c r="E3" s="10"/>
      <c r="F3" s="10"/>
      <c r="G3" s="10"/>
      <c r="H3" s="10"/>
      <c r="I3" s="10"/>
      <c r="J3" s="3" t="s">
        <v>6</v>
      </c>
      <c r="K3" s="10"/>
      <c r="M3" s="10"/>
      <c r="N3" s="10"/>
      <c r="O3" s="10"/>
      <c r="P3" s="10"/>
    </row>
    <row r="4" spans="1:19" ht="25.5" customHeight="1" x14ac:dyDescent="0.35">
      <c r="C4" s="1" t="s">
        <v>5</v>
      </c>
      <c r="E4" s="10"/>
      <c r="F4" s="10"/>
      <c r="G4" s="10"/>
      <c r="H4" s="10"/>
      <c r="I4" s="10"/>
      <c r="J4" s="401"/>
      <c r="K4" s="402"/>
      <c r="L4" s="402"/>
      <c r="M4" s="402"/>
      <c r="N4" s="402"/>
      <c r="O4" s="402"/>
      <c r="P4" s="402"/>
      <c r="Q4" s="403"/>
      <c r="R4" s="3" t="s">
        <v>22</v>
      </c>
      <c r="S4" s="5">
        <f>INDEX(E27:P27,Actual_month)</f>
        <v>82306</v>
      </c>
    </row>
    <row r="5" spans="1:19" ht="25.5" customHeight="1" x14ac:dyDescent="0.35">
      <c r="C5" s="1" t="s">
        <v>5</v>
      </c>
      <c r="E5" s="10"/>
      <c r="F5" s="10"/>
      <c r="G5" s="10"/>
      <c r="H5" s="10"/>
      <c r="I5" s="10"/>
      <c r="J5" s="404"/>
      <c r="K5" s="405"/>
      <c r="L5" s="405"/>
      <c r="M5" s="405"/>
      <c r="N5" s="405"/>
      <c r="O5" s="405"/>
      <c r="P5" s="405"/>
      <c r="Q5" s="406"/>
      <c r="R5" s="3" t="s">
        <v>23</v>
      </c>
      <c r="S5" s="5">
        <f>INDEX(E26:P26,Actual_month)</f>
        <v>86236.369726028264</v>
      </c>
    </row>
    <row r="6" spans="1:19" x14ac:dyDescent="0.35">
      <c r="J6" s="404"/>
      <c r="K6" s="405"/>
      <c r="L6" s="405"/>
      <c r="M6" s="405"/>
      <c r="N6" s="405"/>
      <c r="O6" s="405"/>
      <c r="P6" s="405"/>
      <c r="Q6" s="406"/>
      <c r="R6" s="6">
        <v>0.9</v>
      </c>
      <c r="S6" s="5">
        <f>+S5*R6</f>
        <v>77612.732753425444</v>
      </c>
    </row>
    <row r="7" spans="1:19" x14ac:dyDescent="0.35">
      <c r="J7" s="404"/>
      <c r="K7" s="405"/>
      <c r="L7" s="405"/>
      <c r="M7" s="405"/>
      <c r="N7" s="405"/>
      <c r="O7" s="405"/>
      <c r="P7" s="405"/>
      <c r="Q7" s="406"/>
    </row>
    <row r="8" spans="1:19" ht="15" thickBot="1" x14ac:dyDescent="0.4">
      <c r="J8" s="407"/>
      <c r="K8" s="408"/>
      <c r="L8" s="408"/>
      <c r="M8" s="408"/>
      <c r="N8" s="408"/>
      <c r="O8" s="408"/>
      <c r="P8" s="408"/>
      <c r="Q8" s="409"/>
    </row>
    <row r="9" spans="1:19" ht="15" thickBot="1" x14ac:dyDescent="0.4">
      <c r="J9" s="3" t="s">
        <v>12</v>
      </c>
    </row>
    <row r="10" spans="1:19" x14ac:dyDescent="0.35">
      <c r="J10" s="401"/>
      <c r="K10" s="402"/>
      <c r="L10" s="402"/>
      <c r="M10" s="402"/>
      <c r="N10" s="402"/>
      <c r="O10" s="402"/>
      <c r="P10" s="402"/>
      <c r="Q10" s="403"/>
    </row>
    <row r="11" spans="1:19" x14ac:dyDescent="0.35">
      <c r="J11" s="404"/>
      <c r="K11" s="405"/>
      <c r="L11" s="405"/>
      <c r="M11" s="405"/>
      <c r="N11" s="405"/>
      <c r="O11" s="405"/>
      <c r="P11" s="405"/>
      <c r="Q11" s="406"/>
    </row>
    <row r="12" spans="1:19" x14ac:dyDescent="0.35">
      <c r="J12" s="404"/>
      <c r="K12" s="405"/>
      <c r="L12" s="405"/>
      <c r="M12" s="405"/>
      <c r="N12" s="405"/>
      <c r="O12" s="405"/>
      <c r="P12" s="405"/>
      <c r="Q12" s="406"/>
    </row>
    <row r="13" spans="1:19" x14ac:dyDescent="0.35">
      <c r="J13" s="404"/>
      <c r="K13" s="405"/>
      <c r="L13" s="405"/>
      <c r="M13" s="405"/>
      <c r="N13" s="405"/>
      <c r="O13" s="405"/>
      <c r="P13" s="405"/>
      <c r="Q13" s="406"/>
    </row>
    <row r="14" spans="1:19" x14ac:dyDescent="0.35">
      <c r="J14" s="404"/>
      <c r="K14" s="405"/>
      <c r="L14" s="405"/>
      <c r="M14" s="405"/>
      <c r="N14" s="405"/>
      <c r="O14" s="405"/>
      <c r="P14" s="405"/>
      <c r="Q14" s="406"/>
    </row>
    <row r="15" spans="1:19" ht="15" thickBot="1" x14ac:dyDescent="0.4">
      <c r="J15" s="407"/>
      <c r="K15" s="408"/>
      <c r="L15" s="408"/>
      <c r="M15" s="408"/>
      <c r="N15" s="408"/>
      <c r="O15" s="408"/>
      <c r="P15" s="408"/>
      <c r="Q15" s="409"/>
    </row>
    <row r="18" spans="3:17" x14ac:dyDescent="0.35">
      <c r="C18" s="7" t="s">
        <v>8</v>
      </c>
      <c r="E18" s="11">
        <f>'KPI 1'!E18</f>
        <v>45839</v>
      </c>
      <c r="F18" s="11">
        <f>'KPI 1'!F18</f>
        <v>45870</v>
      </c>
      <c r="G18" s="11">
        <f>'KPI 1'!G18</f>
        <v>45901</v>
      </c>
      <c r="H18" s="11">
        <f>'KPI 1'!H18</f>
        <v>45931</v>
      </c>
      <c r="I18" s="11">
        <f>'KPI 1'!I18</f>
        <v>45962</v>
      </c>
      <c r="J18" s="11">
        <f>'KPI 1'!J18</f>
        <v>45992</v>
      </c>
      <c r="K18" s="11">
        <f>'KPI 1'!K18</f>
        <v>46023</v>
      </c>
      <c r="L18" s="11">
        <f>'KPI 1'!L18</f>
        <v>46054</v>
      </c>
      <c r="M18" s="11">
        <f>'KPI 1'!M18</f>
        <v>46082</v>
      </c>
      <c r="N18" s="11">
        <f>'KPI 1'!N18</f>
        <v>46113</v>
      </c>
      <c r="O18" s="11">
        <f>'KPI 1'!O18</f>
        <v>46143</v>
      </c>
      <c r="P18" s="11">
        <f>'KPI 1'!P18</f>
        <v>46174</v>
      </c>
      <c r="Q18" s="8" t="s">
        <v>0</v>
      </c>
    </row>
    <row r="19" spans="3:17" x14ac:dyDescent="0.35">
      <c r="D19" s="3" t="str">
        <f>'KPI 1'!D19</f>
        <v>Budget 2025-26</v>
      </c>
      <c r="E19" s="49">
        <f>'budget 2025-26'!D110</f>
        <v>10726.763520129374</v>
      </c>
      <c r="F19" s="49">
        <f>'budget 2025-26'!E110</f>
        <v>10741.844290307705</v>
      </c>
      <c r="G19" s="49">
        <f>'budget 2025-26'!F110</f>
        <v>10756.925060486035</v>
      </c>
      <c r="H19" s="49">
        <f>'budget 2025-26'!G110</f>
        <v>10772.005830664366</v>
      </c>
      <c r="I19" s="49">
        <f>'budget 2025-26'!H110</f>
        <v>10787.086600842696</v>
      </c>
      <c r="J19" s="49">
        <f>'budget 2025-26'!I110</f>
        <v>10802.167371021029</v>
      </c>
      <c r="K19" s="49">
        <f>'budget 2025-26'!J110</f>
        <v>10817.248141199361</v>
      </c>
      <c r="L19" s="49">
        <f>'budget 2025-26'!K110</f>
        <v>10832.328911377692</v>
      </c>
      <c r="M19" s="49">
        <f>'budget 2025-26'!L110</f>
        <v>10847.409681556022</v>
      </c>
      <c r="N19" s="49">
        <f>'budget 2025-26'!M110</f>
        <v>10862.490451734353</v>
      </c>
      <c r="O19" s="49">
        <f>'budget 2025-26'!N110</f>
        <v>10877.571221912684</v>
      </c>
      <c r="P19" s="49">
        <f>'budget 2025-26'!O110</f>
        <v>10892.651992091016</v>
      </c>
      <c r="Q19" s="5">
        <f>SUM(E19:P19)</f>
        <v>129716.49307332234</v>
      </c>
    </row>
    <row r="20" spans="3:17" x14ac:dyDescent="0.35">
      <c r="D20" s="3" t="str">
        <f>'KPI 1'!D20</f>
        <v>Actual 2025-26</v>
      </c>
      <c r="E20" s="49">
        <f>'Input Actual2025-26'!E113</f>
        <v>9053</v>
      </c>
      <c r="F20" s="49">
        <f>'Input Actual2025-26'!F113</f>
        <v>10669</v>
      </c>
      <c r="G20" s="49">
        <f>'Input Actual2025-26'!G113</f>
        <v>10732</v>
      </c>
      <c r="H20" s="49">
        <f>'Input Actual2025-26'!H113</f>
        <v>11020</v>
      </c>
      <c r="I20" s="49">
        <f>'Input Actual2025-26'!I113</f>
        <v>9629</v>
      </c>
      <c r="J20" s="49">
        <f>'Input Actual2025-26'!J113</f>
        <v>7701</v>
      </c>
      <c r="K20" s="49">
        <f>'Input Actual2025-26'!K113</f>
        <v>13327</v>
      </c>
      <c r="L20" s="49">
        <f>'Input Actual2025-26'!L113</f>
        <v>10175</v>
      </c>
      <c r="M20" s="49">
        <f>'Input Actual2025-26'!M113</f>
        <v>0</v>
      </c>
      <c r="N20" s="49">
        <f>'Input Actual2025-26'!N113</f>
        <v>0</v>
      </c>
      <c r="O20" s="49">
        <f>'Input Actual2025-26'!O113</f>
        <v>0</v>
      </c>
      <c r="P20" s="49">
        <f>'Input Actual2025-26'!P113</f>
        <v>0</v>
      </c>
      <c r="Q20" s="5">
        <f t="shared" ref="Q20:Q22" si="0">SUM(E20:P20)</f>
        <v>82306</v>
      </c>
    </row>
    <row r="21" spans="3:17" x14ac:dyDescent="0.35">
      <c r="D21" s="3" t="s">
        <v>424</v>
      </c>
      <c r="E21" s="49">
        <f>'Input Actual2024-25'!E106</f>
        <v>9865</v>
      </c>
      <c r="F21" s="49">
        <f>'Input Actual2024-25'!F106</f>
        <v>11182</v>
      </c>
      <c r="G21" s="49">
        <f>'Input Actual2024-25'!G106</f>
        <v>9917</v>
      </c>
      <c r="H21" s="49">
        <f>'Input Actual2024-25'!H106</f>
        <v>10893</v>
      </c>
      <c r="I21" s="49">
        <f>'Input Actual2024-25'!I106</f>
        <v>10729</v>
      </c>
      <c r="J21" s="49">
        <f>'Input Actual2024-25'!J106</f>
        <v>7857</v>
      </c>
      <c r="K21" s="49">
        <f>'Input Actual2024-25'!K106</f>
        <v>13498</v>
      </c>
      <c r="L21" s="49">
        <f>'Input Actual2024-25'!L106</f>
        <v>10409</v>
      </c>
      <c r="M21" s="49">
        <f>'Input Actual2024-25'!M106</f>
        <v>12309</v>
      </c>
      <c r="N21" s="49">
        <f>'Input Actual2024-25'!N106</f>
        <v>9620</v>
      </c>
      <c r="O21" s="49">
        <f>'Input Actual2024-25'!O106</f>
        <v>10093</v>
      </c>
      <c r="P21" s="49">
        <f>'Input Actual2024-25'!P106</f>
        <v>10844</v>
      </c>
      <c r="Q21" s="5">
        <f t="shared" si="0"/>
        <v>127216</v>
      </c>
    </row>
    <row r="22" spans="3:17" x14ac:dyDescent="0.35">
      <c r="D22" s="3" t="s">
        <v>7</v>
      </c>
      <c r="E22" s="5">
        <f t="shared" ref="E22:P22" si="1">IF(E20=0,0,E20-E19)</f>
        <v>-1673.7635201293742</v>
      </c>
      <c r="F22" s="5">
        <f t="shared" si="1"/>
        <v>-72.844290307704796</v>
      </c>
      <c r="G22" s="5">
        <f t="shared" si="1"/>
        <v>-24.925060486035363</v>
      </c>
      <c r="H22" s="5">
        <f t="shared" si="1"/>
        <v>247.99416933563407</v>
      </c>
      <c r="I22" s="5">
        <f t="shared" si="1"/>
        <v>-1158.0866008426965</v>
      </c>
      <c r="J22" s="5">
        <f t="shared" si="1"/>
        <v>-3101.1673710210289</v>
      </c>
      <c r="K22" s="5">
        <f t="shared" si="1"/>
        <v>2509.7518588006387</v>
      </c>
      <c r="L22" s="5">
        <f t="shared" si="1"/>
        <v>-657.32891137769184</v>
      </c>
      <c r="M22" s="5">
        <f t="shared" si="1"/>
        <v>0</v>
      </c>
      <c r="N22" s="5">
        <f t="shared" si="1"/>
        <v>0</v>
      </c>
      <c r="O22" s="5">
        <f t="shared" si="1"/>
        <v>0</v>
      </c>
      <c r="P22" s="5">
        <f t="shared" si="1"/>
        <v>0</v>
      </c>
      <c r="Q22" s="5">
        <f t="shared" si="0"/>
        <v>-3930.3697260282588</v>
      </c>
    </row>
    <row r="23" spans="3:17" x14ac:dyDescent="0.35">
      <c r="D23" s="3" t="s">
        <v>43</v>
      </c>
      <c r="E23" s="9">
        <f>E21/E19</f>
        <v>0.9196622990231651</v>
      </c>
      <c r="F23" s="9">
        <f t="shared" ref="F23:P23" si="2">F20/F19</f>
        <v>0.99321864213080879</v>
      </c>
      <c r="G23" s="9">
        <f t="shared" si="2"/>
        <v>0.99768288239009917</v>
      </c>
      <c r="H23" s="9">
        <f t="shared" si="2"/>
        <v>1.0230220975771918</v>
      </c>
      <c r="I23" s="9">
        <f t="shared" si="2"/>
        <v>0.89264139209263182</v>
      </c>
      <c r="J23" s="9">
        <f t="shared" si="2"/>
        <v>0.71291248649409655</v>
      </c>
      <c r="K23" s="9">
        <f t="shared" si="2"/>
        <v>1.2320138935559604</v>
      </c>
      <c r="L23" s="9">
        <f t="shared" si="2"/>
        <v>0.93931785890592101</v>
      </c>
      <c r="M23" s="9">
        <f t="shared" si="2"/>
        <v>0</v>
      </c>
      <c r="N23" s="9">
        <f t="shared" si="2"/>
        <v>0</v>
      </c>
      <c r="O23" s="9">
        <f t="shared" si="2"/>
        <v>0</v>
      </c>
      <c r="P23" s="9">
        <f t="shared" si="2"/>
        <v>0</v>
      </c>
    </row>
    <row r="25" spans="3:17" x14ac:dyDescent="0.35">
      <c r="C25" s="7" t="s">
        <v>3</v>
      </c>
      <c r="E25" s="11">
        <f>E18</f>
        <v>45839</v>
      </c>
      <c r="F25" s="11">
        <f t="shared" ref="F25:P25" si="3">F18</f>
        <v>45870</v>
      </c>
      <c r="G25" s="11">
        <f t="shared" si="3"/>
        <v>45901</v>
      </c>
      <c r="H25" s="11">
        <f t="shared" si="3"/>
        <v>45931</v>
      </c>
      <c r="I25" s="11">
        <f t="shared" si="3"/>
        <v>45962</v>
      </c>
      <c r="J25" s="11">
        <f t="shared" si="3"/>
        <v>45992</v>
      </c>
      <c r="K25" s="11">
        <f t="shared" si="3"/>
        <v>46023</v>
      </c>
      <c r="L25" s="11">
        <f t="shared" si="3"/>
        <v>46054</v>
      </c>
      <c r="M25" s="11">
        <f t="shared" si="3"/>
        <v>46082</v>
      </c>
      <c r="N25" s="11">
        <f t="shared" si="3"/>
        <v>46113</v>
      </c>
      <c r="O25" s="11">
        <f t="shared" si="3"/>
        <v>46143</v>
      </c>
      <c r="P25" s="11">
        <f t="shared" si="3"/>
        <v>46174</v>
      </c>
    </row>
    <row r="26" spans="3:17" x14ac:dyDescent="0.35">
      <c r="D26" s="3" t="str">
        <f>D19</f>
        <v>Budget 2025-26</v>
      </c>
      <c r="E26" s="5">
        <f>SUM($E19:E19)</f>
        <v>10726.763520129374</v>
      </c>
      <c r="F26" s="5">
        <f>SUM($E19:F19)</f>
        <v>21468.607810437079</v>
      </c>
      <c r="G26" s="5">
        <f>SUM($E19:G19)</f>
        <v>32225.532870923114</v>
      </c>
      <c r="H26" s="5">
        <f>SUM($E19:H19)</f>
        <v>42997.53870158748</v>
      </c>
      <c r="I26" s="5">
        <f>SUM($E19:I19)</f>
        <v>53784.625302430177</v>
      </c>
      <c r="J26" s="5">
        <f>SUM($E19:J19)</f>
        <v>64586.792673451208</v>
      </c>
      <c r="K26" s="5">
        <f>SUM($E19:K19)</f>
        <v>75404.040814650565</v>
      </c>
      <c r="L26" s="5">
        <f>SUM($E19:L19)</f>
        <v>86236.369726028264</v>
      </c>
      <c r="M26" s="5">
        <f>SUM($E19:M19)</f>
        <v>97083.779407584283</v>
      </c>
      <c r="N26" s="5">
        <f>SUM($E19:N19)</f>
        <v>107946.26985931864</v>
      </c>
      <c r="O26" s="5">
        <f>SUM($E19:O19)</f>
        <v>118823.84108123132</v>
      </c>
      <c r="P26" s="5">
        <f>SUM($E19:P19)</f>
        <v>129716.49307332234</v>
      </c>
    </row>
    <row r="27" spans="3:17" x14ac:dyDescent="0.35">
      <c r="D27" s="3" t="str">
        <f t="shared" ref="D27:D30" si="4">D20</f>
        <v>Actual 2025-26</v>
      </c>
      <c r="E27" s="5">
        <f>SUM($E20:E20)</f>
        <v>9053</v>
      </c>
      <c r="F27" s="5">
        <f>SUM($E20:F20)</f>
        <v>19722</v>
      </c>
      <c r="G27" s="5">
        <f>SUM($E20:G20)</f>
        <v>30454</v>
      </c>
      <c r="H27" s="5">
        <f>SUM($E20:H20)</f>
        <v>41474</v>
      </c>
      <c r="I27" s="5">
        <f>SUM($E20:I20)</f>
        <v>51103</v>
      </c>
      <c r="J27" s="5">
        <f>SUM($E20:J20)</f>
        <v>58804</v>
      </c>
      <c r="K27" s="5">
        <f>SUM($E20:K20)</f>
        <v>72131</v>
      </c>
      <c r="L27" s="5">
        <f>SUM($E20:L20)</f>
        <v>82306</v>
      </c>
      <c r="M27" s="5">
        <f>SUM($E20:M20)</f>
        <v>82306</v>
      </c>
      <c r="N27" s="5">
        <f>SUM($E20:N20)</f>
        <v>82306</v>
      </c>
      <c r="O27" s="5">
        <f>SUM($E20:O20)</f>
        <v>82306</v>
      </c>
      <c r="P27" s="5">
        <f>SUM($E20:P20)</f>
        <v>82306</v>
      </c>
    </row>
    <row r="28" spans="3:17" x14ac:dyDescent="0.35">
      <c r="D28" s="3" t="str">
        <f t="shared" si="4"/>
        <v>Actual 2024-25</v>
      </c>
      <c r="E28" s="5">
        <f>SUM($E21:E21)</f>
        <v>9865</v>
      </c>
      <c r="F28" s="5">
        <f>SUM($E21:F21)</f>
        <v>21047</v>
      </c>
      <c r="G28" s="5">
        <f>SUM($E21:G21)</f>
        <v>30964</v>
      </c>
      <c r="H28" s="5">
        <f>SUM($E21:H21)</f>
        <v>41857</v>
      </c>
      <c r="I28" s="5">
        <f>SUM($E21:I21)</f>
        <v>52586</v>
      </c>
      <c r="J28" s="5">
        <f>SUM($E21:J21)</f>
        <v>60443</v>
      </c>
      <c r="K28" s="5">
        <f>SUM($E21:K21)</f>
        <v>73941</v>
      </c>
      <c r="L28" s="5">
        <f>SUM($E21:L21)</f>
        <v>84350</v>
      </c>
      <c r="M28" s="5">
        <f>SUM($E21:M21)</f>
        <v>96659</v>
      </c>
      <c r="N28" s="5">
        <f>SUM($E21:N21)</f>
        <v>106279</v>
      </c>
      <c r="O28" s="5">
        <f>SUM($E21:O21)</f>
        <v>116372</v>
      </c>
      <c r="P28" s="5">
        <f>SUM($E21:P21)</f>
        <v>127216</v>
      </c>
    </row>
    <row r="29" spans="3:17" x14ac:dyDescent="0.35">
      <c r="D29" s="3" t="str">
        <f t="shared" si="4"/>
        <v>Difference</v>
      </c>
      <c r="E29" s="5">
        <f>SUM($E22:E22)</f>
        <v>-1673.7635201293742</v>
      </c>
      <c r="F29" s="5">
        <f>SUM($E22:F22)</f>
        <v>-1746.607810437079</v>
      </c>
      <c r="G29" s="5">
        <f>SUM($E22:G22)</f>
        <v>-1771.5328709231144</v>
      </c>
      <c r="H29" s="5">
        <f>SUM($E22:H22)</f>
        <v>-1523.5387015874803</v>
      </c>
      <c r="I29" s="5">
        <f>SUM($E22:I22)</f>
        <v>-2681.6253024301768</v>
      </c>
      <c r="J29" s="5">
        <f>SUM($E22:J22)</f>
        <v>-5782.7926734512057</v>
      </c>
      <c r="K29" s="5">
        <f>SUM($E22:K22)</f>
        <v>-3273.040814650567</v>
      </c>
      <c r="L29" s="5">
        <f>SUM($E22:L22)</f>
        <v>-3930.3697260282588</v>
      </c>
      <c r="M29" s="5">
        <f>SUM($E22:M22)</f>
        <v>-3930.3697260282588</v>
      </c>
      <c r="N29" s="5">
        <f>SUM($E22:N22)</f>
        <v>-3930.3697260282588</v>
      </c>
      <c r="O29" s="5">
        <f>SUM($E22:O22)</f>
        <v>-3930.3697260282588</v>
      </c>
      <c r="P29" s="5">
        <f>SUM($E22:P22)</f>
        <v>-3930.3697260282588</v>
      </c>
    </row>
    <row r="30" spans="3:17" x14ac:dyDescent="0.35">
      <c r="D30" s="3" t="str">
        <f t="shared" si="4"/>
        <v>Realisation</v>
      </c>
      <c r="E30" s="9">
        <f>E28/E26</f>
        <v>0.9196622990231651</v>
      </c>
      <c r="F30" s="9">
        <f t="shared" ref="F30:P30" si="5">F27/F26</f>
        <v>0.91864363884890776</v>
      </c>
      <c r="G30" s="9">
        <f t="shared" si="5"/>
        <v>0.94502704181746655</v>
      </c>
      <c r="H30" s="9">
        <f t="shared" si="5"/>
        <v>0.96456683922860842</v>
      </c>
      <c r="I30" s="9">
        <f t="shared" si="5"/>
        <v>0.9501414151841453</v>
      </c>
      <c r="J30" s="9">
        <f t="shared" si="5"/>
        <v>0.91046478027344035</v>
      </c>
      <c r="K30" s="9">
        <f t="shared" si="5"/>
        <v>0.9565932968672598</v>
      </c>
      <c r="L30" s="9">
        <f t="shared" si="5"/>
        <v>0.95442329334461784</v>
      </c>
      <c r="M30" s="9">
        <f t="shared" si="5"/>
        <v>0.84778322910624315</v>
      </c>
      <c r="N30" s="9">
        <f t="shared" si="5"/>
        <v>0.76247192336766789</v>
      </c>
      <c r="O30" s="9">
        <f t="shared" si="5"/>
        <v>0.69267244057304378</v>
      </c>
      <c r="P30" s="9">
        <f t="shared" si="5"/>
        <v>0.63450682368876921</v>
      </c>
    </row>
  </sheetData>
  <mergeCells count="2">
    <mergeCell ref="J4:Q8"/>
    <mergeCell ref="J10:Q15"/>
  </mergeCells>
  <conditionalFormatting sqref="C3">
    <cfRule type="expression" dxfId="272" priority="2">
      <formula>S4&lt;S6</formula>
    </cfRule>
  </conditionalFormatting>
  <conditionalFormatting sqref="C5">
    <cfRule type="expression" dxfId="271" priority="3">
      <formula>S4&gt;=S5</formula>
    </cfRule>
  </conditionalFormatting>
  <conditionalFormatting sqref="C4">
    <cfRule type="expression" dxfId="270" priority="1">
      <formula>AND(S4&gt;=S6,S4&lt;S5)</formula>
    </cfRule>
  </conditionalFormatting>
  <hyperlinks>
    <hyperlink ref="L1" location="Dashboard!A1" display="Dashboard"/>
  </hyperlinks>
  <pageMargins left="0.7" right="0.7" top="0.75" bottom="0.75" header="0.3" footer="0.3"/>
  <pageSetup orientation="portrait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21953" r:id="rId4" name="Spinner 1">
              <controlPr defaultSize="0" autoPict="0">
                <anchor moveWithCells="1" sizeWithCells="1">
                  <from>
                    <xdr:col>9</xdr:col>
                    <xdr:colOff>19050</xdr:colOff>
                    <xdr:row>0</xdr:row>
                    <xdr:rowOff>38100</xdr:rowOff>
                  </from>
                  <to>
                    <xdr:col>9</xdr:col>
                    <xdr:colOff>400050</xdr:colOff>
                    <xdr:row>1</xdr:row>
                    <xdr:rowOff>152400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10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87">
    <tabColor rgb="FFFFC000"/>
  </sheetPr>
  <dimension ref="A1:S30"/>
  <sheetViews>
    <sheetView zoomScale="90" zoomScaleNormal="90" workbookViewId="0">
      <selection activeCell="L1" sqref="L1"/>
    </sheetView>
  </sheetViews>
  <sheetFormatPr defaultColWidth="9.1796875" defaultRowHeight="14.5" x14ac:dyDescent="0.35"/>
  <cols>
    <col min="1" max="1" width="9.1796875" style="3"/>
    <col min="2" max="2" width="5.1796875" style="3" customWidth="1"/>
    <col min="3" max="3" width="6.26953125" style="3" customWidth="1"/>
    <col min="4" max="4" width="21.26953125" style="3" bestFit="1" customWidth="1"/>
    <col min="5" max="16" width="11.1796875" style="3" customWidth="1"/>
    <col min="17" max="17" width="12" style="3" bestFit="1" customWidth="1"/>
    <col min="18" max="18" width="9.1796875" style="3" customWidth="1"/>
    <col min="19" max="16384" width="9.1796875" style="3"/>
  </cols>
  <sheetData>
    <row r="1" spans="1:19" ht="21" x14ac:dyDescent="0.5">
      <c r="A1" s="4" t="s">
        <v>4</v>
      </c>
      <c r="B1" s="4">
        <f>Dashboard!A118</f>
        <v>5</v>
      </c>
      <c r="C1" s="4" t="str">
        <f>Dashboard!B118</f>
        <v>KIHOTO - WATER(M3)</v>
      </c>
      <c r="D1" s="4"/>
      <c r="G1" s="3" t="s">
        <v>9</v>
      </c>
      <c r="I1" s="12">
        <f>INDEX($E$18:$P$18,Actual_month)</f>
        <v>46054</v>
      </c>
      <c r="L1" s="16" t="s">
        <v>19</v>
      </c>
      <c r="R1" s="5"/>
    </row>
    <row r="2" spans="1:19" x14ac:dyDescent="0.35">
      <c r="A2" s="3" t="s">
        <v>13</v>
      </c>
      <c r="C2" s="3" t="s">
        <v>27</v>
      </c>
      <c r="R2" s="6"/>
    </row>
    <row r="3" spans="1:19" ht="25.5" customHeight="1" thickBot="1" x14ac:dyDescent="0.4">
      <c r="C3" s="1" t="s">
        <v>5</v>
      </c>
      <c r="E3" s="10"/>
      <c r="F3" s="10"/>
      <c r="G3" s="10"/>
      <c r="H3" s="10"/>
      <c r="I3" s="10"/>
      <c r="J3" s="3" t="s">
        <v>6</v>
      </c>
      <c r="K3" s="10"/>
      <c r="M3" s="10"/>
      <c r="N3" s="10"/>
      <c r="O3" s="10"/>
      <c r="P3" s="10"/>
    </row>
    <row r="4" spans="1:19" ht="25.5" customHeight="1" x14ac:dyDescent="0.35">
      <c r="C4" s="1" t="s">
        <v>5</v>
      </c>
      <c r="E4" s="10"/>
      <c r="F4" s="10"/>
      <c r="G4" s="10"/>
      <c r="H4" s="10"/>
      <c r="I4" s="10"/>
      <c r="J4" s="401"/>
      <c r="K4" s="402"/>
      <c r="L4" s="402"/>
      <c r="M4" s="402"/>
      <c r="N4" s="402"/>
      <c r="O4" s="402"/>
      <c r="P4" s="402"/>
      <c r="Q4" s="403"/>
      <c r="R4" s="3" t="s">
        <v>22</v>
      </c>
      <c r="S4" s="5">
        <f>INDEX(E27:P27,Actual_month)</f>
        <v>12025</v>
      </c>
    </row>
    <row r="5" spans="1:19" ht="25.5" customHeight="1" x14ac:dyDescent="0.35">
      <c r="C5" s="1" t="s">
        <v>5</v>
      </c>
      <c r="E5" s="10"/>
      <c r="F5" s="10"/>
      <c r="G5" s="10"/>
      <c r="H5" s="10"/>
      <c r="I5" s="10"/>
      <c r="J5" s="404"/>
      <c r="K5" s="405"/>
      <c r="L5" s="405"/>
      <c r="M5" s="405"/>
      <c r="N5" s="405"/>
      <c r="O5" s="405"/>
      <c r="P5" s="405"/>
      <c r="Q5" s="406"/>
      <c r="R5" s="3" t="s">
        <v>23</v>
      </c>
      <c r="S5" s="5">
        <f>INDEX(E26:P26,Actual_month)</f>
        <v>14669.460072267388</v>
      </c>
    </row>
    <row r="6" spans="1:19" x14ac:dyDescent="0.35">
      <c r="J6" s="404"/>
      <c r="K6" s="405"/>
      <c r="L6" s="405"/>
      <c r="M6" s="405"/>
      <c r="N6" s="405"/>
      <c r="O6" s="405"/>
      <c r="P6" s="405"/>
      <c r="Q6" s="406"/>
      <c r="R6" s="6">
        <v>0.9</v>
      </c>
      <c r="S6" s="5">
        <f>+S5*R6</f>
        <v>13202.514065040648</v>
      </c>
    </row>
    <row r="7" spans="1:19" x14ac:dyDescent="0.35">
      <c r="J7" s="404"/>
      <c r="K7" s="405"/>
      <c r="L7" s="405"/>
      <c r="M7" s="405"/>
      <c r="N7" s="405"/>
      <c r="O7" s="405"/>
      <c r="P7" s="405"/>
      <c r="Q7" s="406"/>
    </row>
    <row r="8" spans="1:19" ht="15" thickBot="1" x14ac:dyDescent="0.4">
      <c r="J8" s="407"/>
      <c r="K8" s="408"/>
      <c r="L8" s="408"/>
      <c r="M8" s="408"/>
      <c r="N8" s="408"/>
      <c r="O8" s="408"/>
      <c r="P8" s="408"/>
      <c r="Q8" s="409"/>
    </row>
    <row r="9" spans="1:19" ht="15" thickBot="1" x14ac:dyDescent="0.4">
      <c r="J9" s="3" t="s">
        <v>12</v>
      </c>
    </row>
    <row r="10" spans="1:19" x14ac:dyDescent="0.35">
      <c r="J10" s="401"/>
      <c r="K10" s="402"/>
      <c r="L10" s="402"/>
      <c r="M10" s="402"/>
      <c r="N10" s="402"/>
      <c r="O10" s="402"/>
      <c r="P10" s="402"/>
      <c r="Q10" s="403"/>
    </row>
    <row r="11" spans="1:19" x14ac:dyDescent="0.35">
      <c r="J11" s="404"/>
      <c r="K11" s="405"/>
      <c r="L11" s="405"/>
      <c r="M11" s="405"/>
      <c r="N11" s="405"/>
      <c r="O11" s="405"/>
      <c r="P11" s="405"/>
      <c r="Q11" s="406"/>
    </row>
    <row r="12" spans="1:19" x14ac:dyDescent="0.35">
      <c r="J12" s="404"/>
      <c r="K12" s="405"/>
      <c r="L12" s="405"/>
      <c r="M12" s="405"/>
      <c r="N12" s="405"/>
      <c r="O12" s="405"/>
      <c r="P12" s="405"/>
      <c r="Q12" s="406"/>
    </row>
    <row r="13" spans="1:19" x14ac:dyDescent="0.35">
      <c r="J13" s="404"/>
      <c r="K13" s="405"/>
      <c r="L13" s="405"/>
      <c r="M13" s="405"/>
      <c r="N13" s="405"/>
      <c r="O13" s="405"/>
      <c r="P13" s="405"/>
      <c r="Q13" s="406"/>
    </row>
    <row r="14" spans="1:19" x14ac:dyDescent="0.35">
      <c r="J14" s="404"/>
      <c r="K14" s="405"/>
      <c r="L14" s="405"/>
      <c r="M14" s="405"/>
      <c r="N14" s="405"/>
      <c r="O14" s="405"/>
      <c r="P14" s="405"/>
      <c r="Q14" s="406"/>
    </row>
    <row r="15" spans="1:19" ht="15" thickBot="1" x14ac:dyDescent="0.4">
      <c r="J15" s="407"/>
      <c r="K15" s="408"/>
      <c r="L15" s="408"/>
      <c r="M15" s="408"/>
      <c r="N15" s="408"/>
      <c r="O15" s="408"/>
      <c r="P15" s="408"/>
      <c r="Q15" s="409"/>
    </row>
    <row r="18" spans="3:17" x14ac:dyDescent="0.35">
      <c r="C18" s="7" t="s">
        <v>8</v>
      </c>
      <c r="E18" s="11">
        <f>'KPI 1'!E18</f>
        <v>45839</v>
      </c>
      <c r="F18" s="11">
        <f>'KPI 1'!F18</f>
        <v>45870</v>
      </c>
      <c r="G18" s="11">
        <f>'KPI 1'!G18</f>
        <v>45901</v>
      </c>
      <c r="H18" s="11">
        <f>'KPI 1'!H18</f>
        <v>45931</v>
      </c>
      <c r="I18" s="11">
        <f>'KPI 1'!I18</f>
        <v>45962</v>
      </c>
      <c r="J18" s="11">
        <f>'KPI 1'!J18</f>
        <v>45992</v>
      </c>
      <c r="K18" s="11">
        <f>'KPI 1'!K18</f>
        <v>46023</v>
      </c>
      <c r="L18" s="11">
        <f>'KPI 1'!L18</f>
        <v>46054</v>
      </c>
      <c r="M18" s="11">
        <f>'KPI 1'!M18</f>
        <v>46082</v>
      </c>
      <c r="N18" s="11">
        <f>'KPI 1'!N18</f>
        <v>46113</v>
      </c>
      <c r="O18" s="11">
        <f>'KPI 1'!O18</f>
        <v>46143</v>
      </c>
      <c r="P18" s="11">
        <f>'KPI 1'!P18</f>
        <v>46174</v>
      </c>
      <c r="Q18" s="8" t="s">
        <v>0</v>
      </c>
    </row>
    <row r="19" spans="3:17" x14ac:dyDescent="0.35">
      <c r="D19" s="3" t="str">
        <f>'KPI 1'!D19</f>
        <v>Budget 2025-26</v>
      </c>
      <c r="E19" s="49">
        <f>'budget 2025-26'!D111</f>
        <v>1799.1930442637758</v>
      </c>
      <c r="F19" s="49">
        <f>'budget 2025-26'!E111</f>
        <v>1809.0471770551037</v>
      </c>
      <c r="G19" s="49">
        <f>'budget 2025-26'!F111</f>
        <v>1818.9013098464316</v>
      </c>
      <c r="H19" s="49">
        <f>'budget 2025-26'!G111</f>
        <v>1828.7554426377596</v>
      </c>
      <c r="I19" s="49">
        <f>'budget 2025-26'!H111</f>
        <v>1838.6095754290875</v>
      </c>
      <c r="J19" s="49">
        <f>'budget 2025-26'!I111</f>
        <v>1848.4637082204154</v>
      </c>
      <c r="K19" s="49">
        <f>'budget 2025-26'!J111</f>
        <v>1858.3178410117434</v>
      </c>
      <c r="L19" s="49">
        <f>'budget 2025-26'!K111</f>
        <v>1868.1719738030713</v>
      </c>
      <c r="M19" s="49">
        <f>'budget 2025-26'!L111</f>
        <v>1878.0261065943992</v>
      </c>
      <c r="N19" s="49">
        <f>'budget 2025-26'!M111</f>
        <v>1887.8802393857272</v>
      </c>
      <c r="O19" s="49">
        <f>'budget 2025-26'!N111</f>
        <v>1897.7343721770551</v>
      </c>
      <c r="P19" s="49">
        <f>'budget 2025-26'!O111</f>
        <v>1907.5885049683829</v>
      </c>
      <c r="Q19" s="5">
        <f>SUM(E19:P19)</f>
        <v>22240.689295392949</v>
      </c>
    </row>
    <row r="20" spans="3:17" x14ac:dyDescent="0.35">
      <c r="D20" s="3" t="str">
        <f>'KPI 1'!D20</f>
        <v>Actual 2025-26</v>
      </c>
      <c r="E20" s="49">
        <f>'Input Actual2025-26'!E114</f>
        <v>1822</v>
      </c>
      <c r="F20" s="49">
        <f>'Input Actual2025-26'!F114</f>
        <v>1673</v>
      </c>
      <c r="G20" s="49">
        <f>'Input Actual2025-26'!G114</f>
        <v>1626</v>
      </c>
      <c r="H20" s="49">
        <f>'Input Actual2025-26'!H114</f>
        <v>1739</v>
      </c>
      <c r="I20" s="49">
        <f>'Input Actual2025-26'!I114</f>
        <v>652</v>
      </c>
      <c r="J20" s="49">
        <f>'Input Actual2025-26'!J114</f>
        <v>1172</v>
      </c>
      <c r="K20" s="49">
        <f>'Input Actual2025-26'!K114</f>
        <v>1766</v>
      </c>
      <c r="L20" s="49">
        <f>'Input Actual2025-26'!L114</f>
        <v>1575</v>
      </c>
      <c r="M20" s="49">
        <f>'Input Actual2025-26'!M114</f>
        <v>0</v>
      </c>
      <c r="N20" s="49">
        <f>'Input Actual2025-26'!N114</f>
        <v>0</v>
      </c>
      <c r="O20" s="49">
        <f>'Input Actual2025-26'!O114</f>
        <v>0</v>
      </c>
      <c r="P20" s="49">
        <f>'Input Actual2025-26'!P114</f>
        <v>0</v>
      </c>
      <c r="Q20" s="5">
        <f t="shared" ref="Q20:Q22" si="0">SUM(E20:P20)</f>
        <v>12025</v>
      </c>
    </row>
    <row r="21" spans="3:17" x14ac:dyDescent="0.35">
      <c r="D21" s="3" t="s">
        <v>424</v>
      </c>
      <c r="E21" s="49">
        <f>'Input Actual2024-25'!E107</f>
        <v>1669</v>
      </c>
      <c r="F21" s="49">
        <f>'Input Actual2024-25'!F107</f>
        <v>2107</v>
      </c>
      <c r="G21" s="49">
        <f>'Input Actual2024-25'!G107</f>
        <v>1833</v>
      </c>
      <c r="H21" s="49">
        <f>'Input Actual2024-25'!H107</f>
        <v>1662</v>
      </c>
      <c r="I21" s="49">
        <f>'Input Actual2024-25'!I107</f>
        <v>1795</v>
      </c>
      <c r="J21" s="49">
        <f>'Input Actual2024-25'!J107</f>
        <v>1023</v>
      </c>
      <c r="K21" s="49">
        <f>'Input Actual2024-25'!K107</f>
        <v>2526</v>
      </c>
      <c r="L21" s="49">
        <f>'Input Actual2024-25'!L107</f>
        <v>1808</v>
      </c>
      <c r="M21" s="49">
        <f>'Input Actual2024-25'!M107</f>
        <v>2118</v>
      </c>
      <c r="N21" s="49">
        <f>'Input Actual2024-25'!N107</f>
        <v>1486</v>
      </c>
      <c r="O21" s="49">
        <f>'Input Actual2024-25'!O107</f>
        <v>1589</v>
      </c>
      <c r="P21" s="49">
        <f>'Input Actual2024-25'!P107</f>
        <v>2031</v>
      </c>
      <c r="Q21" s="5">
        <f t="shared" si="0"/>
        <v>21647</v>
      </c>
    </row>
    <row r="22" spans="3:17" x14ac:dyDescent="0.35">
      <c r="D22" s="3" t="s">
        <v>7</v>
      </c>
      <c r="E22" s="5">
        <f t="shared" ref="E22:P22" si="1">IF(E20=0,0,E20-E19)</f>
        <v>22.806955736224154</v>
      </c>
      <c r="F22" s="5">
        <f t="shared" si="1"/>
        <v>-136.0471770551037</v>
      </c>
      <c r="G22" s="5">
        <f t="shared" si="1"/>
        <v>-192.90130984643156</v>
      </c>
      <c r="H22" s="5">
        <f t="shared" si="1"/>
        <v>-89.755442637759643</v>
      </c>
      <c r="I22" s="5">
        <f t="shared" si="1"/>
        <v>-1186.6095754290875</v>
      </c>
      <c r="J22" s="5">
        <f t="shared" si="1"/>
        <v>-676.46370822041536</v>
      </c>
      <c r="K22" s="5">
        <f t="shared" si="1"/>
        <v>-92.31784101174344</v>
      </c>
      <c r="L22" s="5">
        <f t="shared" si="1"/>
        <v>-293.1719738030713</v>
      </c>
      <c r="M22" s="5">
        <f t="shared" si="1"/>
        <v>0</v>
      </c>
      <c r="N22" s="5">
        <f t="shared" si="1"/>
        <v>0</v>
      </c>
      <c r="O22" s="5">
        <f t="shared" si="1"/>
        <v>0</v>
      </c>
      <c r="P22" s="5">
        <f t="shared" si="1"/>
        <v>0</v>
      </c>
      <c r="Q22" s="5">
        <f t="shared" si="0"/>
        <v>-2644.4600722673886</v>
      </c>
    </row>
    <row r="23" spans="3:17" x14ac:dyDescent="0.35">
      <c r="D23" s="3" t="s">
        <v>43</v>
      </c>
      <c r="E23" s="9">
        <f>E21/E19</f>
        <v>0.92763809048792178</v>
      </c>
      <c r="F23" s="9">
        <f t="shared" ref="F23:P23" si="2">F20/F19</f>
        <v>0.92479622489637281</v>
      </c>
      <c r="G23" s="9">
        <f t="shared" si="2"/>
        <v>0.89394624721958216</v>
      </c>
      <c r="H23" s="9">
        <f t="shared" si="2"/>
        <v>0.95091993136693109</v>
      </c>
      <c r="I23" s="9">
        <f t="shared" si="2"/>
        <v>0.35461579702033197</v>
      </c>
      <c r="J23" s="9">
        <f t="shared" si="2"/>
        <v>0.63404003810728204</v>
      </c>
      <c r="K23" s="9">
        <f t="shared" si="2"/>
        <v>0.95032182386976283</v>
      </c>
      <c r="L23" s="9">
        <f t="shared" si="2"/>
        <v>0.84307013598632685</v>
      </c>
      <c r="M23" s="9">
        <f t="shared" si="2"/>
        <v>0</v>
      </c>
      <c r="N23" s="9">
        <f t="shared" si="2"/>
        <v>0</v>
      </c>
      <c r="O23" s="9">
        <f t="shared" si="2"/>
        <v>0</v>
      </c>
      <c r="P23" s="9">
        <f t="shared" si="2"/>
        <v>0</v>
      </c>
    </row>
    <row r="25" spans="3:17" x14ac:dyDescent="0.35">
      <c r="C25" s="7" t="s">
        <v>3</v>
      </c>
      <c r="E25" s="11">
        <f>E18</f>
        <v>45839</v>
      </c>
      <c r="F25" s="11">
        <f t="shared" ref="F25:P25" si="3">F18</f>
        <v>45870</v>
      </c>
      <c r="G25" s="11">
        <f t="shared" si="3"/>
        <v>45901</v>
      </c>
      <c r="H25" s="11">
        <f t="shared" si="3"/>
        <v>45931</v>
      </c>
      <c r="I25" s="11">
        <f t="shared" si="3"/>
        <v>45962</v>
      </c>
      <c r="J25" s="11">
        <f t="shared" si="3"/>
        <v>45992</v>
      </c>
      <c r="K25" s="11">
        <f t="shared" si="3"/>
        <v>46023</v>
      </c>
      <c r="L25" s="11">
        <f t="shared" si="3"/>
        <v>46054</v>
      </c>
      <c r="M25" s="11">
        <f t="shared" si="3"/>
        <v>46082</v>
      </c>
      <c r="N25" s="11">
        <f t="shared" si="3"/>
        <v>46113</v>
      </c>
      <c r="O25" s="11">
        <f t="shared" si="3"/>
        <v>46143</v>
      </c>
      <c r="P25" s="11">
        <f t="shared" si="3"/>
        <v>46174</v>
      </c>
    </row>
    <row r="26" spans="3:17" x14ac:dyDescent="0.35">
      <c r="D26" s="3" t="str">
        <f>D19</f>
        <v>Budget 2025-26</v>
      </c>
      <c r="E26" s="5">
        <f>SUM($E19:E19)</f>
        <v>1799.1930442637758</v>
      </c>
      <c r="F26" s="5">
        <f>SUM($E19:F19)</f>
        <v>3608.2402213188798</v>
      </c>
      <c r="G26" s="5">
        <f>SUM($E19:G19)</f>
        <v>5427.1415311653109</v>
      </c>
      <c r="H26" s="5">
        <f>SUM($E19:H19)</f>
        <v>7255.8969738030701</v>
      </c>
      <c r="I26" s="5">
        <f>SUM($E19:I19)</f>
        <v>9094.5065492321573</v>
      </c>
      <c r="J26" s="5">
        <f>SUM($E19:J19)</f>
        <v>10942.970257452573</v>
      </c>
      <c r="K26" s="5">
        <f>SUM($E19:K19)</f>
        <v>12801.288098464316</v>
      </c>
      <c r="L26" s="5">
        <f>SUM($E19:L19)</f>
        <v>14669.460072267388</v>
      </c>
      <c r="M26" s="5">
        <f>SUM($E19:M19)</f>
        <v>16547.486178861785</v>
      </c>
      <c r="N26" s="5">
        <f>SUM($E19:N19)</f>
        <v>18435.366418247511</v>
      </c>
      <c r="O26" s="5">
        <f>SUM($E19:O19)</f>
        <v>20333.100790424567</v>
      </c>
      <c r="P26" s="5">
        <f>SUM($E19:P19)</f>
        <v>22240.689295392949</v>
      </c>
    </row>
    <row r="27" spans="3:17" x14ac:dyDescent="0.35">
      <c r="D27" s="3" t="str">
        <f t="shared" ref="D27:D30" si="4">D20</f>
        <v>Actual 2025-26</v>
      </c>
      <c r="E27" s="5">
        <f>SUM($E20:E20)</f>
        <v>1822</v>
      </c>
      <c r="F27" s="5">
        <f>SUM($E20:F20)</f>
        <v>3495</v>
      </c>
      <c r="G27" s="5">
        <f>SUM($E20:G20)</f>
        <v>5121</v>
      </c>
      <c r="H27" s="5">
        <f>SUM($E20:H20)</f>
        <v>6860</v>
      </c>
      <c r="I27" s="5">
        <f>SUM($E20:I20)</f>
        <v>7512</v>
      </c>
      <c r="J27" s="5">
        <f>SUM($E20:J20)</f>
        <v>8684</v>
      </c>
      <c r="K27" s="5">
        <f>SUM($E20:K20)</f>
        <v>10450</v>
      </c>
      <c r="L27" s="5">
        <f>SUM($E20:L20)</f>
        <v>12025</v>
      </c>
      <c r="M27" s="5">
        <f>SUM($E20:M20)</f>
        <v>12025</v>
      </c>
      <c r="N27" s="5">
        <f>SUM($E20:N20)</f>
        <v>12025</v>
      </c>
      <c r="O27" s="5">
        <f>SUM($E20:O20)</f>
        <v>12025</v>
      </c>
      <c r="P27" s="5">
        <f>SUM($E20:P20)</f>
        <v>12025</v>
      </c>
    </row>
    <row r="28" spans="3:17" x14ac:dyDescent="0.35">
      <c r="D28" s="3" t="str">
        <f t="shared" si="4"/>
        <v>Actual 2024-25</v>
      </c>
      <c r="E28" s="5">
        <f>SUM($E21:E21)</f>
        <v>1669</v>
      </c>
      <c r="F28" s="5">
        <f>SUM($E21:F21)</f>
        <v>3776</v>
      </c>
      <c r="G28" s="5">
        <f>SUM($E21:G21)</f>
        <v>5609</v>
      </c>
      <c r="H28" s="5">
        <f>SUM($E21:H21)</f>
        <v>7271</v>
      </c>
      <c r="I28" s="5">
        <f>SUM($E21:I21)</f>
        <v>9066</v>
      </c>
      <c r="J28" s="5">
        <f>SUM($E21:J21)</f>
        <v>10089</v>
      </c>
      <c r="K28" s="5">
        <f>SUM($E21:K21)</f>
        <v>12615</v>
      </c>
      <c r="L28" s="5">
        <f>SUM($E21:L21)</f>
        <v>14423</v>
      </c>
      <c r="M28" s="5">
        <f>SUM($E21:M21)</f>
        <v>16541</v>
      </c>
      <c r="N28" s="5">
        <f>SUM($E21:N21)</f>
        <v>18027</v>
      </c>
      <c r="O28" s="5">
        <f>SUM($E21:O21)</f>
        <v>19616</v>
      </c>
      <c r="P28" s="5">
        <f>SUM($E21:P21)</f>
        <v>21647</v>
      </c>
    </row>
    <row r="29" spans="3:17" x14ac:dyDescent="0.35">
      <c r="D29" s="3" t="str">
        <f t="shared" si="4"/>
        <v>Difference</v>
      </c>
      <c r="E29" s="5">
        <f>SUM($E22:E22)</f>
        <v>22.806955736224154</v>
      </c>
      <c r="F29" s="5">
        <f>SUM($E22:F22)</f>
        <v>-113.24022131887955</v>
      </c>
      <c r="G29" s="5">
        <f>SUM($E22:G22)</f>
        <v>-306.14153116531111</v>
      </c>
      <c r="H29" s="5">
        <f>SUM($E22:H22)</f>
        <v>-395.89697380307075</v>
      </c>
      <c r="I29" s="5">
        <f>SUM($E22:I22)</f>
        <v>-1582.5065492321582</v>
      </c>
      <c r="J29" s="5">
        <f>SUM($E22:J22)</f>
        <v>-2258.9702574525736</v>
      </c>
      <c r="K29" s="5">
        <f>SUM($E22:K22)</f>
        <v>-2351.288098464317</v>
      </c>
      <c r="L29" s="5">
        <f>SUM($E22:L22)</f>
        <v>-2644.4600722673886</v>
      </c>
      <c r="M29" s="5">
        <f>SUM($E22:M22)</f>
        <v>-2644.4600722673886</v>
      </c>
      <c r="N29" s="5">
        <f>SUM($E22:N22)</f>
        <v>-2644.4600722673886</v>
      </c>
      <c r="O29" s="5">
        <f>SUM($E22:O22)</f>
        <v>-2644.4600722673886</v>
      </c>
      <c r="P29" s="5">
        <f>SUM($E22:P22)</f>
        <v>-2644.4600722673886</v>
      </c>
    </row>
    <row r="30" spans="3:17" x14ac:dyDescent="0.35">
      <c r="D30" s="3" t="str">
        <f t="shared" si="4"/>
        <v>Realisation</v>
      </c>
      <c r="E30" s="9">
        <f>E28/E26</f>
        <v>0.92763809048792178</v>
      </c>
      <c r="F30" s="9">
        <f t="shared" ref="F30:P30" si="5">F27/F26</f>
        <v>0.9686162188842603</v>
      </c>
      <c r="G30" s="9">
        <f t="shared" si="5"/>
        <v>0.94359064907238999</v>
      </c>
      <c r="H30" s="9">
        <f t="shared" si="5"/>
        <v>0.94543790034058783</v>
      </c>
      <c r="I30" s="9">
        <f t="shared" si="5"/>
        <v>0.82599313765233728</v>
      </c>
      <c r="J30" s="9">
        <f t="shared" si="5"/>
        <v>0.79356882050244726</v>
      </c>
      <c r="K30" s="9">
        <f t="shared" si="5"/>
        <v>0.81632410110773268</v>
      </c>
      <c r="L30" s="9">
        <f t="shared" si="5"/>
        <v>0.81973023824736813</v>
      </c>
      <c r="M30" s="9">
        <f t="shared" si="5"/>
        <v>0.72669648247605523</v>
      </c>
      <c r="N30" s="9">
        <f t="shared" si="5"/>
        <v>0.6522788713381652</v>
      </c>
      <c r="O30" s="9">
        <f t="shared" si="5"/>
        <v>0.59140020619299305</v>
      </c>
      <c r="P30" s="9">
        <f t="shared" si="5"/>
        <v>0.54067568861235427</v>
      </c>
    </row>
  </sheetData>
  <mergeCells count="2">
    <mergeCell ref="J4:Q8"/>
    <mergeCell ref="J10:Q15"/>
  </mergeCells>
  <conditionalFormatting sqref="C3">
    <cfRule type="expression" dxfId="269" priority="2">
      <formula>S4&lt;S6</formula>
    </cfRule>
  </conditionalFormatting>
  <conditionalFormatting sqref="C5">
    <cfRule type="expression" dxfId="268" priority="3">
      <formula>S4&gt;=S5</formula>
    </cfRule>
  </conditionalFormatting>
  <conditionalFormatting sqref="C4">
    <cfRule type="expression" dxfId="267" priority="1">
      <formula>AND(S4&gt;=S6,S4&lt;S5)</formula>
    </cfRule>
  </conditionalFormatting>
  <hyperlinks>
    <hyperlink ref="L1" location="Dashboard!A1" display="Dashboard"/>
  </hyperlinks>
  <pageMargins left="0.7" right="0.7" top="0.75" bottom="0.75" header="0.3" footer="0.3"/>
  <pageSetup orientation="portrait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22977" r:id="rId4" name="Spinner 1">
              <controlPr defaultSize="0" autoPict="0">
                <anchor moveWithCells="1" sizeWithCells="1">
                  <from>
                    <xdr:col>9</xdr:col>
                    <xdr:colOff>19050</xdr:colOff>
                    <xdr:row>0</xdr:row>
                    <xdr:rowOff>38100</xdr:rowOff>
                  </from>
                  <to>
                    <xdr:col>9</xdr:col>
                    <xdr:colOff>400050</xdr:colOff>
                    <xdr:row>1</xdr:row>
                    <xdr:rowOff>152400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1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88">
    <tabColor rgb="FFFFC000"/>
  </sheetPr>
  <dimension ref="A1:S30"/>
  <sheetViews>
    <sheetView zoomScale="90" zoomScaleNormal="90" workbookViewId="0">
      <selection activeCell="L1" sqref="L1"/>
    </sheetView>
  </sheetViews>
  <sheetFormatPr defaultColWidth="9.1796875" defaultRowHeight="14.5" x14ac:dyDescent="0.35"/>
  <cols>
    <col min="1" max="1" width="9.1796875" style="3"/>
    <col min="2" max="2" width="5.1796875" style="3" customWidth="1"/>
    <col min="3" max="3" width="6.26953125" style="3" customWidth="1"/>
    <col min="4" max="4" width="21.26953125" style="3" bestFit="1" customWidth="1"/>
    <col min="5" max="16" width="11.1796875" style="3" customWidth="1"/>
    <col min="17" max="17" width="12" style="3" bestFit="1" customWidth="1"/>
    <col min="18" max="18" width="9.1796875" style="3" customWidth="1"/>
    <col min="19" max="16384" width="9.1796875" style="3"/>
  </cols>
  <sheetData>
    <row r="1" spans="1:19" ht="21" x14ac:dyDescent="0.5">
      <c r="A1" s="4" t="s">
        <v>4</v>
      </c>
      <c r="B1" s="4">
        <f>Dashboard!A121</f>
        <v>0</v>
      </c>
      <c r="C1" s="4" t="str">
        <f>Dashboard!B121</f>
        <v>TOTAL  - WATER(M3) CENTRAL REGION</v>
      </c>
      <c r="D1" s="4"/>
      <c r="G1" s="3" t="s">
        <v>9</v>
      </c>
      <c r="I1" s="12">
        <f>INDEX($E$18:$P$18,Actual_month)</f>
        <v>46054</v>
      </c>
      <c r="L1" s="16" t="s">
        <v>19</v>
      </c>
      <c r="R1" s="5"/>
    </row>
    <row r="2" spans="1:19" x14ac:dyDescent="0.35">
      <c r="A2" s="3" t="s">
        <v>13</v>
      </c>
      <c r="C2" s="3" t="s">
        <v>27</v>
      </c>
      <c r="R2" s="6"/>
    </row>
    <row r="3" spans="1:19" ht="25.5" customHeight="1" thickBot="1" x14ac:dyDescent="0.4">
      <c r="C3" s="1" t="s">
        <v>5</v>
      </c>
      <c r="E3" s="10"/>
      <c r="F3" s="10"/>
      <c r="G3" s="10"/>
      <c r="H3" s="10"/>
      <c r="I3" s="10"/>
      <c r="J3" s="3" t="s">
        <v>6</v>
      </c>
      <c r="K3" s="10"/>
      <c r="M3" s="10"/>
      <c r="N3" s="10"/>
      <c r="O3" s="10"/>
      <c r="P3" s="10"/>
    </row>
    <row r="4" spans="1:19" ht="25.5" customHeight="1" x14ac:dyDescent="0.35">
      <c r="C4" s="1" t="s">
        <v>5</v>
      </c>
      <c r="E4" s="10"/>
      <c r="F4" s="10"/>
      <c r="G4" s="10"/>
      <c r="H4" s="10"/>
      <c r="I4" s="10"/>
      <c r="J4" s="401"/>
      <c r="K4" s="402"/>
      <c r="L4" s="402"/>
      <c r="M4" s="402"/>
      <c r="N4" s="402"/>
      <c r="O4" s="402"/>
      <c r="P4" s="402"/>
      <c r="Q4" s="403"/>
      <c r="R4" s="3" t="s">
        <v>22</v>
      </c>
      <c r="S4" s="5">
        <f>INDEX(E27:P27,Actual_month)</f>
        <v>647518</v>
      </c>
    </row>
    <row r="5" spans="1:19" ht="25.5" customHeight="1" x14ac:dyDescent="0.35">
      <c r="C5" s="1" t="s">
        <v>5</v>
      </c>
      <c r="E5" s="10"/>
      <c r="F5" s="10"/>
      <c r="G5" s="10"/>
      <c r="H5" s="10"/>
      <c r="I5" s="10"/>
      <c r="J5" s="404"/>
      <c r="K5" s="405"/>
      <c r="L5" s="405"/>
      <c r="M5" s="405"/>
      <c r="N5" s="405"/>
      <c r="O5" s="405"/>
      <c r="P5" s="405"/>
      <c r="Q5" s="406"/>
      <c r="R5" s="3" t="s">
        <v>23</v>
      </c>
      <c r="S5" s="5">
        <f>INDEX(E26:P26,Actual_month)</f>
        <v>689333.08080845501</v>
      </c>
    </row>
    <row r="6" spans="1:19" x14ac:dyDescent="0.35">
      <c r="J6" s="404"/>
      <c r="K6" s="405"/>
      <c r="L6" s="405"/>
      <c r="M6" s="405"/>
      <c r="N6" s="405"/>
      <c r="O6" s="405"/>
      <c r="P6" s="405"/>
      <c r="Q6" s="406"/>
      <c r="R6" s="6">
        <v>0.9</v>
      </c>
      <c r="S6" s="5">
        <f>+S5*R6</f>
        <v>620399.7727276095</v>
      </c>
    </row>
    <row r="7" spans="1:19" x14ac:dyDescent="0.35">
      <c r="J7" s="404"/>
      <c r="K7" s="405"/>
      <c r="L7" s="405"/>
      <c r="M7" s="405"/>
      <c r="N7" s="405"/>
      <c r="O7" s="405"/>
      <c r="P7" s="405"/>
      <c r="Q7" s="406"/>
    </row>
    <row r="8" spans="1:19" ht="15" thickBot="1" x14ac:dyDescent="0.4">
      <c r="J8" s="407"/>
      <c r="K8" s="408"/>
      <c r="L8" s="408"/>
      <c r="M8" s="408"/>
      <c r="N8" s="408"/>
      <c r="O8" s="408"/>
      <c r="P8" s="408"/>
      <c r="Q8" s="409"/>
    </row>
    <row r="9" spans="1:19" ht="15" thickBot="1" x14ac:dyDescent="0.4">
      <c r="J9" s="3" t="s">
        <v>12</v>
      </c>
    </row>
    <row r="10" spans="1:19" x14ac:dyDescent="0.35">
      <c r="J10" s="401"/>
      <c r="K10" s="402"/>
      <c r="L10" s="402"/>
      <c r="M10" s="402"/>
      <c r="N10" s="402"/>
      <c r="O10" s="402"/>
      <c r="P10" s="402"/>
      <c r="Q10" s="403"/>
    </row>
    <row r="11" spans="1:19" x14ac:dyDescent="0.35">
      <c r="J11" s="404"/>
      <c r="K11" s="405"/>
      <c r="L11" s="405"/>
      <c r="M11" s="405"/>
      <c r="N11" s="405"/>
      <c r="O11" s="405"/>
      <c r="P11" s="405"/>
      <c r="Q11" s="406"/>
    </row>
    <row r="12" spans="1:19" x14ac:dyDescent="0.35">
      <c r="J12" s="404"/>
      <c r="K12" s="405"/>
      <c r="L12" s="405"/>
      <c r="M12" s="405"/>
      <c r="N12" s="405"/>
      <c r="O12" s="405"/>
      <c r="P12" s="405"/>
      <c r="Q12" s="406"/>
    </row>
    <row r="13" spans="1:19" x14ac:dyDescent="0.35">
      <c r="J13" s="404"/>
      <c r="K13" s="405"/>
      <c r="L13" s="405"/>
      <c r="M13" s="405"/>
      <c r="N13" s="405"/>
      <c r="O13" s="405"/>
      <c r="P13" s="405"/>
      <c r="Q13" s="406"/>
    </row>
    <row r="14" spans="1:19" x14ac:dyDescent="0.35">
      <c r="J14" s="404"/>
      <c r="K14" s="405"/>
      <c r="L14" s="405"/>
      <c r="M14" s="405"/>
      <c r="N14" s="405"/>
      <c r="O14" s="405"/>
      <c r="P14" s="405"/>
      <c r="Q14" s="406"/>
    </row>
    <row r="15" spans="1:19" ht="15" thickBot="1" x14ac:dyDescent="0.4">
      <c r="J15" s="407"/>
      <c r="K15" s="408"/>
      <c r="L15" s="408"/>
      <c r="M15" s="408"/>
      <c r="N15" s="408"/>
      <c r="O15" s="408"/>
      <c r="P15" s="408"/>
      <c r="Q15" s="409"/>
    </row>
    <row r="18" spans="3:17" x14ac:dyDescent="0.35">
      <c r="C18" s="7" t="s">
        <v>8</v>
      </c>
      <c r="E18" s="11">
        <f>'KPI 1'!E18</f>
        <v>45839</v>
      </c>
      <c r="F18" s="11">
        <f>'KPI 1'!F18</f>
        <v>45870</v>
      </c>
      <c r="G18" s="11">
        <f>'KPI 1'!G18</f>
        <v>45901</v>
      </c>
      <c r="H18" s="11">
        <f>'KPI 1'!H18</f>
        <v>45931</v>
      </c>
      <c r="I18" s="11">
        <f>'KPI 1'!I18</f>
        <v>45962</v>
      </c>
      <c r="J18" s="11">
        <f>'KPI 1'!J18</f>
        <v>45992</v>
      </c>
      <c r="K18" s="11">
        <f>'KPI 1'!K18</f>
        <v>46023</v>
      </c>
      <c r="L18" s="11">
        <f>'KPI 1'!L18</f>
        <v>46054</v>
      </c>
      <c r="M18" s="11">
        <f>'KPI 1'!M18</f>
        <v>46082</v>
      </c>
      <c r="N18" s="11">
        <f>'KPI 1'!N18</f>
        <v>46113</v>
      </c>
      <c r="O18" s="11">
        <f>'KPI 1'!O18</f>
        <v>46143</v>
      </c>
      <c r="P18" s="11">
        <f>'KPI 1'!P18</f>
        <v>46174</v>
      </c>
      <c r="Q18" s="8" t="s">
        <v>0</v>
      </c>
    </row>
    <row r="19" spans="3:17" x14ac:dyDescent="0.35">
      <c r="D19" s="3" t="str">
        <f>'KPI 1'!D19</f>
        <v>Budget 2025-26</v>
      </c>
      <c r="E19" s="49">
        <f>'budget 2025-26'!D114</f>
        <v>84480.117330274152</v>
      </c>
      <c r="F19" s="49">
        <f>'budget 2025-26'!E114</f>
        <v>84961.979550497796</v>
      </c>
      <c r="G19" s="49">
        <f>'budget 2025-26'!F114</f>
        <v>85443.841770721439</v>
      </c>
      <c r="H19" s="49">
        <f>'budget 2025-26'!G114</f>
        <v>85925.703990945069</v>
      </c>
      <c r="I19" s="49">
        <f>'budget 2025-26'!H114</f>
        <v>86407.566211168698</v>
      </c>
      <c r="J19" s="49">
        <f>'budget 2025-26'!I114</f>
        <v>86889.428431392327</v>
      </c>
      <c r="K19" s="49">
        <f>'budget 2025-26'!J114</f>
        <v>87371.290651615956</v>
      </c>
      <c r="L19" s="49">
        <f>'budget 2025-26'!K114</f>
        <v>87853.152871839586</v>
      </c>
      <c r="M19" s="49">
        <f>'budget 2025-26'!L114</f>
        <v>88335.015092063215</v>
      </c>
      <c r="N19" s="49">
        <f>'budget 2025-26'!M114</f>
        <v>88816.877312286844</v>
      </c>
      <c r="O19" s="49">
        <f>'budget 2025-26'!N114</f>
        <v>89298.739532510459</v>
      </c>
      <c r="P19" s="49">
        <f>'budget 2025-26'!O114</f>
        <v>89780.601752734117</v>
      </c>
      <c r="Q19" s="5">
        <f>SUM(E19:P19)</f>
        <v>1045564.3144980498</v>
      </c>
    </row>
    <row r="20" spans="3:17" x14ac:dyDescent="0.35">
      <c r="D20" s="3" t="str">
        <f>'KPI 1'!D20</f>
        <v>Actual 2025-26</v>
      </c>
      <c r="E20" s="49">
        <f>'Input Actual2025-26'!E117</f>
        <v>72362</v>
      </c>
      <c r="F20" s="49">
        <f>'Input Actual2025-26'!F117</f>
        <v>84589</v>
      </c>
      <c r="G20" s="49">
        <f>'Input Actual2025-26'!G117</f>
        <v>79590</v>
      </c>
      <c r="H20" s="49">
        <f>'Input Actual2025-26'!H117</f>
        <v>86302</v>
      </c>
      <c r="I20" s="49">
        <f>'Input Actual2025-26'!I117</f>
        <v>71945</v>
      </c>
      <c r="J20" s="49">
        <f>'Input Actual2025-26'!J117</f>
        <v>63233</v>
      </c>
      <c r="K20" s="49">
        <f>'Input Actual2025-26'!K117</f>
        <v>105898</v>
      </c>
      <c r="L20" s="49">
        <f>'Input Actual2025-26'!L117</f>
        <v>83599</v>
      </c>
      <c r="M20" s="49">
        <f>'Input Actual2025-26'!M117</f>
        <v>0</v>
      </c>
      <c r="N20" s="49">
        <f>'Input Actual2025-26'!N117</f>
        <v>0</v>
      </c>
      <c r="O20" s="49">
        <f>'Input Actual2025-26'!O117</f>
        <v>0</v>
      </c>
      <c r="P20" s="49">
        <f>'Input Actual2025-26'!P117</f>
        <v>0</v>
      </c>
      <c r="Q20" s="5">
        <f t="shared" ref="Q20:Q22" si="0">SUM(E20:P20)</f>
        <v>647518</v>
      </c>
    </row>
    <row r="21" spans="3:17" x14ac:dyDescent="0.35">
      <c r="D21" s="3" t="s">
        <v>424</v>
      </c>
      <c r="E21" s="49">
        <f>'Input Actual2024-25'!E110</f>
        <v>73301</v>
      </c>
      <c r="F21" s="49">
        <f>'Input Actual2024-25'!F110</f>
        <v>93670</v>
      </c>
      <c r="G21" s="49">
        <f>'Input Actual2024-25'!G110</f>
        <v>81216</v>
      </c>
      <c r="H21" s="49">
        <f>'Input Actual2024-25'!H110</f>
        <v>82720</v>
      </c>
      <c r="I21" s="49">
        <f>'Input Actual2024-25'!I110</f>
        <v>87303</v>
      </c>
      <c r="J21" s="49">
        <f>'Input Actual2024-25'!J110</f>
        <v>59040</v>
      </c>
      <c r="K21" s="49">
        <f>'Input Actual2024-25'!K110</f>
        <v>102175</v>
      </c>
      <c r="L21" s="49">
        <f>'Input Actual2024-25'!L110</f>
        <v>87484</v>
      </c>
      <c r="M21" s="49">
        <f>'Input Actual2024-25'!M110</f>
        <v>93536</v>
      </c>
      <c r="N21" s="49">
        <f>'Input Actual2024-25'!N110</f>
        <v>71595</v>
      </c>
      <c r="O21" s="49">
        <f>'Input Actual2024-25'!O110</f>
        <v>83166</v>
      </c>
      <c r="P21" s="49">
        <f>'Input Actual2024-25'!P110</f>
        <v>86204</v>
      </c>
      <c r="Q21" s="5">
        <f t="shared" si="0"/>
        <v>1001410</v>
      </c>
    </row>
    <row r="22" spans="3:17" x14ac:dyDescent="0.35">
      <c r="D22" s="3" t="s">
        <v>7</v>
      </c>
      <c r="E22" s="5">
        <f t="shared" ref="E22:P22" si="1">IF(E20=0,0,E20-E19)</f>
        <v>-12118.117330274152</v>
      </c>
      <c r="F22" s="5">
        <f t="shared" si="1"/>
        <v>-372.97955049779557</v>
      </c>
      <c r="G22" s="5">
        <f t="shared" si="1"/>
        <v>-5853.8417707214394</v>
      </c>
      <c r="H22" s="5">
        <f t="shared" si="1"/>
        <v>376.29600905493135</v>
      </c>
      <c r="I22" s="5">
        <f t="shared" si="1"/>
        <v>-14462.566211168698</v>
      </c>
      <c r="J22" s="5">
        <f t="shared" si="1"/>
        <v>-23656.428431392327</v>
      </c>
      <c r="K22" s="5">
        <f t="shared" si="1"/>
        <v>18526.709348384044</v>
      </c>
      <c r="L22" s="5">
        <f t="shared" si="1"/>
        <v>-4254.1528718395857</v>
      </c>
      <c r="M22" s="5">
        <f t="shared" si="1"/>
        <v>0</v>
      </c>
      <c r="N22" s="5">
        <f t="shared" si="1"/>
        <v>0</v>
      </c>
      <c r="O22" s="5">
        <f t="shared" si="1"/>
        <v>0</v>
      </c>
      <c r="P22" s="5">
        <f t="shared" si="1"/>
        <v>0</v>
      </c>
      <c r="Q22" s="5">
        <f t="shared" si="0"/>
        <v>-41815.080808455023</v>
      </c>
    </row>
    <row r="23" spans="3:17" x14ac:dyDescent="0.35">
      <c r="D23" s="3" t="s">
        <v>43</v>
      </c>
      <c r="E23" s="9">
        <f>E21/E19</f>
        <v>0.86767161690164907</v>
      </c>
      <c r="F23" s="9">
        <f t="shared" ref="F23:P23" si="2">F20/F19</f>
        <v>0.99561004166250489</v>
      </c>
      <c r="G23" s="9">
        <f t="shared" si="2"/>
        <v>0.93148901489671376</v>
      </c>
      <c r="H23" s="9">
        <f t="shared" si="2"/>
        <v>1.004379318313116</v>
      </c>
      <c r="I23" s="9">
        <f t="shared" si="2"/>
        <v>0.83262384481673635</v>
      </c>
      <c r="J23" s="9">
        <f t="shared" si="2"/>
        <v>0.72774100533908581</v>
      </c>
      <c r="K23" s="9">
        <f t="shared" si="2"/>
        <v>1.2120457327597161</v>
      </c>
      <c r="L23" s="9">
        <f t="shared" si="2"/>
        <v>0.9515765486749741</v>
      </c>
      <c r="M23" s="9">
        <f t="shared" si="2"/>
        <v>0</v>
      </c>
      <c r="N23" s="9">
        <f t="shared" si="2"/>
        <v>0</v>
      </c>
      <c r="O23" s="9">
        <f t="shared" si="2"/>
        <v>0</v>
      </c>
      <c r="P23" s="9">
        <f t="shared" si="2"/>
        <v>0</v>
      </c>
    </row>
    <row r="25" spans="3:17" x14ac:dyDescent="0.35">
      <c r="C25" s="7" t="s">
        <v>3</v>
      </c>
      <c r="E25" s="11">
        <f>E18</f>
        <v>45839</v>
      </c>
      <c r="F25" s="11">
        <f t="shared" ref="F25:P25" si="3">F18</f>
        <v>45870</v>
      </c>
      <c r="G25" s="11">
        <f t="shared" si="3"/>
        <v>45901</v>
      </c>
      <c r="H25" s="11">
        <f t="shared" si="3"/>
        <v>45931</v>
      </c>
      <c r="I25" s="11">
        <f t="shared" si="3"/>
        <v>45962</v>
      </c>
      <c r="J25" s="11">
        <f t="shared" si="3"/>
        <v>45992</v>
      </c>
      <c r="K25" s="11">
        <f t="shared" si="3"/>
        <v>46023</v>
      </c>
      <c r="L25" s="11">
        <f t="shared" si="3"/>
        <v>46054</v>
      </c>
      <c r="M25" s="11">
        <f t="shared" si="3"/>
        <v>46082</v>
      </c>
      <c r="N25" s="11">
        <f t="shared" si="3"/>
        <v>46113</v>
      </c>
      <c r="O25" s="11">
        <f t="shared" si="3"/>
        <v>46143</v>
      </c>
      <c r="P25" s="11">
        <f t="shared" si="3"/>
        <v>46174</v>
      </c>
    </row>
    <row r="26" spans="3:17" x14ac:dyDescent="0.35">
      <c r="D26" s="3" t="str">
        <f>D19</f>
        <v>Budget 2025-26</v>
      </c>
      <c r="E26" s="5">
        <f>SUM($E19:E19)</f>
        <v>84480.117330274152</v>
      </c>
      <c r="F26" s="5">
        <f>SUM($E19:F19)</f>
        <v>169442.09688077195</v>
      </c>
      <c r="G26" s="5">
        <f>SUM($E19:G19)</f>
        <v>254885.9386514934</v>
      </c>
      <c r="H26" s="5">
        <f>SUM($E19:H19)</f>
        <v>340811.64264243847</v>
      </c>
      <c r="I26" s="5">
        <f>SUM($E19:I19)</f>
        <v>427219.20885360718</v>
      </c>
      <c r="J26" s="5">
        <f>SUM($E19:J19)</f>
        <v>514108.63728499948</v>
      </c>
      <c r="K26" s="5">
        <f>SUM($E19:K19)</f>
        <v>601479.92793661542</v>
      </c>
      <c r="L26" s="5">
        <f>SUM($E19:L19)</f>
        <v>689333.08080845501</v>
      </c>
      <c r="M26" s="5">
        <f>SUM($E19:M19)</f>
        <v>777668.09590051824</v>
      </c>
      <c r="N26" s="5">
        <f>SUM($E19:N19)</f>
        <v>866484.97321280511</v>
      </c>
      <c r="O26" s="5">
        <f>SUM($E19:O19)</f>
        <v>955783.71274531563</v>
      </c>
      <c r="P26" s="5">
        <f>SUM($E19:P19)</f>
        <v>1045564.3144980498</v>
      </c>
    </row>
    <row r="27" spans="3:17" x14ac:dyDescent="0.35">
      <c r="D27" s="3" t="str">
        <f t="shared" ref="D27:D30" si="4">D20</f>
        <v>Actual 2025-26</v>
      </c>
      <c r="E27" s="5">
        <f>SUM($E20:E20)</f>
        <v>72362</v>
      </c>
      <c r="F27" s="5">
        <f>SUM($E20:F20)</f>
        <v>156951</v>
      </c>
      <c r="G27" s="5">
        <f>SUM($E20:G20)</f>
        <v>236541</v>
      </c>
      <c r="H27" s="5">
        <f>SUM($E20:H20)</f>
        <v>322843</v>
      </c>
      <c r="I27" s="5">
        <f>SUM($E20:I20)</f>
        <v>394788</v>
      </c>
      <c r="J27" s="5">
        <f>SUM($E20:J20)</f>
        <v>458021</v>
      </c>
      <c r="K27" s="5">
        <f>SUM($E20:K20)</f>
        <v>563919</v>
      </c>
      <c r="L27" s="5">
        <f>SUM($E20:L20)</f>
        <v>647518</v>
      </c>
      <c r="M27" s="5">
        <f>SUM($E20:M20)</f>
        <v>647518</v>
      </c>
      <c r="N27" s="5">
        <f>SUM($E20:N20)</f>
        <v>647518</v>
      </c>
      <c r="O27" s="5">
        <f>SUM($E20:O20)</f>
        <v>647518</v>
      </c>
      <c r="P27" s="5">
        <f>SUM($E20:P20)</f>
        <v>647518</v>
      </c>
    </row>
    <row r="28" spans="3:17" x14ac:dyDescent="0.35">
      <c r="D28" s="3" t="str">
        <f t="shared" si="4"/>
        <v>Actual 2024-25</v>
      </c>
      <c r="E28" s="5">
        <f>SUM($E21:E21)</f>
        <v>73301</v>
      </c>
      <c r="F28" s="5">
        <f>SUM($E21:F21)</f>
        <v>166971</v>
      </c>
      <c r="G28" s="5">
        <f>SUM($E21:G21)</f>
        <v>248187</v>
      </c>
      <c r="H28" s="5">
        <f>SUM($E21:H21)</f>
        <v>330907</v>
      </c>
      <c r="I28" s="5">
        <f>SUM($E21:I21)</f>
        <v>418210</v>
      </c>
      <c r="J28" s="5">
        <f>SUM($E21:J21)</f>
        <v>477250</v>
      </c>
      <c r="K28" s="5">
        <f>SUM($E21:K21)</f>
        <v>579425</v>
      </c>
      <c r="L28" s="5">
        <f>SUM($E21:L21)</f>
        <v>666909</v>
      </c>
      <c r="M28" s="5">
        <f>SUM($E21:M21)</f>
        <v>760445</v>
      </c>
      <c r="N28" s="5">
        <f>SUM($E21:N21)</f>
        <v>832040</v>
      </c>
      <c r="O28" s="5">
        <f>SUM($E21:O21)</f>
        <v>915206</v>
      </c>
      <c r="P28" s="5">
        <f>SUM($E21:P21)</f>
        <v>1001410</v>
      </c>
    </row>
    <row r="29" spans="3:17" x14ac:dyDescent="0.35">
      <c r="D29" s="3" t="str">
        <f t="shared" si="4"/>
        <v>Difference</v>
      </c>
      <c r="E29" s="5">
        <f>SUM($E22:E22)</f>
        <v>-12118.117330274152</v>
      </c>
      <c r="F29" s="5">
        <f>SUM($E22:F22)</f>
        <v>-12491.096880771947</v>
      </c>
      <c r="G29" s="5">
        <f>SUM($E22:G22)</f>
        <v>-18344.938651493387</v>
      </c>
      <c r="H29" s="5">
        <f>SUM($E22:H22)</f>
        <v>-17968.642642438455</v>
      </c>
      <c r="I29" s="5">
        <f>SUM($E22:I22)</f>
        <v>-32431.208853607153</v>
      </c>
      <c r="J29" s="5">
        <f>SUM($E22:J22)</f>
        <v>-56087.63728499948</v>
      </c>
      <c r="K29" s="5">
        <f>SUM($E22:K22)</f>
        <v>-37560.927936615437</v>
      </c>
      <c r="L29" s="5">
        <f>SUM($E22:L22)</f>
        <v>-41815.080808455023</v>
      </c>
      <c r="M29" s="5">
        <f>SUM($E22:M22)</f>
        <v>-41815.080808455023</v>
      </c>
      <c r="N29" s="5">
        <f>SUM($E22:N22)</f>
        <v>-41815.080808455023</v>
      </c>
      <c r="O29" s="5">
        <f>SUM($E22:O22)</f>
        <v>-41815.080808455023</v>
      </c>
      <c r="P29" s="5">
        <f>SUM($E22:P22)</f>
        <v>-41815.080808455023</v>
      </c>
    </row>
    <row r="30" spans="3:17" x14ac:dyDescent="0.35">
      <c r="D30" s="3" t="str">
        <f t="shared" si="4"/>
        <v>Realisation</v>
      </c>
      <c r="E30" s="9">
        <f>E28/E26</f>
        <v>0.86767161690164907</v>
      </c>
      <c r="F30" s="9">
        <f t="shared" ref="F30:P30" si="5">F27/F26</f>
        <v>0.9262810298578793</v>
      </c>
      <c r="G30" s="9">
        <f t="shared" si="5"/>
        <v>0.92802687057375688</v>
      </c>
      <c r="H30" s="9">
        <f t="shared" si="5"/>
        <v>0.94727691077945297</v>
      </c>
      <c r="I30" s="9">
        <f t="shared" si="5"/>
        <v>0.92408766230190698</v>
      </c>
      <c r="J30" s="9">
        <f t="shared" si="5"/>
        <v>0.89090314144263849</v>
      </c>
      <c r="K30" s="9">
        <f t="shared" si="5"/>
        <v>0.93755248314691286</v>
      </c>
      <c r="L30" s="9">
        <f t="shared" si="5"/>
        <v>0.93933980252418181</v>
      </c>
      <c r="M30" s="9">
        <f t="shared" si="5"/>
        <v>0.83264056145982435</v>
      </c>
      <c r="N30" s="9">
        <f t="shared" si="5"/>
        <v>0.74729282101580341</v>
      </c>
      <c r="O30" s="9">
        <f t="shared" si="5"/>
        <v>0.6774733565401756</v>
      </c>
      <c r="P30" s="9">
        <f t="shared" si="5"/>
        <v>0.61930001915841759</v>
      </c>
    </row>
  </sheetData>
  <mergeCells count="2">
    <mergeCell ref="J4:Q8"/>
    <mergeCell ref="J10:Q15"/>
  </mergeCells>
  <conditionalFormatting sqref="C3">
    <cfRule type="expression" dxfId="266" priority="2">
      <formula>S4&lt;S6</formula>
    </cfRule>
  </conditionalFormatting>
  <conditionalFormatting sqref="C5">
    <cfRule type="expression" dxfId="265" priority="3">
      <formula>S4&gt;=S5</formula>
    </cfRule>
  </conditionalFormatting>
  <conditionalFormatting sqref="C4">
    <cfRule type="expression" dxfId="264" priority="1">
      <formula>AND(S4&gt;=S6,S4&lt;S5)</formula>
    </cfRule>
  </conditionalFormatting>
  <hyperlinks>
    <hyperlink ref="L1" location="Dashboard!A1" display="Dashboard"/>
  </hyperlinks>
  <pageMargins left="0.7" right="0.7" top="0.75" bottom="0.75" header="0.3" footer="0.3"/>
  <pageSetup orientation="portrait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24001" r:id="rId4" name="Spinner 1">
              <controlPr defaultSize="0" autoPict="0">
                <anchor moveWithCells="1" sizeWithCells="1">
                  <from>
                    <xdr:col>9</xdr:col>
                    <xdr:colOff>19050</xdr:colOff>
                    <xdr:row>0</xdr:row>
                    <xdr:rowOff>38100</xdr:rowOff>
                  </from>
                  <to>
                    <xdr:col>9</xdr:col>
                    <xdr:colOff>400050</xdr:colOff>
                    <xdr:row>1</xdr:row>
                    <xdr:rowOff>152400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1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89">
    <tabColor rgb="FFFFC000"/>
  </sheetPr>
  <dimension ref="A1:S30"/>
  <sheetViews>
    <sheetView zoomScale="90" zoomScaleNormal="90" workbookViewId="0">
      <selection activeCell="L1" sqref="L1"/>
    </sheetView>
  </sheetViews>
  <sheetFormatPr defaultColWidth="9.1796875" defaultRowHeight="14.5" x14ac:dyDescent="0.35"/>
  <cols>
    <col min="1" max="1" width="9.1796875" style="3"/>
    <col min="2" max="2" width="5.1796875" style="3" customWidth="1"/>
    <col min="3" max="3" width="6.26953125" style="3" customWidth="1"/>
    <col min="4" max="4" width="21.26953125" style="3" bestFit="1" customWidth="1"/>
    <col min="5" max="16" width="11.1796875" style="3" customWidth="1"/>
    <col min="17" max="17" width="12" style="3" bestFit="1" customWidth="1"/>
    <col min="18" max="18" width="9.1796875" style="3" customWidth="1"/>
    <col min="19" max="16384" width="9.1796875" style="3"/>
  </cols>
  <sheetData>
    <row r="1" spans="1:19" ht="21" x14ac:dyDescent="0.5">
      <c r="A1" s="4" t="s">
        <v>4</v>
      </c>
      <c r="B1" s="4">
        <f>Dashboard!A122</f>
        <v>1</v>
      </c>
      <c r="C1" s="4" t="str">
        <f>Dashboard!B122</f>
        <v>HELLSGATE - WATER(M3)</v>
      </c>
      <c r="D1" s="4"/>
      <c r="G1" s="3" t="s">
        <v>9</v>
      </c>
      <c r="I1" s="12">
        <f>INDEX($E$18:$P$18,Actual_month)</f>
        <v>46054</v>
      </c>
      <c r="L1" s="16" t="s">
        <v>19</v>
      </c>
      <c r="R1" s="5"/>
    </row>
    <row r="2" spans="1:19" x14ac:dyDescent="0.35">
      <c r="A2" s="3" t="s">
        <v>13</v>
      </c>
      <c r="C2" s="3" t="s">
        <v>27</v>
      </c>
      <c r="R2" s="6"/>
    </row>
    <row r="3" spans="1:19" ht="25.5" customHeight="1" thickBot="1" x14ac:dyDescent="0.4">
      <c r="C3" s="1" t="s">
        <v>5</v>
      </c>
      <c r="E3" s="10"/>
      <c r="F3" s="10"/>
      <c r="G3" s="10"/>
      <c r="H3" s="10"/>
      <c r="I3" s="10"/>
      <c r="J3" s="3" t="s">
        <v>6</v>
      </c>
      <c r="K3" s="10"/>
      <c r="M3" s="10"/>
      <c r="N3" s="10"/>
      <c r="O3" s="10"/>
      <c r="P3" s="10"/>
    </row>
    <row r="4" spans="1:19" ht="25.5" customHeight="1" x14ac:dyDescent="0.35">
      <c r="C4" s="1" t="s">
        <v>5</v>
      </c>
      <c r="E4" s="10"/>
      <c r="F4" s="10"/>
      <c r="G4" s="10"/>
      <c r="H4" s="10"/>
      <c r="I4" s="10"/>
      <c r="J4" s="401"/>
      <c r="K4" s="402"/>
      <c r="L4" s="402"/>
      <c r="M4" s="402"/>
      <c r="N4" s="402"/>
      <c r="O4" s="402"/>
      <c r="P4" s="402"/>
      <c r="Q4" s="403"/>
      <c r="R4" s="3" t="s">
        <v>22</v>
      </c>
      <c r="S4" s="5">
        <f>INDEX(E27:P27,Actual_month)</f>
        <v>200670</v>
      </c>
    </row>
    <row r="5" spans="1:19" ht="25.5" customHeight="1" x14ac:dyDescent="0.35">
      <c r="C5" s="1" t="s">
        <v>5</v>
      </c>
      <c r="E5" s="10"/>
      <c r="F5" s="10"/>
      <c r="G5" s="10"/>
      <c r="H5" s="10"/>
      <c r="I5" s="10"/>
      <c r="J5" s="404"/>
      <c r="K5" s="405"/>
      <c r="L5" s="405"/>
      <c r="M5" s="405"/>
      <c r="N5" s="405"/>
      <c r="O5" s="405"/>
      <c r="P5" s="405"/>
      <c r="Q5" s="406"/>
      <c r="R5" s="3" t="s">
        <v>23</v>
      </c>
      <c r="S5" s="5">
        <f>INDEX(E26:P26,Actual_month)</f>
        <v>228405.72897862166</v>
      </c>
    </row>
    <row r="6" spans="1:19" x14ac:dyDescent="0.35">
      <c r="J6" s="404"/>
      <c r="K6" s="405"/>
      <c r="L6" s="405"/>
      <c r="M6" s="405"/>
      <c r="N6" s="405"/>
      <c r="O6" s="405"/>
      <c r="P6" s="405"/>
      <c r="Q6" s="406"/>
      <c r="R6" s="6">
        <v>0.9</v>
      </c>
      <c r="S6" s="5">
        <f>+S5*R6</f>
        <v>205565.15608075951</v>
      </c>
    </row>
    <row r="7" spans="1:19" x14ac:dyDescent="0.35">
      <c r="J7" s="404"/>
      <c r="K7" s="405"/>
      <c r="L7" s="405"/>
      <c r="M7" s="405"/>
      <c r="N7" s="405"/>
      <c r="O7" s="405"/>
      <c r="P7" s="405"/>
      <c r="Q7" s="406"/>
    </row>
    <row r="8" spans="1:19" ht="15" thickBot="1" x14ac:dyDescent="0.4">
      <c r="J8" s="407"/>
      <c r="K8" s="408"/>
      <c r="L8" s="408"/>
      <c r="M8" s="408"/>
      <c r="N8" s="408"/>
      <c r="O8" s="408"/>
      <c r="P8" s="408"/>
      <c r="Q8" s="409"/>
    </row>
    <row r="9" spans="1:19" ht="15" thickBot="1" x14ac:dyDescent="0.4">
      <c r="J9" s="3" t="s">
        <v>12</v>
      </c>
    </row>
    <row r="10" spans="1:19" x14ac:dyDescent="0.35">
      <c r="J10" s="401"/>
      <c r="K10" s="402"/>
      <c r="L10" s="402"/>
      <c r="M10" s="402"/>
      <c r="N10" s="402"/>
      <c r="O10" s="402"/>
      <c r="P10" s="402"/>
      <c r="Q10" s="403"/>
    </row>
    <row r="11" spans="1:19" x14ac:dyDescent="0.35">
      <c r="J11" s="404"/>
      <c r="K11" s="405"/>
      <c r="L11" s="405"/>
      <c r="M11" s="405"/>
      <c r="N11" s="405"/>
      <c r="O11" s="405"/>
      <c r="P11" s="405"/>
      <c r="Q11" s="406"/>
    </row>
    <row r="12" spans="1:19" x14ac:dyDescent="0.35">
      <c r="J12" s="404"/>
      <c r="K12" s="405"/>
      <c r="L12" s="405"/>
      <c r="M12" s="405"/>
      <c r="N12" s="405"/>
      <c r="O12" s="405"/>
      <c r="P12" s="405"/>
      <c r="Q12" s="406"/>
    </row>
    <row r="13" spans="1:19" x14ac:dyDescent="0.35">
      <c r="J13" s="404"/>
      <c r="K13" s="405"/>
      <c r="L13" s="405"/>
      <c r="M13" s="405"/>
      <c r="N13" s="405"/>
      <c r="O13" s="405"/>
      <c r="P13" s="405"/>
      <c r="Q13" s="406"/>
    </row>
    <row r="14" spans="1:19" x14ac:dyDescent="0.35">
      <c r="J14" s="404"/>
      <c r="K14" s="405"/>
      <c r="L14" s="405"/>
      <c r="M14" s="405"/>
      <c r="N14" s="405"/>
      <c r="O14" s="405"/>
      <c r="P14" s="405"/>
      <c r="Q14" s="406"/>
    </row>
    <row r="15" spans="1:19" ht="15" thickBot="1" x14ac:dyDescent="0.4">
      <c r="J15" s="407"/>
      <c r="K15" s="408"/>
      <c r="L15" s="408"/>
      <c r="M15" s="408"/>
      <c r="N15" s="408"/>
      <c r="O15" s="408"/>
      <c r="P15" s="408"/>
      <c r="Q15" s="409"/>
    </row>
    <row r="18" spans="3:17" x14ac:dyDescent="0.35">
      <c r="C18" s="7" t="s">
        <v>8</v>
      </c>
      <c r="E18" s="11">
        <f>'KPI 1'!E18</f>
        <v>45839</v>
      </c>
      <c r="F18" s="11">
        <f>'KPI 1'!F18</f>
        <v>45870</v>
      </c>
      <c r="G18" s="11">
        <f>'KPI 1'!G18</f>
        <v>45901</v>
      </c>
      <c r="H18" s="11">
        <f>'KPI 1'!H18</f>
        <v>45931</v>
      </c>
      <c r="I18" s="11">
        <f>'KPI 1'!I18</f>
        <v>45962</v>
      </c>
      <c r="J18" s="11">
        <f>'KPI 1'!J18</f>
        <v>45992</v>
      </c>
      <c r="K18" s="11">
        <f>'KPI 1'!K18</f>
        <v>46023</v>
      </c>
      <c r="L18" s="11">
        <f>'KPI 1'!L18</f>
        <v>46054</v>
      </c>
      <c r="M18" s="11">
        <f>'KPI 1'!M18</f>
        <v>46082</v>
      </c>
      <c r="N18" s="11">
        <f>'KPI 1'!N18</f>
        <v>46113</v>
      </c>
      <c r="O18" s="11">
        <f>'KPI 1'!O18</f>
        <v>46143</v>
      </c>
      <c r="P18" s="11">
        <f>'KPI 1'!P18</f>
        <v>46174</v>
      </c>
      <c r="Q18" s="8" t="s">
        <v>0</v>
      </c>
    </row>
    <row r="19" spans="3:17" x14ac:dyDescent="0.35">
      <c r="D19" s="3" t="str">
        <f>'KPI 1'!D19</f>
        <v>Budget 2025-26</v>
      </c>
      <c r="E19" s="49">
        <f>'budget 2025-26'!D115</f>
        <v>26743.803240712103</v>
      </c>
      <c r="F19" s="49">
        <f>'budget 2025-26'!E115</f>
        <v>26870.671175652296</v>
      </c>
      <c r="G19" s="49">
        <f>'budget 2025-26'!F115</f>
        <v>27176.885064189766</v>
      </c>
      <c r="H19" s="49">
        <f>'budget 2025-26'!G115</f>
        <v>27975.287631972518</v>
      </c>
      <c r="I19" s="49">
        <f>'budget 2025-26'!H115</f>
        <v>28773.69019975527</v>
      </c>
      <c r="J19" s="49">
        <f>'budget 2025-26'!I115</f>
        <v>29572.092767538026</v>
      </c>
      <c r="K19" s="49">
        <f>'budget 2025-26'!J115</f>
        <v>30288.463888779897</v>
      </c>
      <c r="L19" s="49">
        <f>'budget 2025-26'!K115</f>
        <v>31004.835010021769</v>
      </c>
      <c r="M19" s="49">
        <f>'budget 2025-26'!L115</f>
        <v>31571.751169932581</v>
      </c>
      <c r="N19" s="49">
        <f>'budget 2025-26'!M115</f>
        <v>32056.635883302512</v>
      </c>
      <c r="O19" s="49">
        <f>'budget 2025-26'!N115</f>
        <v>32541.520596672442</v>
      </c>
      <c r="P19" s="49">
        <f>'budget 2025-26'!O115</f>
        <v>32996.514317776164</v>
      </c>
      <c r="Q19" s="5">
        <f>SUM(E19:P19)</f>
        <v>357572.15094630537</v>
      </c>
    </row>
    <row r="20" spans="3:17" x14ac:dyDescent="0.35">
      <c r="D20" s="3" t="str">
        <f>'KPI 1'!D20</f>
        <v>Actual 2025-26</v>
      </c>
      <c r="E20" s="49">
        <f>'Input Actual2025-26'!E118</f>
        <v>21124</v>
      </c>
      <c r="F20" s="49">
        <f>'Input Actual2025-26'!F118</f>
        <v>28413</v>
      </c>
      <c r="G20" s="49">
        <f>'Input Actual2025-26'!G118</f>
        <v>21139</v>
      </c>
      <c r="H20" s="49">
        <f>'Input Actual2025-26'!H118</f>
        <v>27997</v>
      </c>
      <c r="I20" s="49">
        <f>'Input Actual2025-26'!I118</f>
        <v>19635</v>
      </c>
      <c r="J20" s="49">
        <f>'Input Actual2025-26'!J118</f>
        <v>22759</v>
      </c>
      <c r="K20" s="49">
        <f>'Input Actual2025-26'!K118</f>
        <v>32803</v>
      </c>
      <c r="L20" s="49">
        <f>'Input Actual2025-26'!L118</f>
        <v>26800</v>
      </c>
      <c r="M20" s="49">
        <f>'Input Actual2025-26'!M118</f>
        <v>0</v>
      </c>
      <c r="N20" s="49">
        <f>'Input Actual2025-26'!N118</f>
        <v>0</v>
      </c>
      <c r="O20" s="49">
        <f>'Input Actual2025-26'!O118</f>
        <v>0</v>
      </c>
      <c r="P20" s="49">
        <f>'Input Actual2025-26'!P118</f>
        <v>0</v>
      </c>
      <c r="Q20" s="5">
        <f t="shared" ref="Q20:Q22" si="0">SUM(E20:P20)</f>
        <v>200670</v>
      </c>
    </row>
    <row r="21" spans="3:17" x14ac:dyDescent="0.35">
      <c r="D21" s="3" t="s">
        <v>424</v>
      </c>
      <c r="E21" s="49">
        <f>'Input Actual2024-25'!E111</f>
        <v>26728</v>
      </c>
      <c r="F21" s="49">
        <f>'Input Actual2024-25'!F111</f>
        <v>24225</v>
      </c>
      <c r="G21" s="49">
        <f>'Input Actual2024-25'!G111</f>
        <v>27311</v>
      </c>
      <c r="H21" s="49">
        <f>'Input Actual2024-25'!H111</f>
        <v>26535</v>
      </c>
      <c r="I21" s="49">
        <f>'Input Actual2024-25'!I111</f>
        <v>30367</v>
      </c>
      <c r="J21" s="49">
        <f>'Input Actual2024-25'!J111</f>
        <v>18026</v>
      </c>
      <c r="K21" s="49">
        <f>'Input Actual2024-25'!K111</f>
        <v>31140</v>
      </c>
      <c r="L21" s="49">
        <f>'Input Actual2024-25'!L111</f>
        <v>28691</v>
      </c>
      <c r="M21" s="49">
        <f>'Input Actual2024-25'!M111</f>
        <v>26588</v>
      </c>
      <c r="N21" s="49">
        <f>'Input Actual2024-25'!N111</f>
        <v>22538</v>
      </c>
      <c r="O21" s="49">
        <f>'Input Actual2024-25'!O111</f>
        <v>23286</v>
      </c>
      <c r="P21" s="49">
        <f>'Input Actual2024-25'!P111</f>
        <v>28109</v>
      </c>
      <c r="Q21" s="5">
        <f t="shared" si="0"/>
        <v>313544</v>
      </c>
    </row>
    <row r="22" spans="3:17" x14ac:dyDescent="0.35">
      <c r="D22" s="3" t="s">
        <v>7</v>
      </c>
      <c r="E22" s="5">
        <f t="shared" ref="E22:P22" si="1">IF(E20=0,0,E20-E19)</f>
        <v>-5619.8032407121027</v>
      </c>
      <c r="F22" s="5">
        <f t="shared" si="1"/>
        <v>1542.3288243477036</v>
      </c>
      <c r="G22" s="5">
        <f t="shared" si="1"/>
        <v>-6037.8850641897661</v>
      </c>
      <c r="H22" s="5">
        <f t="shared" si="1"/>
        <v>21.712368027481716</v>
      </c>
      <c r="I22" s="5">
        <f t="shared" si="1"/>
        <v>-9138.6901997552704</v>
      </c>
      <c r="J22" s="5">
        <f t="shared" si="1"/>
        <v>-6813.0927675380262</v>
      </c>
      <c r="K22" s="5">
        <f t="shared" si="1"/>
        <v>2514.5361112201026</v>
      </c>
      <c r="L22" s="5">
        <f t="shared" si="1"/>
        <v>-4204.8350100217685</v>
      </c>
      <c r="M22" s="5">
        <f t="shared" si="1"/>
        <v>0</v>
      </c>
      <c r="N22" s="5">
        <f t="shared" si="1"/>
        <v>0</v>
      </c>
      <c r="O22" s="5">
        <f t="shared" si="1"/>
        <v>0</v>
      </c>
      <c r="P22" s="5">
        <f t="shared" si="1"/>
        <v>0</v>
      </c>
      <c r="Q22" s="5">
        <f t="shared" si="0"/>
        <v>-27735.728978621646</v>
      </c>
    </row>
    <row r="23" spans="3:17" x14ac:dyDescent="0.35">
      <c r="D23" s="3" t="s">
        <v>43</v>
      </c>
      <c r="E23" s="9">
        <f>E21/E19</f>
        <v>0.99940908775876558</v>
      </c>
      <c r="F23" s="9">
        <f t="shared" ref="F23:P23" si="2">F20/F19</f>
        <v>1.0573982247881184</v>
      </c>
      <c r="G23" s="9">
        <f t="shared" si="2"/>
        <v>0.77783012843713573</v>
      </c>
      <c r="H23" s="9">
        <f t="shared" si="2"/>
        <v>1.0007761267127302</v>
      </c>
      <c r="I23" s="9">
        <f t="shared" si="2"/>
        <v>0.68239422415714346</v>
      </c>
      <c r="J23" s="9">
        <f t="shared" si="2"/>
        <v>0.76961073329862817</v>
      </c>
      <c r="K23" s="9">
        <f t="shared" si="2"/>
        <v>1.0830195984997308</v>
      </c>
      <c r="L23" s="9">
        <f t="shared" si="2"/>
        <v>0.86438131315123501</v>
      </c>
      <c r="M23" s="9">
        <f t="shared" si="2"/>
        <v>0</v>
      </c>
      <c r="N23" s="9">
        <f t="shared" si="2"/>
        <v>0</v>
      </c>
      <c r="O23" s="9">
        <f t="shared" si="2"/>
        <v>0</v>
      </c>
      <c r="P23" s="9">
        <f t="shared" si="2"/>
        <v>0</v>
      </c>
    </row>
    <row r="25" spans="3:17" x14ac:dyDescent="0.35">
      <c r="C25" s="7" t="s">
        <v>3</v>
      </c>
      <c r="E25" s="11">
        <f>E18</f>
        <v>45839</v>
      </c>
      <c r="F25" s="11">
        <f t="shared" ref="F25:P25" si="3">F18</f>
        <v>45870</v>
      </c>
      <c r="G25" s="11">
        <f t="shared" si="3"/>
        <v>45901</v>
      </c>
      <c r="H25" s="11">
        <f t="shared" si="3"/>
        <v>45931</v>
      </c>
      <c r="I25" s="11">
        <f t="shared" si="3"/>
        <v>45962</v>
      </c>
      <c r="J25" s="11">
        <f t="shared" si="3"/>
        <v>45992</v>
      </c>
      <c r="K25" s="11">
        <f t="shared" si="3"/>
        <v>46023</v>
      </c>
      <c r="L25" s="11">
        <f t="shared" si="3"/>
        <v>46054</v>
      </c>
      <c r="M25" s="11">
        <f t="shared" si="3"/>
        <v>46082</v>
      </c>
      <c r="N25" s="11">
        <f t="shared" si="3"/>
        <v>46113</v>
      </c>
      <c r="O25" s="11">
        <f t="shared" si="3"/>
        <v>46143</v>
      </c>
      <c r="P25" s="11">
        <f t="shared" si="3"/>
        <v>46174</v>
      </c>
    </row>
    <row r="26" spans="3:17" x14ac:dyDescent="0.35">
      <c r="D26" s="3" t="str">
        <f>D19</f>
        <v>Budget 2025-26</v>
      </c>
      <c r="E26" s="5">
        <f>SUM($E19:E19)</f>
        <v>26743.803240712103</v>
      </c>
      <c r="F26" s="5">
        <f>SUM($E19:F19)</f>
        <v>53614.474416364399</v>
      </c>
      <c r="G26" s="5">
        <f>SUM($E19:G19)</f>
        <v>80791.359480554165</v>
      </c>
      <c r="H26" s="5">
        <f>SUM($E19:H19)</f>
        <v>108766.64711252668</v>
      </c>
      <c r="I26" s="5">
        <f>SUM($E19:I19)</f>
        <v>137540.33731228195</v>
      </c>
      <c r="J26" s="5">
        <f>SUM($E19:J19)</f>
        <v>167112.43007981998</v>
      </c>
      <c r="K26" s="5">
        <f>SUM($E19:K19)</f>
        <v>197400.89396859988</v>
      </c>
      <c r="L26" s="5">
        <f>SUM($E19:L19)</f>
        <v>228405.72897862166</v>
      </c>
      <c r="M26" s="5">
        <f>SUM($E19:M19)</f>
        <v>259977.48014855423</v>
      </c>
      <c r="N26" s="5">
        <f>SUM($E19:N19)</f>
        <v>292034.11603185674</v>
      </c>
      <c r="O26" s="5">
        <f>SUM($E19:O19)</f>
        <v>324575.63662852917</v>
      </c>
      <c r="P26" s="5">
        <f>SUM($E19:P19)</f>
        <v>357572.15094630537</v>
      </c>
    </row>
    <row r="27" spans="3:17" x14ac:dyDescent="0.35">
      <c r="D27" s="3" t="str">
        <f t="shared" ref="D27:D30" si="4">D20</f>
        <v>Actual 2025-26</v>
      </c>
      <c r="E27" s="5">
        <f>SUM($E20:E20)</f>
        <v>21124</v>
      </c>
      <c r="F27" s="5">
        <f>SUM($E20:F20)</f>
        <v>49537</v>
      </c>
      <c r="G27" s="5">
        <f>SUM($E20:G20)</f>
        <v>70676</v>
      </c>
      <c r="H27" s="5">
        <f>SUM($E20:H20)</f>
        <v>98673</v>
      </c>
      <c r="I27" s="5">
        <f>SUM($E20:I20)</f>
        <v>118308</v>
      </c>
      <c r="J27" s="5">
        <f>SUM($E20:J20)</f>
        <v>141067</v>
      </c>
      <c r="K27" s="5">
        <f>SUM($E20:K20)</f>
        <v>173870</v>
      </c>
      <c r="L27" s="5">
        <f>SUM($E20:L20)</f>
        <v>200670</v>
      </c>
      <c r="M27" s="5">
        <f>SUM($E20:M20)</f>
        <v>200670</v>
      </c>
      <c r="N27" s="5">
        <f>SUM($E20:N20)</f>
        <v>200670</v>
      </c>
      <c r="O27" s="5">
        <f>SUM($E20:O20)</f>
        <v>200670</v>
      </c>
      <c r="P27" s="5">
        <f>SUM($E20:P20)</f>
        <v>200670</v>
      </c>
    </row>
    <row r="28" spans="3:17" x14ac:dyDescent="0.35">
      <c r="D28" s="3" t="str">
        <f t="shared" si="4"/>
        <v>Actual 2024-25</v>
      </c>
      <c r="E28" s="5">
        <f>SUM($E21:E21)</f>
        <v>26728</v>
      </c>
      <c r="F28" s="5">
        <f>SUM($E21:F21)</f>
        <v>50953</v>
      </c>
      <c r="G28" s="5">
        <f>SUM($E21:G21)</f>
        <v>78264</v>
      </c>
      <c r="H28" s="5">
        <f>SUM($E21:H21)</f>
        <v>104799</v>
      </c>
      <c r="I28" s="5">
        <f>SUM($E21:I21)</f>
        <v>135166</v>
      </c>
      <c r="J28" s="5">
        <f>SUM($E21:J21)</f>
        <v>153192</v>
      </c>
      <c r="K28" s="5">
        <f>SUM($E21:K21)</f>
        <v>184332</v>
      </c>
      <c r="L28" s="5">
        <f>SUM($E21:L21)</f>
        <v>213023</v>
      </c>
      <c r="M28" s="5">
        <f>SUM($E21:M21)</f>
        <v>239611</v>
      </c>
      <c r="N28" s="5">
        <f>SUM($E21:N21)</f>
        <v>262149</v>
      </c>
      <c r="O28" s="5">
        <f>SUM($E21:O21)</f>
        <v>285435</v>
      </c>
      <c r="P28" s="5">
        <f>SUM($E21:P21)</f>
        <v>313544</v>
      </c>
    </row>
    <row r="29" spans="3:17" x14ac:dyDescent="0.35">
      <c r="D29" s="3" t="str">
        <f t="shared" si="4"/>
        <v>Difference</v>
      </c>
      <c r="E29" s="5">
        <f>SUM($E22:E22)</f>
        <v>-5619.8032407121027</v>
      </c>
      <c r="F29" s="5">
        <f>SUM($E22:F22)</f>
        <v>-4077.4744163643991</v>
      </c>
      <c r="G29" s="5">
        <f>SUM($E22:G22)</f>
        <v>-10115.359480554165</v>
      </c>
      <c r="H29" s="5">
        <f>SUM($E22:H22)</f>
        <v>-10093.647112526683</v>
      </c>
      <c r="I29" s="5">
        <f>SUM($E22:I22)</f>
        <v>-19232.337312281954</v>
      </c>
      <c r="J29" s="5">
        <f>SUM($E22:J22)</f>
        <v>-26045.43007981998</v>
      </c>
      <c r="K29" s="5">
        <f>SUM($E22:K22)</f>
        <v>-23530.893968599878</v>
      </c>
      <c r="L29" s="5">
        <f>SUM($E22:L22)</f>
        <v>-27735.728978621646</v>
      </c>
      <c r="M29" s="5">
        <f>SUM($E22:M22)</f>
        <v>-27735.728978621646</v>
      </c>
      <c r="N29" s="5">
        <f>SUM($E22:N22)</f>
        <v>-27735.728978621646</v>
      </c>
      <c r="O29" s="5">
        <f>SUM($E22:O22)</f>
        <v>-27735.728978621646</v>
      </c>
      <c r="P29" s="5">
        <f>SUM($E22:P22)</f>
        <v>-27735.728978621646</v>
      </c>
    </row>
    <row r="30" spans="3:17" x14ac:dyDescent="0.35">
      <c r="D30" s="3" t="str">
        <f t="shared" si="4"/>
        <v>Realisation</v>
      </c>
      <c r="E30" s="9">
        <f>E28/E26</f>
        <v>0.99940908775876558</v>
      </c>
      <c r="F30" s="9">
        <f t="shared" ref="F30:P30" si="5">F27/F26</f>
        <v>0.92394825351267718</v>
      </c>
      <c r="G30" s="9">
        <f t="shared" si="5"/>
        <v>0.87479651851892837</v>
      </c>
      <c r="H30" s="9">
        <f t="shared" si="5"/>
        <v>0.90719905981762861</v>
      </c>
      <c r="I30" s="9">
        <f t="shared" si="5"/>
        <v>0.86016947691050516</v>
      </c>
      <c r="J30" s="9">
        <f t="shared" si="5"/>
        <v>0.84414426821882982</v>
      </c>
      <c r="K30" s="9">
        <f t="shared" si="5"/>
        <v>0.88079641639139239</v>
      </c>
      <c r="L30" s="9">
        <f t="shared" si="5"/>
        <v>0.87856815543703959</v>
      </c>
      <c r="M30" s="9">
        <f t="shared" si="5"/>
        <v>0.77187454807752875</v>
      </c>
      <c r="N30" s="9">
        <f t="shared" si="5"/>
        <v>0.6871457442256842</v>
      </c>
      <c r="O30" s="9">
        <f t="shared" si="5"/>
        <v>0.61825342802812744</v>
      </c>
      <c r="P30" s="9">
        <f t="shared" si="5"/>
        <v>0.561201423178321</v>
      </c>
    </row>
  </sheetData>
  <mergeCells count="2">
    <mergeCell ref="J4:Q8"/>
    <mergeCell ref="J10:Q15"/>
  </mergeCells>
  <conditionalFormatting sqref="C3">
    <cfRule type="expression" dxfId="263" priority="2">
      <formula>S4&lt;S6</formula>
    </cfRule>
  </conditionalFormatting>
  <conditionalFormatting sqref="C5">
    <cfRule type="expression" dxfId="262" priority="3">
      <formula>S4&gt;=S5</formula>
    </cfRule>
  </conditionalFormatting>
  <conditionalFormatting sqref="C4">
    <cfRule type="expression" dxfId="261" priority="1">
      <formula>AND(S4&gt;=S6,S4&lt;S5)</formula>
    </cfRule>
  </conditionalFormatting>
  <hyperlinks>
    <hyperlink ref="L1" location="Dashboard!A1" display="Dashboard"/>
  </hyperlinks>
  <pageMargins left="0.7" right="0.7" top="0.75" bottom="0.75" header="0.3" footer="0.3"/>
  <pageSetup orientation="portrait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25025" r:id="rId4" name="Spinner 1">
              <controlPr defaultSize="0" autoPict="0">
                <anchor moveWithCells="1" sizeWithCells="1">
                  <from>
                    <xdr:col>9</xdr:col>
                    <xdr:colOff>19050</xdr:colOff>
                    <xdr:row>0</xdr:row>
                    <xdr:rowOff>38100</xdr:rowOff>
                  </from>
                  <to>
                    <xdr:col>9</xdr:col>
                    <xdr:colOff>400050</xdr:colOff>
                    <xdr:row>1</xdr:row>
                    <xdr:rowOff>152400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1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90">
    <tabColor rgb="FFFFC000"/>
  </sheetPr>
  <dimension ref="A1:S30"/>
  <sheetViews>
    <sheetView zoomScale="90" zoomScaleNormal="90" workbookViewId="0">
      <selection activeCell="L1" sqref="L1"/>
    </sheetView>
  </sheetViews>
  <sheetFormatPr defaultColWidth="9.1796875" defaultRowHeight="14.5" x14ac:dyDescent="0.35"/>
  <cols>
    <col min="1" max="1" width="9.1796875" style="3"/>
    <col min="2" max="2" width="5.1796875" style="3" customWidth="1"/>
    <col min="3" max="3" width="6.26953125" style="3" customWidth="1"/>
    <col min="4" max="4" width="21.26953125" style="3" bestFit="1" customWidth="1"/>
    <col min="5" max="16" width="11.1796875" style="3" customWidth="1"/>
    <col min="17" max="17" width="12" style="3" bestFit="1" customWidth="1"/>
    <col min="18" max="18" width="9.1796875" style="3" customWidth="1"/>
    <col min="19" max="16384" width="9.1796875" style="3"/>
  </cols>
  <sheetData>
    <row r="1" spans="1:19" ht="21" x14ac:dyDescent="0.5">
      <c r="A1" s="4" t="s">
        <v>4</v>
      </c>
      <c r="B1" s="4">
        <f>Dashboard!A123</f>
        <v>2</v>
      </c>
      <c r="C1" s="4" t="str">
        <f>Dashboard!B123</f>
        <v>KAMERE - WATER(M3)</v>
      </c>
      <c r="D1" s="4"/>
      <c r="G1" s="3" t="s">
        <v>9</v>
      </c>
      <c r="I1" s="12">
        <f>INDEX($E$18:$P$18,Actual_month)</f>
        <v>46054</v>
      </c>
      <c r="L1" s="16" t="s">
        <v>19</v>
      </c>
      <c r="R1" s="5"/>
    </row>
    <row r="2" spans="1:19" x14ac:dyDescent="0.35">
      <c r="A2" s="3" t="s">
        <v>13</v>
      </c>
      <c r="C2" s="3" t="s">
        <v>27</v>
      </c>
      <c r="R2" s="6"/>
    </row>
    <row r="3" spans="1:19" ht="25.5" customHeight="1" thickBot="1" x14ac:dyDescent="0.4">
      <c r="C3" s="1" t="s">
        <v>5</v>
      </c>
      <c r="E3" s="10"/>
      <c r="F3" s="10"/>
      <c r="G3" s="10"/>
      <c r="H3" s="10"/>
      <c r="I3" s="10"/>
      <c r="J3" s="3" t="s">
        <v>6</v>
      </c>
      <c r="K3" s="10"/>
      <c r="M3" s="10"/>
      <c r="N3" s="10"/>
      <c r="O3" s="10"/>
      <c r="P3" s="10"/>
    </row>
    <row r="4" spans="1:19" ht="25.5" customHeight="1" x14ac:dyDescent="0.35">
      <c r="C4" s="1" t="s">
        <v>5</v>
      </c>
      <c r="E4" s="10"/>
      <c r="F4" s="10"/>
      <c r="G4" s="10"/>
      <c r="H4" s="10"/>
      <c r="I4" s="10"/>
      <c r="J4" s="401"/>
      <c r="K4" s="402"/>
      <c r="L4" s="402"/>
      <c r="M4" s="402"/>
      <c r="N4" s="402"/>
      <c r="O4" s="402"/>
      <c r="P4" s="402"/>
      <c r="Q4" s="403"/>
      <c r="R4" s="3" t="s">
        <v>22</v>
      </c>
      <c r="S4" s="5">
        <f>INDEX(E27:P27,Actual_month)</f>
        <v>50827</v>
      </c>
    </row>
    <row r="5" spans="1:19" ht="25.5" customHeight="1" x14ac:dyDescent="0.35">
      <c r="C5" s="1" t="s">
        <v>5</v>
      </c>
      <c r="E5" s="10"/>
      <c r="F5" s="10"/>
      <c r="G5" s="10"/>
      <c r="H5" s="10"/>
      <c r="I5" s="10"/>
      <c r="J5" s="404"/>
      <c r="K5" s="405"/>
      <c r="L5" s="405"/>
      <c r="M5" s="405"/>
      <c r="N5" s="405"/>
      <c r="O5" s="405"/>
      <c r="P5" s="405"/>
      <c r="Q5" s="406"/>
      <c r="R5" s="3" t="s">
        <v>23</v>
      </c>
      <c r="S5" s="5">
        <f>INDEX(E26:P26,Actual_month)</f>
        <v>61865.086481984479</v>
      </c>
    </row>
    <row r="6" spans="1:19" x14ac:dyDescent="0.35">
      <c r="J6" s="404"/>
      <c r="K6" s="405"/>
      <c r="L6" s="405"/>
      <c r="M6" s="405"/>
      <c r="N6" s="405"/>
      <c r="O6" s="405"/>
      <c r="P6" s="405"/>
      <c r="Q6" s="406"/>
      <c r="R6" s="6">
        <v>0.9</v>
      </c>
      <c r="S6" s="5">
        <f>+S5*R6</f>
        <v>55678.577833786032</v>
      </c>
    </row>
    <row r="7" spans="1:19" x14ac:dyDescent="0.35">
      <c r="J7" s="404"/>
      <c r="K7" s="405"/>
      <c r="L7" s="405"/>
      <c r="M7" s="405"/>
      <c r="N7" s="405"/>
      <c r="O7" s="405"/>
      <c r="P7" s="405"/>
      <c r="Q7" s="406"/>
    </row>
    <row r="8" spans="1:19" ht="15" thickBot="1" x14ac:dyDescent="0.4">
      <c r="J8" s="407"/>
      <c r="K8" s="408"/>
      <c r="L8" s="408"/>
      <c r="M8" s="408"/>
      <c r="N8" s="408"/>
      <c r="O8" s="408"/>
      <c r="P8" s="408"/>
      <c r="Q8" s="409"/>
    </row>
    <row r="9" spans="1:19" ht="15" thickBot="1" x14ac:dyDescent="0.4">
      <c r="J9" s="3" t="s">
        <v>12</v>
      </c>
    </row>
    <row r="10" spans="1:19" x14ac:dyDescent="0.35">
      <c r="J10" s="401"/>
      <c r="K10" s="402"/>
      <c r="L10" s="402"/>
      <c r="M10" s="402"/>
      <c r="N10" s="402"/>
      <c r="O10" s="402"/>
      <c r="P10" s="402"/>
      <c r="Q10" s="403"/>
    </row>
    <row r="11" spans="1:19" x14ac:dyDescent="0.35">
      <c r="J11" s="404"/>
      <c r="K11" s="405"/>
      <c r="L11" s="405"/>
      <c r="M11" s="405"/>
      <c r="N11" s="405"/>
      <c r="O11" s="405"/>
      <c r="P11" s="405"/>
      <c r="Q11" s="406"/>
    </row>
    <row r="12" spans="1:19" x14ac:dyDescent="0.35">
      <c r="J12" s="404"/>
      <c r="K12" s="405"/>
      <c r="L12" s="405"/>
      <c r="M12" s="405"/>
      <c r="N12" s="405"/>
      <c r="O12" s="405"/>
      <c r="P12" s="405"/>
      <c r="Q12" s="406"/>
    </row>
    <row r="13" spans="1:19" x14ac:dyDescent="0.35">
      <c r="J13" s="404"/>
      <c r="K13" s="405"/>
      <c r="L13" s="405"/>
      <c r="M13" s="405"/>
      <c r="N13" s="405"/>
      <c r="O13" s="405"/>
      <c r="P13" s="405"/>
      <c r="Q13" s="406"/>
    </row>
    <row r="14" spans="1:19" x14ac:dyDescent="0.35">
      <c r="J14" s="404"/>
      <c r="K14" s="405"/>
      <c r="L14" s="405"/>
      <c r="M14" s="405"/>
      <c r="N14" s="405"/>
      <c r="O14" s="405"/>
      <c r="P14" s="405"/>
      <c r="Q14" s="406"/>
    </row>
    <row r="15" spans="1:19" ht="15" thickBot="1" x14ac:dyDescent="0.4">
      <c r="J15" s="407"/>
      <c r="K15" s="408"/>
      <c r="L15" s="408"/>
      <c r="M15" s="408"/>
      <c r="N15" s="408"/>
      <c r="O15" s="408"/>
      <c r="P15" s="408"/>
      <c r="Q15" s="409"/>
    </row>
    <row r="18" spans="3:17" x14ac:dyDescent="0.35">
      <c r="C18" s="7" t="s">
        <v>8</v>
      </c>
      <c r="E18" s="11">
        <f>'KPI 1'!E18</f>
        <v>45839</v>
      </c>
      <c r="F18" s="11">
        <f>'KPI 1'!F18</f>
        <v>45870</v>
      </c>
      <c r="G18" s="11">
        <f>'KPI 1'!G18</f>
        <v>45901</v>
      </c>
      <c r="H18" s="11">
        <f>'KPI 1'!H18</f>
        <v>45931</v>
      </c>
      <c r="I18" s="11">
        <f>'KPI 1'!I18</f>
        <v>45962</v>
      </c>
      <c r="J18" s="11">
        <f>'KPI 1'!J18</f>
        <v>45992</v>
      </c>
      <c r="K18" s="11">
        <f>'KPI 1'!K18</f>
        <v>46023</v>
      </c>
      <c r="L18" s="11">
        <f>'KPI 1'!L18</f>
        <v>46054</v>
      </c>
      <c r="M18" s="11">
        <f>'KPI 1'!M18</f>
        <v>46082</v>
      </c>
      <c r="N18" s="11">
        <f>'KPI 1'!N18</f>
        <v>46113</v>
      </c>
      <c r="O18" s="11">
        <f>'KPI 1'!O18</f>
        <v>46143</v>
      </c>
      <c r="P18" s="11">
        <f>'KPI 1'!P18</f>
        <v>46174</v>
      </c>
      <c r="Q18" s="8" t="s">
        <v>0</v>
      </c>
    </row>
    <row r="19" spans="3:17" x14ac:dyDescent="0.35">
      <c r="D19" s="3" t="str">
        <f>'KPI 1'!D19</f>
        <v>Budget 2025-26</v>
      </c>
      <c r="E19" s="49">
        <f>'budget 2025-26'!D116</f>
        <v>7182.0222162243208</v>
      </c>
      <c r="F19" s="49">
        <f>'budget 2025-26'!E116</f>
        <v>7194.1396626180831</v>
      </c>
      <c r="G19" s="49">
        <f>'budget 2025-26'!F116</f>
        <v>7206.2571090118454</v>
      </c>
      <c r="H19" s="49">
        <f>'budget 2025-26'!G116</f>
        <v>7625.3365807220634</v>
      </c>
      <c r="I19" s="49">
        <f>'budget 2025-26'!H116</f>
        <v>7840.9350397740527</v>
      </c>
      <c r="J19" s="49">
        <f>'budget 2025-26'!I116</f>
        <v>8056.5334988260438</v>
      </c>
      <c r="K19" s="49">
        <f>'budget 2025-26'!J116</f>
        <v>8272.1319578780349</v>
      </c>
      <c r="L19" s="49">
        <f>'budget 2025-26'!K116</f>
        <v>8487.7304169300241</v>
      </c>
      <c r="M19" s="49">
        <f>'budget 2025-26'!L116</f>
        <v>8703.3288759820134</v>
      </c>
      <c r="N19" s="49">
        <f>'budget 2025-26'!M116</f>
        <v>8918.9273350340027</v>
      </c>
      <c r="O19" s="49">
        <f>'budget 2025-26'!N116</f>
        <v>9134.5257940859919</v>
      </c>
      <c r="P19" s="49">
        <f>'budget 2025-26'!O116</f>
        <v>9350.124253137983</v>
      </c>
      <c r="Q19" s="5">
        <f>SUM(E19:P19)</f>
        <v>97971.992740224479</v>
      </c>
    </row>
    <row r="20" spans="3:17" x14ac:dyDescent="0.35">
      <c r="D20" s="3" t="str">
        <f>'KPI 1'!D20</f>
        <v>Actual 2025-26</v>
      </c>
      <c r="E20" s="49">
        <f>'Input Actual2025-26'!E119</f>
        <v>5788</v>
      </c>
      <c r="F20" s="49">
        <f>'Input Actual2025-26'!F119</f>
        <v>6705</v>
      </c>
      <c r="G20" s="49">
        <f>'Input Actual2025-26'!G119</f>
        <v>4755</v>
      </c>
      <c r="H20" s="49">
        <f>'Input Actual2025-26'!H119</f>
        <v>6241</v>
      </c>
      <c r="I20" s="49">
        <f>'Input Actual2025-26'!I119</f>
        <v>5183</v>
      </c>
      <c r="J20" s="49">
        <f>'Input Actual2025-26'!J119</f>
        <v>6161</v>
      </c>
      <c r="K20" s="49">
        <f>'Input Actual2025-26'!K119</f>
        <v>8813</v>
      </c>
      <c r="L20" s="49">
        <f>'Input Actual2025-26'!L119</f>
        <v>7181</v>
      </c>
      <c r="M20" s="49">
        <f>'Input Actual2025-26'!M119</f>
        <v>0</v>
      </c>
      <c r="N20" s="49">
        <f>'Input Actual2025-26'!N119</f>
        <v>0</v>
      </c>
      <c r="O20" s="49">
        <f>'Input Actual2025-26'!O119</f>
        <v>0</v>
      </c>
      <c r="P20" s="49">
        <f>'Input Actual2025-26'!P119</f>
        <v>0</v>
      </c>
      <c r="Q20" s="5">
        <f t="shared" ref="Q20:Q22" si="0">SUM(E20:P20)</f>
        <v>50827</v>
      </c>
    </row>
    <row r="21" spans="3:17" x14ac:dyDescent="0.35">
      <c r="D21" s="3" t="s">
        <v>424</v>
      </c>
      <c r="E21" s="49">
        <f>'Input Actual2024-25'!E112</f>
        <v>6588</v>
      </c>
      <c r="F21" s="49">
        <f>'Input Actual2024-25'!F112</f>
        <v>6870</v>
      </c>
      <c r="G21" s="49">
        <f>'Input Actual2024-25'!G112</f>
        <v>6726</v>
      </c>
      <c r="H21" s="49">
        <f>'Input Actual2024-25'!H112</f>
        <v>6973</v>
      </c>
      <c r="I21" s="49">
        <f>'Input Actual2024-25'!I112</f>
        <v>7456</v>
      </c>
      <c r="J21" s="49">
        <f>'Input Actual2024-25'!J112</f>
        <v>4906</v>
      </c>
      <c r="K21" s="49">
        <f>'Input Actual2024-25'!K112</f>
        <v>7952</v>
      </c>
      <c r="L21" s="49">
        <f>'Input Actual2024-25'!L112</f>
        <v>8379</v>
      </c>
      <c r="M21" s="49">
        <f>'Input Actual2024-25'!M112</f>
        <v>8691</v>
      </c>
      <c r="N21" s="49">
        <f>'Input Actual2024-25'!N112</f>
        <v>6181</v>
      </c>
      <c r="O21" s="49">
        <f>'Input Actual2024-25'!O112</f>
        <v>6833</v>
      </c>
      <c r="P21" s="49">
        <f>'Input Actual2024-25'!P112</f>
        <v>6893</v>
      </c>
      <c r="Q21" s="5">
        <f t="shared" si="0"/>
        <v>84448</v>
      </c>
    </row>
    <row r="22" spans="3:17" x14ac:dyDescent="0.35">
      <c r="D22" s="3" t="s">
        <v>7</v>
      </c>
      <c r="E22" s="5">
        <f t="shared" ref="E22:P22" si="1">IF(E20=0,0,E20-E19)</f>
        <v>-1394.0222162243208</v>
      </c>
      <c r="F22" s="5">
        <f t="shared" si="1"/>
        <v>-489.13966261808309</v>
      </c>
      <c r="G22" s="5">
        <f t="shared" si="1"/>
        <v>-2451.2571090118454</v>
      </c>
      <c r="H22" s="5">
        <f t="shared" si="1"/>
        <v>-1384.3365807220634</v>
      </c>
      <c r="I22" s="5">
        <f t="shared" si="1"/>
        <v>-2657.9350397740527</v>
      </c>
      <c r="J22" s="5">
        <f t="shared" si="1"/>
        <v>-1895.5334988260438</v>
      </c>
      <c r="K22" s="5">
        <f t="shared" si="1"/>
        <v>540.86804212196512</v>
      </c>
      <c r="L22" s="5">
        <f t="shared" si="1"/>
        <v>-1306.7304169300241</v>
      </c>
      <c r="M22" s="5">
        <f t="shared" si="1"/>
        <v>0</v>
      </c>
      <c r="N22" s="5">
        <f t="shared" si="1"/>
        <v>0</v>
      </c>
      <c r="O22" s="5">
        <f t="shared" si="1"/>
        <v>0</v>
      </c>
      <c r="P22" s="5">
        <f t="shared" si="1"/>
        <v>0</v>
      </c>
      <c r="Q22" s="5">
        <f t="shared" si="0"/>
        <v>-11038.086481984468</v>
      </c>
    </row>
    <row r="23" spans="3:17" x14ac:dyDescent="0.35">
      <c r="D23" s="3" t="s">
        <v>43</v>
      </c>
      <c r="E23" s="9">
        <f>E21/E19</f>
        <v>0.91729039560996994</v>
      </c>
      <c r="F23" s="9">
        <f t="shared" ref="F23:P23" si="2">F20/F19</f>
        <v>0.93200859511252854</v>
      </c>
      <c r="G23" s="9">
        <f t="shared" si="2"/>
        <v>0.65984323457646199</v>
      </c>
      <c r="H23" s="9">
        <f t="shared" si="2"/>
        <v>0.81845567522594831</v>
      </c>
      <c r="I23" s="9">
        <f t="shared" si="2"/>
        <v>0.66101810226824109</v>
      </c>
      <c r="J23" s="9">
        <f t="shared" si="2"/>
        <v>0.76472095609082358</v>
      </c>
      <c r="K23" s="9">
        <f t="shared" si="2"/>
        <v>1.0653843585760094</v>
      </c>
      <c r="L23" s="9">
        <f t="shared" si="2"/>
        <v>0.84604477843410786</v>
      </c>
      <c r="M23" s="9">
        <f t="shared" si="2"/>
        <v>0</v>
      </c>
      <c r="N23" s="9">
        <f t="shared" si="2"/>
        <v>0</v>
      </c>
      <c r="O23" s="9">
        <f t="shared" si="2"/>
        <v>0</v>
      </c>
      <c r="P23" s="9">
        <f t="shared" si="2"/>
        <v>0</v>
      </c>
    </row>
    <row r="25" spans="3:17" x14ac:dyDescent="0.35">
      <c r="C25" s="7" t="s">
        <v>3</v>
      </c>
      <c r="E25" s="11">
        <f>E18</f>
        <v>45839</v>
      </c>
      <c r="F25" s="11">
        <f t="shared" ref="F25:P25" si="3">F18</f>
        <v>45870</v>
      </c>
      <c r="G25" s="11">
        <f t="shared" si="3"/>
        <v>45901</v>
      </c>
      <c r="H25" s="11">
        <f t="shared" si="3"/>
        <v>45931</v>
      </c>
      <c r="I25" s="11">
        <f t="shared" si="3"/>
        <v>45962</v>
      </c>
      <c r="J25" s="11">
        <f t="shared" si="3"/>
        <v>45992</v>
      </c>
      <c r="K25" s="11">
        <f t="shared" si="3"/>
        <v>46023</v>
      </c>
      <c r="L25" s="11">
        <f t="shared" si="3"/>
        <v>46054</v>
      </c>
      <c r="M25" s="11">
        <f t="shared" si="3"/>
        <v>46082</v>
      </c>
      <c r="N25" s="11">
        <f t="shared" si="3"/>
        <v>46113</v>
      </c>
      <c r="O25" s="11">
        <f t="shared" si="3"/>
        <v>46143</v>
      </c>
      <c r="P25" s="11">
        <f t="shared" si="3"/>
        <v>46174</v>
      </c>
    </row>
    <row r="26" spans="3:17" x14ac:dyDescent="0.35">
      <c r="D26" s="3" t="str">
        <f>D19</f>
        <v>Budget 2025-26</v>
      </c>
      <c r="E26" s="5">
        <f>SUM($E19:E19)</f>
        <v>7182.0222162243208</v>
      </c>
      <c r="F26" s="5">
        <f>SUM($E19:F19)</f>
        <v>14376.161878842404</v>
      </c>
      <c r="G26" s="5">
        <f>SUM($E19:G19)</f>
        <v>21582.418987854249</v>
      </c>
      <c r="H26" s="5">
        <f>SUM($E19:H19)</f>
        <v>29207.755568576315</v>
      </c>
      <c r="I26" s="5">
        <f>SUM($E19:I19)</f>
        <v>37048.690608350371</v>
      </c>
      <c r="J26" s="5">
        <f>SUM($E19:J19)</f>
        <v>45105.224107176415</v>
      </c>
      <c r="K26" s="5">
        <f>SUM($E19:K19)</f>
        <v>53377.356065054453</v>
      </c>
      <c r="L26" s="5">
        <f>SUM($E19:L19)</f>
        <v>61865.086481984479</v>
      </c>
      <c r="M26" s="5">
        <f>SUM($E19:M19)</f>
        <v>70568.4153579665</v>
      </c>
      <c r="N26" s="5">
        <f>SUM($E19:N19)</f>
        <v>79487.342693000508</v>
      </c>
      <c r="O26" s="5">
        <f>SUM($E19:O19)</f>
        <v>88621.868487086496</v>
      </c>
      <c r="P26" s="5">
        <f>SUM($E19:P19)</f>
        <v>97971.992740224479</v>
      </c>
    </row>
    <row r="27" spans="3:17" x14ac:dyDescent="0.35">
      <c r="D27" s="3" t="str">
        <f t="shared" ref="D27:D30" si="4">D20</f>
        <v>Actual 2025-26</v>
      </c>
      <c r="E27" s="5">
        <f>SUM($E20:E20)</f>
        <v>5788</v>
      </c>
      <c r="F27" s="5">
        <f>SUM($E20:F20)</f>
        <v>12493</v>
      </c>
      <c r="G27" s="5">
        <f>SUM($E20:G20)</f>
        <v>17248</v>
      </c>
      <c r="H27" s="5">
        <f>SUM($E20:H20)</f>
        <v>23489</v>
      </c>
      <c r="I27" s="5">
        <f>SUM($E20:I20)</f>
        <v>28672</v>
      </c>
      <c r="J27" s="5">
        <f>SUM($E20:J20)</f>
        <v>34833</v>
      </c>
      <c r="K27" s="5">
        <f>SUM($E20:K20)</f>
        <v>43646</v>
      </c>
      <c r="L27" s="5">
        <f>SUM($E20:L20)</f>
        <v>50827</v>
      </c>
      <c r="M27" s="5">
        <f>SUM($E20:M20)</f>
        <v>50827</v>
      </c>
      <c r="N27" s="5">
        <f>SUM($E20:N20)</f>
        <v>50827</v>
      </c>
      <c r="O27" s="5">
        <f>SUM($E20:O20)</f>
        <v>50827</v>
      </c>
      <c r="P27" s="5">
        <f>SUM($E20:P20)</f>
        <v>50827</v>
      </c>
    </row>
    <row r="28" spans="3:17" x14ac:dyDescent="0.35">
      <c r="D28" s="3" t="str">
        <f t="shared" si="4"/>
        <v>Actual 2024-25</v>
      </c>
      <c r="E28" s="5">
        <f>SUM($E21:E21)</f>
        <v>6588</v>
      </c>
      <c r="F28" s="5">
        <f>SUM($E21:F21)</f>
        <v>13458</v>
      </c>
      <c r="G28" s="5">
        <f>SUM($E21:G21)</f>
        <v>20184</v>
      </c>
      <c r="H28" s="5">
        <f>SUM($E21:H21)</f>
        <v>27157</v>
      </c>
      <c r="I28" s="5">
        <f>SUM($E21:I21)</f>
        <v>34613</v>
      </c>
      <c r="J28" s="5">
        <f>SUM($E21:J21)</f>
        <v>39519</v>
      </c>
      <c r="K28" s="5">
        <f>SUM($E21:K21)</f>
        <v>47471</v>
      </c>
      <c r="L28" s="5">
        <f>SUM($E21:L21)</f>
        <v>55850</v>
      </c>
      <c r="M28" s="5">
        <f>SUM($E21:M21)</f>
        <v>64541</v>
      </c>
      <c r="N28" s="5">
        <f>SUM($E21:N21)</f>
        <v>70722</v>
      </c>
      <c r="O28" s="5">
        <f>SUM($E21:O21)</f>
        <v>77555</v>
      </c>
      <c r="P28" s="5">
        <f>SUM($E21:P21)</f>
        <v>84448</v>
      </c>
    </row>
    <row r="29" spans="3:17" x14ac:dyDescent="0.35">
      <c r="D29" s="3" t="str">
        <f t="shared" si="4"/>
        <v>Difference</v>
      </c>
      <c r="E29" s="5">
        <f>SUM($E22:E22)</f>
        <v>-1394.0222162243208</v>
      </c>
      <c r="F29" s="5">
        <f>SUM($E22:F22)</f>
        <v>-1883.1618788424039</v>
      </c>
      <c r="G29" s="5">
        <f>SUM($E22:G22)</f>
        <v>-4334.4189878542493</v>
      </c>
      <c r="H29" s="5">
        <f>SUM($E22:H22)</f>
        <v>-5718.7555685763127</v>
      </c>
      <c r="I29" s="5">
        <f>SUM($E22:I22)</f>
        <v>-8376.6906083503654</v>
      </c>
      <c r="J29" s="5">
        <f>SUM($E22:J22)</f>
        <v>-10272.224107176409</v>
      </c>
      <c r="K29" s="5">
        <f>SUM($E22:K22)</f>
        <v>-9731.3560650544441</v>
      </c>
      <c r="L29" s="5">
        <f>SUM($E22:L22)</f>
        <v>-11038.086481984468</v>
      </c>
      <c r="M29" s="5">
        <f>SUM($E22:M22)</f>
        <v>-11038.086481984468</v>
      </c>
      <c r="N29" s="5">
        <f>SUM($E22:N22)</f>
        <v>-11038.086481984468</v>
      </c>
      <c r="O29" s="5">
        <f>SUM($E22:O22)</f>
        <v>-11038.086481984468</v>
      </c>
      <c r="P29" s="5">
        <f>SUM($E22:P22)</f>
        <v>-11038.086481984468</v>
      </c>
    </row>
    <row r="30" spans="3:17" x14ac:dyDescent="0.35">
      <c r="D30" s="3" t="str">
        <f t="shared" si="4"/>
        <v>Realisation</v>
      </c>
      <c r="E30" s="9">
        <f>E28/E26</f>
        <v>0.91729039560996994</v>
      </c>
      <c r="F30" s="9">
        <f t="shared" ref="F30:P30" si="5">F27/F26</f>
        <v>0.86900802211931971</v>
      </c>
      <c r="G30" s="9">
        <f t="shared" si="5"/>
        <v>0.79916899072835657</v>
      </c>
      <c r="H30" s="9">
        <f t="shared" si="5"/>
        <v>0.80420421024308553</v>
      </c>
      <c r="I30" s="9">
        <f t="shared" si="5"/>
        <v>0.77390049497559421</v>
      </c>
      <c r="J30" s="9">
        <f t="shared" si="5"/>
        <v>0.77226087863418769</v>
      </c>
      <c r="K30" s="9">
        <f t="shared" si="5"/>
        <v>0.81768755924901526</v>
      </c>
      <c r="L30" s="9">
        <f t="shared" si="5"/>
        <v>0.82157809663453973</v>
      </c>
      <c r="M30" s="9">
        <f t="shared" si="5"/>
        <v>0.72025140060428061</v>
      </c>
      <c r="N30" s="9">
        <f t="shared" si="5"/>
        <v>0.63943513870260149</v>
      </c>
      <c r="O30" s="9">
        <f t="shared" si="5"/>
        <v>0.57352661219737466</v>
      </c>
      <c r="P30" s="9">
        <f t="shared" si="5"/>
        <v>0.51879112160930763</v>
      </c>
    </row>
  </sheetData>
  <mergeCells count="2">
    <mergeCell ref="J4:Q8"/>
    <mergeCell ref="J10:Q15"/>
  </mergeCells>
  <conditionalFormatting sqref="C3">
    <cfRule type="expression" dxfId="260" priority="2">
      <formula>S4&lt;S6</formula>
    </cfRule>
  </conditionalFormatting>
  <conditionalFormatting sqref="C5">
    <cfRule type="expression" dxfId="259" priority="3">
      <formula>S4&gt;=S5</formula>
    </cfRule>
  </conditionalFormatting>
  <conditionalFormatting sqref="C4">
    <cfRule type="expression" dxfId="258" priority="1">
      <formula>AND(S4&gt;=S6,S4&lt;S5)</formula>
    </cfRule>
  </conditionalFormatting>
  <hyperlinks>
    <hyperlink ref="L1" location="Dashboard!A1" display="Dashboard"/>
  </hyperlinks>
  <pageMargins left="0.7" right="0.7" top="0.75" bottom="0.75" header="0.3" footer="0.3"/>
  <pageSetup orientation="portrait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26049" r:id="rId4" name="Spinner 1">
              <controlPr defaultSize="0" autoPict="0">
                <anchor moveWithCells="1" sizeWithCells="1">
                  <from>
                    <xdr:col>9</xdr:col>
                    <xdr:colOff>19050</xdr:colOff>
                    <xdr:row>0</xdr:row>
                    <xdr:rowOff>38100</xdr:rowOff>
                  </from>
                  <to>
                    <xdr:col>9</xdr:col>
                    <xdr:colOff>400050</xdr:colOff>
                    <xdr:row>1</xdr:row>
                    <xdr:rowOff>152400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1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FFC000"/>
  </sheetPr>
  <dimension ref="A1:S30"/>
  <sheetViews>
    <sheetView topLeftCell="E1" workbookViewId="0">
      <selection activeCell="L1" sqref="L1"/>
    </sheetView>
  </sheetViews>
  <sheetFormatPr defaultColWidth="9.1796875" defaultRowHeight="14.5" x14ac:dyDescent="0.35"/>
  <cols>
    <col min="1" max="1" width="9.1796875" style="3"/>
    <col min="2" max="2" width="5.1796875" style="3" customWidth="1"/>
    <col min="3" max="3" width="6.26953125" style="3" customWidth="1"/>
    <col min="4" max="4" width="21.26953125" style="3" bestFit="1" customWidth="1"/>
    <col min="5" max="16" width="11.1796875" style="3" customWidth="1"/>
    <col min="17" max="17" width="12" style="3" bestFit="1" customWidth="1"/>
    <col min="18" max="18" width="9.1796875" style="3" customWidth="1"/>
    <col min="19" max="16384" width="9.1796875" style="3"/>
  </cols>
  <sheetData>
    <row r="1" spans="1:19" ht="21" x14ac:dyDescent="0.5">
      <c r="A1" s="4" t="s">
        <v>4</v>
      </c>
      <c r="B1" s="4">
        <f>Dashboard!A128</f>
        <v>1</v>
      </c>
      <c r="C1" s="4" t="str">
        <f>Dashboard!B129</f>
        <v>IHINDU- WATER(M3)</v>
      </c>
      <c r="D1" s="4"/>
      <c r="G1" s="3" t="s">
        <v>9</v>
      </c>
      <c r="I1" s="12">
        <f>INDEX($E$18:$P$18,Actual_month)</f>
        <v>46054</v>
      </c>
      <c r="L1" s="16" t="s">
        <v>19</v>
      </c>
      <c r="R1" s="5"/>
    </row>
    <row r="2" spans="1:19" x14ac:dyDescent="0.35">
      <c r="A2" s="3" t="s">
        <v>13</v>
      </c>
      <c r="C2" s="3" t="s">
        <v>27</v>
      </c>
      <c r="R2" s="6"/>
    </row>
    <row r="3" spans="1:19" ht="25.5" customHeight="1" thickBot="1" x14ac:dyDescent="0.4">
      <c r="C3" s="1" t="s">
        <v>5</v>
      </c>
      <c r="E3" s="10"/>
      <c r="F3" s="10"/>
      <c r="G3" s="10"/>
      <c r="H3" s="10"/>
      <c r="I3" s="10"/>
      <c r="J3" s="3" t="s">
        <v>6</v>
      </c>
      <c r="K3" s="10"/>
      <c r="M3" s="10"/>
      <c r="N3" s="10"/>
      <c r="O3" s="10"/>
      <c r="P3" s="10"/>
    </row>
    <row r="4" spans="1:19" ht="25.5" customHeight="1" x14ac:dyDescent="0.35">
      <c r="C4" s="1" t="s">
        <v>5</v>
      </c>
      <c r="E4" s="10"/>
      <c r="F4" s="10"/>
      <c r="G4" s="10"/>
      <c r="H4" s="10"/>
      <c r="I4" s="10"/>
      <c r="J4" s="401"/>
      <c r="K4" s="402"/>
      <c r="L4" s="402"/>
      <c r="M4" s="402"/>
      <c r="N4" s="402"/>
      <c r="O4" s="402"/>
      <c r="P4" s="402"/>
      <c r="Q4" s="403"/>
      <c r="R4" s="3" t="s">
        <v>22</v>
      </c>
      <c r="S4" s="5">
        <f>INDEX(E27:P27,Actual_month)</f>
        <v>958</v>
      </c>
    </row>
    <row r="5" spans="1:19" ht="25.5" customHeight="1" x14ac:dyDescent="0.35">
      <c r="C5" s="1" t="s">
        <v>5</v>
      </c>
      <c r="E5" s="10"/>
      <c r="F5" s="10"/>
      <c r="G5" s="10"/>
      <c r="H5" s="10"/>
      <c r="I5" s="10"/>
      <c r="J5" s="404"/>
      <c r="K5" s="405"/>
      <c r="L5" s="405"/>
      <c r="M5" s="405"/>
      <c r="N5" s="405"/>
      <c r="O5" s="405"/>
      <c r="P5" s="405"/>
      <c r="Q5" s="406"/>
      <c r="R5" s="3" t="s">
        <v>23</v>
      </c>
      <c r="S5" s="5">
        <f>INDEX(E26:P26,Actual_month)</f>
        <v>7675.3333333333339</v>
      </c>
    </row>
    <row r="6" spans="1:19" x14ac:dyDescent="0.35">
      <c r="J6" s="404"/>
      <c r="K6" s="405"/>
      <c r="L6" s="405"/>
      <c r="M6" s="405"/>
      <c r="N6" s="405"/>
      <c r="O6" s="405"/>
      <c r="P6" s="405"/>
      <c r="Q6" s="406"/>
      <c r="R6" s="6">
        <v>0.9</v>
      </c>
      <c r="S6" s="5">
        <f>+S5*R6</f>
        <v>6907.8000000000011</v>
      </c>
    </row>
    <row r="7" spans="1:19" x14ac:dyDescent="0.35">
      <c r="J7" s="404"/>
      <c r="K7" s="405"/>
      <c r="L7" s="405"/>
      <c r="M7" s="405"/>
      <c r="N7" s="405"/>
      <c r="O7" s="405"/>
      <c r="P7" s="405"/>
      <c r="Q7" s="406"/>
    </row>
    <row r="8" spans="1:19" ht="15" thickBot="1" x14ac:dyDescent="0.4">
      <c r="J8" s="407"/>
      <c r="K8" s="408"/>
      <c r="L8" s="408"/>
      <c r="M8" s="408"/>
      <c r="N8" s="408"/>
      <c r="O8" s="408"/>
      <c r="P8" s="408"/>
      <c r="Q8" s="409"/>
    </row>
    <row r="9" spans="1:19" ht="15" thickBot="1" x14ac:dyDescent="0.4">
      <c r="J9" s="3" t="s">
        <v>12</v>
      </c>
    </row>
    <row r="10" spans="1:19" x14ac:dyDescent="0.35">
      <c r="J10" s="401"/>
      <c r="K10" s="402"/>
      <c r="L10" s="402"/>
      <c r="M10" s="402"/>
      <c r="N10" s="402"/>
      <c r="O10" s="402"/>
      <c r="P10" s="402"/>
      <c r="Q10" s="403"/>
    </row>
    <row r="11" spans="1:19" x14ac:dyDescent="0.35">
      <c r="J11" s="404"/>
      <c r="K11" s="405"/>
      <c r="L11" s="405"/>
      <c r="M11" s="405"/>
      <c r="N11" s="405"/>
      <c r="O11" s="405"/>
      <c r="P11" s="405"/>
      <c r="Q11" s="406"/>
    </row>
    <row r="12" spans="1:19" x14ac:dyDescent="0.35">
      <c r="J12" s="404"/>
      <c r="K12" s="405"/>
      <c r="L12" s="405"/>
      <c r="M12" s="405"/>
      <c r="N12" s="405"/>
      <c r="O12" s="405"/>
      <c r="P12" s="405"/>
      <c r="Q12" s="406"/>
    </row>
    <row r="13" spans="1:19" x14ac:dyDescent="0.35">
      <c r="J13" s="404"/>
      <c r="K13" s="405"/>
      <c r="L13" s="405"/>
      <c r="M13" s="405"/>
      <c r="N13" s="405"/>
      <c r="O13" s="405"/>
      <c r="P13" s="405"/>
      <c r="Q13" s="406"/>
    </row>
    <row r="14" spans="1:19" x14ac:dyDescent="0.35">
      <c r="J14" s="404"/>
      <c r="K14" s="405"/>
      <c r="L14" s="405"/>
      <c r="M14" s="405"/>
      <c r="N14" s="405"/>
      <c r="O14" s="405"/>
      <c r="P14" s="405"/>
      <c r="Q14" s="406"/>
    </row>
    <row r="15" spans="1:19" ht="15" thickBot="1" x14ac:dyDescent="0.4">
      <c r="J15" s="407"/>
      <c r="K15" s="408"/>
      <c r="L15" s="408"/>
      <c r="M15" s="408"/>
      <c r="N15" s="408"/>
      <c r="O15" s="408"/>
      <c r="P15" s="408"/>
      <c r="Q15" s="409"/>
    </row>
    <row r="18" spans="3:17" x14ac:dyDescent="0.35">
      <c r="C18" s="7" t="s">
        <v>8</v>
      </c>
      <c r="E18" s="11">
        <f>'KPI 1'!E18</f>
        <v>45839</v>
      </c>
      <c r="F18" s="11">
        <f>'KPI 1'!F18</f>
        <v>45870</v>
      </c>
      <c r="G18" s="11">
        <f>'KPI 1'!G18</f>
        <v>45901</v>
      </c>
      <c r="H18" s="11">
        <f>'KPI 1'!H18</f>
        <v>45931</v>
      </c>
      <c r="I18" s="11">
        <f>'KPI 1'!I18</f>
        <v>45962</v>
      </c>
      <c r="J18" s="11">
        <f>'KPI 1'!J18</f>
        <v>45992</v>
      </c>
      <c r="K18" s="11">
        <f>'KPI 1'!K18</f>
        <v>46023</v>
      </c>
      <c r="L18" s="11">
        <f>'KPI 1'!L18</f>
        <v>46054</v>
      </c>
      <c r="M18" s="11">
        <f>'KPI 1'!M18</f>
        <v>46082</v>
      </c>
      <c r="N18" s="11">
        <f>'KPI 1'!N18</f>
        <v>46113</v>
      </c>
      <c r="O18" s="11">
        <f>'KPI 1'!O18</f>
        <v>46143</v>
      </c>
      <c r="P18" s="11">
        <f>'KPI 1'!P18</f>
        <v>46174</v>
      </c>
      <c r="Q18" s="8" t="s">
        <v>0</v>
      </c>
    </row>
    <row r="19" spans="3:17" x14ac:dyDescent="0.35">
      <c r="D19" s="3" t="str">
        <f>'KPI 1'!D19</f>
        <v>Budget 2025-26</v>
      </c>
      <c r="E19" s="49">
        <f>'budget 2025-26'!D121</f>
        <v>343.66666666666669</v>
      </c>
      <c r="F19" s="49">
        <f>'budget 2025-26'!E121</f>
        <v>565.66666666666663</v>
      </c>
      <c r="G19" s="49">
        <f>'budget 2025-26'!F121</f>
        <v>757.66666666666663</v>
      </c>
      <c r="H19" s="49">
        <f>'budget 2025-26'!G121</f>
        <v>919.66666666666663</v>
      </c>
      <c r="I19" s="49">
        <f>'budget 2025-26'!H121</f>
        <v>1081.6666666666667</v>
      </c>
      <c r="J19" s="49">
        <f>'budget 2025-26'!I121</f>
        <v>1213.6666666666667</v>
      </c>
      <c r="K19" s="49">
        <f>'budget 2025-26'!J121</f>
        <v>1345.6666666666667</v>
      </c>
      <c r="L19" s="49">
        <f>'budget 2025-26'!K121</f>
        <v>1447.6666666666667</v>
      </c>
      <c r="M19" s="49">
        <f>'budget 2025-26'!L121</f>
        <v>1549.6666666666667</v>
      </c>
      <c r="N19" s="49">
        <f>'budget 2025-26'!M121</f>
        <v>1651.6666666666667</v>
      </c>
      <c r="O19" s="49">
        <f>'budget 2025-26'!N121</f>
        <v>1753.6666666666667</v>
      </c>
      <c r="P19" s="49">
        <f>'budget 2025-26'!O121</f>
        <v>1855.6666666666667</v>
      </c>
      <c r="Q19" s="5">
        <f>SUM(E19:P19)</f>
        <v>14485.999999999998</v>
      </c>
    </row>
    <row r="20" spans="3:17" x14ac:dyDescent="0.35">
      <c r="D20" s="3" t="str">
        <f>'KPI 1'!D20</f>
        <v>Actual 2025-26</v>
      </c>
      <c r="E20" s="49">
        <f>'Input Actual2025-26'!E124</f>
        <v>72</v>
      </c>
      <c r="F20" s="49">
        <f>'Input Actual2025-26'!F124</f>
        <v>134</v>
      </c>
      <c r="G20" s="49">
        <f>'Input Actual2025-26'!G124</f>
        <v>138</v>
      </c>
      <c r="H20" s="49">
        <f>'Input Actual2025-26'!H124</f>
        <v>0</v>
      </c>
      <c r="I20" s="49">
        <f>'Input Actual2025-26'!I124</f>
        <v>1</v>
      </c>
      <c r="J20" s="49">
        <f>'Input Actual2025-26'!J124</f>
        <v>132</v>
      </c>
      <c r="K20" s="49">
        <f>'Input Actual2025-26'!K124</f>
        <v>282</v>
      </c>
      <c r="L20" s="49">
        <f>'Input Actual2025-26'!L124</f>
        <v>199</v>
      </c>
      <c r="M20" s="49">
        <f>'Input Actual2025-26'!M124</f>
        <v>0</v>
      </c>
      <c r="N20" s="49">
        <f>'Input Actual2025-26'!N124</f>
        <v>0</v>
      </c>
      <c r="O20" s="49">
        <f>'Input Actual2025-26'!O124</f>
        <v>0</v>
      </c>
      <c r="P20" s="49">
        <f>'Input Actual2025-26'!P124</f>
        <v>0</v>
      </c>
      <c r="Q20" s="5">
        <f t="shared" ref="Q20:Q22" si="0">SUM(E20:P20)</f>
        <v>958</v>
      </c>
    </row>
    <row r="21" spans="3:17" x14ac:dyDescent="0.35">
      <c r="D21" s="3" t="s">
        <v>424</v>
      </c>
      <c r="E21" s="49"/>
      <c r="F21" s="49"/>
      <c r="G21" s="49"/>
      <c r="H21" s="49"/>
      <c r="I21" s="49"/>
      <c r="J21" s="49"/>
      <c r="K21" s="49"/>
      <c r="L21" s="49"/>
      <c r="M21" s="49"/>
      <c r="N21" s="49"/>
      <c r="O21" s="49"/>
      <c r="P21" s="49"/>
      <c r="Q21" s="5">
        <f t="shared" si="0"/>
        <v>0</v>
      </c>
    </row>
    <row r="22" spans="3:17" x14ac:dyDescent="0.35">
      <c r="D22" s="3" t="s">
        <v>7</v>
      </c>
      <c r="E22" s="5">
        <f t="shared" ref="E22:P22" si="1">IF(E20=0,0,E20-E19)</f>
        <v>-271.66666666666669</v>
      </c>
      <c r="F22" s="5">
        <f t="shared" si="1"/>
        <v>-431.66666666666663</v>
      </c>
      <c r="G22" s="5">
        <f t="shared" si="1"/>
        <v>-619.66666666666663</v>
      </c>
      <c r="H22" s="5">
        <f t="shared" si="1"/>
        <v>0</v>
      </c>
      <c r="I22" s="5">
        <f t="shared" si="1"/>
        <v>-1080.6666666666667</v>
      </c>
      <c r="J22" s="5">
        <f t="shared" si="1"/>
        <v>-1081.6666666666667</v>
      </c>
      <c r="K22" s="5">
        <f t="shared" si="1"/>
        <v>-1063.6666666666667</v>
      </c>
      <c r="L22" s="5">
        <f t="shared" si="1"/>
        <v>-1248.6666666666667</v>
      </c>
      <c r="M22" s="5">
        <f t="shared" si="1"/>
        <v>0</v>
      </c>
      <c r="N22" s="5">
        <f t="shared" si="1"/>
        <v>0</v>
      </c>
      <c r="O22" s="5">
        <f t="shared" si="1"/>
        <v>0</v>
      </c>
      <c r="P22" s="5">
        <f t="shared" si="1"/>
        <v>0</v>
      </c>
      <c r="Q22" s="5">
        <f t="shared" si="0"/>
        <v>-5797.6666666666679</v>
      </c>
    </row>
    <row r="23" spans="3:17" x14ac:dyDescent="0.35">
      <c r="D23" s="3" t="s">
        <v>43</v>
      </c>
      <c r="E23" s="9">
        <f>E21/E19</f>
        <v>0</v>
      </c>
      <c r="F23" s="9">
        <f t="shared" ref="F23:P23" si="2">F20/F19</f>
        <v>0.23688862698880378</v>
      </c>
      <c r="G23" s="9">
        <f t="shared" si="2"/>
        <v>0.18213814342278928</v>
      </c>
      <c r="H23" s="9">
        <f t="shared" si="2"/>
        <v>0</v>
      </c>
      <c r="I23" s="9">
        <f t="shared" si="2"/>
        <v>9.2449922958397527E-4</v>
      </c>
      <c r="J23" s="9">
        <f t="shared" si="2"/>
        <v>0.10876132930513595</v>
      </c>
      <c r="K23" s="9">
        <f t="shared" si="2"/>
        <v>0.20956155561060191</v>
      </c>
      <c r="L23" s="9">
        <f t="shared" si="2"/>
        <v>0.13746258346764909</v>
      </c>
      <c r="M23" s="9">
        <f t="shared" si="2"/>
        <v>0</v>
      </c>
      <c r="N23" s="9">
        <f t="shared" si="2"/>
        <v>0</v>
      </c>
      <c r="O23" s="9">
        <f t="shared" si="2"/>
        <v>0</v>
      </c>
      <c r="P23" s="9">
        <f t="shared" si="2"/>
        <v>0</v>
      </c>
    </row>
    <row r="25" spans="3:17" x14ac:dyDescent="0.35">
      <c r="C25" s="7" t="s">
        <v>3</v>
      </c>
      <c r="E25" s="11">
        <f>E18</f>
        <v>45839</v>
      </c>
      <c r="F25" s="11">
        <f t="shared" ref="F25:P25" si="3">F18</f>
        <v>45870</v>
      </c>
      <c r="G25" s="11">
        <f t="shared" si="3"/>
        <v>45901</v>
      </c>
      <c r="H25" s="11">
        <f t="shared" si="3"/>
        <v>45931</v>
      </c>
      <c r="I25" s="11">
        <f t="shared" si="3"/>
        <v>45962</v>
      </c>
      <c r="J25" s="11">
        <f t="shared" si="3"/>
        <v>45992</v>
      </c>
      <c r="K25" s="11">
        <f t="shared" si="3"/>
        <v>46023</v>
      </c>
      <c r="L25" s="11">
        <f t="shared" si="3"/>
        <v>46054</v>
      </c>
      <c r="M25" s="11">
        <f t="shared" si="3"/>
        <v>46082</v>
      </c>
      <c r="N25" s="11">
        <f t="shared" si="3"/>
        <v>46113</v>
      </c>
      <c r="O25" s="11">
        <f t="shared" si="3"/>
        <v>46143</v>
      </c>
      <c r="P25" s="11">
        <f t="shared" si="3"/>
        <v>46174</v>
      </c>
    </row>
    <row r="26" spans="3:17" x14ac:dyDescent="0.35">
      <c r="D26" s="3" t="str">
        <f>D19</f>
        <v>Budget 2025-26</v>
      </c>
      <c r="E26" s="5">
        <f>SUM($E19:E19)</f>
        <v>343.66666666666669</v>
      </c>
      <c r="F26" s="5">
        <f>SUM($E19:F19)</f>
        <v>909.33333333333326</v>
      </c>
      <c r="G26" s="5">
        <f>SUM($E19:G19)</f>
        <v>1667</v>
      </c>
      <c r="H26" s="5">
        <f>SUM($E19:H19)</f>
        <v>2586.6666666666665</v>
      </c>
      <c r="I26" s="5">
        <f>SUM($E19:I19)</f>
        <v>3668.333333333333</v>
      </c>
      <c r="J26" s="5">
        <f>SUM($E19:J19)</f>
        <v>4882</v>
      </c>
      <c r="K26" s="5">
        <f>SUM($E19:K19)</f>
        <v>6227.666666666667</v>
      </c>
      <c r="L26" s="5">
        <f>SUM($E19:L19)</f>
        <v>7675.3333333333339</v>
      </c>
      <c r="M26" s="5">
        <f>SUM($E19:M19)</f>
        <v>9225</v>
      </c>
      <c r="N26" s="5">
        <f>SUM($E19:N19)</f>
        <v>10876.666666666666</v>
      </c>
      <c r="O26" s="5">
        <f>SUM($E19:O19)</f>
        <v>12630.333333333332</v>
      </c>
      <c r="P26" s="5">
        <f>SUM($E19:P19)</f>
        <v>14485.999999999998</v>
      </c>
    </row>
    <row r="27" spans="3:17" x14ac:dyDescent="0.35">
      <c r="D27" s="3" t="str">
        <f t="shared" ref="D27:D30" si="4">D20</f>
        <v>Actual 2025-26</v>
      </c>
      <c r="E27" s="5">
        <f>SUM($E20:E20)</f>
        <v>72</v>
      </c>
      <c r="F27" s="5">
        <f>SUM($E20:F20)</f>
        <v>206</v>
      </c>
      <c r="G27" s="5">
        <f>SUM($E20:G20)</f>
        <v>344</v>
      </c>
      <c r="H27" s="5">
        <f>SUM($E20:H20)</f>
        <v>344</v>
      </c>
      <c r="I27" s="5">
        <f>SUM($E20:I20)</f>
        <v>345</v>
      </c>
      <c r="J27" s="5">
        <f>SUM($E20:J20)</f>
        <v>477</v>
      </c>
      <c r="K27" s="5">
        <f>SUM($E20:K20)</f>
        <v>759</v>
      </c>
      <c r="L27" s="5">
        <f>SUM($E20:L20)</f>
        <v>958</v>
      </c>
      <c r="M27" s="5">
        <f>SUM($E20:M20)</f>
        <v>958</v>
      </c>
      <c r="N27" s="5">
        <f>SUM($E20:N20)</f>
        <v>958</v>
      </c>
      <c r="O27" s="5">
        <f>SUM($E20:O20)</f>
        <v>958</v>
      </c>
      <c r="P27" s="5">
        <f>SUM($E20:P20)</f>
        <v>958</v>
      </c>
    </row>
    <row r="28" spans="3:17" x14ac:dyDescent="0.35">
      <c r="D28" s="3" t="str">
        <f t="shared" si="4"/>
        <v>Actual 2024-25</v>
      </c>
      <c r="E28" s="5">
        <f>SUM($E21:E21)</f>
        <v>0</v>
      </c>
      <c r="F28" s="5">
        <f>SUM($E21:F21)</f>
        <v>0</v>
      </c>
      <c r="G28" s="5">
        <f>SUM($E21:G21)</f>
        <v>0</v>
      </c>
      <c r="H28" s="5">
        <f>SUM($E21:H21)</f>
        <v>0</v>
      </c>
      <c r="I28" s="5">
        <f>SUM($E21:I21)</f>
        <v>0</v>
      </c>
      <c r="J28" s="5">
        <f>SUM($E21:J21)</f>
        <v>0</v>
      </c>
      <c r="K28" s="5">
        <f>SUM($E21:K21)</f>
        <v>0</v>
      </c>
      <c r="L28" s="5">
        <f>SUM($E21:L21)</f>
        <v>0</v>
      </c>
      <c r="M28" s="5">
        <f>SUM($E21:M21)</f>
        <v>0</v>
      </c>
      <c r="N28" s="5">
        <f>SUM($E21:N21)</f>
        <v>0</v>
      </c>
      <c r="O28" s="5">
        <f>SUM($E21:O21)</f>
        <v>0</v>
      </c>
      <c r="P28" s="5">
        <f>SUM($E21:P21)</f>
        <v>0</v>
      </c>
    </row>
    <row r="29" spans="3:17" x14ac:dyDescent="0.35">
      <c r="D29" s="3" t="str">
        <f t="shared" si="4"/>
        <v>Difference</v>
      </c>
      <c r="E29" s="5">
        <f>SUM($E22:E22)</f>
        <v>-271.66666666666669</v>
      </c>
      <c r="F29" s="5">
        <f>SUM($E22:F22)</f>
        <v>-703.33333333333326</v>
      </c>
      <c r="G29" s="5">
        <f>SUM($E22:G22)</f>
        <v>-1323</v>
      </c>
      <c r="H29" s="5">
        <f>SUM($E22:H22)</f>
        <v>-1323</v>
      </c>
      <c r="I29" s="5">
        <f>SUM($E22:I22)</f>
        <v>-2403.666666666667</v>
      </c>
      <c r="J29" s="5">
        <f>SUM($E22:J22)</f>
        <v>-3485.3333333333339</v>
      </c>
      <c r="K29" s="5">
        <f>SUM($E22:K22)</f>
        <v>-4549.0000000000009</v>
      </c>
      <c r="L29" s="5">
        <f>SUM($E22:L22)</f>
        <v>-5797.6666666666679</v>
      </c>
      <c r="M29" s="5">
        <f>SUM($E22:M22)</f>
        <v>-5797.6666666666679</v>
      </c>
      <c r="N29" s="5">
        <f>SUM($E22:N22)</f>
        <v>-5797.6666666666679</v>
      </c>
      <c r="O29" s="5">
        <f>SUM($E22:O22)</f>
        <v>-5797.6666666666679</v>
      </c>
      <c r="P29" s="5">
        <f>SUM($E22:P22)</f>
        <v>-5797.6666666666679</v>
      </c>
    </row>
    <row r="30" spans="3:17" x14ac:dyDescent="0.35">
      <c r="D30" s="3" t="str">
        <f t="shared" si="4"/>
        <v>Realisation</v>
      </c>
      <c r="E30" s="9">
        <f>E28/E26</f>
        <v>0</v>
      </c>
      <c r="F30" s="9">
        <f t="shared" ref="F30:P30" si="5">F27/F26</f>
        <v>0.22653958944281527</v>
      </c>
      <c r="G30" s="9">
        <f t="shared" si="5"/>
        <v>0.20635872825434912</v>
      </c>
      <c r="H30" s="9">
        <f t="shared" si="5"/>
        <v>0.13298969072164948</v>
      </c>
      <c r="I30" s="9">
        <f t="shared" si="5"/>
        <v>9.404815992730578E-2</v>
      </c>
      <c r="J30" s="9">
        <f t="shared" si="5"/>
        <v>9.7705858254813607E-2</v>
      </c>
      <c r="K30" s="9">
        <f t="shared" si="5"/>
        <v>0.12187550179307391</v>
      </c>
      <c r="L30" s="9">
        <f t="shared" si="5"/>
        <v>0.12481542604012855</v>
      </c>
      <c r="M30" s="9">
        <f t="shared" si="5"/>
        <v>0.10384823848238482</v>
      </c>
      <c r="N30" s="9">
        <f t="shared" si="5"/>
        <v>8.80784554091327E-2</v>
      </c>
      <c r="O30" s="9">
        <f t="shared" si="5"/>
        <v>7.5849146235253767E-2</v>
      </c>
      <c r="P30" s="9">
        <f t="shared" si="5"/>
        <v>6.6132817893138213E-2</v>
      </c>
    </row>
  </sheetData>
  <mergeCells count="2">
    <mergeCell ref="J4:Q8"/>
    <mergeCell ref="J10:Q15"/>
  </mergeCells>
  <conditionalFormatting sqref="C3">
    <cfRule type="expression" dxfId="257" priority="2">
      <formula>S4&lt;S6</formula>
    </cfRule>
  </conditionalFormatting>
  <conditionalFormatting sqref="C5">
    <cfRule type="expression" dxfId="256" priority="3">
      <formula>S4&gt;=S5</formula>
    </cfRule>
  </conditionalFormatting>
  <conditionalFormatting sqref="C4">
    <cfRule type="expression" dxfId="255" priority="1">
      <formula>AND(S4&gt;=S6,S4&lt;S5)</formula>
    </cfRule>
  </conditionalFormatting>
  <hyperlinks>
    <hyperlink ref="L1" location="Dashboard!A1" display="Dashboard"/>
  </hyperlinks>
  <pageMargins left="0.7" right="0.7" top="0.75" bottom="0.75" header="0.3" footer="0.3"/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2123777" r:id="rId3" name="Spinner 1">
              <controlPr defaultSize="0" autoPict="0">
                <anchor moveWithCells="1" sizeWithCells="1">
                  <from>
                    <xdr:col>9</xdr:col>
                    <xdr:colOff>19050</xdr:colOff>
                    <xdr:row>0</xdr:row>
                    <xdr:rowOff>38100</xdr:rowOff>
                  </from>
                  <to>
                    <xdr:col>9</xdr:col>
                    <xdr:colOff>400050</xdr:colOff>
                    <xdr:row>1</xdr:row>
                    <xdr:rowOff>152400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1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91">
    <tabColor rgb="FFFFC000"/>
  </sheetPr>
  <dimension ref="A1:S30"/>
  <sheetViews>
    <sheetView zoomScale="90" zoomScaleNormal="90" workbookViewId="0">
      <selection activeCell="L1" sqref="L1"/>
    </sheetView>
  </sheetViews>
  <sheetFormatPr defaultColWidth="9.1796875" defaultRowHeight="14.5" x14ac:dyDescent="0.35"/>
  <cols>
    <col min="1" max="1" width="9.1796875" style="3"/>
    <col min="2" max="2" width="5.1796875" style="3" customWidth="1"/>
    <col min="3" max="3" width="6.26953125" style="3" customWidth="1"/>
    <col min="4" max="4" width="21.26953125" style="3" bestFit="1" customWidth="1"/>
    <col min="5" max="16" width="11.1796875" style="3" customWidth="1"/>
    <col min="17" max="17" width="12" style="3" bestFit="1" customWidth="1"/>
    <col min="18" max="18" width="9.1796875" style="3" customWidth="1"/>
    <col min="19" max="16384" width="9.1796875" style="3"/>
  </cols>
  <sheetData>
    <row r="1" spans="1:19" ht="21" x14ac:dyDescent="0.5">
      <c r="A1" s="4" t="s">
        <v>4</v>
      </c>
      <c r="B1" s="4">
        <f>Dashboard!A128</f>
        <v>1</v>
      </c>
      <c r="C1" s="4" t="str">
        <f>Dashboard!B128</f>
        <v>KAYOLE - WATER(M3)</v>
      </c>
      <c r="D1" s="4"/>
      <c r="G1" s="3" t="s">
        <v>9</v>
      </c>
      <c r="I1" s="12">
        <f>INDEX($E$18:$P$18,Actual_month)</f>
        <v>46054</v>
      </c>
      <c r="L1" s="16" t="s">
        <v>19</v>
      </c>
      <c r="R1" s="5"/>
    </row>
    <row r="2" spans="1:19" x14ac:dyDescent="0.35">
      <c r="A2" s="3" t="s">
        <v>13</v>
      </c>
      <c r="C2" s="3" t="s">
        <v>27</v>
      </c>
      <c r="R2" s="6"/>
    </row>
    <row r="3" spans="1:19" ht="25.5" customHeight="1" thickBot="1" x14ac:dyDescent="0.4">
      <c r="C3" s="1" t="s">
        <v>5</v>
      </c>
      <c r="E3" s="10"/>
      <c r="F3" s="10"/>
      <c r="G3" s="10"/>
      <c r="H3" s="10"/>
      <c r="I3" s="10"/>
      <c r="J3" s="3" t="s">
        <v>6</v>
      </c>
      <c r="K3" s="10"/>
      <c r="M3" s="10"/>
      <c r="N3" s="10"/>
      <c r="O3" s="10"/>
      <c r="P3" s="10"/>
    </row>
    <row r="4" spans="1:19" ht="25.5" customHeight="1" x14ac:dyDescent="0.35">
      <c r="C4" s="1" t="s">
        <v>5</v>
      </c>
      <c r="E4" s="10"/>
      <c r="F4" s="10"/>
      <c r="G4" s="10"/>
      <c r="H4" s="10"/>
      <c r="I4" s="10"/>
      <c r="J4" s="401"/>
      <c r="K4" s="402"/>
      <c r="L4" s="402"/>
      <c r="M4" s="402"/>
      <c r="N4" s="402"/>
      <c r="O4" s="402"/>
      <c r="P4" s="402"/>
      <c r="Q4" s="403"/>
      <c r="R4" s="3" t="s">
        <v>22</v>
      </c>
      <c r="S4" s="5">
        <f>INDEX(E27:P27,Actual_month)</f>
        <v>232122</v>
      </c>
    </row>
    <row r="5" spans="1:19" ht="25.5" customHeight="1" x14ac:dyDescent="0.35">
      <c r="C5" s="1" t="s">
        <v>5</v>
      </c>
      <c r="E5" s="10"/>
      <c r="F5" s="10"/>
      <c r="G5" s="10"/>
      <c r="H5" s="10"/>
      <c r="I5" s="10"/>
      <c r="J5" s="404"/>
      <c r="K5" s="405"/>
      <c r="L5" s="405"/>
      <c r="M5" s="405"/>
      <c r="N5" s="405"/>
      <c r="O5" s="405"/>
      <c r="P5" s="405"/>
      <c r="Q5" s="406"/>
      <c r="R5" s="3" t="s">
        <v>23</v>
      </c>
      <c r="S5" s="5">
        <f>INDEX(E26:P26,Actual_month)</f>
        <v>233476.18716720684</v>
      </c>
    </row>
    <row r="6" spans="1:19" x14ac:dyDescent="0.35">
      <c r="J6" s="404"/>
      <c r="K6" s="405"/>
      <c r="L6" s="405"/>
      <c r="M6" s="405"/>
      <c r="N6" s="405"/>
      <c r="O6" s="405"/>
      <c r="P6" s="405"/>
      <c r="Q6" s="406"/>
      <c r="R6" s="6">
        <v>0.9</v>
      </c>
      <c r="S6" s="5">
        <f>+S5*R6</f>
        <v>210128.56845048617</v>
      </c>
    </row>
    <row r="7" spans="1:19" x14ac:dyDescent="0.35">
      <c r="J7" s="404"/>
      <c r="K7" s="405"/>
      <c r="L7" s="405"/>
      <c r="M7" s="405"/>
      <c r="N7" s="405"/>
      <c r="O7" s="405"/>
      <c r="P7" s="405"/>
      <c r="Q7" s="406"/>
    </row>
    <row r="8" spans="1:19" ht="15" thickBot="1" x14ac:dyDescent="0.4">
      <c r="J8" s="407"/>
      <c r="K8" s="408"/>
      <c r="L8" s="408"/>
      <c r="M8" s="408"/>
      <c r="N8" s="408"/>
      <c r="O8" s="408"/>
      <c r="P8" s="408"/>
      <c r="Q8" s="409"/>
    </row>
    <row r="9" spans="1:19" ht="15" thickBot="1" x14ac:dyDescent="0.4">
      <c r="J9" s="3" t="s">
        <v>12</v>
      </c>
    </row>
    <row r="10" spans="1:19" x14ac:dyDescent="0.35">
      <c r="J10" s="401"/>
      <c r="K10" s="402"/>
      <c r="L10" s="402"/>
      <c r="M10" s="402"/>
      <c r="N10" s="402"/>
      <c r="O10" s="402"/>
      <c r="P10" s="402"/>
      <c r="Q10" s="403"/>
    </row>
    <row r="11" spans="1:19" x14ac:dyDescent="0.35">
      <c r="J11" s="404"/>
      <c r="K11" s="405"/>
      <c r="L11" s="405"/>
      <c r="M11" s="405"/>
      <c r="N11" s="405"/>
      <c r="O11" s="405"/>
      <c r="P11" s="405"/>
      <c r="Q11" s="406"/>
    </row>
    <row r="12" spans="1:19" x14ac:dyDescent="0.35">
      <c r="J12" s="404"/>
      <c r="K12" s="405"/>
      <c r="L12" s="405"/>
      <c r="M12" s="405"/>
      <c r="N12" s="405"/>
      <c r="O12" s="405"/>
      <c r="P12" s="405"/>
      <c r="Q12" s="406"/>
    </row>
    <row r="13" spans="1:19" x14ac:dyDescent="0.35">
      <c r="J13" s="404"/>
      <c r="K13" s="405"/>
      <c r="L13" s="405"/>
      <c r="M13" s="405"/>
      <c r="N13" s="405"/>
      <c r="O13" s="405"/>
      <c r="P13" s="405"/>
      <c r="Q13" s="406"/>
    </row>
    <row r="14" spans="1:19" x14ac:dyDescent="0.35">
      <c r="J14" s="404"/>
      <c r="K14" s="405"/>
      <c r="L14" s="405"/>
      <c r="M14" s="405"/>
      <c r="N14" s="405"/>
      <c r="O14" s="405"/>
      <c r="P14" s="405"/>
      <c r="Q14" s="406"/>
    </row>
    <row r="15" spans="1:19" ht="15" thickBot="1" x14ac:dyDescent="0.4">
      <c r="J15" s="407"/>
      <c r="K15" s="408"/>
      <c r="L15" s="408"/>
      <c r="M15" s="408"/>
      <c r="N15" s="408"/>
      <c r="O15" s="408"/>
      <c r="P15" s="408"/>
      <c r="Q15" s="409"/>
    </row>
    <row r="18" spans="3:17" x14ac:dyDescent="0.35">
      <c r="C18" s="7" t="s">
        <v>8</v>
      </c>
      <c r="E18" s="11">
        <f>'KPI 1'!E18</f>
        <v>45839</v>
      </c>
      <c r="F18" s="11">
        <f>'KPI 1'!F18</f>
        <v>45870</v>
      </c>
      <c r="G18" s="11">
        <f>'KPI 1'!G18</f>
        <v>45901</v>
      </c>
      <c r="H18" s="11">
        <f>'KPI 1'!H18</f>
        <v>45931</v>
      </c>
      <c r="I18" s="11">
        <f>'KPI 1'!I18</f>
        <v>45962</v>
      </c>
      <c r="J18" s="11">
        <f>'KPI 1'!J18</f>
        <v>45992</v>
      </c>
      <c r="K18" s="11">
        <f>'KPI 1'!K18</f>
        <v>46023</v>
      </c>
      <c r="L18" s="11">
        <f>'KPI 1'!L18</f>
        <v>46054</v>
      </c>
      <c r="M18" s="11">
        <f>'KPI 1'!M18</f>
        <v>46082</v>
      </c>
      <c r="N18" s="11">
        <f>'KPI 1'!N18</f>
        <v>46113</v>
      </c>
      <c r="O18" s="11">
        <f>'KPI 1'!O18</f>
        <v>46143</v>
      </c>
      <c r="P18" s="11">
        <f>'KPI 1'!P18</f>
        <v>46174</v>
      </c>
      <c r="Q18" s="8" t="s">
        <v>0</v>
      </c>
    </row>
    <row r="19" spans="3:17" x14ac:dyDescent="0.35">
      <c r="D19" s="3" t="str">
        <f>'KPI 1'!D19</f>
        <v>Budget 2025-26</v>
      </c>
      <c r="E19" s="49">
        <f>'budget 2025-26'!D120</f>
        <v>28461.852059246539</v>
      </c>
      <c r="F19" s="49">
        <f>'budget 2025-26'!E120</f>
        <v>28655.785179753802</v>
      </c>
      <c r="G19" s="49">
        <f>'budget 2025-26'!F120</f>
        <v>28849.718300261065</v>
      </c>
      <c r="H19" s="49">
        <f>'budget 2025-26'!G120</f>
        <v>29043.651420768332</v>
      </c>
      <c r="I19" s="49">
        <f>'budget 2025-26'!H120</f>
        <v>29237.584541275592</v>
      </c>
      <c r="J19" s="49">
        <f>'budget 2025-26'!I120</f>
        <v>29431.517661782855</v>
      </c>
      <c r="K19" s="49">
        <f>'budget 2025-26'!J120</f>
        <v>29772.483308404735</v>
      </c>
      <c r="L19" s="49">
        <f>'budget 2025-26'!K120</f>
        <v>30023.594695713906</v>
      </c>
      <c r="M19" s="49">
        <f>'budget 2025-26'!L120</f>
        <v>30274.706083023073</v>
      </c>
      <c r="N19" s="49">
        <f>'budget 2025-26'!M120</f>
        <v>30480.890340675887</v>
      </c>
      <c r="O19" s="49">
        <f>'budget 2025-26'!N120</f>
        <v>30687.074598328705</v>
      </c>
      <c r="P19" s="49">
        <f>'budget 2025-26'!O120</f>
        <v>30893.258855981519</v>
      </c>
      <c r="Q19" s="5">
        <f>SUM(E19:P19)</f>
        <v>355812.11704521603</v>
      </c>
    </row>
    <row r="20" spans="3:17" x14ac:dyDescent="0.35">
      <c r="D20" s="3" t="str">
        <f>'KPI 1'!D20</f>
        <v>Actual 2025-26</v>
      </c>
      <c r="E20" s="49">
        <f>'Input Actual2025-26'!E123</f>
        <v>31495</v>
      </c>
      <c r="F20" s="49">
        <f>'Input Actual2025-26'!F123</f>
        <v>30262</v>
      </c>
      <c r="G20" s="49">
        <f>'Input Actual2025-26'!G123</f>
        <v>26105</v>
      </c>
      <c r="H20" s="49">
        <f>'Input Actual2025-26'!H123</f>
        <v>28789</v>
      </c>
      <c r="I20" s="49">
        <f>'Input Actual2025-26'!I123</f>
        <v>24965</v>
      </c>
      <c r="J20" s="49">
        <f>'Input Actual2025-26'!J123</f>
        <v>26090</v>
      </c>
      <c r="K20" s="49">
        <f>'Input Actual2025-26'!K123</f>
        <v>30971</v>
      </c>
      <c r="L20" s="49">
        <f>'Input Actual2025-26'!L123</f>
        <v>33445</v>
      </c>
      <c r="M20" s="49">
        <f>'Input Actual2025-26'!M123</f>
        <v>0</v>
      </c>
      <c r="N20" s="49">
        <f>'Input Actual2025-26'!N123</f>
        <v>0</v>
      </c>
      <c r="O20" s="49">
        <f>'Input Actual2025-26'!O123</f>
        <v>0</v>
      </c>
      <c r="P20" s="49">
        <f>'Input Actual2025-26'!P123</f>
        <v>0</v>
      </c>
      <c r="Q20" s="5">
        <f t="shared" ref="Q20:Q22" si="0">SUM(E20:P20)</f>
        <v>232122</v>
      </c>
    </row>
    <row r="21" spans="3:17" x14ac:dyDescent="0.35">
      <c r="D21" s="3" t="s">
        <v>424</v>
      </c>
      <c r="E21" s="49">
        <f>'Input Actual2024-25'!E116</f>
        <v>26497</v>
      </c>
      <c r="F21" s="49">
        <f>'Input Actual2024-25'!F116</f>
        <v>29718</v>
      </c>
      <c r="G21" s="49">
        <f>'Input Actual2024-25'!G116</f>
        <v>32242</v>
      </c>
      <c r="H21" s="49">
        <f>'Input Actual2024-25'!H116</f>
        <v>30200</v>
      </c>
      <c r="I21" s="49">
        <f>'Input Actual2024-25'!I116</f>
        <v>32349</v>
      </c>
      <c r="J21" s="49">
        <f>'Input Actual2024-25'!J116</f>
        <v>24184</v>
      </c>
      <c r="K21" s="49">
        <f>'Input Actual2024-25'!K116</f>
        <v>29173</v>
      </c>
      <c r="L21" s="49">
        <f>'Input Actual2024-25'!L116</f>
        <v>28120</v>
      </c>
      <c r="M21" s="49">
        <f>'Input Actual2024-25'!M116</f>
        <v>29681</v>
      </c>
      <c r="N21" s="49">
        <f>'Input Actual2024-25'!N116</f>
        <v>26294</v>
      </c>
      <c r="O21" s="49">
        <f>'Input Actual2024-25'!O116</f>
        <v>27869</v>
      </c>
      <c r="P21" s="49">
        <f>'Input Actual2024-25'!P116</f>
        <v>30668</v>
      </c>
      <c r="Q21" s="5">
        <f t="shared" si="0"/>
        <v>346995</v>
      </c>
    </row>
    <row r="22" spans="3:17" x14ac:dyDescent="0.35">
      <c r="D22" s="3" t="s">
        <v>7</v>
      </c>
      <c r="E22" s="5">
        <f t="shared" ref="E22:P22" si="1">IF(E20=0,0,E20-E19)</f>
        <v>3033.1479407534607</v>
      </c>
      <c r="F22" s="5">
        <f t="shared" si="1"/>
        <v>1606.2148202461976</v>
      </c>
      <c r="G22" s="5">
        <f t="shared" si="1"/>
        <v>-2744.7183002610655</v>
      </c>
      <c r="H22" s="5">
        <f t="shared" si="1"/>
        <v>-254.65142076833217</v>
      </c>
      <c r="I22" s="5">
        <f t="shared" si="1"/>
        <v>-4272.5845412755916</v>
      </c>
      <c r="J22" s="5">
        <f t="shared" si="1"/>
        <v>-3341.5176617828547</v>
      </c>
      <c r="K22" s="5">
        <f t="shared" si="1"/>
        <v>1198.516691595265</v>
      </c>
      <c r="L22" s="5">
        <f t="shared" si="1"/>
        <v>3421.4053042860942</v>
      </c>
      <c r="M22" s="5">
        <f t="shared" si="1"/>
        <v>0</v>
      </c>
      <c r="N22" s="5">
        <f t="shared" si="1"/>
        <v>0</v>
      </c>
      <c r="O22" s="5">
        <f t="shared" si="1"/>
        <v>0</v>
      </c>
      <c r="P22" s="5">
        <f t="shared" si="1"/>
        <v>0</v>
      </c>
      <c r="Q22" s="5">
        <f t="shared" si="0"/>
        <v>-1354.1871672068264</v>
      </c>
    </row>
    <row r="23" spans="3:17" x14ac:dyDescent="0.35">
      <c r="D23" s="3" t="s">
        <v>43</v>
      </c>
      <c r="E23" s="9">
        <f>E21/E19</f>
        <v>0.93096541802141053</v>
      </c>
      <c r="F23" s="9">
        <f t="shared" ref="F23:P23" si="2">F20/F19</f>
        <v>1.0560520261500648</v>
      </c>
      <c r="G23" s="9">
        <f t="shared" si="2"/>
        <v>0.90486152163793476</v>
      </c>
      <c r="H23" s="9">
        <f t="shared" si="2"/>
        <v>0.99123211413471801</v>
      </c>
      <c r="I23" s="9">
        <f t="shared" si="2"/>
        <v>0.85386670587497226</v>
      </c>
      <c r="J23" s="9">
        <f t="shared" si="2"/>
        <v>0.88646464989734963</v>
      </c>
      <c r="K23" s="9">
        <f t="shared" si="2"/>
        <v>1.0402558523311667</v>
      </c>
      <c r="L23" s="9">
        <f t="shared" si="2"/>
        <v>1.1139572172806651</v>
      </c>
      <c r="M23" s="9">
        <f t="shared" si="2"/>
        <v>0</v>
      </c>
      <c r="N23" s="9">
        <f t="shared" si="2"/>
        <v>0</v>
      </c>
      <c r="O23" s="9">
        <f t="shared" si="2"/>
        <v>0</v>
      </c>
      <c r="P23" s="9">
        <f t="shared" si="2"/>
        <v>0</v>
      </c>
    </row>
    <row r="25" spans="3:17" x14ac:dyDescent="0.35">
      <c r="C25" s="7" t="s">
        <v>3</v>
      </c>
      <c r="E25" s="11">
        <f>E18</f>
        <v>45839</v>
      </c>
      <c r="F25" s="11">
        <f t="shared" ref="F25:P25" si="3">F18</f>
        <v>45870</v>
      </c>
      <c r="G25" s="11">
        <f t="shared" si="3"/>
        <v>45901</v>
      </c>
      <c r="H25" s="11">
        <f t="shared" si="3"/>
        <v>45931</v>
      </c>
      <c r="I25" s="11">
        <f t="shared" si="3"/>
        <v>45962</v>
      </c>
      <c r="J25" s="11">
        <f t="shared" si="3"/>
        <v>45992</v>
      </c>
      <c r="K25" s="11">
        <f t="shared" si="3"/>
        <v>46023</v>
      </c>
      <c r="L25" s="11">
        <f t="shared" si="3"/>
        <v>46054</v>
      </c>
      <c r="M25" s="11">
        <f t="shared" si="3"/>
        <v>46082</v>
      </c>
      <c r="N25" s="11">
        <f t="shared" si="3"/>
        <v>46113</v>
      </c>
      <c r="O25" s="11">
        <f t="shared" si="3"/>
        <v>46143</v>
      </c>
      <c r="P25" s="11">
        <f t="shared" si="3"/>
        <v>46174</v>
      </c>
    </row>
    <row r="26" spans="3:17" x14ac:dyDescent="0.35">
      <c r="D26" s="3" t="str">
        <f>D19</f>
        <v>Budget 2025-26</v>
      </c>
      <c r="E26" s="5">
        <f>SUM($E19:E19)</f>
        <v>28461.852059246539</v>
      </c>
      <c r="F26" s="5">
        <f>SUM($E19:F19)</f>
        <v>57117.637239000338</v>
      </c>
      <c r="G26" s="5">
        <f>SUM($E19:G19)</f>
        <v>85967.355539261407</v>
      </c>
      <c r="H26" s="5">
        <f>SUM($E19:H19)</f>
        <v>115011.00696002974</v>
      </c>
      <c r="I26" s="5">
        <f>SUM($E19:I19)</f>
        <v>144248.59150130535</v>
      </c>
      <c r="J26" s="5">
        <f>SUM($E19:J19)</f>
        <v>173680.1091630882</v>
      </c>
      <c r="K26" s="5">
        <f>SUM($E19:K19)</f>
        <v>203452.59247149294</v>
      </c>
      <c r="L26" s="5">
        <f>SUM($E19:L19)</f>
        <v>233476.18716720684</v>
      </c>
      <c r="M26" s="5">
        <f>SUM($E19:M19)</f>
        <v>263750.89325022988</v>
      </c>
      <c r="N26" s="5">
        <f>SUM($E19:N19)</f>
        <v>294231.78359090578</v>
      </c>
      <c r="O26" s="5">
        <f>SUM($E19:O19)</f>
        <v>324918.85818923451</v>
      </c>
      <c r="P26" s="5">
        <f>SUM($E19:P19)</f>
        <v>355812.11704521603</v>
      </c>
    </row>
    <row r="27" spans="3:17" x14ac:dyDescent="0.35">
      <c r="D27" s="3" t="str">
        <f t="shared" ref="D27:D30" si="4">D20</f>
        <v>Actual 2025-26</v>
      </c>
      <c r="E27" s="5">
        <f>SUM($E20:E20)</f>
        <v>31495</v>
      </c>
      <c r="F27" s="5">
        <f>SUM($E20:F20)</f>
        <v>61757</v>
      </c>
      <c r="G27" s="5">
        <f>SUM($E20:G20)</f>
        <v>87862</v>
      </c>
      <c r="H27" s="5">
        <f>SUM($E20:H20)</f>
        <v>116651</v>
      </c>
      <c r="I27" s="5">
        <f>SUM($E20:I20)</f>
        <v>141616</v>
      </c>
      <c r="J27" s="5">
        <f>SUM($E20:J20)</f>
        <v>167706</v>
      </c>
      <c r="K27" s="5">
        <f>SUM($E20:K20)</f>
        <v>198677</v>
      </c>
      <c r="L27" s="5">
        <f>SUM($E20:L20)</f>
        <v>232122</v>
      </c>
      <c r="M27" s="5">
        <f>SUM($E20:M20)</f>
        <v>232122</v>
      </c>
      <c r="N27" s="5">
        <f>SUM($E20:N20)</f>
        <v>232122</v>
      </c>
      <c r="O27" s="5">
        <f>SUM($E20:O20)</f>
        <v>232122</v>
      </c>
      <c r="P27" s="5">
        <f>SUM($E20:P20)</f>
        <v>232122</v>
      </c>
    </row>
    <row r="28" spans="3:17" x14ac:dyDescent="0.35">
      <c r="D28" s="3" t="str">
        <f t="shared" si="4"/>
        <v>Actual 2024-25</v>
      </c>
      <c r="E28" s="5">
        <f>SUM($E21:E21)</f>
        <v>26497</v>
      </c>
      <c r="F28" s="5">
        <f>SUM($E21:F21)</f>
        <v>56215</v>
      </c>
      <c r="G28" s="5">
        <f>SUM($E21:G21)</f>
        <v>88457</v>
      </c>
      <c r="H28" s="5">
        <f>SUM($E21:H21)</f>
        <v>118657</v>
      </c>
      <c r="I28" s="5">
        <f>SUM($E21:I21)</f>
        <v>151006</v>
      </c>
      <c r="J28" s="5">
        <f>SUM($E21:J21)</f>
        <v>175190</v>
      </c>
      <c r="K28" s="5">
        <f>SUM($E21:K21)</f>
        <v>204363</v>
      </c>
      <c r="L28" s="5">
        <f>SUM($E21:L21)</f>
        <v>232483</v>
      </c>
      <c r="M28" s="5">
        <f>SUM($E21:M21)</f>
        <v>262164</v>
      </c>
      <c r="N28" s="5">
        <f>SUM($E21:N21)</f>
        <v>288458</v>
      </c>
      <c r="O28" s="5">
        <f>SUM($E21:O21)</f>
        <v>316327</v>
      </c>
      <c r="P28" s="5">
        <f>SUM($E21:P21)</f>
        <v>346995</v>
      </c>
    </row>
    <row r="29" spans="3:17" x14ac:dyDescent="0.35">
      <c r="D29" s="3" t="str">
        <f t="shared" si="4"/>
        <v>Difference</v>
      </c>
      <c r="E29" s="5">
        <f>SUM($E22:E22)</f>
        <v>3033.1479407534607</v>
      </c>
      <c r="F29" s="5">
        <f>SUM($E22:F22)</f>
        <v>4639.3627609996583</v>
      </c>
      <c r="G29" s="5">
        <f>SUM($E22:G22)</f>
        <v>1894.6444607385929</v>
      </c>
      <c r="H29" s="5">
        <f>SUM($E22:H22)</f>
        <v>1639.9930399702607</v>
      </c>
      <c r="I29" s="5">
        <f>SUM($E22:I22)</f>
        <v>-2632.5915013053309</v>
      </c>
      <c r="J29" s="5">
        <f>SUM($E22:J22)</f>
        <v>-5974.1091630881856</v>
      </c>
      <c r="K29" s="5">
        <f>SUM($E22:K22)</f>
        <v>-4775.5924714929206</v>
      </c>
      <c r="L29" s="5">
        <f>SUM($E22:L22)</f>
        <v>-1354.1871672068264</v>
      </c>
      <c r="M29" s="5">
        <f>SUM($E22:M22)</f>
        <v>-1354.1871672068264</v>
      </c>
      <c r="N29" s="5">
        <f>SUM($E22:N22)</f>
        <v>-1354.1871672068264</v>
      </c>
      <c r="O29" s="5">
        <f>SUM($E22:O22)</f>
        <v>-1354.1871672068264</v>
      </c>
      <c r="P29" s="5">
        <f>SUM($E22:P22)</f>
        <v>-1354.1871672068264</v>
      </c>
    </row>
    <row r="30" spans="3:17" x14ac:dyDescent="0.35">
      <c r="D30" s="3" t="str">
        <f t="shared" si="4"/>
        <v>Realisation</v>
      </c>
      <c r="E30" s="9">
        <f>E28/E26</f>
        <v>0.93096541802141053</v>
      </c>
      <c r="F30" s="9">
        <f t="shared" ref="F30:P30" si="5">F27/F26</f>
        <v>1.081224696700722</v>
      </c>
      <c r="G30" s="9">
        <f t="shared" si="5"/>
        <v>1.0220391152996826</v>
      </c>
      <c r="H30" s="9">
        <f t="shared" si="5"/>
        <v>1.0142594442333699</v>
      </c>
      <c r="I30" s="9">
        <f t="shared" si="5"/>
        <v>0.98174962074911132</v>
      </c>
      <c r="J30" s="9">
        <f t="shared" si="5"/>
        <v>0.96560280165716372</v>
      </c>
      <c r="K30" s="9">
        <f t="shared" si="5"/>
        <v>0.97652724689579917</v>
      </c>
      <c r="L30" s="9">
        <f t="shared" si="5"/>
        <v>0.99419989171642154</v>
      </c>
      <c r="M30" s="9">
        <f t="shared" si="5"/>
        <v>0.88008043172683237</v>
      </c>
      <c r="N30" s="9">
        <f t="shared" si="5"/>
        <v>0.7889086527876199</v>
      </c>
      <c r="O30" s="9">
        <f t="shared" si="5"/>
        <v>0.71439990062014458</v>
      </c>
      <c r="P30" s="9">
        <f t="shared" si="5"/>
        <v>0.65237238666186936</v>
      </c>
    </row>
  </sheetData>
  <mergeCells count="2">
    <mergeCell ref="J4:Q8"/>
    <mergeCell ref="J10:Q15"/>
  </mergeCells>
  <conditionalFormatting sqref="C3">
    <cfRule type="expression" dxfId="254" priority="2">
      <formula>S4&lt;S6</formula>
    </cfRule>
  </conditionalFormatting>
  <conditionalFormatting sqref="C5">
    <cfRule type="expression" dxfId="253" priority="3">
      <formula>S4&gt;=S5</formula>
    </cfRule>
  </conditionalFormatting>
  <conditionalFormatting sqref="C4">
    <cfRule type="expression" dxfId="252" priority="1">
      <formula>AND(S4&gt;=S6,S4&lt;S5)</formula>
    </cfRule>
  </conditionalFormatting>
  <hyperlinks>
    <hyperlink ref="L1" location="Dashboard!A1" display="Dashboard"/>
  </hyperlinks>
  <pageMargins left="0.7" right="0.7" top="0.75" bottom="0.75" header="0.3" footer="0.3"/>
  <pageSetup orientation="portrait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27073" r:id="rId4" name="Spinner 1">
              <controlPr defaultSize="0" autoPict="0">
                <anchor moveWithCells="1" sizeWithCells="1">
                  <from>
                    <xdr:col>9</xdr:col>
                    <xdr:colOff>19050</xdr:colOff>
                    <xdr:row>0</xdr:row>
                    <xdr:rowOff>38100</xdr:rowOff>
                  </from>
                  <to>
                    <xdr:col>9</xdr:col>
                    <xdr:colOff>400050</xdr:colOff>
                    <xdr:row>1</xdr:row>
                    <xdr:rowOff>152400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1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FFC000"/>
  </sheetPr>
  <dimension ref="A1:S30"/>
  <sheetViews>
    <sheetView zoomScale="80" zoomScaleNormal="80" workbookViewId="0">
      <selection activeCell="L1" sqref="L1"/>
    </sheetView>
  </sheetViews>
  <sheetFormatPr defaultColWidth="9.1796875" defaultRowHeight="14.5" x14ac:dyDescent="0.35"/>
  <cols>
    <col min="1" max="1" width="9.1796875" style="3"/>
    <col min="2" max="2" width="5.1796875" style="3" customWidth="1"/>
    <col min="3" max="3" width="6.26953125" style="3" customWidth="1"/>
    <col min="4" max="4" width="21.26953125" style="3" bestFit="1" customWidth="1"/>
    <col min="5" max="16" width="11.1796875" style="3" customWidth="1"/>
    <col min="17" max="17" width="12" style="3" bestFit="1" customWidth="1"/>
    <col min="18" max="18" width="9.1796875" style="3" customWidth="1"/>
    <col min="19" max="16384" width="9.1796875" style="3"/>
  </cols>
  <sheetData>
    <row r="1" spans="1:19" ht="21" x14ac:dyDescent="0.5">
      <c r="A1" s="4" t="s">
        <v>4</v>
      </c>
      <c r="B1" s="4">
        <f>Dashboard!A120</f>
        <v>7</v>
      </c>
      <c r="C1" s="4" t="str">
        <f>Dashboard!B120</f>
        <v>HOPEWELL - WATER(M3)</v>
      </c>
      <c r="D1" s="4"/>
      <c r="G1" s="3" t="s">
        <v>9</v>
      </c>
      <c r="I1" s="12">
        <f>INDEX($E$18:$P$18,Actual_month)</f>
        <v>46054</v>
      </c>
      <c r="L1" s="16" t="s">
        <v>19</v>
      </c>
      <c r="R1" s="5"/>
    </row>
    <row r="2" spans="1:19" x14ac:dyDescent="0.35">
      <c r="A2" s="3" t="s">
        <v>13</v>
      </c>
      <c r="C2" s="3" t="s">
        <v>27</v>
      </c>
      <c r="R2" s="6"/>
    </row>
    <row r="3" spans="1:19" ht="25.5" customHeight="1" thickBot="1" x14ac:dyDescent="0.4">
      <c r="C3" s="1" t="s">
        <v>5</v>
      </c>
      <c r="E3" s="10"/>
      <c r="F3" s="10"/>
      <c r="G3" s="10"/>
      <c r="H3" s="10"/>
      <c r="I3" s="10"/>
      <c r="J3" s="3" t="s">
        <v>6</v>
      </c>
      <c r="K3" s="10"/>
      <c r="M3" s="10"/>
      <c r="N3" s="10"/>
      <c r="O3" s="10"/>
      <c r="P3" s="10"/>
    </row>
    <row r="4" spans="1:19" ht="25.5" customHeight="1" x14ac:dyDescent="0.35">
      <c r="C4" s="1" t="s">
        <v>5</v>
      </c>
      <c r="E4" s="10"/>
      <c r="F4" s="10"/>
      <c r="G4" s="10"/>
      <c r="H4" s="10"/>
      <c r="I4" s="10"/>
      <c r="J4" s="401"/>
      <c r="K4" s="402"/>
      <c r="L4" s="402"/>
      <c r="M4" s="402"/>
      <c r="N4" s="402"/>
      <c r="O4" s="402"/>
      <c r="P4" s="402"/>
      <c r="Q4" s="403"/>
      <c r="R4" s="3" t="s">
        <v>22</v>
      </c>
      <c r="S4" s="5">
        <f>INDEX(E27:P27,Actual_month)</f>
        <v>44878</v>
      </c>
    </row>
    <row r="5" spans="1:19" ht="25.5" customHeight="1" x14ac:dyDescent="0.35">
      <c r="C5" s="1" t="s">
        <v>5</v>
      </c>
      <c r="E5" s="10"/>
      <c r="F5" s="10"/>
      <c r="G5" s="10"/>
      <c r="H5" s="10"/>
      <c r="I5" s="10"/>
      <c r="J5" s="404"/>
      <c r="K5" s="405"/>
      <c r="L5" s="405"/>
      <c r="M5" s="405"/>
      <c r="N5" s="405"/>
      <c r="O5" s="405"/>
      <c r="P5" s="405"/>
      <c r="Q5" s="406"/>
      <c r="R5" s="3" t="s">
        <v>23</v>
      </c>
      <c r="S5" s="5">
        <f>INDEX(E26:P26,Actual_month)</f>
        <v>47144.896020092638</v>
      </c>
    </row>
    <row r="6" spans="1:19" x14ac:dyDescent="0.35">
      <c r="J6" s="404"/>
      <c r="K6" s="405"/>
      <c r="L6" s="405"/>
      <c r="M6" s="405"/>
      <c r="N6" s="405"/>
      <c r="O6" s="405"/>
      <c r="P6" s="405"/>
      <c r="Q6" s="406"/>
      <c r="R6" s="6">
        <v>0.9</v>
      </c>
      <c r="S6" s="5">
        <f>+S5*R6</f>
        <v>42430.406418083374</v>
      </c>
    </row>
    <row r="7" spans="1:19" x14ac:dyDescent="0.35">
      <c r="J7" s="404"/>
      <c r="K7" s="405"/>
      <c r="L7" s="405"/>
      <c r="M7" s="405"/>
      <c r="N7" s="405"/>
      <c r="O7" s="405"/>
      <c r="P7" s="405"/>
      <c r="Q7" s="406"/>
    </row>
    <row r="8" spans="1:19" ht="15" thickBot="1" x14ac:dyDescent="0.4">
      <c r="J8" s="407"/>
      <c r="K8" s="408"/>
      <c r="L8" s="408"/>
      <c r="M8" s="408"/>
      <c r="N8" s="408"/>
      <c r="O8" s="408"/>
      <c r="P8" s="408"/>
      <c r="Q8" s="409"/>
    </row>
    <row r="9" spans="1:19" ht="15" thickBot="1" x14ac:dyDescent="0.4">
      <c r="J9" s="3" t="s">
        <v>12</v>
      </c>
    </row>
    <row r="10" spans="1:19" x14ac:dyDescent="0.35">
      <c r="J10" s="401"/>
      <c r="K10" s="402"/>
      <c r="L10" s="402"/>
      <c r="M10" s="402"/>
      <c r="N10" s="402"/>
      <c r="O10" s="402"/>
      <c r="P10" s="402"/>
      <c r="Q10" s="403"/>
    </row>
    <row r="11" spans="1:19" x14ac:dyDescent="0.35">
      <c r="J11" s="404"/>
      <c r="K11" s="405"/>
      <c r="L11" s="405"/>
      <c r="M11" s="405"/>
      <c r="N11" s="405"/>
      <c r="O11" s="405"/>
      <c r="P11" s="405"/>
      <c r="Q11" s="406"/>
    </row>
    <row r="12" spans="1:19" x14ac:dyDescent="0.35">
      <c r="J12" s="404"/>
      <c r="K12" s="405"/>
      <c r="L12" s="405"/>
      <c r="M12" s="405"/>
      <c r="N12" s="405"/>
      <c r="O12" s="405"/>
      <c r="P12" s="405"/>
      <c r="Q12" s="406"/>
    </row>
    <row r="13" spans="1:19" x14ac:dyDescent="0.35">
      <c r="J13" s="404"/>
      <c r="K13" s="405"/>
      <c r="L13" s="405"/>
      <c r="M13" s="405"/>
      <c r="N13" s="405"/>
      <c r="O13" s="405"/>
      <c r="P13" s="405"/>
      <c r="Q13" s="406"/>
    </row>
    <row r="14" spans="1:19" x14ac:dyDescent="0.35">
      <c r="J14" s="404"/>
      <c r="K14" s="405"/>
      <c r="L14" s="405"/>
      <c r="M14" s="405"/>
      <c r="N14" s="405"/>
      <c r="O14" s="405"/>
      <c r="P14" s="405"/>
      <c r="Q14" s="406"/>
    </row>
    <row r="15" spans="1:19" ht="15" thickBot="1" x14ac:dyDescent="0.4">
      <c r="J15" s="407"/>
      <c r="K15" s="408"/>
      <c r="L15" s="408"/>
      <c r="M15" s="408"/>
      <c r="N15" s="408"/>
      <c r="O15" s="408"/>
      <c r="P15" s="408"/>
      <c r="Q15" s="409"/>
    </row>
    <row r="18" spans="3:17" x14ac:dyDescent="0.35">
      <c r="C18" s="7" t="s">
        <v>8</v>
      </c>
      <c r="E18" s="11">
        <f>'KPI 1'!E18</f>
        <v>45839</v>
      </c>
      <c r="F18" s="11">
        <f>'KPI 1'!F18</f>
        <v>45870</v>
      </c>
      <c r="G18" s="11">
        <f>'KPI 1'!G18</f>
        <v>45901</v>
      </c>
      <c r="H18" s="11">
        <f>'KPI 1'!H18</f>
        <v>45931</v>
      </c>
      <c r="I18" s="11">
        <f>'KPI 1'!I18</f>
        <v>45962</v>
      </c>
      <c r="J18" s="11">
        <f>'KPI 1'!J18</f>
        <v>45992</v>
      </c>
      <c r="K18" s="11">
        <f>'KPI 1'!K18</f>
        <v>46023</v>
      </c>
      <c r="L18" s="11">
        <f>'KPI 1'!L18</f>
        <v>46054</v>
      </c>
      <c r="M18" s="11">
        <f>'KPI 1'!M18</f>
        <v>46082</v>
      </c>
      <c r="N18" s="11">
        <f>'KPI 1'!N18</f>
        <v>46113</v>
      </c>
      <c r="O18" s="11">
        <f>'KPI 1'!O18</f>
        <v>46143</v>
      </c>
      <c r="P18" s="11">
        <f>'KPI 1'!P18</f>
        <v>46174</v>
      </c>
      <c r="Q18" s="8" t="s">
        <v>0</v>
      </c>
    </row>
    <row r="19" spans="3:17" x14ac:dyDescent="0.35">
      <c r="D19" s="3" t="str">
        <f>'KPI 1'!D19</f>
        <v>Budget 2025-26</v>
      </c>
      <c r="E19" s="49">
        <f>'budget 2025-26'!D113</f>
        <v>5697.6238542942338</v>
      </c>
      <c r="F19" s="49">
        <f>'budget 2025-26'!E113</f>
        <v>5753.4776109277609</v>
      </c>
      <c r="G19" s="49">
        <f>'budget 2025-26'!F113</f>
        <v>5809.331367561289</v>
      </c>
      <c r="H19" s="49">
        <f>'budget 2025-26'!G113</f>
        <v>5865.1851241948152</v>
      </c>
      <c r="I19" s="49">
        <f>'budget 2025-26'!H113</f>
        <v>5921.0388808283433</v>
      </c>
      <c r="J19" s="49">
        <f>'budget 2025-26'!I113</f>
        <v>5976.8926374618704</v>
      </c>
      <c r="K19" s="49">
        <f>'budget 2025-26'!J113</f>
        <v>6032.7463940953985</v>
      </c>
      <c r="L19" s="49">
        <f>'budget 2025-26'!K113</f>
        <v>6088.6001507289257</v>
      </c>
      <c r="M19" s="49">
        <f>'budget 2025-26'!L113</f>
        <v>6144.4539073624528</v>
      </c>
      <c r="N19" s="49">
        <f>'budget 2025-26'!M113</f>
        <v>6200.30766399598</v>
      </c>
      <c r="O19" s="49">
        <f>'budget 2025-26'!N113</f>
        <v>6256.161420629508</v>
      </c>
      <c r="P19" s="49">
        <f>'budget 2025-26'!O113</f>
        <v>6312.0151772630352</v>
      </c>
      <c r="Q19" s="5">
        <f>SUM(E19:P19)</f>
        <v>72057.834189343615</v>
      </c>
    </row>
    <row r="20" spans="3:17" x14ac:dyDescent="0.35">
      <c r="D20" s="3" t="str">
        <f>'KPI 1'!D20</f>
        <v>Actual 2025-26</v>
      </c>
      <c r="E20" s="49">
        <f>'Input Actual2025-26'!E116</f>
        <v>5299</v>
      </c>
      <c r="F20" s="49">
        <f>'Input Actual2025-26'!F116</f>
        <v>6062</v>
      </c>
      <c r="G20" s="49">
        <f>'Input Actual2025-26'!G116</f>
        <v>5511</v>
      </c>
      <c r="H20" s="49">
        <f>'Input Actual2025-26'!H116</f>
        <v>6280</v>
      </c>
      <c r="I20" s="49">
        <f>'Input Actual2025-26'!I116</f>
        <v>4988</v>
      </c>
      <c r="J20" s="49">
        <f>'Input Actual2025-26'!J116</f>
        <v>4740</v>
      </c>
      <c r="K20" s="49">
        <f>'Input Actual2025-26'!K116</f>
        <v>6578</v>
      </c>
      <c r="L20" s="49">
        <f>'Input Actual2025-26'!L116</f>
        <v>5420</v>
      </c>
      <c r="M20" s="49">
        <f>'Input Actual2025-26'!M116</f>
        <v>0</v>
      </c>
      <c r="N20" s="49">
        <f>'Input Actual2025-26'!N116</f>
        <v>0</v>
      </c>
      <c r="O20" s="49">
        <f>'Input Actual2025-26'!O116</f>
        <v>0</v>
      </c>
      <c r="P20" s="49">
        <f>'Input Actual2025-26'!P116</f>
        <v>0</v>
      </c>
      <c r="Q20" s="5">
        <f t="shared" ref="Q20:Q22" si="0">SUM(E20:P20)</f>
        <v>44878</v>
      </c>
    </row>
    <row r="21" spans="3:17" x14ac:dyDescent="0.35">
      <c r="D21" s="3" t="s">
        <v>424</v>
      </c>
      <c r="E21" s="49">
        <f>'Input Actual2024-25'!E109</f>
        <v>4384</v>
      </c>
      <c r="F21" s="49">
        <f>'Input Actual2024-25'!F109</f>
        <v>5621</v>
      </c>
      <c r="G21" s="49">
        <f>'Input Actual2024-25'!G109</f>
        <v>5975</v>
      </c>
      <c r="H21" s="49">
        <f>'Input Actual2024-25'!H109</f>
        <v>4906</v>
      </c>
      <c r="I21" s="49">
        <f>'Input Actual2024-25'!I109</f>
        <v>6607</v>
      </c>
      <c r="J21" s="49">
        <f>'Input Actual2024-25'!J109</f>
        <v>4156</v>
      </c>
      <c r="K21" s="49">
        <f>'Input Actual2024-25'!K109</f>
        <v>6448</v>
      </c>
      <c r="L21" s="49">
        <f>'Input Actual2024-25'!L109</f>
        <v>5728</v>
      </c>
      <c r="M21" s="49">
        <f>'Input Actual2024-25'!M109</f>
        <v>6684</v>
      </c>
      <c r="N21" s="49">
        <f>'Input Actual2024-25'!N109</f>
        <v>4887</v>
      </c>
      <c r="O21" s="49">
        <f>'Input Actual2024-25'!O109</f>
        <v>5510</v>
      </c>
      <c r="P21" s="49">
        <f>'Input Actual2024-25'!P109</f>
        <v>6078</v>
      </c>
      <c r="Q21" s="5">
        <f t="shared" si="0"/>
        <v>66984</v>
      </c>
    </row>
    <row r="22" spans="3:17" x14ac:dyDescent="0.35">
      <c r="D22" s="3" t="s">
        <v>7</v>
      </c>
      <c r="E22" s="5">
        <f t="shared" ref="E22:P22" si="1">IF(E20=0,0,E20-E19)</f>
        <v>-398.62385429423375</v>
      </c>
      <c r="F22" s="5">
        <f t="shared" si="1"/>
        <v>308.52238907223909</v>
      </c>
      <c r="G22" s="5">
        <f t="shared" si="1"/>
        <v>-298.33136756128897</v>
      </c>
      <c r="H22" s="5">
        <f t="shared" si="1"/>
        <v>414.81487580518478</v>
      </c>
      <c r="I22" s="5">
        <f t="shared" si="1"/>
        <v>-933.03888082834328</v>
      </c>
      <c r="J22" s="5">
        <f t="shared" si="1"/>
        <v>-1236.8926374618704</v>
      </c>
      <c r="K22" s="5">
        <f t="shared" si="1"/>
        <v>545.2536059046015</v>
      </c>
      <c r="L22" s="5">
        <f t="shared" si="1"/>
        <v>-668.60015072892566</v>
      </c>
      <c r="M22" s="5">
        <f t="shared" si="1"/>
        <v>0</v>
      </c>
      <c r="N22" s="5">
        <f t="shared" si="1"/>
        <v>0</v>
      </c>
      <c r="O22" s="5">
        <f t="shared" si="1"/>
        <v>0</v>
      </c>
      <c r="P22" s="5">
        <f t="shared" si="1"/>
        <v>0</v>
      </c>
      <c r="Q22" s="5">
        <f t="shared" si="0"/>
        <v>-2266.8960200926367</v>
      </c>
    </row>
    <row r="23" spans="3:17" x14ac:dyDescent="0.35">
      <c r="D23" s="3" t="s">
        <v>43</v>
      </c>
      <c r="E23" s="9">
        <f>E21/E19</f>
        <v>0.76944356316112894</v>
      </c>
      <c r="F23" s="9">
        <f t="shared" ref="F23:P23" si="2">F20/F19</f>
        <v>1.0536236359877811</v>
      </c>
      <c r="G23" s="9">
        <f t="shared" si="2"/>
        <v>0.94864617824572017</v>
      </c>
      <c r="H23" s="9">
        <f t="shared" si="2"/>
        <v>1.0707249416721747</v>
      </c>
      <c r="I23" s="9">
        <f t="shared" si="2"/>
        <v>0.84241973417039739</v>
      </c>
      <c r="J23" s="9">
        <f t="shared" si="2"/>
        <v>0.79305423194164559</v>
      </c>
      <c r="K23" s="9">
        <f t="shared" si="2"/>
        <v>1.0903823184807293</v>
      </c>
      <c r="L23" s="9">
        <f t="shared" si="2"/>
        <v>0.89018819857157461</v>
      </c>
      <c r="M23" s="9">
        <f t="shared" si="2"/>
        <v>0</v>
      </c>
      <c r="N23" s="9">
        <f t="shared" si="2"/>
        <v>0</v>
      </c>
      <c r="O23" s="9">
        <f t="shared" si="2"/>
        <v>0</v>
      </c>
      <c r="P23" s="9">
        <f t="shared" si="2"/>
        <v>0</v>
      </c>
    </row>
    <row r="25" spans="3:17" x14ac:dyDescent="0.35">
      <c r="C25" s="7" t="s">
        <v>3</v>
      </c>
      <c r="E25" s="11">
        <f>E18</f>
        <v>45839</v>
      </c>
      <c r="F25" s="11">
        <f t="shared" ref="F25:P25" si="3">F18</f>
        <v>45870</v>
      </c>
      <c r="G25" s="11">
        <f t="shared" si="3"/>
        <v>45901</v>
      </c>
      <c r="H25" s="11">
        <f t="shared" si="3"/>
        <v>45931</v>
      </c>
      <c r="I25" s="11">
        <f t="shared" si="3"/>
        <v>45962</v>
      </c>
      <c r="J25" s="11">
        <f t="shared" si="3"/>
        <v>45992</v>
      </c>
      <c r="K25" s="11">
        <f t="shared" si="3"/>
        <v>46023</v>
      </c>
      <c r="L25" s="11">
        <f t="shared" si="3"/>
        <v>46054</v>
      </c>
      <c r="M25" s="11">
        <f t="shared" si="3"/>
        <v>46082</v>
      </c>
      <c r="N25" s="11">
        <f t="shared" si="3"/>
        <v>46113</v>
      </c>
      <c r="O25" s="11">
        <f t="shared" si="3"/>
        <v>46143</v>
      </c>
      <c r="P25" s="11">
        <f t="shared" si="3"/>
        <v>46174</v>
      </c>
    </row>
    <row r="26" spans="3:17" x14ac:dyDescent="0.35">
      <c r="D26" s="3" t="str">
        <f>D19</f>
        <v>Budget 2025-26</v>
      </c>
      <c r="E26" s="5">
        <f>SUM($E19:E19)</f>
        <v>5697.6238542942338</v>
      </c>
      <c r="F26" s="5">
        <f>SUM($E19:F19)</f>
        <v>11451.101465221995</v>
      </c>
      <c r="G26" s="5">
        <f>SUM($E19:G19)</f>
        <v>17260.432832783285</v>
      </c>
      <c r="H26" s="5">
        <f>SUM($E19:H19)</f>
        <v>23125.617956978102</v>
      </c>
      <c r="I26" s="5">
        <f>SUM($E19:I19)</f>
        <v>29046.656837806444</v>
      </c>
      <c r="J26" s="5">
        <f>SUM($E19:J19)</f>
        <v>35023.549475268315</v>
      </c>
      <c r="K26" s="5">
        <f>SUM($E19:K19)</f>
        <v>41056.295869363712</v>
      </c>
      <c r="L26" s="5">
        <f>SUM($E19:L19)</f>
        <v>47144.896020092638</v>
      </c>
      <c r="M26" s="5">
        <f>SUM($E19:M19)</f>
        <v>53289.349927455092</v>
      </c>
      <c r="N26" s="5">
        <f>SUM($E19:N19)</f>
        <v>59489.657591451076</v>
      </c>
      <c r="O26" s="5">
        <f>SUM($E19:O19)</f>
        <v>65745.819012080581</v>
      </c>
      <c r="P26" s="5">
        <f>SUM($E19:P19)</f>
        <v>72057.834189343615</v>
      </c>
    </row>
    <row r="27" spans="3:17" x14ac:dyDescent="0.35">
      <c r="D27" s="3" t="str">
        <f t="shared" ref="D27:D30" si="4">D20</f>
        <v>Actual 2025-26</v>
      </c>
      <c r="E27" s="5">
        <f>SUM($E20:E20)</f>
        <v>5299</v>
      </c>
      <c r="F27" s="5">
        <f>SUM($E20:F20)</f>
        <v>11361</v>
      </c>
      <c r="G27" s="5">
        <f>SUM($E20:G20)</f>
        <v>16872</v>
      </c>
      <c r="H27" s="5">
        <f>SUM($E20:H20)</f>
        <v>23152</v>
      </c>
      <c r="I27" s="5">
        <f>SUM($E20:I20)</f>
        <v>28140</v>
      </c>
      <c r="J27" s="5">
        <f>SUM($E20:J20)</f>
        <v>32880</v>
      </c>
      <c r="K27" s="5">
        <f>SUM($E20:K20)</f>
        <v>39458</v>
      </c>
      <c r="L27" s="5">
        <f>SUM($E20:L20)</f>
        <v>44878</v>
      </c>
      <c r="M27" s="5">
        <f>SUM($E20:M20)</f>
        <v>44878</v>
      </c>
      <c r="N27" s="5">
        <f>SUM($E20:N20)</f>
        <v>44878</v>
      </c>
      <c r="O27" s="5">
        <f>SUM($E20:O20)</f>
        <v>44878</v>
      </c>
      <c r="P27" s="5">
        <f>SUM($E20:P20)</f>
        <v>44878</v>
      </c>
    </row>
    <row r="28" spans="3:17" x14ac:dyDescent="0.35">
      <c r="D28" s="3" t="str">
        <f t="shared" si="4"/>
        <v>Actual 2024-25</v>
      </c>
      <c r="E28" s="5">
        <f>SUM($E21:E21)</f>
        <v>4384</v>
      </c>
      <c r="F28" s="5">
        <f>SUM($E21:F21)</f>
        <v>10005</v>
      </c>
      <c r="G28" s="5">
        <f>SUM($E21:G21)</f>
        <v>15980</v>
      </c>
      <c r="H28" s="5">
        <f>SUM($E21:H21)</f>
        <v>20886</v>
      </c>
      <c r="I28" s="5">
        <f>SUM($E21:I21)</f>
        <v>27493</v>
      </c>
      <c r="J28" s="5">
        <f>SUM($E21:J21)</f>
        <v>31649</v>
      </c>
      <c r="K28" s="5">
        <f>SUM($E21:K21)</f>
        <v>38097</v>
      </c>
      <c r="L28" s="5">
        <f>SUM($E21:L21)</f>
        <v>43825</v>
      </c>
      <c r="M28" s="5">
        <f>SUM($E21:M21)</f>
        <v>50509</v>
      </c>
      <c r="N28" s="5">
        <f>SUM($E21:N21)</f>
        <v>55396</v>
      </c>
      <c r="O28" s="5">
        <f>SUM($E21:O21)</f>
        <v>60906</v>
      </c>
      <c r="P28" s="5">
        <f>SUM($E21:P21)</f>
        <v>66984</v>
      </c>
    </row>
    <row r="29" spans="3:17" x14ac:dyDescent="0.35">
      <c r="D29" s="3" t="str">
        <f t="shared" si="4"/>
        <v>Difference</v>
      </c>
      <c r="E29" s="5">
        <f>SUM($E22:E22)</f>
        <v>-398.62385429423375</v>
      </c>
      <c r="F29" s="5">
        <f>SUM($E22:F22)</f>
        <v>-90.101465221994658</v>
      </c>
      <c r="G29" s="5">
        <f>SUM($E22:G22)</f>
        <v>-388.43283278328363</v>
      </c>
      <c r="H29" s="5">
        <f>SUM($E22:H22)</f>
        <v>26.382043021901154</v>
      </c>
      <c r="I29" s="5">
        <f>SUM($E22:I22)</f>
        <v>-906.65683780644213</v>
      </c>
      <c r="J29" s="5">
        <f>SUM($E22:J22)</f>
        <v>-2143.5494752683126</v>
      </c>
      <c r="K29" s="5">
        <f>SUM($E22:K22)</f>
        <v>-1598.2958693637111</v>
      </c>
      <c r="L29" s="5">
        <f>SUM($E22:L22)</f>
        <v>-2266.8960200926367</v>
      </c>
      <c r="M29" s="5">
        <f>SUM($E22:M22)</f>
        <v>-2266.8960200926367</v>
      </c>
      <c r="N29" s="5">
        <f>SUM($E22:N22)</f>
        <v>-2266.8960200926367</v>
      </c>
      <c r="O29" s="5">
        <f>SUM($E22:O22)</f>
        <v>-2266.8960200926367</v>
      </c>
      <c r="P29" s="5">
        <f>SUM($E22:P22)</f>
        <v>-2266.8960200926367</v>
      </c>
    </row>
    <row r="30" spans="3:17" x14ac:dyDescent="0.35">
      <c r="D30" s="3" t="str">
        <f t="shared" si="4"/>
        <v>Realisation</v>
      </c>
      <c r="E30" s="9">
        <f>E28/E26</f>
        <v>0.76944356316112894</v>
      </c>
      <c r="F30" s="9">
        <f t="shared" ref="F30:P30" si="5">F27/F26</f>
        <v>0.99213163331967313</v>
      </c>
      <c r="G30" s="9">
        <f t="shared" si="5"/>
        <v>0.97749576522521953</v>
      </c>
      <c r="H30" s="9">
        <f t="shared" si="5"/>
        <v>1.0011408146182721</v>
      </c>
      <c r="I30" s="9">
        <f t="shared" si="5"/>
        <v>0.96878618965104579</v>
      </c>
      <c r="J30" s="9">
        <f t="shared" si="5"/>
        <v>0.93879690929721527</v>
      </c>
      <c r="K30" s="9">
        <f t="shared" si="5"/>
        <v>0.96107062667198961</v>
      </c>
      <c r="L30" s="9">
        <f t="shared" si="5"/>
        <v>0.95191640640958231</v>
      </c>
      <c r="M30" s="9">
        <f t="shared" si="5"/>
        <v>0.84215701751089478</v>
      </c>
      <c r="N30" s="9">
        <f t="shared" si="5"/>
        <v>0.75438322923628942</v>
      </c>
      <c r="O30" s="9">
        <f t="shared" si="5"/>
        <v>0.68259853895429934</v>
      </c>
      <c r="P30" s="9">
        <f t="shared" si="5"/>
        <v>0.62280528557208359</v>
      </c>
    </row>
  </sheetData>
  <mergeCells count="2">
    <mergeCell ref="J4:Q8"/>
    <mergeCell ref="J10:Q15"/>
  </mergeCells>
  <conditionalFormatting sqref="C3">
    <cfRule type="expression" dxfId="251" priority="2">
      <formula>S4&lt;S6</formula>
    </cfRule>
  </conditionalFormatting>
  <conditionalFormatting sqref="C5">
    <cfRule type="expression" dxfId="250" priority="3">
      <formula>S4&gt;=S5</formula>
    </cfRule>
  </conditionalFormatting>
  <conditionalFormatting sqref="C4">
    <cfRule type="expression" dxfId="249" priority="1">
      <formula>AND(S4&gt;=S6,S4&lt;S5)</formula>
    </cfRule>
  </conditionalFormatting>
  <hyperlinks>
    <hyperlink ref="L1" location="Dashboard!A1" display="Dashboard"/>
  </hyperlinks>
  <pageMargins left="0.7" right="0.7" top="0.75" bottom="0.75" header="0.3" footer="0.3"/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594369" r:id="rId3" name="Spinner 1">
              <controlPr defaultSize="0" autoPict="0">
                <anchor moveWithCells="1" sizeWithCells="1">
                  <from>
                    <xdr:col>9</xdr:col>
                    <xdr:colOff>19050</xdr:colOff>
                    <xdr:row>0</xdr:row>
                    <xdr:rowOff>38100</xdr:rowOff>
                  </from>
                  <to>
                    <xdr:col>9</xdr:col>
                    <xdr:colOff>400050</xdr:colOff>
                    <xdr:row>1</xdr:row>
                    <xdr:rowOff>152400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1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92">
    <tabColor rgb="FFFFC000"/>
  </sheetPr>
  <dimension ref="A1:S30"/>
  <sheetViews>
    <sheetView zoomScale="90" zoomScaleNormal="90" workbookViewId="0">
      <selection activeCell="L1" sqref="L1"/>
    </sheetView>
  </sheetViews>
  <sheetFormatPr defaultColWidth="9.1796875" defaultRowHeight="14.5" x14ac:dyDescent="0.35"/>
  <cols>
    <col min="1" max="1" width="9.1796875" style="3"/>
    <col min="2" max="2" width="5.1796875" style="3" customWidth="1"/>
    <col min="3" max="3" width="6.26953125" style="3" customWidth="1"/>
    <col min="4" max="4" width="21.26953125" style="3" bestFit="1" customWidth="1"/>
    <col min="5" max="16" width="11.1796875" style="3" customWidth="1"/>
    <col min="17" max="17" width="12" style="3" bestFit="1" customWidth="1"/>
    <col min="18" max="18" width="9.1796875" style="3" customWidth="1"/>
    <col min="19" max="16384" width="9.1796875" style="3"/>
  </cols>
  <sheetData>
    <row r="1" spans="1:19" ht="21" x14ac:dyDescent="0.5">
      <c r="A1" s="4" t="s">
        <v>4</v>
      </c>
      <c r="B1" s="4">
        <f>Dashboard!A119</f>
        <v>6</v>
      </c>
      <c r="C1" s="4" t="str">
        <f>Dashboard!B119</f>
        <v>LAKEVIEW - WATER(M3)</v>
      </c>
      <c r="D1" s="4"/>
      <c r="G1" s="3" t="s">
        <v>9</v>
      </c>
      <c r="I1" s="12">
        <f>INDEX($E$18:$P$18,Actual_month)</f>
        <v>46054</v>
      </c>
      <c r="L1" s="16" t="s">
        <v>19</v>
      </c>
      <c r="R1" s="5"/>
    </row>
    <row r="2" spans="1:19" x14ac:dyDescent="0.35">
      <c r="A2" s="3" t="s">
        <v>13</v>
      </c>
      <c r="C2" s="3" t="s">
        <v>27</v>
      </c>
      <c r="R2" s="6"/>
    </row>
    <row r="3" spans="1:19" ht="25.5" customHeight="1" thickBot="1" x14ac:dyDescent="0.4">
      <c r="C3" s="1" t="s">
        <v>5</v>
      </c>
      <c r="E3" s="10"/>
      <c r="F3" s="10"/>
      <c r="G3" s="10"/>
      <c r="H3" s="10"/>
      <c r="I3" s="10"/>
      <c r="J3" s="3" t="s">
        <v>6</v>
      </c>
      <c r="K3" s="10"/>
      <c r="M3" s="10"/>
      <c r="N3" s="10"/>
      <c r="O3" s="10"/>
      <c r="P3" s="10"/>
    </row>
    <row r="4" spans="1:19" ht="25.5" customHeight="1" x14ac:dyDescent="0.35">
      <c r="C4" s="1" t="s">
        <v>5</v>
      </c>
      <c r="E4" s="10"/>
      <c r="F4" s="10"/>
      <c r="G4" s="10"/>
      <c r="H4" s="10"/>
      <c r="I4" s="10"/>
      <c r="J4" s="401"/>
      <c r="K4" s="402"/>
      <c r="L4" s="402"/>
      <c r="M4" s="402"/>
      <c r="N4" s="402"/>
      <c r="O4" s="402"/>
      <c r="P4" s="402"/>
      <c r="Q4" s="403"/>
      <c r="R4" s="3" t="s">
        <v>22</v>
      </c>
      <c r="S4" s="5">
        <f>INDEX(E27:P27,Actual_month)</f>
        <v>157584</v>
      </c>
    </row>
    <row r="5" spans="1:19" ht="25.5" customHeight="1" x14ac:dyDescent="0.35">
      <c r="C5" s="1" t="s">
        <v>5</v>
      </c>
      <c r="E5" s="10"/>
      <c r="F5" s="10"/>
      <c r="G5" s="10"/>
      <c r="H5" s="10"/>
      <c r="I5" s="10"/>
      <c r="J5" s="404"/>
      <c r="K5" s="405"/>
      <c r="L5" s="405"/>
      <c r="M5" s="405"/>
      <c r="N5" s="405"/>
      <c r="O5" s="405"/>
      <c r="P5" s="405"/>
      <c r="Q5" s="406"/>
      <c r="R5" s="3" t="s">
        <v>23</v>
      </c>
      <c r="S5" s="5">
        <f>INDEX(E26:P26,Actual_month)</f>
        <v>170748.56220691337</v>
      </c>
    </row>
    <row r="6" spans="1:19" x14ac:dyDescent="0.35">
      <c r="J6" s="404"/>
      <c r="K6" s="405"/>
      <c r="L6" s="405"/>
      <c r="M6" s="405"/>
      <c r="N6" s="405"/>
      <c r="O6" s="405"/>
      <c r="P6" s="405"/>
      <c r="Q6" s="406"/>
      <c r="R6" s="6">
        <v>0.9</v>
      </c>
      <c r="S6" s="5">
        <f>+S5*R6</f>
        <v>153673.70598622205</v>
      </c>
    </row>
    <row r="7" spans="1:19" x14ac:dyDescent="0.35">
      <c r="J7" s="404"/>
      <c r="K7" s="405"/>
      <c r="L7" s="405"/>
      <c r="M7" s="405"/>
      <c r="N7" s="405"/>
      <c r="O7" s="405"/>
      <c r="P7" s="405"/>
      <c r="Q7" s="406"/>
    </row>
    <row r="8" spans="1:19" ht="15" thickBot="1" x14ac:dyDescent="0.4">
      <c r="J8" s="407"/>
      <c r="K8" s="408"/>
      <c r="L8" s="408"/>
      <c r="M8" s="408"/>
      <c r="N8" s="408"/>
      <c r="O8" s="408"/>
      <c r="P8" s="408"/>
      <c r="Q8" s="409"/>
    </row>
    <row r="9" spans="1:19" ht="15" thickBot="1" x14ac:dyDescent="0.4">
      <c r="J9" s="3" t="s">
        <v>12</v>
      </c>
    </row>
    <row r="10" spans="1:19" x14ac:dyDescent="0.35">
      <c r="J10" s="401"/>
      <c r="K10" s="402"/>
      <c r="L10" s="402"/>
      <c r="M10" s="402"/>
      <c r="N10" s="402"/>
      <c r="O10" s="402"/>
      <c r="P10" s="402"/>
      <c r="Q10" s="403"/>
    </row>
    <row r="11" spans="1:19" x14ac:dyDescent="0.35">
      <c r="J11" s="404"/>
      <c r="K11" s="405"/>
      <c r="L11" s="405"/>
      <c r="M11" s="405"/>
      <c r="N11" s="405"/>
      <c r="O11" s="405"/>
      <c r="P11" s="405"/>
      <c r="Q11" s="406"/>
    </row>
    <row r="12" spans="1:19" x14ac:dyDescent="0.35">
      <c r="J12" s="404"/>
      <c r="K12" s="405"/>
      <c r="L12" s="405"/>
      <c r="M12" s="405"/>
      <c r="N12" s="405"/>
      <c r="O12" s="405"/>
      <c r="P12" s="405"/>
      <c r="Q12" s="406"/>
    </row>
    <row r="13" spans="1:19" x14ac:dyDescent="0.35">
      <c r="J13" s="404"/>
      <c r="K13" s="405"/>
      <c r="L13" s="405"/>
      <c r="M13" s="405"/>
      <c r="N13" s="405"/>
      <c r="O13" s="405"/>
      <c r="P13" s="405"/>
      <c r="Q13" s="406"/>
    </row>
    <row r="14" spans="1:19" x14ac:dyDescent="0.35">
      <c r="J14" s="404"/>
      <c r="K14" s="405"/>
      <c r="L14" s="405"/>
      <c r="M14" s="405"/>
      <c r="N14" s="405"/>
      <c r="O14" s="405"/>
      <c r="P14" s="405"/>
      <c r="Q14" s="406"/>
    </row>
    <row r="15" spans="1:19" ht="15" thickBot="1" x14ac:dyDescent="0.4">
      <c r="J15" s="407"/>
      <c r="K15" s="408"/>
      <c r="L15" s="408"/>
      <c r="M15" s="408"/>
      <c r="N15" s="408"/>
      <c r="O15" s="408"/>
      <c r="P15" s="408"/>
      <c r="Q15" s="409"/>
    </row>
    <row r="18" spans="3:17" x14ac:dyDescent="0.35">
      <c r="C18" s="7" t="s">
        <v>8</v>
      </c>
      <c r="E18" s="11">
        <f>'KPI 1'!E18</f>
        <v>45839</v>
      </c>
      <c r="F18" s="11">
        <f>'KPI 1'!F18</f>
        <v>45870</v>
      </c>
      <c r="G18" s="11">
        <f>'KPI 1'!G18</f>
        <v>45901</v>
      </c>
      <c r="H18" s="11">
        <f>'KPI 1'!H18</f>
        <v>45931</v>
      </c>
      <c r="I18" s="11">
        <f>'KPI 1'!I18</f>
        <v>45962</v>
      </c>
      <c r="J18" s="11">
        <f>'KPI 1'!J18</f>
        <v>45992</v>
      </c>
      <c r="K18" s="11">
        <f>'KPI 1'!K18</f>
        <v>46023</v>
      </c>
      <c r="L18" s="11">
        <f>'KPI 1'!L18</f>
        <v>46054</v>
      </c>
      <c r="M18" s="11">
        <f>'KPI 1'!M18</f>
        <v>46082</v>
      </c>
      <c r="N18" s="11">
        <f>'KPI 1'!N18</f>
        <v>46113</v>
      </c>
      <c r="O18" s="11">
        <f>'KPI 1'!O18</f>
        <v>46143</v>
      </c>
      <c r="P18" s="11">
        <f>'KPI 1'!P18</f>
        <v>46174</v>
      </c>
      <c r="Q18" s="8" t="s">
        <v>0</v>
      </c>
    </row>
    <row r="19" spans="3:17" x14ac:dyDescent="0.35">
      <c r="D19" s="3" t="str">
        <f>'KPI 1'!D19</f>
        <v>Budget 2025-26</v>
      </c>
      <c r="E19" s="49">
        <f>'budget 2025-26'!D112</f>
        <v>21090.847636599865</v>
      </c>
      <c r="F19" s="49">
        <f>'budget 2025-26'!E112</f>
        <v>21163.054104961095</v>
      </c>
      <c r="G19" s="49">
        <f>'budget 2025-26'!F112</f>
        <v>21235.260573322324</v>
      </c>
      <c r="H19" s="49">
        <f>'budget 2025-26'!G112</f>
        <v>21307.467041683554</v>
      </c>
      <c r="I19" s="49">
        <f>'budget 2025-26'!H112</f>
        <v>21379.673510044788</v>
      </c>
      <c r="J19" s="49">
        <f>'budget 2025-26'!I112</f>
        <v>21451.879978406017</v>
      </c>
      <c r="K19" s="49">
        <f>'budget 2025-26'!J112</f>
        <v>21524.086446767247</v>
      </c>
      <c r="L19" s="49">
        <f>'budget 2025-26'!K112</f>
        <v>21596.292915128477</v>
      </c>
      <c r="M19" s="49">
        <f>'budget 2025-26'!L112</f>
        <v>21668.499383489707</v>
      </c>
      <c r="N19" s="49">
        <f>'budget 2025-26'!M112</f>
        <v>21740.70585185094</v>
      </c>
      <c r="O19" s="49">
        <f>'budget 2025-26'!N112</f>
        <v>21812.912320212166</v>
      </c>
      <c r="P19" s="49">
        <f>'budget 2025-26'!O112</f>
        <v>21885.1187885734</v>
      </c>
      <c r="Q19" s="5">
        <f>SUM(E19:P19)</f>
        <v>257855.7985510396</v>
      </c>
    </row>
    <row r="20" spans="3:17" x14ac:dyDescent="0.35">
      <c r="D20" s="3" t="str">
        <f>'KPI 1'!D20</f>
        <v>Actual 2025-26</v>
      </c>
      <c r="E20" s="49">
        <f>'Input Actual2025-26'!E115</f>
        <v>16861</v>
      </c>
      <c r="F20" s="49">
        <f>'Input Actual2025-26'!F115</f>
        <v>20788</v>
      </c>
      <c r="G20" s="49">
        <f>'Input Actual2025-26'!G115</f>
        <v>19143</v>
      </c>
      <c r="H20" s="49">
        <f>'Input Actual2025-26'!H115</f>
        <v>21669</v>
      </c>
      <c r="I20" s="49">
        <f>'Input Actual2025-26'!I115</f>
        <v>16926</v>
      </c>
      <c r="J20" s="49">
        <f>'Input Actual2025-26'!J115</f>
        <v>14915</v>
      </c>
      <c r="K20" s="49">
        <f>'Input Actual2025-26'!K115</f>
        <v>26099</v>
      </c>
      <c r="L20" s="49">
        <f>'Input Actual2025-26'!L115</f>
        <v>21183</v>
      </c>
      <c r="M20" s="49">
        <f>'Input Actual2025-26'!M115</f>
        <v>0</v>
      </c>
      <c r="N20" s="49">
        <f>'Input Actual2025-26'!N115</f>
        <v>0</v>
      </c>
      <c r="O20" s="49">
        <f>'Input Actual2025-26'!O115</f>
        <v>0</v>
      </c>
      <c r="P20" s="49">
        <f>'Input Actual2025-26'!P115</f>
        <v>0</v>
      </c>
      <c r="Q20" s="5">
        <f t="shared" ref="Q20:Q22" si="0">SUM(E20:P20)</f>
        <v>157584</v>
      </c>
    </row>
    <row r="21" spans="3:17" x14ac:dyDescent="0.35">
      <c r="D21" s="3" t="s">
        <v>424</v>
      </c>
      <c r="E21" s="49">
        <f>'Input Actual2024-25'!E108</f>
        <v>17938</v>
      </c>
      <c r="F21" s="49">
        <f>'Input Actual2024-25'!F108</f>
        <v>22874</v>
      </c>
      <c r="G21" s="49">
        <f>'Input Actual2024-25'!G108</f>
        <v>20854</v>
      </c>
      <c r="H21" s="49">
        <f>'Input Actual2024-25'!H108</f>
        <v>19690</v>
      </c>
      <c r="I21" s="49">
        <f>'Input Actual2024-25'!I108</f>
        <v>22452</v>
      </c>
      <c r="J21" s="49">
        <f>'Input Actual2024-25'!J108</f>
        <v>13727</v>
      </c>
      <c r="K21" s="49">
        <f>'Input Actual2024-25'!K108</f>
        <v>22903</v>
      </c>
      <c r="L21" s="49">
        <f>'Input Actual2024-25'!L108</f>
        <v>22724</v>
      </c>
      <c r="M21" s="49">
        <f>'Input Actual2024-25'!M108</f>
        <v>23737</v>
      </c>
      <c r="N21" s="49">
        <f>'Input Actual2024-25'!N108</f>
        <v>14918</v>
      </c>
      <c r="O21" s="49">
        <f>'Input Actual2024-25'!O108</f>
        <v>19396</v>
      </c>
      <c r="P21" s="49">
        <f>'Input Actual2024-25'!P108</f>
        <v>20427</v>
      </c>
      <c r="Q21" s="5">
        <f t="shared" si="0"/>
        <v>241640</v>
      </c>
    </row>
    <row r="22" spans="3:17" x14ac:dyDescent="0.35">
      <c r="D22" s="3" t="s">
        <v>7</v>
      </c>
      <c r="E22" s="5">
        <f t="shared" ref="E22:P22" si="1">IF(E20=0,0,E20-E19)</f>
        <v>-4229.8476365998649</v>
      </c>
      <c r="F22" s="5">
        <f t="shared" si="1"/>
        <v>-375.05410496109471</v>
      </c>
      <c r="G22" s="5">
        <f t="shared" si="1"/>
        <v>-2092.2605733223245</v>
      </c>
      <c r="H22" s="5">
        <f t="shared" si="1"/>
        <v>361.53295831644573</v>
      </c>
      <c r="I22" s="5">
        <f t="shared" si="1"/>
        <v>-4453.6735100447877</v>
      </c>
      <c r="J22" s="5">
        <f t="shared" si="1"/>
        <v>-6536.8799784060175</v>
      </c>
      <c r="K22" s="5">
        <f t="shared" si="1"/>
        <v>4574.9135532327527</v>
      </c>
      <c r="L22" s="5">
        <f t="shared" si="1"/>
        <v>-413.29291512847703</v>
      </c>
      <c r="M22" s="5">
        <f t="shared" si="1"/>
        <v>0</v>
      </c>
      <c r="N22" s="5">
        <f t="shared" si="1"/>
        <v>0</v>
      </c>
      <c r="O22" s="5">
        <f t="shared" si="1"/>
        <v>0</v>
      </c>
      <c r="P22" s="5">
        <f t="shared" si="1"/>
        <v>0</v>
      </c>
      <c r="Q22" s="5">
        <f t="shared" si="0"/>
        <v>-13164.562206913368</v>
      </c>
    </row>
    <row r="23" spans="3:17" x14ac:dyDescent="0.35">
      <c r="D23" s="3" t="s">
        <v>43</v>
      </c>
      <c r="E23" s="9">
        <f>E21/E19</f>
        <v>0.8505110988935034</v>
      </c>
      <c r="F23" s="9">
        <f t="shared" ref="F23:P23" si="2">F20/F19</f>
        <v>0.98227788375435032</v>
      </c>
      <c r="G23" s="9">
        <f t="shared" si="2"/>
        <v>0.9014723381378793</v>
      </c>
      <c r="H23" s="9">
        <f t="shared" si="2"/>
        <v>1.0169674301318492</v>
      </c>
      <c r="I23" s="9">
        <f t="shared" si="2"/>
        <v>0.79168655181042291</v>
      </c>
      <c r="J23" s="9">
        <f t="shared" si="2"/>
        <v>0.69527705800208661</v>
      </c>
      <c r="K23" s="9">
        <f t="shared" si="2"/>
        <v>1.2125485587761087</v>
      </c>
      <c r="L23" s="9">
        <f t="shared" si="2"/>
        <v>0.98086278433281671</v>
      </c>
      <c r="M23" s="9">
        <f t="shared" si="2"/>
        <v>0</v>
      </c>
      <c r="N23" s="9">
        <f t="shared" si="2"/>
        <v>0</v>
      </c>
      <c r="O23" s="9">
        <f t="shared" si="2"/>
        <v>0</v>
      </c>
      <c r="P23" s="9">
        <f t="shared" si="2"/>
        <v>0</v>
      </c>
    </row>
    <row r="25" spans="3:17" x14ac:dyDescent="0.35">
      <c r="C25" s="7" t="s">
        <v>3</v>
      </c>
      <c r="E25" s="11">
        <f>E18</f>
        <v>45839</v>
      </c>
      <c r="F25" s="11">
        <f t="shared" ref="F25:P25" si="3">F18</f>
        <v>45870</v>
      </c>
      <c r="G25" s="11">
        <f t="shared" si="3"/>
        <v>45901</v>
      </c>
      <c r="H25" s="11">
        <f t="shared" si="3"/>
        <v>45931</v>
      </c>
      <c r="I25" s="11">
        <f t="shared" si="3"/>
        <v>45962</v>
      </c>
      <c r="J25" s="11">
        <f t="shared" si="3"/>
        <v>45992</v>
      </c>
      <c r="K25" s="11">
        <f t="shared" si="3"/>
        <v>46023</v>
      </c>
      <c r="L25" s="11">
        <f t="shared" si="3"/>
        <v>46054</v>
      </c>
      <c r="M25" s="11">
        <f t="shared" si="3"/>
        <v>46082</v>
      </c>
      <c r="N25" s="11">
        <f t="shared" si="3"/>
        <v>46113</v>
      </c>
      <c r="O25" s="11">
        <f t="shared" si="3"/>
        <v>46143</v>
      </c>
      <c r="P25" s="11">
        <f t="shared" si="3"/>
        <v>46174</v>
      </c>
    </row>
    <row r="26" spans="3:17" x14ac:dyDescent="0.35">
      <c r="D26" s="3" t="str">
        <f>D19</f>
        <v>Budget 2025-26</v>
      </c>
      <c r="E26" s="5">
        <f>SUM($E19:E19)</f>
        <v>21090.847636599865</v>
      </c>
      <c r="F26" s="5">
        <f>SUM($E19:F19)</f>
        <v>42253.901741560956</v>
      </c>
      <c r="G26" s="5">
        <f>SUM($E19:G19)</f>
        <v>63489.16231488328</v>
      </c>
      <c r="H26" s="5">
        <f>SUM($E19:H19)</f>
        <v>84796.629356566831</v>
      </c>
      <c r="I26" s="5">
        <f>SUM($E19:I19)</f>
        <v>106176.30286661162</v>
      </c>
      <c r="J26" s="5">
        <f>SUM($E19:J19)</f>
        <v>127628.18284501764</v>
      </c>
      <c r="K26" s="5">
        <f>SUM($E19:K19)</f>
        <v>149152.26929178488</v>
      </c>
      <c r="L26" s="5">
        <f>SUM($E19:L19)</f>
        <v>170748.56220691337</v>
      </c>
      <c r="M26" s="5">
        <f>SUM($E19:M19)</f>
        <v>192417.06159040309</v>
      </c>
      <c r="N26" s="5">
        <f>SUM($E19:N19)</f>
        <v>214157.76744225403</v>
      </c>
      <c r="O26" s="5">
        <f>SUM($E19:O19)</f>
        <v>235970.6797624662</v>
      </c>
      <c r="P26" s="5">
        <f>SUM($E19:P19)</f>
        <v>257855.7985510396</v>
      </c>
    </row>
    <row r="27" spans="3:17" x14ac:dyDescent="0.35">
      <c r="D27" s="3" t="str">
        <f t="shared" ref="D27:D30" si="4">D20</f>
        <v>Actual 2025-26</v>
      </c>
      <c r="E27" s="5">
        <f>SUM($E20:E20)</f>
        <v>16861</v>
      </c>
      <c r="F27" s="5">
        <f>SUM($E20:F20)</f>
        <v>37649</v>
      </c>
      <c r="G27" s="5">
        <f>SUM($E20:G20)</f>
        <v>56792</v>
      </c>
      <c r="H27" s="5">
        <f>SUM($E20:H20)</f>
        <v>78461</v>
      </c>
      <c r="I27" s="5">
        <f>SUM($E20:I20)</f>
        <v>95387</v>
      </c>
      <c r="J27" s="5">
        <f>SUM($E20:J20)</f>
        <v>110302</v>
      </c>
      <c r="K27" s="5">
        <f>SUM($E20:K20)</f>
        <v>136401</v>
      </c>
      <c r="L27" s="5">
        <f>SUM($E20:L20)</f>
        <v>157584</v>
      </c>
      <c r="M27" s="5">
        <f>SUM($E20:M20)</f>
        <v>157584</v>
      </c>
      <c r="N27" s="5">
        <f>SUM($E20:N20)</f>
        <v>157584</v>
      </c>
      <c r="O27" s="5">
        <f>SUM($E20:O20)</f>
        <v>157584</v>
      </c>
      <c r="P27" s="5">
        <f>SUM($E20:P20)</f>
        <v>157584</v>
      </c>
    </row>
    <row r="28" spans="3:17" x14ac:dyDescent="0.35">
      <c r="D28" s="3" t="str">
        <f t="shared" si="4"/>
        <v>Actual 2024-25</v>
      </c>
      <c r="E28" s="5">
        <f>SUM($E21:E21)</f>
        <v>17938</v>
      </c>
      <c r="F28" s="5">
        <f>SUM($E21:F21)</f>
        <v>40812</v>
      </c>
      <c r="G28" s="5">
        <f>SUM($E21:G21)</f>
        <v>61666</v>
      </c>
      <c r="H28" s="5">
        <f>SUM($E21:H21)</f>
        <v>81356</v>
      </c>
      <c r="I28" s="5">
        <f>SUM($E21:I21)</f>
        <v>103808</v>
      </c>
      <c r="J28" s="5">
        <f>SUM($E21:J21)</f>
        <v>117535</v>
      </c>
      <c r="K28" s="5">
        <f>SUM($E21:K21)</f>
        <v>140438</v>
      </c>
      <c r="L28" s="5">
        <f>SUM($E21:L21)</f>
        <v>163162</v>
      </c>
      <c r="M28" s="5">
        <f>SUM($E21:M21)</f>
        <v>186899</v>
      </c>
      <c r="N28" s="5">
        <f>SUM($E21:N21)</f>
        <v>201817</v>
      </c>
      <c r="O28" s="5">
        <f>SUM($E21:O21)</f>
        <v>221213</v>
      </c>
      <c r="P28" s="5">
        <f>SUM($E21:P21)</f>
        <v>241640</v>
      </c>
    </row>
    <row r="29" spans="3:17" x14ac:dyDescent="0.35">
      <c r="D29" s="3" t="str">
        <f t="shared" si="4"/>
        <v>Difference</v>
      </c>
      <c r="E29" s="5">
        <f>SUM($E22:E22)</f>
        <v>-4229.8476365998649</v>
      </c>
      <c r="F29" s="5">
        <f>SUM($E22:F22)</f>
        <v>-4604.9017415609596</v>
      </c>
      <c r="G29" s="5">
        <f>SUM($E22:G22)</f>
        <v>-6697.1623148832841</v>
      </c>
      <c r="H29" s="5">
        <f>SUM($E22:H22)</f>
        <v>-6335.6293565668384</v>
      </c>
      <c r="I29" s="5">
        <f>SUM($E22:I22)</f>
        <v>-10789.302866611626</v>
      </c>
      <c r="J29" s="5">
        <f>SUM($E22:J22)</f>
        <v>-17326.182845017644</v>
      </c>
      <c r="K29" s="5">
        <f>SUM($E22:K22)</f>
        <v>-12751.269291784891</v>
      </c>
      <c r="L29" s="5">
        <f>SUM($E22:L22)</f>
        <v>-13164.562206913368</v>
      </c>
      <c r="M29" s="5">
        <f>SUM($E22:M22)</f>
        <v>-13164.562206913368</v>
      </c>
      <c r="N29" s="5">
        <f>SUM($E22:N22)</f>
        <v>-13164.562206913368</v>
      </c>
      <c r="O29" s="5">
        <f>SUM($E22:O22)</f>
        <v>-13164.562206913368</v>
      </c>
      <c r="P29" s="5">
        <f>SUM($E22:P22)</f>
        <v>-13164.562206913368</v>
      </c>
    </row>
    <row r="30" spans="3:17" x14ac:dyDescent="0.35">
      <c r="D30" s="3" t="str">
        <f t="shared" si="4"/>
        <v>Realisation</v>
      </c>
      <c r="E30" s="9">
        <f>E28/E26</f>
        <v>0.8505110988935034</v>
      </c>
      <c r="F30" s="9">
        <f t="shared" ref="F30:P30" si="5">F27/F26</f>
        <v>0.89101830714412888</v>
      </c>
      <c r="G30" s="9">
        <f t="shared" si="5"/>
        <v>0.89451487355168147</v>
      </c>
      <c r="H30" s="9">
        <f t="shared" si="5"/>
        <v>0.92528441985676424</v>
      </c>
      <c r="I30" s="9">
        <f t="shared" si="5"/>
        <v>0.89838313658212299</v>
      </c>
      <c r="J30" s="9">
        <f t="shared" si="5"/>
        <v>0.86424485204762891</v>
      </c>
      <c r="K30" s="9">
        <f t="shared" si="5"/>
        <v>0.91450837890478409</v>
      </c>
      <c r="L30" s="9">
        <f t="shared" si="5"/>
        <v>0.92290088984198571</v>
      </c>
      <c r="M30" s="9">
        <f t="shared" si="5"/>
        <v>0.81897103457201736</v>
      </c>
      <c r="N30" s="9">
        <f t="shared" si="5"/>
        <v>0.73583135406233302</v>
      </c>
      <c r="O30" s="9">
        <f t="shared" si="5"/>
        <v>0.66781178135617469</v>
      </c>
      <c r="P30" s="9">
        <f t="shared" si="5"/>
        <v>0.61113227193457142</v>
      </c>
    </row>
  </sheetData>
  <mergeCells count="2">
    <mergeCell ref="J4:Q8"/>
    <mergeCell ref="J10:Q15"/>
  </mergeCells>
  <conditionalFormatting sqref="C3">
    <cfRule type="expression" dxfId="248" priority="2">
      <formula>S4&lt;S6</formula>
    </cfRule>
  </conditionalFormatting>
  <conditionalFormatting sqref="C5">
    <cfRule type="expression" dxfId="247" priority="3">
      <formula>S4&gt;=S5</formula>
    </cfRule>
  </conditionalFormatting>
  <conditionalFormatting sqref="C4">
    <cfRule type="expression" dxfId="246" priority="1">
      <formula>AND(S4&gt;=S6,S4&lt;S5)</formula>
    </cfRule>
  </conditionalFormatting>
  <hyperlinks>
    <hyperlink ref="L1" location="Dashboard!A1" display="Dashboard"/>
  </hyperlinks>
  <pageMargins left="0.7" right="0.7" top="0.75" bottom="0.75" header="0.3" footer="0.3"/>
  <pageSetup orientation="portrait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28097" r:id="rId4" name="Spinner 1">
              <controlPr defaultSize="0" autoPict="0">
                <anchor moveWithCells="1" sizeWithCells="1">
                  <from>
                    <xdr:col>9</xdr:col>
                    <xdr:colOff>19050</xdr:colOff>
                    <xdr:row>0</xdr:row>
                    <xdr:rowOff>38100</xdr:rowOff>
                  </from>
                  <to>
                    <xdr:col>9</xdr:col>
                    <xdr:colOff>400050</xdr:colOff>
                    <xdr:row>1</xdr:row>
                    <xdr:rowOff>152400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1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FFC000"/>
  </sheetPr>
  <dimension ref="A1:S30"/>
  <sheetViews>
    <sheetView workbookViewId="0">
      <selection activeCell="L1" sqref="L1"/>
    </sheetView>
  </sheetViews>
  <sheetFormatPr defaultColWidth="9.1796875" defaultRowHeight="14.5" x14ac:dyDescent="0.35"/>
  <cols>
    <col min="1" max="1" width="9.1796875" style="3"/>
    <col min="2" max="2" width="5.1796875" style="3" customWidth="1"/>
    <col min="3" max="3" width="6.26953125" style="3" customWidth="1"/>
    <col min="4" max="4" width="21.26953125" style="3" bestFit="1" customWidth="1"/>
    <col min="5" max="16" width="11.1796875" style="3" customWidth="1"/>
    <col min="17" max="17" width="12" style="3" bestFit="1" customWidth="1"/>
    <col min="18" max="18" width="9.1796875" style="3" customWidth="1"/>
    <col min="19" max="16384" width="9.1796875" style="3"/>
  </cols>
  <sheetData>
    <row r="1" spans="1:19" ht="21" x14ac:dyDescent="0.5">
      <c r="A1" s="4" t="s">
        <v>4</v>
      </c>
      <c r="B1" s="4">
        <f>Dashboard!A125</f>
        <v>4</v>
      </c>
      <c r="C1" s="4" t="str">
        <f>Dashboard!B126</f>
        <v>TOTAL  WATER(M3) SOUTHERN REGION</v>
      </c>
      <c r="D1" s="4"/>
      <c r="G1" s="3" t="s">
        <v>9</v>
      </c>
      <c r="I1" s="12">
        <f>INDEX($E$18:$P$18,Actual_month)</f>
        <v>46054</v>
      </c>
      <c r="L1" s="16" t="s">
        <v>19</v>
      </c>
      <c r="R1" s="5"/>
    </row>
    <row r="2" spans="1:19" x14ac:dyDescent="0.35">
      <c r="A2" s="3" t="s">
        <v>13</v>
      </c>
      <c r="C2" s="3" t="s">
        <v>27</v>
      </c>
      <c r="R2" s="6"/>
    </row>
    <row r="3" spans="1:19" ht="25.5" customHeight="1" thickBot="1" x14ac:dyDescent="0.4">
      <c r="C3" s="1" t="s">
        <v>5</v>
      </c>
      <c r="E3" s="10"/>
      <c r="F3" s="10"/>
      <c r="G3" s="10"/>
      <c r="H3" s="10"/>
      <c r="I3" s="10"/>
      <c r="J3" s="3" t="s">
        <v>6</v>
      </c>
      <c r="K3" s="10"/>
      <c r="M3" s="10"/>
      <c r="N3" s="10"/>
      <c r="O3" s="10"/>
      <c r="P3" s="10"/>
    </row>
    <row r="4" spans="1:19" ht="25.5" customHeight="1" x14ac:dyDescent="0.35">
      <c r="C4" s="1" t="s">
        <v>5</v>
      </c>
      <c r="E4" s="10"/>
      <c r="F4" s="10"/>
      <c r="G4" s="10"/>
      <c r="H4" s="10"/>
      <c r="I4" s="10"/>
      <c r="J4" s="401"/>
      <c r="K4" s="402"/>
      <c r="L4" s="402"/>
      <c r="M4" s="402"/>
      <c r="N4" s="402"/>
      <c r="O4" s="402"/>
      <c r="P4" s="402"/>
      <c r="Q4" s="403"/>
      <c r="R4" s="3" t="s">
        <v>22</v>
      </c>
      <c r="S4" s="5">
        <f>INDEX(E27:P27,Actual_month)</f>
        <v>395248</v>
      </c>
    </row>
    <row r="5" spans="1:19" ht="25.5" customHeight="1" x14ac:dyDescent="0.35">
      <c r="C5" s="1" t="s">
        <v>5</v>
      </c>
      <c r="E5" s="10"/>
      <c r="F5" s="10"/>
      <c r="G5" s="10"/>
      <c r="H5" s="10"/>
      <c r="I5" s="10"/>
      <c r="J5" s="404"/>
      <c r="K5" s="405"/>
      <c r="L5" s="405"/>
      <c r="M5" s="405"/>
      <c r="N5" s="405"/>
      <c r="O5" s="405"/>
      <c r="P5" s="405"/>
      <c r="Q5" s="406"/>
      <c r="R5" s="3" t="s">
        <v>23</v>
      </c>
      <c r="S5" s="5">
        <f>INDEX(E26:P26,Actual_month)</f>
        <v>452009.09535415098</v>
      </c>
    </row>
    <row r="6" spans="1:19" x14ac:dyDescent="0.35">
      <c r="J6" s="404"/>
      <c r="K6" s="405"/>
      <c r="L6" s="405"/>
      <c r="M6" s="405"/>
      <c r="N6" s="405"/>
      <c r="O6" s="405"/>
      <c r="P6" s="405"/>
      <c r="Q6" s="406"/>
      <c r="R6" s="6">
        <v>0.9</v>
      </c>
      <c r="S6" s="5">
        <f>+S5*R6</f>
        <v>406808.18581873592</v>
      </c>
    </row>
    <row r="7" spans="1:19" x14ac:dyDescent="0.35">
      <c r="J7" s="404"/>
      <c r="K7" s="405"/>
      <c r="L7" s="405"/>
      <c r="M7" s="405"/>
      <c r="N7" s="405"/>
      <c r="O7" s="405"/>
      <c r="P7" s="405"/>
      <c r="Q7" s="406"/>
    </row>
    <row r="8" spans="1:19" ht="15" thickBot="1" x14ac:dyDescent="0.4">
      <c r="J8" s="407"/>
      <c r="K8" s="408"/>
      <c r="L8" s="408"/>
      <c r="M8" s="408"/>
      <c r="N8" s="408"/>
      <c r="O8" s="408"/>
      <c r="P8" s="408"/>
      <c r="Q8" s="409"/>
    </row>
    <row r="9" spans="1:19" ht="15" thickBot="1" x14ac:dyDescent="0.4">
      <c r="J9" s="3" t="s">
        <v>12</v>
      </c>
    </row>
    <row r="10" spans="1:19" x14ac:dyDescent="0.35">
      <c r="J10" s="401"/>
      <c r="K10" s="402"/>
      <c r="L10" s="402"/>
      <c r="M10" s="402"/>
      <c r="N10" s="402"/>
      <c r="O10" s="402"/>
      <c r="P10" s="402"/>
      <c r="Q10" s="403"/>
    </row>
    <row r="11" spans="1:19" x14ac:dyDescent="0.35">
      <c r="J11" s="404"/>
      <c r="K11" s="405"/>
      <c r="L11" s="405"/>
      <c r="M11" s="405"/>
      <c r="N11" s="405"/>
      <c r="O11" s="405"/>
      <c r="P11" s="405"/>
      <c r="Q11" s="406"/>
    </row>
    <row r="12" spans="1:19" x14ac:dyDescent="0.35">
      <c r="J12" s="404"/>
      <c r="K12" s="405"/>
      <c r="L12" s="405"/>
      <c r="M12" s="405"/>
      <c r="N12" s="405"/>
      <c r="O12" s="405"/>
      <c r="P12" s="405"/>
      <c r="Q12" s="406"/>
    </row>
    <row r="13" spans="1:19" x14ac:dyDescent="0.35">
      <c r="J13" s="404"/>
      <c r="K13" s="405"/>
      <c r="L13" s="405"/>
      <c r="M13" s="405"/>
      <c r="N13" s="405"/>
      <c r="O13" s="405"/>
      <c r="P13" s="405"/>
      <c r="Q13" s="406"/>
    </row>
    <row r="14" spans="1:19" x14ac:dyDescent="0.35">
      <c r="J14" s="404"/>
      <c r="K14" s="405"/>
      <c r="L14" s="405"/>
      <c r="M14" s="405"/>
      <c r="N14" s="405"/>
      <c r="O14" s="405"/>
      <c r="P14" s="405"/>
      <c r="Q14" s="406"/>
    </row>
    <row r="15" spans="1:19" ht="15" thickBot="1" x14ac:dyDescent="0.4">
      <c r="J15" s="407"/>
      <c r="K15" s="408"/>
      <c r="L15" s="408"/>
      <c r="M15" s="408"/>
      <c r="N15" s="408"/>
      <c r="O15" s="408"/>
      <c r="P15" s="408"/>
      <c r="Q15" s="409"/>
    </row>
    <row r="18" spans="3:17" x14ac:dyDescent="0.35">
      <c r="C18" s="7" t="s">
        <v>8</v>
      </c>
      <c r="E18" s="11">
        <f>'KPI 1'!E18</f>
        <v>45839</v>
      </c>
      <c r="F18" s="11">
        <f>'KPI 1'!F18</f>
        <v>45870</v>
      </c>
      <c r="G18" s="11">
        <f>'KPI 1'!G18</f>
        <v>45901</v>
      </c>
      <c r="H18" s="11">
        <f>'KPI 1'!H18</f>
        <v>45931</v>
      </c>
      <c r="I18" s="11">
        <f>'KPI 1'!I18</f>
        <v>45962</v>
      </c>
      <c r="J18" s="11">
        <f>'KPI 1'!J18</f>
        <v>45992</v>
      </c>
      <c r="K18" s="11">
        <f>'KPI 1'!K18</f>
        <v>46023</v>
      </c>
      <c r="L18" s="11">
        <f>'KPI 1'!L18</f>
        <v>46054</v>
      </c>
      <c r="M18" s="11">
        <f>'KPI 1'!M18</f>
        <v>46082</v>
      </c>
      <c r="N18" s="11">
        <f>'KPI 1'!N18</f>
        <v>46113</v>
      </c>
      <c r="O18" s="11">
        <f>'KPI 1'!O18</f>
        <v>46143</v>
      </c>
      <c r="P18" s="11">
        <f>'KPI 1'!P18</f>
        <v>46174</v>
      </c>
      <c r="Q18" s="8" t="s">
        <v>0</v>
      </c>
    </row>
    <row r="19" spans="3:17" x14ac:dyDescent="0.35">
      <c r="D19" s="3" t="str">
        <f>'KPI 1'!D19</f>
        <v>Budget 2025-26</v>
      </c>
      <c r="E19" s="49">
        <f>'budget 2025-26'!D119</f>
        <v>49682.108177409253</v>
      </c>
      <c r="F19" s="49">
        <f>'budget 2025-26'!E119</f>
        <v>50812.796230669344</v>
      </c>
      <c r="G19" s="49">
        <f>'budget 2025-26'!F119</f>
        <v>52082.38550559312</v>
      </c>
      <c r="H19" s="49">
        <f>'budget 2025-26'!G119</f>
        <v>54905.225469103534</v>
      </c>
      <c r="I19" s="49">
        <f>'budget 2025-26'!H119</f>
        <v>57524.584419955732</v>
      </c>
      <c r="J19" s="49">
        <f>'budget 2025-26'!I119</f>
        <v>60103.49863887432</v>
      </c>
      <c r="K19" s="49">
        <f>'budget 2025-26'!J119</f>
        <v>62333.998517139975</v>
      </c>
      <c r="L19" s="49">
        <f>'budget 2025-26'!K119</f>
        <v>64564.49839540563</v>
      </c>
      <c r="M19" s="49">
        <f>'budget 2025-26'!L119</f>
        <v>66605.098580406629</v>
      </c>
      <c r="N19" s="49">
        <f>'budget 2025-26'!M119</f>
        <v>68256.8396928211</v>
      </c>
      <c r="O19" s="49">
        <f>'budget 2025-26'!N119</f>
        <v>69908.580805235557</v>
      </c>
      <c r="P19" s="49">
        <f>'budget 2025-26'!O119</f>
        <v>71530.4309253838</v>
      </c>
      <c r="Q19" s="5">
        <f>SUM(E19:P19)</f>
        <v>728310.04535799811</v>
      </c>
    </row>
    <row r="20" spans="3:17" x14ac:dyDescent="0.35">
      <c r="D20" s="3" t="str">
        <f>'KPI 1'!D20</f>
        <v>Actual 2025-26</v>
      </c>
      <c r="E20" s="49">
        <f>'Input Actual2025-26'!E122</f>
        <v>42506</v>
      </c>
      <c r="F20" s="49">
        <f>'Input Actual2025-26'!F122</f>
        <v>58310</v>
      </c>
      <c r="G20" s="49">
        <f>'Input Actual2025-26'!G122</f>
        <v>40155</v>
      </c>
      <c r="H20" s="49">
        <f>'Input Actual2025-26'!H122</f>
        <v>56034</v>
      </c>
      <c r="I20" s="49">
        <f>'Input Actual2025-26'!I122</f>
        <v>38221</v>
      </c>
      <c r="J20" s="49">
        <f>'Input Actual2025-26'!J122</f>
        <v>41581</v>
      </c>
      <c r="K20" s="49">
        <f>'Input Actual2025-26'!K122</f>
        <v>63419</v>
      </c>
      <c r="L20" s="49">
        <f>'Input Actual2025-26'!L122</f>
        <v>55022</v>
      </c>
      <c r="M20" s="49">
        <f>'Input Actual2025-26'!M122</f>
        <v>0</v>
      </c>
      <c r="N20" s="49">
        <f>'Input Actual2025-26'!N122</f>
        <v>0</v>
      </c>
      <c r="O20" s="49">
        <f>'Input Actual2025-26'!O122</f>
        <v>0</v>
      </c>
      <c r="P20" s="49">
        <f>'Input Actual2025-26'!P122</f>
        <v>0</v>
      </c>
      <c r="Q20" s="49">
        <f>'Input Actual2025-26'!Q122</f>
        <v>0</v>
      </c>
    </row>
    <row r="21" spans="3:17" x14ac:dyDescent="0.35">
      <c r="D21" s="3" t="s">
        <v>424</v>
      </c>
      <c r="E21" s="49">
        <f>'Input Actual2024-25'!E115</f>
        <v>41618</v>
      </c>
      <c r="F21" s="49">
        <f>'Input Actual2024-25'!F115</f>
        <v>45120</v>
      </c>
      <c r="G21" s="49">
        <f>'Input Actual2024-25'!G115</f>
        <v>50210</v>
      </c>
      <c r="H21" s="49">
        <f>'Input Actual2024-25'!H115</f>
        <v>47973</v>
      </c>
      <c r="I21" s="49">
        <f>'Input Actual2024-25'!I115</f>
        <v>60240</v>
      </c>
      <c r="J21" s="49">
        <f>'Input Actual2024-25'!J115</f>
        <v>33336</v>
      </c>
      <c r="K21" s="49">
        <f>'Input Actual2024-25'!K115</f>
        <v>53103</v>
      </c>
      <c r="L21" s="49">
        <f>'Input Actual2024-25'!L115</f>
        <v>49874</v>
      </c>
      <c r="M21" s="49">
        <f>'Input Actual2024-25'!M115</f>
        <v>52781</v>
      </c>
      <c r="N21" s="49">
        <f>'Input Actual2024-25'!N115</f>
        <v>37599</v>
      </c>
      <c r="O21" s="49">
        <f>'Input Actual2024-25'!O115</f>
        <v>42659</v>
      </c>
      <c r="P21" s="49">
        <f>'Input Actual2024-25'!P115</f>
        <v>48039</v>
      </c>
      <c r="Q21" s="5">
        <f t="shared" ref="Q21:Q22" si="0">SUM(E21:P21)</f>
        <v>562552</v>
      </c>
    </row>
    <row r="22" spans="3:17" x14ac:dyDescent="0.35">
      <c r="D22" s="3" t="s">
        <v>7</v>
      </c>
      <c r="E22" s="5">
        <f t="shared" ref="E22:P22" si="1">IF(E20=0,0,E20-E19)</f>
        <v>-7176.1081774092527</v>
      </c>
      <c r="F22" s="5">
        <f t="shared" si="1"/>
        <v>7497.2037693306556</v>
      </c>
      <c r="G22" s="5">
        <f t="shared" si="1"/>
        <v>-11927.38550559312</v>
      </c>
      <c r="H22" s="5">
        <f t="shared" si="1"/>
        <v>1128.7745308964659</v>
      </c>
      <c r="I22" s="5">
        <f t="shared" si="1"/>
        <v>-19303.584419955732</v>
      </c>
      <c r="J22" s="5">
        <f t="shared" si="1"/>
        <v>-18522.49863887432</v>
      </c>
      <c r="K22" s="5">
        <f t="shared" si="1"/>
        <v>1085.0014828600251</v>
      </c>
      <c r="L22" s="5">
        <f t="shared" si="1"/>
        <v>-9542.4983954056297</v>
      </c>
      <c r="M22" s="5">
        <f t="shared" si="1"/>
        <v>0</v>
      </c>
      <c r="N22" s="5">
        <f t="shared" si="1"/>
        <v>0</v>
      </c>
      <c r="O22" s="5">
        <f t="shared" si="1"/>
        <v>0</v>
      </c>
      <c r="P22" s="5">
        <f t="shared" si="1"/>
        <v>0</v>
      </c>
      <c r="Q22" s="5">
        <f t="shared" si="0"/>
        <v>-56761.095354150908</v>
      </c>
    </row>
    <row r="23" spans="3:17" x14ac:dyDescent="0.35">
      <c r="D23" s="3" t="s">
        <v>43</v>
      </c>
      <c r="E23" s="9">
        <f>E21/E19</f>
        <v>0.83768586975791715</v>
      </c>
      <c r="F23" s="9">
        <f t="shared" ref="F23:P23" si="2">F20/F19</f>
        <v>1.1475455854721399</v>
      </c>
      <c r="G23" s="9">
        <f t="shared" si="2"/>
        <v>0.77099003070217975</v>
      </c>
      <c r="H23" s="9">
        <f t="shared" si="2"/>
        <v>1.0205585993182316</v>
      </c>
      <c r="I23" s="9">
        <f t="shared" si="2"/>
        <v>0.66442896346663283</v>
      </c>
      <c r="J23" s="9">
        <f t="shared" si="2"/>
        <v>0.69182328719057029</v>
      </c>
      <c r="K23" s="9">
        <f t="shared" si="2"/>
        <v>1.0174062551524219</v>
      </c>
      <c r="L23" s="9">
        <f t="shared" si="2"/>
        <v>0.85220208268380715</v>
      </c>
      <c r="M23" s="9">
        <f t="shared" si="2"/>
        <v>0</v>
      </c>
      <c r="N23" s="9">
        <f t="shared" si="2"/>
        <v>0</v>
      </c>
      <c r="O23" s="9">
        <f t="shared" si="2"/>
        <v>0</v>
      </c>
      <c r="P23" s="9">
        <f t="shared" si="2"/>
        <v>0</v>
      </c>
    </row>
    <row r="25" spans="3:17" x14ac:dyDescent="0.35">
      <c r="C25" s="7" t="s">
        <v>3</v>
      </c>
      <c r="E25" s="11">
        <f>E18</f>
        <v>45839</v>
      </c>
      <c r="F25" s="11">
        <f t="shared" ref="F25:P25" si="3">F18</f>
        <v>45870</v>
      </c>
      <c r="G25" s="11">
        <f t="shared" si="3"/>
        <v>45901</v>
      </c>
      <c r="H25" s="11">
        <f t="shared" si="3"/>
        <v>45931</v>
      </c>
      <c r="I25" s="11">
        <f t="shared" si="3"/>
        <v>45962</v>
      </c>
      <c r="J25" s="11">
        <f t="shared" si="3"/>
        <v>45992</v>
      </c>
      <c r="K25" s="11">
        <f t="shared" si="3"/>
        <v>46023</v>
      </c>
      <c r="L25" s="11">
        <f t="shared" si="3"/>
        <v>46054</v>
      </c>
      <c r="M25" s="11">
        <f t="shared" si="3"/>
        <v>46082</v>
      </c>
      <c r="N25" s="11">
        <f t="shared" si="3"/>
        <v>46113</v>
      </c>
      <c r="O25" s="11">
        <f t="shared" si="3"/>
        <v>46143</v>
      </c>
      <c r="P25" s="11">
        <f t="shared" si="3"/>
        <v>46174</v>
      </c>
    </row>
    <row r="26" spans="3:17" x14ac:dyDescent="0.35">
      <c r="D26" s="3" t="str">
        <f>D19</f>
        <v>Budget 2025-26</v>
      </c>
      <c r="E26" s="5">
        <f>SUM($E19:E19)</f>
        <v>49682.108177409253</v>
      </c>
      <c r="F26" s="5">
        <f>SUM($E19:F19)</f>
        <v>100494.9044080786</v>
      </c>
      <c r="G26" s="5">
        <f>SUM($E19:G19)</f>
        <v>152577.28991367173</v>
      </c>
      <c r="H26" s="5">
        <f>SUM($E19:H19)</f>
        <v>207482.51538277528</v>
      </c>
      <c r="I26" s="5">
        <f>SUM($E19:I19)</f>
        <v>265007.09980273101</v>
      </c>
      <c r="J26" s="5">
        <f>SUM($E19:J19)</f>
        <v>325110.59844160534</v>
      </c>
      <c r="K26" s="5">
        <f>SUM($E19:K19)</f>
        <v>387444.59695874533</v>
      </c>
      <c r="L26" s="5">
        <f>SUM($E19:L19)</f>
        <v>452009.09535415098</v>
      </c>
      <c r="M26" s="5">
        <f>SUM($E19:M19)</f>
        <v>518614.19393455761</v>
      </c>
      <c r="N26" s="5">
        <f>SUM($E19:N19)</f>
        <v>586871.03362737875</v>
      </c>
      <c r="O26" s="5">
        <f>SUM($E19:O19)</f>
        <v>656779.6144326143</v>
      </c>
      <c r="P26" s="5">
        <f>SUM($E19:P19)</f>
        <v>728310.04535799811</v>
      </c>
    </row>
    <row r="27" spans="3:17" x14ac:dyDescent="0.35">
      <c r="D27" s="3" t="str">
        <f t="shared" ref="D27:D30" si="4">D20</f>
        <v>Actual 2025-26</v>
      </c>
      <c r="E27" s="5">
        <f>SUM($E20:E20)</f>
        <v>42506</v>
      </c>
      <c r="F27" s="5">
        <f>SUM($E20:F20)</f>
        <v>100816</v>
      </c>
      <c r="G27" s="5">
        <f>SUM($E20:G20)</f>
        <v>140971</v>
      </c>
      <c r="H27" s="5">
        <f>SUM($E20:H20)</f>
        <v>197005</v>
      </c>
      <c r="I27" s="5">
        <f>SUM($E20:I20)</f>
        <v>235226</v>
      </c>
      <c r="J27" s="5">
        <f>SUM($E20:J20)</f>
        <v>276807</v>
      </c>
      <c r="K27" s="5">
        <f>SUM($E20:K20)</f>
        <v>340226</v>
      </c>
      <c r="L27" s="5">
        <f>SUM($E20:L20)</f>
        <v>395248</v>
      </c>
      <c r="M27" s="5">
        <f>SUM($E20:M20)</f>
        <v>395248</v>
      </c>
      <c r="N27" s="5">
        <f>SUM($E20:N20)</f>
        <v>395248</v>
      </c>
      <c r="O27" s="5">
        <f>SUM($E20:O20)</f>
        <v>395248</v>
      </c>
      <c r="P27" s="5">
        <f>SUM($E20:P20)</f>
        <v>395248</v>
      </c>
    </row>
    <row r="28" spans="3:17" x14ac:dyDescent="0.35">
      <c r="D28" s="3" t="str">
        <f t="shared" si="4"/>
        <v>Actual 2024-25</v>
      </c>
      <c r="E28" s="5">
        <f>SUM($E21:E21)</f>
        <v>41618</v>
      </c>
      <c r="F28" s="5">
        <f>SUM($E21:F21)</f>
        <v>86738</v>
      </c>
      <c r="G28" s="5">
        <f>SUM($E21:G21)</f>
        <v>136948</v>
      </c>
      <c r="H28" s="5">
        <f>SUM($E21:H21)</f>
        <v>184921</v>
      </c>
      <c r="I28" s="5">
        <f>SUM($E21:I21)</f>
        <v>245161</v>
      </c>
      <c r="J28" s="5">
        <f>SUM($E21:J21)</f>
        <v>278497</v>
      </c>
      <c r="K28" s="5">
        <f>SUM($E21:K21)</f>
        <v>331600</v>
      </c>
      <c r="L28" s="5">
        <f>SUM($E21:L21)</f>
        <v>381474</v>
      </c>
      <c r="M28" s="5">
        <f>SUM($E21:M21)</f>
        <v>434255</v>
      </c>
      <c r="N28" s="5">
        <f>SUM($E21:N21)</f>
        <v>471854</v>
      </c>
      <c r="O28" s="5">
        <f>SUM($E21:O21)</f>
        <v>514513</v>
      </c>
      <c r="P28" s="5">
        <f>SUM($E21:P21)</f>
        <v>562552</v>
      </c>
    </row>
    <row r="29" spans="3:17" x14ac:dyDescent="0.35">
      <c r="D29" s="3" t="str">
        <f t="shared" si="4"/>
        <v>Difference</v>
      </c>
      <c r="E29" s="5">
        <f>SUM($E22:E22)</f>
        <v>-7176.1081774092527</v>
      </c>
      <c r="F29" s="5">
        <f>SUM($E22:F22)</f>
        <v>321.09559192140296</v>
      </c>
      <c r="G29" s="5">
        <f>SUM($E22:G22)</f>
        <v>-11606.289913671717</v>
      </c>
      <c r="H29" s="5">
        <f>SUM($E22:H22)</f>
        <v>-10477.515382775251</v>
      </c>
      <c r="I29" s="5">
        <f>SUM($E22:I22)</f>
        <v>-29781.099802730983</v>
      </c>
      <c r="J29" s="5">
        <f>SUM($E22:J22)</f>
        <v>-48303.598441605303</v>
      </c>
      <c r="K29" s="5">
        <f>SUM($E22:K22)</f>
        <v>-47218.596958745278</v>
      </c>
      <c r="L29" s="5">
        <f>SUM($E22:L22)</f>
        <v>-56761.095354150908</v>
      </c>
      <c r="M29" s="5">
        <f>SUM($E22:M22)</f>
        <v>-56761.095354150908</v>
      </c>
      <c r="N29" s="5">
        <f>SUM($E22:N22)</f>
        <v>-56761.095354150908</v>
      </c>
      <c r="O29" s="5">
        <f>SUM($E22:O22)</f>
        <v>-56761.095354150908</v>
      </c>
      <c r="P29" s="5">
        <f>SUM($E22:P22)</f>
        <v>-56761.095354150908</v>
      </c>
    </row>
    <row r="30" spans="3:17" x14ac:dyDescent="0.35">
      <c r="D30" s="3" t="str">
        <f t="shared" si="4"/>
        <v>Realisation</v>
      </c>
      <c r="E30" s="9">
        <f>E28/E26</f>
        <v>0.83768586975791715</v>
      </c>
      <c r="F30" s="9">
        <f t="shared" ref="F30:P30" si="5">F27/F26</f>
        <v>1.0031951430155854</v>
      </c>
      <c r="G30" s="9">
        <f t="shared" si="5"/>
        <v>0.92393173374465776</v>
      </c>
      <c r="H30" s="9">
        <f t="shared" si="5"/>
        <v>0.94950169481295432</v>
      </c>
      <c r="I30" s="9">
        <f t="shared" si="5"/>
        <v>0.88762150212239666</v>
      </c>
      <c r="J30" s="9">
        <f t="shared" si="5"/>
        <v>0.85142410406444691</v>
      </c>
      <c r="K30" s="9">
        <f t="shared" si="5"/>
        <v>0.87812813153315672</v>
      </c>
      <c r="L30" s="9">
        <f t="shared" si="5"/>
        <v>0.87442488229207327</v>
      </c>
      <c r="M30" s="9">
        <f t="shared" si="5"/>
        <v>0.76212337537733332</v>
      </c>
      <c r="N30" s="9">
        <f t="shared" si="5"/>
        <v>0.67348357194769015</v>
      </c>
      <c r="O30" s="9">
        <f t="shared" si="5"/>
        <v>0.60179699752321181</v>
      </c>
      <c r="P30" s="9">
        <f t="shared" si="5"/>
        <v>0.54269195175760254</v>
      </c>
    </row>
  </sheetData>
  <mergeCells count="2">
    <mergeCell ref="J4:Q8"/>
    <mergeCell ref="J10:Q15"/>
  </mergeCells>
  <conditionalFormatting sqref="C3">
    <cfRule type="expression" dxfId="245" priority="2">
      <formula>S4&lt;S6</formula>
    </cfRule>
  </conditionalFormatting>
  <conditionalFormatting sqref="C5">
    <cfRule type="expression" dxfId="244" priority="3">
      <formula>S4&gt;=S5</formula>
    </cfRule>
  </conditionalFormatting>
  <conditionalFormatting sqref="C4">
    <cfRule type="expression" dxfId="243" priority="1">
      <formula>AND(S4&gt;=S6,S4&lt;S5)</formula>
    </cfRule>
  </conditionalFormatting>
  <hyperlinks>
    <hyperlink ref="L1" location="Dashboard!A1" display="Dashboard"/>
  </hyperlinks>
  <pageMargins left="0.7" right="0.7" top="0.75" bottom="0.75" header="0.3" footer="0.3"/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2124801" r:id="rId3" name="Spinner 1">
              <controlPr defaultSize="0" autoPict="0">
                <anchor moveWithCells="1" sizeWithCells="1">
                  <from>
                    <xdr:col>9</xdr:col>
                    <xdr:colOff>19050</xdr:colOff>
                    <xdr:row>0</xdr:row>
                    <xdr:rowOff>38100</xdr:rowOff>
                  </from>
                  <to>
                    <xdr:col>9</xdr:col>
                    <xdr:colOff>400050</xdr:colOff>
                    <xdr:row>1</xdr:row>
                    <xdr:rowOff>152400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1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FFC000"/>
  </sheetPr>
  <dimension ref="A1:S30"/>
  <sheetViews>
    <sheetView workbookViewId="0">
      <selection activeCell="L1" sqref="L1"/>
    </sheetView>
  </sheetViews>
  <sheetFormatPr defaultColWidth="9.1796875" defaultRowHeight="14.5" x14ac:dyDescent="0.35"/>
  <cols>
    <col min="1" max="1" width="9.1796875" style="3"/>
    <col min="2" max="2" width="5.1796875" style="3" customWidth="1"/>
    <col min="3" max="3" width="6.26953125" style="3" customWidth="1"/>
    <col min="4" max="4" width="21.26953125" style="3" bestFit="1" customWidth="1"/>
    <col min="5" max="16" width="11.1796875" style="3" customWidth="1"/>
    <col min="17" max="17" width="12" style="3" bestFit="1" customWidth="1"/>
    <col min="18" max="18" width="9.1796875" style="3" customWidth="1"/>
    <col min="19" max="16384" width="9.1796875" style="3"/>
  </cols>
  <sheetData>
    <row r="1" spans="1:19" ht="21" x14ac:dyDescent="0.5">
      <c r="A1" s="4" t="s">
        <v>4</v>
      </c>
      <c r="B1" s="4">
        <f>Dashboard!A125</f>
        <v>4</v>
      </c>
      <c r="C1" s="4" t="str">
        <f>Dashboard!B124</f>
        <v>MAI-MAHIU - WATER(M3)</v>
      </c>
      <c r="D1" s="4"/>
      <c r="G1" s="3" t="s">
        <v>9</v>
      </c>
      <c r="I1" s="12">
        <f>INDEX($E$18:$P$18,Actual_month)</f>
        <v>46054</v>
      </c>
      <c r="L1" s="16" t="s">
        <v>19</v>
      </c>
      <c r="R1" s="5"/>
    </row>
    <row r="2" spans="1:19" x14ac:dyDescent="0.35">
      <c r="A2" s="3" t="s">
        <v>13</v>
      </c>
      <c r="C2" s="3" t="s">
        <v>27</v>
      </c>
      <c r="R2" s="6"/>
    </row>
    <row r="3" spans="1:19" ht="25.5" customHeight="1" thickBot="1" x14ac:dyDescent="0.4">
      <c r="C3" s="1" t="s">
        <v>5</v>
      </c>
      <c r="E3" s="10"/>
      <c r="F3" s="10"/>
      <c r="G3" s="10"/>
      <c r="H3" s="10"/>
      <c r="I3" s="10"/>
      <c r="J3" s="3" t="s">
        <v>6</v>
      </c>
      <c r="K3" s="10"/>
      <c r="M3" s="10"/>
      <c r="N3" s="10"/>
      <c r="O3" s="10"/>
      <c r="P3" s="10"/>
    </row>
    <row r="4" spans="1:19" ht="25.5" customHeight="1" x14ac:dyDescent="0.35">
      <c r="C4" s="1" t="s">
        <v>5</v>
      </c>
      <c r="E4" s="10"/>
      <c r="F4" s="10"/>
      <c r="G4" s="10"/>
      <c r="H4" s="10"/>
      <c r="I4" s="10"/>
      <c r="J4" s="401"/>
      <c r="K4" s="402"/>
      <c r="L4" s="402"/>
      <c r="M4" s="402"/>
      <c r="N4" s="402"/>
      <c r="O4" s="402"/>
      <c r="P4" s="402"/>
      <c r="Q4" s="403"/>
      <c r="R4" s="3" t="s">
        <v>22</v>
      </c>
      <c r="S4" s="5">
        <f>INDEX(E27:P27,Actual_month)</f>
        <v>106366</v>
      </c>
    </row>
    <row r="5" spans="1:19" ht="25.5" customHeight="1" x14ac:dyDescent="0.35">
      <c r="C5" s="1" t="s">
        <v>5</v>
      </c>
      <c r="E5" s="10"/>
      <c r="F5" s="10"/>
      <c r="G5" s="10"/>
      <c r="H5" s="10"/>
      <c r="I5" s="10"/>
      <c r="J5" s="404"/>
      <c r="K5" s="405"/>
      <c r="L5" s="405"/>
      <c r="M5" s="405"/>
      <c r="N5" s="405"/>
      <c r="O5" s="405"/>
      <c r="P5" s="405"/>
      <c r="Q5" s="406"/>
      <c r="R5" s="3" t="s">
        <v>23</v>
      </c>
      <c r="S5" s="5">
        <f>INDEX(E26:P26,Actual_month)</f>
        <v>123022.44901961212</v>
      </c>
    </row>
    <row r="6" spans="1:19" x14ac:dyDescent="0.35">
      <c r="J6" s="404"/>
      <c r="K6" s="405"/>
      <c r="L6" s="405"/>
      <c r="M6" s="405"/>
      <c r="N6" s="405"/>
      <c r="O6" s="405"/>
      <c r="P6" s="405"/>
      <c r="Q6" s="406"/>
      <c r="R6" s="6">
        <v>0.9</v>
      </c>
      <c r="S6" s="5">
        <f>+S5*R6</f>
        <v>110720.20411765091</v>
      </c>
    </row>
    <row r="7" spans="1:19" x14ac:dyDescent="0.35">
      <c r="J7" s="404"/>
      <c r="K7" s="405"/>
      <c r="L7" s="405"/>
      <c r="M7" s="405"/>
      <c r="N7" s="405"/>
      <c r="O7" s="405"/>
      <c r="P7" s="405"/>
      <c r="Q7" s="406"/>
    </row>
    <row r="8" spans="1:19" ht="15" thickBot="1" x14ac:dyDescent="0.4">
      <c r="J8" s="407"/>
      <c r="K8" s="408"/>
      <c r="L8" s="408"/>
      <c r="M8" s="408"/>
      <c r="N8" s="408"/>
      <c r="O8" s="408"/>
      <c r="P8" s="408"/>
      <c r="Q8" s="409"/>
    </row>
    <row r="9" spans="1:19" ht="15" thickBot="1" x14ac:dyDescent="0.4">
      <c r="J9" s="3" t="s">
        <v>12</v>
      </c>
    </row>
    <row r="10" spans="1:19" x14ac:dyDescent="0.35">
      <c r="J10" s="401"/>
      <c r="K10" s="402"/>
      <c r="L10" s="402"/>
      <c r="M10" s="402"/>
      <c r="N10" s="402"/>
      <c r="O10" s="402"/>
      <c r="P10" s="402"/>
      <c r="Q10" s="403"/>
    </row>
    <row r="11" spans="1:19" x14ac:dyDescent="0.35">
      <c r="J11" s="404"/>
      <c r="K11" s="405"/>
      <c r="L11" s="405"/>
      <c r="M11" s="405"/>
      <c r="N11" s="405"/>
      <c r="O11" s="405"/>
      <c r="P11" s="405"/>
      <c r="Q11" s="406"/>
    </row>
    <row r="12" spans="1:19" x14ac:dyDescent="0.35">
      <c r="J12" s="404"/>
      <c r="K12" s="405"/>
      <c r="L12" s="405"/>
      <c r="M12" s="405"/>
      <c r="N12" s="405"/>
      <c r="O12" s="405"/>
      <c r="P12" s="405"/>
      <c r="Q12" s="406"/>
    </row>
    <row r="13" spans="1:19" x14ac:dyDescent="0.35">
      <c r="J13" s="404"/>
      <c r="K13" s="405"/>
      <c r="L13" s="405"/>
      <c r="M13" s="405"/>
      <c r="N13" s="405"/>
      <c r="O13" s="405"/>
      <c r="P13" s="405"/>
      <c r="Q13" s="406"/>
    </row>
    <row r="14" spans="1:19" x14ac:dyDescent="0.35">
      <c r="J14" s="404"/>
      <c r="K14" s="405"/>
      <c r="L14" s="405"/>
      <c r="M14" s="405"/>
      <c r="N14" s="405"/>
      <c r="O14" s="405"/>
      <c r="P14" s="405"/>
      <c r="Q14" s="406"/>
    </row>
    <row r="15" spans="1:19" ht="15" thickBot="1" x14ac:dyDescent="0.4">
      <c r="J15" s="407"/>
      <c r="K15" s="408"/>
      <c r="L15" s="408"/>
      <c r="M15" s="408"/>
      <c r="N15" s="408"/>
      <c r="O15" s="408"/>
      <c r="P15" s="408"/>
      <c r="Q15" s="409"/>
    </row>
    <row r="18" spans="3:17" x14ac:dyDescent="0.35">
      <c r="C18" s="7" t="s">
        <v>8</v>
      </c>
      <c r="E18" s="11">
        <f>'KPI 1'!E18</f>
        <v>45839</v>
      </c>
      <c r="F18" s="11">
        <f>'KPI 1'!F18</f>
        <v>45870</v>
      </c>
      <c r="G18" s="11">
        <f>'KPI 1'!G18</f>
        <v>45901</v>
      </c>
      <c r="H18" s="11">
        <f>'KPI 1'!H18</f>
        <v>45931</v>
      </c>
      <c r="I18" s="11">
        <f>'KPI 1'!I18</f>
        <v>45962</v>
      </c>
      <c r="J18" s="11">
        <f>'KPI 1'!J18</f>
        <v>45992</v>
      </c>
      <c r="K18" s="11">
        <f>'KPI 1'!K18</f>
        <v>46023</v>
      </c>
      <c r="L18" s="11">
        <f>'KPI 1'!L18</f>
        <v>46054</v>
      </c>
      <c r="M18" s="11">
        <f>'KPI 1'!M18</f>
        <v>46082</v>
      </c>
      <c r="N18" s="11">
        <f>'KPI 1'!N18</f>
        <v>46113</v>
      </c>
      <c r="O18" s="11">
        <f>'KPI 1'!O18</f>
        <v>46143</v>
      </c>
      <c r="P18" s="11">
        <f>'KPI 1'!P18</f>
        <v>46174</v>
      </c>
      <c r="Q18" s="8" t="s">
        <v>0</v>
      </c>
    </row>
    <row r="19" spans="3:17" x14ac:dyDescent="0.35">
      <c r="D19" s="3" t="str">
        <f>'KPI 1'!D19</f>
        <v>Budget 2025-26</v>
      </c>
      <c r="E19" s="49">
        <f>'budget 2025-26'!D117</f>
        <v>11163.229155333855</v>
      </c>
      <c r="F19" s="49">
        <f>'budget 2025-26'!E117</f>
        <v>12084.524600373532</v>
      </c>
      <c r="G19" s="49">
        <f>'budget 2025-26'!F117</f>
        <v>12965.375313479615</v>
      </c>
      <c r="H19" s="49">
        <f>'budget 2025-26'!G117</f>
        <v>14500.326010610601</v>
      </c>
      <c r="I19" s="49">
        <f>'budget 2025-26'!H117</f>
        <v>16035.276707741588</v>
      </c>
      <c r="J19" s="49">
        <f>'budget 2025-26'!I117</f>
        <v>17529.782672938982</v>
      </c>
      <c r="K19" s="49">
        <f>'budget 2025-26'!J117</f>
        <v>18757.905744024312</v>
      </c>
      <c r="L19" s="49">
        <f>'budget 2025-26'!K117</f>
        <v>19986.028815109647</v>
      </c>
      <c r="M19" s="49">
        <f>'budget 2025-26'!L117</f>
        <v>21173.707154261385</v>
      </c>
      <c r="N19" s="49">
        <f>'budget 2025-26'!M117</f>
        <v>22054.557867367464</v>
      </c>
      <c r="O19" s="49">
        <f>'budget 2025-26'!N117</f>
        <v>22935.408580473548</v>
      </c>
      <c r="P19" s="49">
        <f>'budget 2025-26'!O117</f>
        <v>23816.259293579631</v>
      </c>
      <c r="Q19" s="5">
        <f>SUM(E19:P19)</f>
        <v>213002.38191529416</v>
      </c>
    </row>
    <row r="20" spans="3:17" x14ac:dyDescent="0.35">
      <c r="D20" s="3" t="str">
        <f>'KPI 1'!D20</f>
        <v>Actual 2025-26</v>
      </c>
      <c r="E20" s="49">
        <f>'Input Actual2025-26'!E120</f>
        <v>11947</v>
      </c>
      <c r="F20" s="49">
        <f>'Input Actual2025-26'!F120</f>
        <v>17946</v>
      </c>
      <c r="G20" s="49">
        <f>'Input Actual2025-26'!G120</f>
        <v>11179</v>
      </c>
      <c r="H20" s="49">
        <f>'Input Actual2025-26'!H120</f>
        <v>15724</v>
      </c>
      <c r="I20" s="49">
        <f>'Input Actual2025-26'!I120</f>
        <v>10947</v>
      </c>
      <c r="J20" s="49">
        <f>'Input Actual2025-26'!J120</f>
        <v>8396</v>
      </c>
      <c r="K20" s="49">
        <f>'Input Actual2025-26'!K120</f>
        <v>14935</v>
      </c>
      <c r="L20" s="49">
        <f>'Input Actual2025-26'!L120</f>
        <v>15292</v>
      </c>
      <c r="M20" s="49">
        <f>'Input Actual2025-26'!M120</f>
        <v>0</v>
      </c>
      <c r="N20" s="49">
        <f>'Input Actual2025-26'!N120</f>
        <v>0</v>
      </c>
      <c r="O20" s="49">
        <f>'Input Actual2025-26'!O120</f>
        <v>0</v>
      </c>
      <c r="P20" s="49">
        <f>'Input Actual2025-26'!P120</f>
        <v>0</v>
      </c>
      <c r="Q20" s="49">
        <f>'Input Actual2025-26'!Q122</f>
        <v>0</v>
      </c>
    </row>
    <row r="21" spans="3:17" x14ac:dyDescent="0.35">
      <c r="D21" s="3" t="s">
        <v>424</v>
      </c>
      <c r="E21" s="49">
        <f>'Input Actual2024-25'!E113</f>
        <v>4103</v>
      </c>
      <c r="F21" s="49">
        <f>'Input Actual2024-25'!F113</f>
        <v>8205</v>
      </c>
      <c r="G21" s="49">
        <f>'Input Actual2024-25'!G113</f>
        <v>10601</v>
      </c>
      <c r="H21" s="49">
        <f>'Input Actual2024-25'!H113</f>
        <v>9172</v>
      </c>
      <c r="I21" s="49">
        <f>'Input Actual2024-25'!I113</f>
        <v>17076</v>
      </c>
      <c r="J21" s="49">
        <f>'Input Actual2024-25'!J113</f>
        <v>7626</v>
      </c>
      <c r="K21" s="49">
        <f>'Input Actual2024-25'!K113</f>
        <v>10742</v>
      </c>
      <c r="L21" s="49">
        <f>'Input Actual2024-25'!L113</f>
        <v>9077</v>
      </c>
      <c r="M21" s="49">
        <f>'Input Actual2024-25'!M113</f>
        <v>12828</v>
      </c>
      <c r="N21" s="49">
        <f>'Input Actual2024-25'!N113</f>
        <v>6907</v>
      </c>
      <c r="O21" s="49">
        <f>'Input Actual2024-25'!O113</f>
        <v>10597</v>
      </c>
      <c r="P21" s="49">
        <f>'Input Actual2024-25'!P113</f>
        <v>9757</v>
      </c>
      <c r="Q21" s="5">
        <f t="shared" ref="Q21:Q22" si="0">SUM(E21:P21)</f>
        <v>116691</v>
      </c>
    </row>
    <row r="22" spans="3:17" x14ac:dyDescent="0.35">
      <c r="D22" s="3" t="s">
        <v>7</v>
      </c>
      <c r="E22" s="5">
        <f t="shared" ref="E22:P22" si="1">IF(E20=0,0,E20-E19)</f>
        <v>783.77084466614542</v>
      </c>
      <c r="F22" s="5">
        <f t="shared" si="1"/>
        <v>5861.4753996264681</v>
      </c>
      <c r="G22" s="5">
        <f t="shared" si="1"/>
        <v>-1786.3753134796152</v>
      </c>
      <c r="H22" s="5">
        <f t="shared" si="1"/>
        <v>1223.6739893893991</v>
      </c>
      <c r="I22" s="5">
        <f t="shared" si="1"/>
        <v>-5088.2767077415883</v>
      </c>
      <c r="J22" s="5">
        <f t="shared" si="1"/>
        <v>-9133.7826729389817</v>
      </c>
      <c r="K22" s="5">
        <f t="shared" si="1"/>
        <v>-3822.9057440243123</v>
      </c>
      <c r="L22" s="5">
        <f t="shared" si="1"/>
        <v>-4694.0288151096465</v>
      </c>
      <c r="M22" s="5">
        <f t="shared" si="1"/>
        <v>0</v>
      </c>
      <c r="N22" s="5">
        <f t="shared" si="1"/>
        <v>0</v>
      </c>
      <c r="O22" s="5">
        <f t="shared" si="1"/>
        <v>0</v>
      </c>
      <c r="P22" s="5">
        <f t="shared" si="1"/>
        <v>0</v>
      </c>
      <c r="Q22" s="5">
        <f t="shared" si="0"/>
        <v>-16656.449019612133</v>
      </c>
    </row>
    <row r="23" spans="3:17" x14ac:dyDescent="0.35">
      <c r="D23" s="3" t="s">
        <v>43</v>
      </c>
      <c r="E23" s="9">
        <f>E21/E19</f>
        <v>0.36754598001238409</v>
      </c>
      <c r="F23" s="9">
        <f t="shared" ref="F23:P23" si="2">F20/F19</f>
        <v>1.4850398003613059</v>
      </c>
      <c r="G23" s="9">
        <f t="shared" si="2"/>
        <v>0.86221954472676254</v>
      </c>
      <c r="H23" s="9">
        <f t="shared" si="2"/>
        <v>1.084389412244523</v>
      </c>
      <c r="I23" s="9">
        <f t="shared" si="2"/>
        <v>0.68268232594420741</v>
      </c>
      <c r="J23" s="9">
        <f t="shared" si="2"/>
        <v>0.47895630862332628</v>
      </c>
      <c r="K23" s="9">
        <f t="shared" si="2"/>
        <v>0.79619762482055489</v>
      </c>
      <c r="L23" s="9">
        <f t="shared" si="2"/>
        <v>0.76513449177252701</v>
      </c>
      <c r="M23" s="9">
        <f t="shared" si="2"/>
        <v>0</v>
      </c>
      <c r="N23" s="9">
        <f t="shared" si="2"/>
        <v>0</v>
      </c>
      <c r="O23" s="9">
        <f t="shared" si="2"/>
        <v>0</v>
      </c>
      <c r="P23" s="9">
        <f t="shared" si="2"/>
        <v>0</v>
      </c>
    </row>
    <row r="25" spans="3:17" x14ac:dyDescent="0.35">
      <c r="C25" s="7" t="s">
        <v>3</v>
      </c>
      <c r="E25" s="11">
        <f>E18</f>
        <v>45839</v>
      </c>
      <c r="F25" s="11">
        <f t="shared" ref="F25:P25" si="3">F18</f>
        <v>45870</v>
      </c>
      <c r="G25" s="11">
        <f t="shared" si="3"/>
        <v>45901</v>
      </c>
      <c r="H25" s="11">
        <f t="shared" si="3"/>
        <v>45931</v>
      </c>
      <c r="I25" s="11">
        <f t="shared" si="3"/>
        <v>45962</v>
      </c>
      <c r="J25" s="11">
        <f t="shared" si="3"/>
        <v>45992</v>
      </c>
      <c r="K25" s="11">
        <f t="shared" si="3"/>
        <v>46023</v>
      </c>
      <c r="L25" s="11">
        <f t="shared" si="3"/>
        <v>46054</v>
      </c>
      <c r="M25" s="11">
        <f t="shared" si="3"/>
        <v>46082</v>
      </c>
      <c r="N25" s="11">
        <f t="shared" si="3"/>
        <v>46113</v>
      </c>
      <c r="O25" s="11">
        <f t="shared" si="3"/>
        <v>46143</v>
      </c>
      <c r="P25" s="11">
        <f t="shared" si="3"/>
        <v>46174</v>
      </c>
    </row>
    <row r="26" spans="3:17" x14ac:dyDescent="0.35">
      <c r="D26" s="3" t="str">
        <f>D19</f>
        <v>Budget 2025-26</v>
      </c>
      <c r="E26" s="5">
        <f>SUM($E19:E19)</f>
        <v>11163.229155333855</v>
      </c>
      <c r="F26" s="5">
        <f>SUM($E19:F19)</f>
        <v>23247.753755707388</v>
      </c>
      <c r="G26" s="5">
        <f>SUM($E19:G19)</f>
        <v>36213.129069187002</v>
      </c>
      <c r="H26" s="5">
        <f>SUM($E19:H19)</f>
        <v>50713.455079797604</v>
      </c>
      <c r="I26" s="5">
        <f>SUM($E19:I19)</f>
        <v>66748.731787539189</v>
      </c>
      <c r="J26" s="5">
        <f>SUM($E19:J19)</f>
        <v>84278.514460478167</v>
      </c>
      <c r="K26" s="5">
        <f>SUM($E19:K19)</f>
        <v>103036.42020450247</v>
      </c>
      <c r="L26" s="5">
        <f>SUM($E19:L19)</f>
        <v>123022.44901961212</v>
      </c>
      <c r="M26" s="5">
        <f>SUM($E19:M19)</f>
        <v>144196.15617387352</v>
      </c>
      <c r="N26" s="5">
        <f>SUM($E19:N19)</f>
        <v>166250.71404124098</v>
      </c>
      <c r="O26" s="5">
        <f>SUM($E19:O19)</f>
        <v>189186.12262171452</v>
      </c>
      <c r="P26" s="5">
        <f>SUM($E19:P19)</f>
        <v>213002.38191529416</v>
      </c>
    </row>
    <row r="27" spans="3:17" x14ac:dyDescent="0.35">
      <c r="D27" s="3" t="str">
        <f t="shared" ref="D27:D30" si="4">D20</f>
        <v>Actual 2025-26</v>
      </c>
      <c r="E27" s="5">
        <f>SUM($E20:E20)</f>
        <v>11947</v>
      </c>
      <c r="F27" s="5">
        <f>SUM($E20:F20)</f>
        <v>29893</v>
      </c>
      <c r="G27" s="5">
        <f>SUM($E20:G20)</f>
        <v>41072</v>
      </c>
      <c r="H27" s="5">
        <f>SUM($E20:H20)</f>
        <v>56796</v>
      </c>
      <c r="I27" s="5">
        <f>SUM($E20:I20)</f>
        <v>67743</v>
      </c>
      <c r="J27" s="5">
        <f>SUM($E20:J20)</f>
        <v>76139</v>
      </c>
      <c r="K27" s="5">
        <f>SUM($E20:K20)</f>
        <v>91074</v>
      </c>
      <c r="L27" s="5">
        <f>SUM($E20:L20)</f>
        <v>106366</v>
      </c>
      <c r="M27" s="5">
        <f>SUM($E20:M20)</f>
        <v>106366</v>
      </c>
      <c r="N27" s="5">
        <f>SUM($E20:N20)</f>
        <v>106366</v>
      </c>
      <c r="O27" s="5">
        <f>SUM($E20:O20)</f>
        <v>106366</v>
      </c>
      <c r="P27" s="5">
        <f>SUM($E20:P20)</f>
        <v>106366</v>
      </c>
    </row>
    <row r="28" spans="3:17" x14ac:dyDescent="0.35">
      <c r="D28" s="3" t="str">
        <f t="shared" si="4"/>
        <v>Actual 2024-25</v>
      </c>
      <c r="E28" s="5">
        <f>SUM($E21:E21)</f>
        <v>4103</v>
      </c>
      <c r="F28" s="5">
        <f>SUM($E21:F21)</f>
        <v>12308</v>
      </c>
      <c r="G28" s="5">
        <f>SUM($E21:G21)</f>
        <v>22909</v>
      </c>
      <c r="H28" s="5">
        <f>SUM($E21:H21)</f>
        <v>32081</v>
      </c>
      <c r="I28" s="5">
        <f>SUM($E21:I21)</f>
        <v>49157</v>
      </c>
      <c r="J28" s="5">
        <f>SUM($E21:J21)</f>
        <v>56783</v>
      </c>
      <c r="K28" s="5">
        <f>SUM($E21:K21)</f>
        <v>67525</v>
      </c>
      <c r="L28" s="5">
        <f>SUM($E21:L21)</f>
        <v>76602</v>
      </c>
      <c r="M28" s="5">
        <f>SUM($E21:M21)</f>
        <v>89430</v>
      </c>
      <c r="N28" s="5">
        <f>SUM($E21:N21)</f>
        <v>96337</v>
      </c>
      <c r="O28" s="5">
        <f>SUM($E21:O21)</f>
        <v>106934</v>
      </c>
      <c r="P28" s="5">
        <f>SUM($E21:P21)</f>
        <v>116691</v>
      </c>
    </row>
    <row r="29" spans="3:17" x14ac:dyDescent="0.35">
      <c r="D29" s="3" t="str">
        <f t="shared" si="4"/>
        <v>Difference</v>
      </c>
      <c r="E29" s="5">
        <f>SUM($E22:E22)</f>
        <v>783.77084466614542</v>
      </c>
      <c r="F29" s="5">
        <f>SUM($E22:F22)</f>
        <v>6645.2462442926135</v>
      </c>
      <c r="G29" s="5">
        <f>SUM($E22:G22)</f>
        <v>4858.8709308129983</v>
      </c>
      <c r="H29" s="5">
        <f>SUM($E22:H22)</f>
        <v>6082.5449202023974</v>
      </c>
      <c r="I29" s="5">
        <f>SUM($E22:I22)</f>
        <v>994.26821246080908</v>
      </c>
      <c r="J29" s="5">
        <f>SUM($E22:J22)</f>
        <v>-8139.5144604781726</v>
      </c>
      <c r="K29" s="5">
        <f>SUM($E22:K22)</f>
        <v>-11962.420204502485</v>
      </c>
      <c r="L29" s="5">
        <f>SUM($E22:L22)</f>
        <v>-16656.449019612133</v>
      </c>
      <c r="M29" s="5">
        <f>SUM($E22:M22)</f>
        <v>-16656.449019612133</v>
      </c>
      <c r="N29" s="5">
        <f>SUM($E22:N22)</f>
        <v>-16656.449019612133</v>
      </c>
      <c r="O29" s="5">
        <f>SUM($E22:O22)</f>
        <v>-16656.449019612133</v>
      </c>
      <c r="P29" s="5">
        <f>SUM($E22:P22)</f>
        <v>-16656.449019612133</v>
      </c>
    </row>
    <row r="30" spans="3:17" x14ac:dyDescent="0.35">
      <c r="D30" s="3" t="str">
        <f t="shared" si="4"/>
        <v>Realisation</v>
      </c>
      <c r="E30" s="9">
        <f>E28/E26</f>
        <v>0.36754598001238409</v>
      </c>
      <c r="F30" s="9">
        <f t="shared" ref="F30:P30" si="5">F27/F26</f>
        <v>1.2858446589774801</v>
      </c>
      <c r="G30" s="9">
        <f t="shared" si="5"/>
        <v>1.1341742913607349</v>
      </c>
      <c r="H30" s="9">
        <f t="shared" si="5"/>
        <v>1.119939469922361</v>
      </c>
      <c r="I30" s="9">
        <f t="shared" si="5"/>
        <v>1.0148956869416719</v>
      </c>
      <c r="J30" s="9">
        <f t="shared" si="5"/>
        <v>0.90342123953436393</v>
      </c>
      <c r="K30" s="9">
        <f t="shared" si="5"/>
        <v>0.88390104993205365</v>
      </c>
      <c r="L30" s="9">
        <f t="shared" si="5"/>
        <v>0.86460642628763829</v>
      </c>
      <c r="M30" s="9">
        <f t="shared" si="5"/>
        <v>0.73764795693820406</v>
      </c>
      <c r="N30" s="9">
        <f t="shared" si="5"/>
        <v>0.63979274082163839</v>
      </c>
      <c r="O30" s="9">
        <f t="shared" si="5"/>
        <v>0.5622293988903363</v>
      </c>
      <c r="P30" s="9">
        <f t="shared" si="5"/>
        <v>0.49936530776589699</v>
      </c>
    </row>
  </sheetData>
  <mergeCells count="2">
    <mergeCell ref="J4:Q8"/>
    <mergeCell ref="J10:Q15"/>
  </mergeCells>
  <conditionalFormatting sqref="C3">
    <cfRule type="expression" dxfId="242" priority="2">
      <formula>S4&lt;S6</formula>
    </cfRule>
  </conditionalFormatting>
  <conditionalFormatting sqref="C5">
    <cfRule type="expression" dxfId="241" priority="3">
      <formula>S4&gt;=S5</formula>
    </cfRule>
  </conditionalFormatting>
  <conditionalFormatting sqref="C4">
    <cfRule type="expression" dxfId="240" priority="1">
      <formula>AND(S4&gt;=S6,S4&lt;S5)</formula>
    </cfRule>
  </conditionalFormatting>
  <hyperlinks>
    <hyperlink ref="L1" location="Dashboard!A1" display="Dashboard"/>
  </hyperlinks>
  <pageMargins left="0.7" right="0.7" top="0.75" bottom="0.75" header="0.3" footer="0.3"/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761281" r:id="rId3" name="Spinner 1">
              <controlPr defaultSize="0" autoPict="0">
                <anchor moveWithCells="1" sizeWithCells="1">
                  <from>
                    <xdr:col>9</xdr:col>
                    <xdr:colOff>19050</xdr:colOff>
                    <xdr:row>0</xdr:row>
                    <xdr:rowOff>38100</xdr:rowOff>
                  </from>
                  <to>
                    <xdr:col>9</xdr:col>
                    <xdr:colOff>400050</xdr:colOff>
                    <xdr:row>1</xdr:row>
                    <xdr:rowOff>152400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1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93">
    <tabColor rgb="FFFFC000"/>
  </sheetPr>
  <dimension ref="A1:S30"/>
  <sheetViews>
    <sheetView zoomScale="90" zoomScaleNormal="90" workbookViewId="0">
      <selection activeCell="L1" sqref="L1"/>
    </sheetView>
  </sheetViews>
  <sheetFormatPr defaultColWidth="9.1796875" defaultRowHeight="14.5" x14ac:dyDescent="0.35"/>
  <cols>
    <col min="1" max="1" width="9.1796875" style="3"/>
    <col min="2" max="2" width="5.1796875" style="3" customWidth="1"/>
    <col min="3" max="3" width="6.26953125" style="3" customWidth="1"/>
    <col min="4" max="4" width="21.26953125" style="3" bestFit="1" customWidth="1"/>
    <col min="5" max="16" width="11.1796875" style="3" customWidth="1"/>
    <col min="17" max="17" width="12" style="3" bestFit="1" customWidth="1"/>
    <col min="18" max="18" width="9.1796875" style="3" customWidth="1"/>
    <col min="19" max="16384" width="9.1796875" style="3"/>
  </cols>
  <sheetData>
    <row r="1" spans="1:19" ht="21" x14ac:dyDescent="0.5">
      <c r="A1" s="4" t="s">
        <v>4</v>
      </c>
      <c r="B1" s="4">
        <f>Dashboard!A124</f>
        <v>3</v>
      </c>
      <c r="C1" s="4" t="str">
        <f>Dashboard!B125</f>
        <v>LONGONOT - WATER(M3)</v>
      </c>
      <c r="D1" s="4"/>
      <c r="G1" s="3" t="s">
        <v>9</v>
      </c>
      <c r="I1" s="12">
        <f>INDEX($E$18:$P$18,Actual_month)</f>
        <v>46054</v>
      </c>
      <c r="L1" s="16" t="s">
        <v>19</v>
      </c>
      <c r="R1" s="5"/>
    </row>
    <row r="2" spans="1:19" x14ac:dyDescent="0.35">
      <c r="A2" s="3" t="s">
        <v>13</v>
      </c>
      <c r="C2" s="3" t="s">
        <v>27</v>
      </c>
      <c r="R2" s="6"/>
    </row>
    <row r="3" spans="1:19" ht="25.5" customHeight="1" thickBot="1" x14ac:dyDescent="0.4">
      <c r="C3" s="1" t="s">
        <v>5</v>
      </c>
      <c r="E3" s="10"/>
      <c r="F3" s="10"/>
      <c r="G3" s="10"/>
      <c r="H3" s="10"/>
      <c r="I3" s="10"/>
      <c r="J3" s="3" t="s">
        <v>6</v>
      </c>
      <c r="K3" s="10"/>
      <c r="M3" s="10"/>
      <c r="N3" s="10"/>
      <c r="O3" s="10"/>
      <c r="P3" s="10"/>
    </row>
    <row r="4" spans="1:19" ht="25.5" customHeight="1" x14ac:dyDescent="0.35">
      <c r="C4" s="1" t="s">
        <v>5</v>
      </c>
      <c r="E4" s="10"/>
      <c r="F4" s="10"/>
      <c r="G4" s="10"/>
      <c r="H4" s="10"/>
      <c r="I4" s="10"/>
      <c r="J4" s="401"/>
      <c r="K4" s="402"/>
      <c r="L4" s="402"/>
      <c r="M4" s="402"/>
      <c r="N4" s="402"/>
      <c r="O4" s="402"/>
      <c r="P4" s="402"/>
      <c r="Q4" s="403"/>
      <c r="R4" s="3" t="s">
        <v>22</v>
      </c>
      <c r="S4" s="5">
        <f>INDEX(E27:P27,Actual_month)</f>
        <v>37385</v>
      </c>
    </row>
    <row r="5" spans="1:19" ht="25.5" customHeight="1" x14ac:dyDescent="0.35">
      <c r="C5" s="1" t="s">
        <v>5</v>
      </c>
      <c r="E5" s="10"/>
      <c r="F5" s="10"/>
      <c r="G5" s="10"/>
      <c r="H5" s="10"/>
      <c r="I5" s="10"/>
      <c r="J5" s="404"/>
      <c r="K5" s="405"/>
      <c r="L5" s="405"/>
      <c r="M5" s="405"/>
      <c r="N5" s="405"/>
      <c r="O5" s="405"/>
      <c r="P5" s="405"/>
      <c r="Q5" s="406"/>
      <c r="R5" s="3" t="s">
        <v>23</v>
      </c>
      <c r="S5" s="5">
        <f>INDEX(E26:P26,Actual_month)</f>
        <v>38715.830873932668</v>
      </c>
    </row>
    <row r="6" spans="1:19" x14ac:dyDescent="0.35">
      <c r="J6" s="404"/>
      <c r="K6" s="405"/>
      <c r="L6" s="405"/>
      <c r="M6" s="405"/>
      <c r="N6" s="405"/>
      <c r="O6" s="405"/>
      <c r="P6" s="405"/>
      <c r="Q6" s="406"/>
      <c r="R6" s="6">
        <v>0.9</v>
      </c>
      <c r="S6" s="5">
        <f>+S5*R6</f>
        <v>34844.247786539403</v>
      </c>
    </row>
    <row r="7" spans="1:19" x14ac:dyDescent="0.35">
      <c r="J7" s="404"/>
      <c r="K7" s="405"/>
      <c r="L7" s="405"/>
      <c r="M7" s="405"/>
      <c r="N7" s="405"/>
      <c r="O7" s="405"/>
      <c r="P7" s="405"/>
      <c r="Q7" s="406"/>
    </row>
    <row r="8" spans="1:19" ht="15" thickBot="1" x14ac:dyDescent="0.4">
      <c r="J8" s="407"/>
      <c r="K8" s="408"/>
      <c r="L8" s="408"/>
      <c r="M8" s="408"/>
      <c r="N8" s="408"/>
      <c r="O8" s="408"/>
      <c r="P8" s="408"/>
      <c r="Q8" s="409"/>
    </row>
    <row r="9" spans="1:19" ht="15" thickBot="1" x14ac:dyDescent="0.4">
      <c r="J9" s="3" t="s">
        <v>12</v>
      </c>
    </row>
    <row r="10" spans="1:19" x14ac:dyDescent="0.35">
      <c r="J10" s="401"/>
      <c r="K10" s="402"/>
      <c r="L10" s="402"/>
      <c r="M10" s="402"/>
      <c r="N10" s="402"/>
      <c r="O10" s="402"/>
      <c r="P10" s="402"/>
      <c r="Q10" s="403"/>
    </row>
    <row r="11" spans="1:19" x14ac:dyDescent="0.35">
      <c r="J11" s="404"/>
      <c r="K11" s="405"/>
      <c r="L11" s="405"/>
      <c r="M11" s="405"/>
      <c r="N11" s="405"/>
      <c r="O11" s="405"/>
      <c r="P11" s="405"/>
      <c r="Q11" s="406"/>
    </row>
    <row r="12" spans="1:19" x14ac:dyDescent="0.35">
      <c r="J12" s="404"/>
      <c r="K12" s="405"/>
      <c r="L12" s="405"/>
      <c r="M12" s="405"/>
      <c r="N12" s="405"/>
      <c r="O12" s="405"/>
      <c r="P12" s="405"/>
      <c r="Q12" s="406"/>
    </row>
    <row r="13" spans="1:19" x14ac:dyDescent="0.35">
      <c r="J13" s="404"/>
      <c r="K13" s="405"/>
      <c r="L13" s="405"/>
      <c r="M13" s="405"/>
      <c r="N13" s="405"/>
      <c r="O13" s="405"/>
      <c r="P13" s="405"/>
      <c r="Q13" s="406"/>
    </row>
    <row r="14" spans="1:19" x14ac:dyDescent="0.35">
      <c r="J14" s="404"/>
      <c r="K14" s="405"/>
      <c r="L14" s="405"/>
      <c r="M14" s="405"/>
      <c r="N14" s="405"/>
      <c r="O14" s="405"/>
      <c r="P14" s="405"/>
      <c r="Q14" s="406"/>
    </row>
    <row r="15" spans="1:19" ht="15" thickBot="1" x14ac:dyDescent="0.4">
      <c r="J15" s="407"/>
      <c r="K15" s="408"/>
      <c r="L15" s="408"/>
      <c r="M15" s="408"/>
      <c r="N15" s="408"/>
      <c r="O15" s="408"/>
      <c r="P15" s="408"/>
      <c r="Q15" s="409"/>
    </row>
    <row r="18" spans="3:17" x14ac:dyDescent="0.35">
      <c r="C18" s="7" t="s">
        <v>8</v>
      </c>
      <c r="E18" s="11">
        <f>'KPI 1'!E18</f>
        <v>45839</v>
      </c>
      <c r="F18" s="11">
        <f>'KPI 1'!F18</f>
        <v>45870</v>
      </c>
      <c r="G18" s="11">
        <f>'KPI 1'!G18</f>
        <v>45901</v>
      </c>
      <c r="H18" s="11">
        <f>'KPI 1'!H18</f>
        <v>45931</v>
      </c>
      <c r="I18" s="11">
        <f>'KPI 1'!I18</f>
        <v>45962</v>
      </c>
      <c r="J18" s="11">
        <f>'KPI 1'!J18</f>
        <v>45992</v>
      </c>
      <c r="K18" s="11">
        <f>'KPI 1'!K18</f>
        <v>46023</v>
      </c>
      <c r="L18" s="11">
        <f>'KPI 1'!L18</f>
        <v>46054</v>
      </c>
      <c r="M18" s="11">
        <f>'KPI 1'!M18</f>
        <v>46082</v>
      </c>
      <c r="N18" s="11">
        <f>'KPI 1'!N18</f>
        <v>46113</v>
      </c>
      <c r="O18" s="11">
        <f>'KPI 1'!O18</f>
        <v>46143</v>
      </c>
      <c r="P18" s="11">
        <f>'KPI 1'!P18</f>
        <v>46174</v>
      </c>
      <c r="Q18" s="8" t="s">
        <v>0</v>
      </c>
    </row>
    <row r="19" spans="3:17" x14ac:dyDescent="0.35">
      <c r="D19" s="3" t="str">
        <f>'KPI 1'!D19</f>
        <v>Budget 2025-26</v>
      </c>
      <c r="E19" s="49">
        <f>'budget 2025-26'!D118</f>
        <v>4593.0535651389737</v>
      </c>
      <c r="F19" s="49">
        <f>'budget 2025-26'!E118</f>
        <v>4663.4607920254339</v>
      </c>
      <c r="G19" s="49">
        <f>'budget 2025-26'!F118</f>
        <v>4733.8680189118932</v>
      </c>
      <c r="H19" s="49">
        <f>'budget 2025-26'!G118</f>
        <v>4804.2752457983534</v>
      </c>
      <c r="I19" s="49">
        <f>'budget 2025-26'!H118</f>
        <v>4874.6824726848126</v>
      </c>
      <c r="J19" s="49">
        <f>'budget 2025-26'!I118</f>
        <v>4945.0896995712728</v>
      </c>
      <c r="K19" s="49">
        <f>'budget 2025-26'!J118</f>
        <v>5015.4969264577321</v>
      </c>
      <c r="L19" s="49">
        <f>'budget 2025-26'!K118</f>
        <v>5085.9041533441923</v>
      </c>
      <c r="M19" s="49">
        <f>'budget 2025-26'!L118</f>
        <v>5156.3113802306516</v>
      </c>
      <c r="N19" s="49">
        <f>'budget 2025-26'!M118</f>
        <v>5226.7186071171118</v>
      </c>
      <c r="O19" s="49">
        <f>'budget 2025-26'!N118</f>
        <v>5297.1258340035711</v>
      </c>
      <c r="P19" s="49">
        <f>'budget 2025-26'!O118</f>
        <v>5367.5330608900313</v>
      </c>
      <c r="Q19" s="5">
        <f>SUM(E19:P19)</f>
        <v>59763.519756174035</v>
      </c>
    </row>
    <row r="20" spans="3:17" x14ac:dyDescent="0.35">
      <c r="D20" s="3" t="str">
        <f>'KPI 1'!D20</f>
        <v>Actual 2025-26</v>
      </c>
      <c r="E20" s="49">
        <f>'Input Actual2025-26'!E121</f>
        <v>3647</v>
      </c>
      <c r="F20" s="49">
        <f>'Input Actual2025-26'!F121</f>
        <v>5246</v>
      </c>
      <c r="G20" s="49">
        <f>'Input Actual2025-26'!G121</f>
        <v>3082</v>
      </c>
      <c r="H20" s="49">
        <f>'Input Actual2025-26'!H121</f>
        <v>6072</v>
      </c>
      <c r="I20" s="49">
        <f>'Input Actual2025-26'!I121</f>
        <v>2456</v>
      </c>
      <c r="J20" s="49">
        <f>'Input Actual2025-26'!J121</f>
        <v>4265</v>
      </c>
      <c r="K20" s="49">
        <f>'Input Actual2025-26'!K121</f>
        <v>6868</v>
      </c>
      <c r="L20" s="49">
        <f>'Input Actual2025-26'!L121</f>
        <v>5749</v>
      </c>
      <c r="M20" s="49">
        <f>'Input Actual2025-26'!M121</f>
        <v>0</v>
      </c>
      <c r="N20" s="49">
        <f>'Input Actual2025-26'!N121</f>
        <v>0</v>
      </c>
      <c r="O20" s="49">
        <f>'Input Actual2025-26'!O121</f>
        <v>0</v>
      </c>
      <c r="P20" s="49">
        <f>'Input Actual2025-26'!P121</f>
        <v>0</v>
      </c>
      <c r="Q20" s="5">
        <f t="shared" ref="Q20:Q22" si="0">SUM(E20:P20)</f>
        <v>37385</v>
      </c>
    </row>
    <row r="21" spans="3:17" x14ac:dyDescent="0.35">
      <c r="D21" s="3" t="s">
        <v>424</v>
      </c>
      <c r="E21" s="49">
        <f>'Input Actual2024-25'!E114</f>
        <v>4199</v>
      </c>
      <c r="F21" s="49">
        <f>'Input Actual2024-25'!F114</f>
        <v>5820</v>
      </c>
      <c r="G21" s="49">
        <f>'Input Actual2024-25'!G114</f>
        <v>5572</v>
      </c>
      <c r="H21" s="49">
        <f>'Input Actual2024-25'!H114</f>
        <v>5293</v>
      </c>
      <c r="I21" s="49">
        <f>'Input Actual2024-25'!I114</f>
        <v>5341</v>
      </c>
      <c r="J21" s="49">
        <f>'Input Actual2024-25'!J114</f>
        <v>2778</v>
      </c>
      <c r="K21" s="49">
        <f>'Input Actual2024-25'!K114</f>
        <v>3269</v>
      </c>
      <c r="L21" s="49">
        <f>'Input Actual2024-25'!L114</f>
        <v>3727</v>
      </c>
      <c r="M21" s="49">
        <f>'Input Actual2024-25'!M114</f>
        <v>4674</v>
      </c>
      <c r="N21" s="49">
        <f>'Input Actual2024-25'!N114</f>
        <v>1973</v>
      </c>
      <c r="O21" s="49">
        <f>'Input Actual2024-25'!O114</f>
        <v>1943</v>
      </c>
      <c r="P21" s="49">
        <f>'Input Actual2024-25'!P114</f>
        <v>3280</v>
      </c>
      <c r="Q21" s="5">
        <f t="shared" si="0"/>
        <v>47869</v>
      </c>
    </row>
    <row r="22" spans="3:17" x14ac:dyDescent="0.35">
      <c r="D22" s="3" t="s">
        <v>7</v>
      </c>
      <c r="E22" s="5">
        <f t="shared" ref="E22:P22" si="1">IF(E20=0,0,E20-E19)</f>
        <v>-946.05356513897368</v>
      </c>
      <c r="F22" s="5">
        <f t="shared" si="1"/>
        <v>582.53920797456612</v>
      </c>
      <c r="G22" s="5">
        <f t="shared" si="1"/>
        <v>-1651.8680189118932</v>
      </c>
      <c r="H22" s="5">
        <f t="shared" si="1"/>
        <v>1267.7247542016466</v>
      </c>
      <c r="I22" s="5">
        <f t="shared" si="1"/>
        <v>-2418.6824726848126</v>
      </c>
      <c r="J22" s="5">
        <f t="shared" si="1"/>
        <v>-680.08969957127283</v>
      </c>
      <c r="K22" s="5">
        <f t="shared" si="1"/>
        <v>1852.5030735422679</v>
      </c>
      <c r="L22" s="5">
        <f t="shared" si="1"/>
        <v>663.09584665580769</v>
      </c>
      <c r="M22" s="5">
        <f t="shared" si="1"/>
        <v>0</v>
      </c>
      <c r="N22" s="5">
        <f t="shared" si="1"/>
        <v>0</v>
      </c>
      <c r="O22" s="5">
        <f t="shared" si="1"/>
        <v>0</v>
      </c>
      <c r="P22" s="5">
        <f t="shared" si="1"/>
        <v>0</v>
      </c>
      <c r="Q22" s="5">
        <f t="shared" si="0"/>
        <v>-1330.830873932664</v>
      </c>
    </row>
    <row r="23" spans="3:17" x14ac:dyDescent="0.35">
      <c r="D23" s="3" t="s">
        <v>43</v>
      </c>
      <c r="E23" s="9">
        <f>E21/E19</f>
        <v>0.91420662538538222</v>
      </c>
      <c r="F23" s="9">
        <f t="shared" ref="F23:P23" si="2">F20/F19</f>
        <v>1.1249156439721149</v>
      </c>
      <c r="G23" s="9">
        <f t="shared" si="2"/>
        <v>0.65105321645794756</v>
      </c>
      <c r="H23" s="9">
        <f t="shared" si="2"/>
        <v>1.2638742972335637</v>
      </c>
      <c r="I23" s="9">
        <f t="shared" si="2"/>
        <v>0.50382768801089051</v>
      </c>
      <c r="J23" s="9">
        <f t="shared" si="2"/>
        <v>0.86247171620967056</v>
      </c>
      <c r="K23" s="9">
        <f t="shared" si="2"/>
        <v>1.3693558386547802</v>
      </c>
      <c r="L23" s="9">
        <f t="shared" si="2"/>
        <v>1.1303791472790132</v>
      </c>
      <c r="M23" s="9">
        <f t="shared" si="2"/>
        <v>0</v>
      </c>
      <c r="N23" s="9">
        <f t="shared" si="2"/>
        <v>0</v>
      </c>
      <c r="O23" s="9">
        <f t="shared" si="2"/>
        <v>0</v>
      </c>
      <c r="P23" s="9">
        <f t="shared" si="2"/>
        <v>0</v>
      </c>
    </row>
    <row r="25" spans="3:17" x14ac:dyDescent="0.35">
      <c r="C25" s="7" t="s">
        <v>3</v>
      </c>
      <c r="E25" s="11">
        <f>E18</f>
        <v>45839</v>
      </c>
      <c r="F25" s="11">
        <f t="shared" ref="F25:P25" si="3">F18</f>
        <v>45870</v>
      </c>
      <c r="G25" s="11">
        <f t="shared" si="3"/>
        <v>45901</v>
      </c>
      <c r="H25" s="11">
        <f t="shared" si="3"/>
        <v>45931</v>
      </c>
      <c r="I25" s="11">
        <f t="shared" si="3"/>
        <v>45962</v>
      </c>
      <c r="J25" s="11">
        <f t="shared" si="3"/>
        <v>45992</v>
      </c>
      <c r="K25" s="11">
        <f t="shared" si="3"/>
        <v>46023</v>
      </c>
      <c r="L25" s="11">
        <f t="shared" si="3"/>
        <v>46054</v>
      </c>
      <c r="M25" s="11">
        <f t="shared" si="3"/>
        <v>46082</v>
      </c>
      <c r="N25" s="11">
        <f t="shared" si="3"/>
        <v>46113</v>
      </c>
      <c r="O25" s="11">
        <f t="shared" si="3"/>
        <v>46143</v>
      </c>
      <c r="P25" s="11">
        <f t="shared" si="3"/>
        <v>46174</v>
      </c>
    </row>
    <row r="26" spans="3:17" x14ac:dyDescent="0.35">
      <c r="D26" s="3" t="str">
        <f>D19</f>
        <v>Budget 2025-26</v>
      </c>
      <c r="E26" s="5">
        <f>SUM($E19:E19)</f>
        <v>4593.0535651389737</v>
      </c>
      <c r="F26" s="5">
        <f>SUM($E19:F19)</f>
        <v>9256.5143571644076</v>
      </c>
      <c r="G26" s="5">
        <f>SUM($E19:G19)</f>
        <v>13990.382376076301</v>
      </c>
      <c r="H26" s="5">
        <f>SUM($E19:H19)</f>
        <v>18794.657621874656</v>
      </c>
      <c r="I26" s="5">
        <f>SUM($E19:I19)</f>
        <v>23669.340094559469</v>
      </c>
      <c r="J26" s="5">
        <f>SUM($E19:J19)</f>
        <v>28614.429794130741</v>
      </c>
      <c r="K26" s="5">
        <f>SUM($E19:K19)</f>
        <v>33629.926720588475</v>
      </c>
      <c r="L26" s="5">
        <f>SUM($E19:L19)</f>
        <v>38715.830873932668</v>
      </c>
      <c r="M26" s="5">
        <f>SUM($E19:M19)</f>
        <v>43872.142254163322</v>
      </c>
      <c r="N26" s="5">
        <f>SUM($E19:N19)</f>
        <v>49098.860861280431</v>
      </c>
      <c r="O26" s="5">
        <f>SUM($E19:O19)</f>
        <v>54395.986695284002</v>
      </c>
      <c r="P26" s="5">
        <f>SUM($E19:P19)</f>
        <v>59763.519756174035</v>
      </c>
    </row>
    <row r="27" spans="3:17" x14ac:dyDescent="0.35">
      <c r="D27" s="3" t="str">
        <f t="shared" ref="D27:D30" si="4">D20</f>
        <v>Actual 2025-26</v>
      </c>
      <c r="E27" s="5">
        <f>SUM($E20:E20)</f>
        <v>3647</v>
      </c>
      <c r="F27" s="5">
        <f>SUM($E20:F20)</f>
        <v>8893</v>
      </c>
      <c r="G27" s="5">
        <f>SUM($E20:G20)</f>
        <v>11975</v>
      </c>
      <c r="H27" s="5">
        <f>SUM($E20:H20)</f>
        <v>18047</v>
      </c>
      <c r="I27" s="5">
        <f>SUM($E20:I20)</f>
        <v>20503</v>
      </c>
      <c r="J27" s="5">
        <f>SUM($E20:J20)</f>
        <v>24768</v>
      </c>
      <c r="K27" s="5">
        <f>SUM($E20:K20)</f>
        <v>31636</v>
      </c>
      <c r="L27" s="5">
        <f>SUM($E20:L20)</f>
        <v>37385</v>
      </c>
      <c r="M27" s="5">
        <f>SUM($E20:M20)</f>
        <v>37385</v>
      </c>
      <c r="N27" s="5">
        <f>SUM($E20:N20)</f>
        <v>37385</v>
      </c>
      <c r="O27" s="5">
        <f>SUM($E20:O20)</f>
        <v>37385</v>
      </c>
      <c r="P27" s="5">
        <f>SUM($E20:P20)</f>
        <v>37385</v>
      </c>
    </row>
    <row r="28" spans="3:17" x14ac:dyDescent="0.35">
      <c r="D28" s="3" t="str">
        <f t="shared" si="4"/>
        <v>Actual 2024-25</v>
      </c>
      <c r="E28" s="5">
        <f>SUM($E21:E21)</f>
        <v>4199</v>
      </c>
      <c r="F28" s="5">
        <f>SUM($E21:F21)</f>
        <v>10019</v>
      </c>
      <c r="G28" s="5">
        <f>SUM($E21:G21)</f>
        <v>15591</v>
      </c>
      <c r="H28" s="5">
        <f>SUM($E21:H21)</f>
        <v>20884</v>
      </c>
      <c r="I28" s="5">
        <f>SUM($E21:I21)</f>
        <v>26225</v>
      </c>
      <c r="J28" s="5">
        <f>SUM($E21:J21)</f>
        <v>29003</v>
      </c>
      <c r="K28" s="5">
        <f>SUM($E21:K21)</f>
        <v>32272</v>
      </c>
      <c r="L28" s="5">
        <f>SUM($E21:L21)</f>
        <v>35999</v>
      </c>
      <c r="M28" s="5">
        <f>SUM($E21:M21)</f>
        <v>40673</v>
      </c>
      <c r="N28" s="5">
        <f>SUM($E21:N21)</f>
        <v>42646</v>
      </c>
      <c r="O28" s="5">
        <f>SUM($E21:O21)</f>
        <v>44589</v>
      </c>
      <c r="P28" s="5">
        <f>SUM($E21:P21)</f>
        <v>47869</v>
      </c>
    </row>
    <row r="29" spans="3:17" x14ac:dyDescent="0.35">
      <c r="D29" s="3" t="str">
        <f t="shared" si="4"/>
        <v>Difference</v>
      </c>
      <c r="E29" s="5">
        <f>SUM($E22:E22)</f>
        <v>-946.05356513897368</v>
      </c>
      <c r="F29" s="5">
        <f>SUM($E22:F22)</f>
        <v>-363.51435716440756</v>
      </c>
      <c r="G29" s="5">
        <f>SUM($E22:G22)</f>
        <v>-2015.3823760763007</v>
      </c>
      <c r="H29" s="5">
        <f>SUM($E22:H22)</f>
        <v>-747.65762187465407</v>
      </c>
      <c r="I29" s="5">
        <f>SUM($E22:I22)</f>
        <v>-3166.3400945594667</v>
      </c>
      <c r="J29" s="5">
        <f>SUM($E22:J22)</f>
        <v>-3846.4297941307395</v>
      </c>
      <c r="K29" s="5">
        <f>SUM($E22:K22)</f>
        <v>-1993.9267205884717</v>
      </c>
      <c r="L29" s="5">
        <f>SUM($E22:L22)</f>
        <v>-1330.830873932664</v>
      </c>
      <c r="M29" s="5">
        <f>SUM($E22:M22)</f>
        <v>-1330.830873932664</v>
      </c>
      <c r="N29" s="5">
        <f>SUM($E22:N22)</f>
        <v>-1330.830873932664</v>
      </c>
      <c r="O29" s="5">
        <f>SUM($E22:O22)</f>
        <v>-1330.830873932664</v>
      </c>
      <c r="P29" s="5">
        <f>SUM($E22:P22)</f>
        <v>-1330.830873932664</v>
      </c>
    </row>
    <row r="30" spans="3:17" x14ac:dyDescent="0.35">
      <c r="D30" s="3" t="str">
        <f t="shared" si="4"/>
        <v>Realisation</v>
      </c>
      <c r="E30" s="9">
        <f>E28/E26</f>
        <v>0.91420662538538222</v>
      </c>
      <c r="F30" s="9">
        <f t="shared" ref="F30:P30" si="5">F27/F26</f>
        <v>0.96072880750376055</v>
      </c>
      <c r="G30" s="9">
        <f t="shared" si="5"/>
        <v>0.85594515418516182</v>
      </c>
      <c r="H30" s="9">
        <f t="shared" si="5"/>
        <v>0.96021967322222057</v>
      </c>
      <c r="I30" s="9">
        <f t="shared" si="5"/>
        <v>0.86622609325355593</v>
      </c>
      <c r="J30" s="9">
        <f t="shared" si="5"/>
        <v>0.86557726916789013</v>
      </c>
      <c r="K30" s="9">
        <f t="shared" si="5"/>
        <v>0.94070975125355305</v>
      </c>
      <c r="L30" s="9">
        <f t="shared" si="5"/>
        <v>0.96562566671328465</v>
      </c>
      <c r="M30" s="9">
        <f t="shared" si="5"/>
        <v>0.85213527489536456</v>
      </c>
      <c r="N30" s="9">
        <f t="shared" si="5"/>
        <v>0.7614229606186641</v>
      </c>
      <c r="O30" s="9">
        <f t="shared" si="5"/>
        <v>0.68727496771818253</v>
      </c>
      <c r="P30" s="9">
        <f t="shared" si="5"/>
        <v>0.62554883233994663</v>
      </c>
    </row>
  </sheetData>
  <mergeCells count="2">
    <mergeCell ref="J4:Q8"/>
    <mergeCell ref="J10:Q15"/>
  </mergeCells>
  <conditionalFormatting sqref="C3">
    <cfRule type="expression" dxfId="239" priority="2">
      <formula>S4&lt;S6</formula>
    </cfRule>
  </conditionalFormatting>
  <conditionalFormatting sqref="C5">
    <cfRule type="expression" dxfId="238" priority="3">
      <formula>S4&gt;=S5</formula>
    </cfRule>
  </conditionalFormatting>
  <conditionalFormatting sqref="C4">
    <cfRule type="expression" dxfId="237" priority="1">
      <formula>AND(S4&gt;=S6,S4&lt;S5)</formula>
    </cfRule>
  </conditionalFormatting>
  <hyperlinks>
    <hyperlink ref="L1" location="Dashboard!A1" display="Dashboard"/>
  </hyperlinks>
  <pageMargins left="0.7" right="0.7" top="0.75" bottom="0.75" header="0.3" footer="0.3"/>
  <pageSetup orientation="portrait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29121" r:id="rId4" name="Spinner 1">
              <controlPr defaultSize="0" autoPict="0">
                <anchor moveWithCells="1" sizeWithCells="1">
                  <from>
                    <xdr:col>9</xdr:col>
                    <xdr:colOff>19050</xdr:colOff>
                    <xdr:row>0</xdr:row>
                    <xdr:rowOff>38100</xdr:rowOff>
                  </from>
                  <to>
                    <xdr:col>9</xdr:col>
                    <xdr:colOff>400050</xdr:colOff>
                    <xdr:row>1</xdr:row>
                    <xdr:rowOff>152400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1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94">
    <tabColor rgb="FFFFC000"/>
  </sheetPr>
  <dimension ref="A1:S30"/>
  <sheetViews>
    <sheetView zoomScale="90" zoomScaleNormal="90" workbookViewId="0">
      <selection activeCell="L1" sqref="L1"/>
    </sheetView>
  </sheetViews>
  <sheetFormatPr defaultColWidth="9.1796875" defaultRowHeight="14.5" x14ac:dyDescent="0.35"/>
  <cols>
    <col min="1" max="1" width="9.1796875" style="3"/>
    <col min="2" max="2" width="5.1796875" style="3" customWidth="1"/>
    <col min="3" max="3" width="6.26953125" style="3" customWidth="1"/>
    <col min="4" max="4" width="21.26953125" style="3" bestFit="1" customWidth="1"/>
    <col min="5" max="16" width="11.1796875" style="3" customWidth="1"/>
    <col min="17" max="17" width="12" style="3" bestFit="1" customWidth="1"/>
    <col min="18" max="18" width="9.1796875" style="3" customWidth="1"/>
    <col min="19" max="16384" width="9.1796875" style="3"/>
  </cols>
  <sheetData>
    <row r="1" spans="1:19" ht="21" x14ac:dyDescent="0.5">
      <c r="A1" s="4" t="s">
        <v>4</v>
      </c>
      <c r="B1" s="4">
        <f>Dashboard!A126</f>
        <v>0</v>
      </c>
      <c r="C1" s="4" t="str">
        <f>Dashboard!B126</f>
        <v>TOTAL  WATER(M3) SOUTHERN REGION</v>
      </c>
      <c r="D1" s="4"/>
      <c r="G1" s="3" t="s">
        <v>9</v>
      </c>
      <c r="I1" s="12">
        <f>INDEX($E$18:$P$18,Actual_month)</f>
        <v>46054</v>
      </c>
      <c r="L1" s="16" t="s">
        <v>19</v>
      </c>
      <c r="R1" s="5"/>
    </row>
    <row r="2" spans="1:19" x14ac:dyDescent="0.35">
      <c r="A2" s="3" t="s">
        <v>13</v>
      </c>
      <c r="C2" s="3" t="s">
        <v>27</v>
      </c>
      <c r="R2" s="6"/>
    </row>
    <row r="3" spans="1:19" ht="25.5" customHeight="1" thickBot="1" x14ac:dyDescent="0.4">
      <c r="C3" s="1" t="s">
        <v>5</v>
      </c>
      <c r="E3" s="10"/>
      <c r="F3" s="10"/>
      <c r="G3" s="10"/>
      <c r="H3" s="10"/>
      <c r="I3" s="10"/>
      <c r="J3" s="3" t="s">
        <v>6</v>
      </c>
      <c r="K3" s="10"/>
      <c r="M3" s="10"/>
      <c r="N3" s="10"/>
      <c r="O3" s="10"/>
      <c r="P3" s="10"/>
    </row>
    <row r="4" spans="1:19" ht="25.5" customHeight="1" x14ac:dyDescent="0.35">
      <c r="C4" s="1" t="s">
        <v>5</v>
      </c>
      <c r="E4" s="10"/>
      <c r="F4" s="10"/>
      <c r="G4" s="10"/>
      <c r="H4" s="10"/>
      <c r="I4" s="10"/>
      <c r="J4" s="401"/>
      <c r="K4" s="402"/>
      <c r="L4" s="402"/>
      <c r="M4" s="402"/>
      <c r="N4" s="402"/>
      <c r="O4" s="402"/>
      <c r="P4" s="402"/>
      <c r="Q4" s="403"/>
      <c r="R4" s="3" t="s">
        <v>22</v>
      </c>
      <c r="S4" s="5">
        <f>INDEX(E27:P27,Actual_month)</f>
        <v>233080</v>
      </c>
    </row>
    <row r="5" spans="1:19" ht="25.5" customHeight="1" x14ac:dyDescent="0.35">
      <c r="C5" s="1" t="s">
        <v>5</v>
      </c>
      <c r="E5" s="10"/>
      <c r="F5" s="10"/>
      <c r="G5" s="10"/>
      <c r="H5" s="10"/>
      <c r="I5" s="10"/>
      <c r="J5" s="404"/>
      <c r="K5" s="405"/>
      <c r="L5" s="405"/>
      <c r="M5" s="405"/>
      <c r="N5" s="405"/>
      <c r="O5" s="405"/>
      <c r="P5" s="405"/>
      <c r="Q5" s="406"/>
      <c r="R5" s="3" t="s">
        <v>23</v>
      </c>
      <c r="S5" s="5">
        <f>INDEX(E26:P26,Actual_month)</f>
        <v>241151.52050054018</v>
      </c>
    </row>
    <row r="6" spans="1:19" x14ac:dyDescent="0.35">
      <c r="J6" s="404"/>
      <c r="K6" s="405"/>
      <c r="L6" s="405"/>
      <c r="M6" s="405"/>
      <c r="N6" s="405"/>
      <c r="O6" s="405"/>
      <c r="P6" s="405"/>
      <c r="Q6" s="406"/>
      <c r="R6" s="6">
        <v>0.9</v>
      </c>
      <c r="S6" s="5">
        <f>+S5*R6</f>
        <v>217036.36845048616</v>
      </c>
    </row>
    <row r="7" spans="1:19" x14ac:dyDescent="0.35">
      <c r="J7" s="404"/>
      <c r="K7" s="405"/>
      <c r="L7" s="405"/>
      <c r="M7" s="405"/>
      <c r="N7" s="405"/>
      <c r="O7" s="405"/>
      <c r="P7" s="405"/>
      <c r="Q7" s="406"/>
    </row>
    <row r="8" spans="1:19" ht="15" thickBot="1" x14ac:dyDescent="0.4">
      <c r="J8" s="407"/>
      <c r="K8" s="408"/>
      <c r="L8" s="408"/>
      <c r="M8" s="408"/>
      <c r="N8" s="408"/>
      <c r="O8" s="408"/>
      <c r="P8" s="408"/>
      <c r="Q8" s="409"/>
    </row>
    <row r="9" spans="1:19" ht="15" thickBot="1" x14ac:dyDescent="0.4">
      <c r="J9" s="3" t="s">
        <v>12</v>
      </c>
    </row>
    <row r="10" spans="1:19" x14ac:dyDescent="0.35">
      <c r="J10" s="401"/>
      <c r="K10" s="402"/>
      <c r="L10" s="402"/>
      <c r="M10" s="402"/>
      <c r="N10" s="402"/>
      <c r="O10" s="402"/>
      <c r="P10" s="402"/>
      <c r="Q10" s="403"/>
    </row>
    <row r="11" spans="1:19" x14ac:dyDescent="0.35">
      <c r="J11" s="404"/>
      <c r="K11" s="405"/>
      <c r="L11" s="405"/>
      <c r="M11" s="405"/>
      <c r="N11" s="405"/>
      <c r="O11" s="405"/>
      <c r="P11" s="405"/>
      <c r="Q11" s="406"/>
    </row>
    <row r="12" spans="1:19" x14ac:dyDescent="0.35">
      <c r="J12" s="404"/>
      <c r="K12" s="405"/>
      <c r="L12" s="405"/>
      <c r="M12" s="405"/>
      <c r="N12" s="405"/>
      <c r="O12" s="405"/>
      <c r="P12" s="405"/>
      <c r="Q12" s="406"/>
    </row>
    <row r="13" spans="1:19" x14ac:dyDescent="0.35">
      <c r="J13" s="404"/>
      <c r="K13" s="405"/>
      <c r="L13" s="405"/>
      <c r="M13" s="405"/>
      <c r="N13" s="405"/>
      <c r="O13" s="405"/>
      <c r="P13" s="405"/>
      <c r="Q13" s="406"/>
    </row>
    <row r="14" spans="1:19" x14ac:dyDescent="0.35">
      <c r="J14" s="404"/>
      <c r="K14" s="405"/>
      <c r="L14" s="405"/>
      <c r="M14" s="405"/>
      <c r="N14" s="405"/>
      <c r="O14" s="405"/>
      <c r="P14" s="405"/>
      <c r="Q14" s="406"/>
    </row>
    <row r="15" spans="1:19" ht="15" thickBot="1" x14ac:dyDescent="0.4">
      <c r="J15" s="407"/>
      <c r="K15" s="408"/>
      <c r="L15" s="408"/>
      <c r="M15" s="408"/>
      <c r="N15" s="408"/>
      <c r="O15" s="408"/>
      <c r="P15" s="408"/>
      <c r="Q15" s="409"/>
    </row>
    <row r="18" spans="3:17" x14ac:dyDescent="0.35">
      <c r="C18" s="7" t="s">
        <v>8</v>
      </c>
      <c r="E18" s="11">
        <f>'KPI 1'!E18</f>
        <v>45839</v>
      </c>
      <c r="F18" s="11">
        <f>'KPI 1'!F18</f>
        <v>45870</v>
      </c>
      <c r="G18" s="11">
        <f>'KPI 1'!G18</f>
        <v>45901</v>
      </c>
      <c r="H18" s="11">
        <f>'KPI 1'!H18</f>
        <v>45931</v>
      </c>
      <c r="I18" s="11">
        <f>'KPI 1'!I18</f>
        <v>45962</v>
      </c>
      <c r="J18" s="11">
        <f>'KPI 1'!J18</f>
        <v>45992</v>
      </c>
      <c r="K18" s="11">
        <f>'KPI 1'!K18</f>
        <v>46023</v>
      </c>
      <c r="L18" s="11">
        <f>'KPI 1'!L18</f>
        <v>46054</v>
      </c>
      <c r="M18" s="11">
        <f>'KPI 1'!M18</f>
        <v>46082</v>
      </c>
      <c r="N18" s="11">
        <f>'KPI 1'!N18</f>
        <v>46113</v>
      </c>
      <c r="O18" s="11">
        <f>'KPI 1'!O18</f>
        <v>46143</v>
      </c>
      <c r="P18" s="11">
        <f>'KPI 1'!P18</f>
        <v>46174</v>
      </c>
      <c r="Q18" s="8" t="s">
        <v>0</v>
      </c>
    </row>
    <row r="19" spans="3:17" x14ac:dyDescent="0.35">
      <c r="D19" s="3" t="str">
        <f>'KPI 1'!D19</f>
        <v>Budget 2025-26</v>
      </c>
      <c r="E19" s="49">
        <f>'budget 2025-26'!D122</f>
        <v>28805.518725913207</v>
      </c>
      <c r="F19" s="49">
        <f>'budget 2025-26'!E122</f>
        <v>29221.45184642047</v>
      </c>
      <c r="G19" s="49">
        <f>'budget 2025-26'!F122</f>
        <v>29607.384966927733</v>
      </c>
      <c r="H19" s="49">
        <f>'budget 2025-26'!G122</f>
        <v>29963.318087435</v>
      </c>
      <c r="I19" s="49">
        <f>'budget 2025-26'!H122</f>
        <v>30319.251207942259</v>
      </c>
      <c r="J19" s="49">
        <f>'budget 2025-26'!I122</f>
        <v>30645.184328449523</v>
      </c>
      <c r="K19" s="49">
        <f>'budget 2025-26'!J122</f>
        <v>31118.149975071403</v>
      </c>
      <c r="L19" s="49">
        <f>'budget 2025-26'!K122</f>
        <v>31471.261362380574</v>
      </c>
      <c r="M19" s="49">
        <f>'budget 2025-26'!L122</f>
        <v>31824.372749689741</v>
      </c>
      <c r="N19" s="49">
        <f>'budget 2025-26'!M122</f>
        <v>32132.557007342555</v>
      </c>
      <c r="O19" s="49">
        <f>'budget 2025-26'!N122</f>
        <v>32440.741264995373</v>
      </c>
      <c r="P19" s="49">
        <f>'budget 2025-26'!O122</f>
        <v>32748.925522648187</v>
      </c>
      <c r="Q19" s="5">
        <f>SUM(E19:P19)</f>
        <v>370298.11704521609</v>
      </c>
    </row>
    <row r="20" spans="3:17" x14ac:dyDescent="0.35">
      <c r="D20" s="3" t="str">
        <f>'KPI 1'!D20</f>
        <v>Actual 2025-26</v>
      </c>
      <c r="E20" s="49">
        <f>'Input Actual2025-26'!E125</f>
        <v>31567</v>
      </c>
      <c r="F20" s="49">
        <f>'Input Actual2025-26'!F125</f>
        <v>30396</v>
      </c>
      <c r="G20" s="49">
        <f>'Input Actual2025-26'!G125</f>
        <v>26243</v>
      </c>
      <c r="H20" s="49">
        <f>'Input Actual2025-26'!H125</f>
        <v>28789</v>
      </c>
      <c r="I20" s="49">
        <f>'Input Actual2025-26'!I125</f>
        <v>24966</v>
      </c>
      <c r="J20" s="49">
        <f>'Input Actual2025-26'!J125</f>
        <v>26222</v>
      </c>
      <c r="K20" s="49">
        <f>'Input Actual2025-26'!K125</f>
        <v>31253</v>
      </c>
      <c r="L20" s="49">
        <f>'Input Actual2025-26'!L125</f>
        <v>33644</v>
      </c>
      <c r="M20" s="49">
        <f>'Input Actual2025-26'!M125</f>
        <v>0</v>
      </c>
      <c r="N20" s="49">
        <f>'Input Actual2025-26'!N125</f>
        <v>0</v>
      </c>
      <c r="O20" s="49">
        <f>'Input Actual2025-26'!O125</f>
        <v>0</v>
      </c>
      <c r="P20" s="49">
        <f>'Input Actual2025-26'!P125</f>
        <v>0</v>
      </c>
      <c r="Q20" s="5">
        <f t="shared" ref="Q20:Q22" si="0">SUM(E20:P20)</f>
        <v>233080</v>
      </c>
    </row>
    <row r="21" spans="3:17" x14ac:dyDescent="0.35">
      <c r="D21" s="3" t="s">
        <v>424</v>
      </c>
      <c r="E21" s="49"/>
      <c r="F21" s="49"/>
      <c r="G21" s="49"/>
      <c r="H21" s="49"/>
      <c r="I21" s="49"/>
      <c r="J21" s="49"/>
      <c r="K21" s="49"/>
      <c r="L21" s="49"/>
      <c r="M21" s="49"/>
      <c r="N21" s="49"/>
      <c r="O21" s="49"/>
      <c r="P21" s="49"/>
      <c r="Q21" s="5">
        <f t="shared" si="0"/>
        <v>0</v>
      </c>
    </row>
    <row r="22" spans="3:17" x14ac:dyDescent="0.35">
      <c r="D22" s="3" t="s">
        <v>7</v>
      </c>
      <c r="E22" s="5">
        <f t="shared" ref="E22:P22" si="1">IF(E20=0,0,E20-E19)</f>
        <v>2761.4812740867928</v>
      </c>
      <c r="F22" s="5">
        <f t="shared" si="1"/>
        <v>1174.5481535795298</v>
      </c>
      <c r="G22" s="5">
        <f t="shared" si="1"/>
        <v>-3364.3849669277333</v>
      </c>
      <c r="H22" s="5">
        <f t="shared" si="1"/>
        <v>-1174.3180874350001</v>
      </c>
      <c r="I22" s="5">
        <f t="shared" si="1"/>
        <v>-5353.2512079422595</v>
      </c>
      <c r="J22" s="5">
        <f t="shared" si="1"/>
        <v>-4423.1843284495226</v>
      </c>
      <c r="K22" s="5">
        <f t="shared" si="1"/>
        <v>134.85002492859712</v>
      </c>
      <c r="L22" s="5">
        <f t="shared" si="1"/>
        <v>2172.7386376194263</v>
      </c>
      <c r="M22" s="5">
        <f t="shared" si="1"/>
        <v>0</v>
      </c>
      <c r="N22" s="5">
        <f t="shared" si="1"/>
        <v>0</v>
      </c>
      <c r="O22" s="5">
        <f t="shared" si="1"/>
        <v>0</v>
      </c>
      <c r="P22" s="5">
        <f t="shared" si="1"/>
        <v>0</v>
      </c>
      <c r="Q22" s="5">
        <f t="shared" si="0"/>
        <v>-8071.5205005401695</v>
      </c>
    </row>
    <row r="23" spans="3:17" x14ac:dyDescent="0.35">
      <c r="D23" s="3" t="s">
        <v>43</v>
      </c>
      <c r="E23" s="9">
        <f>E21/E19</f>
        <v>0</v>
      </c>
      <c r="F23" s="9">
        <f t="shared" ref="F23:P23" si="2">F20/F19</f>
        <v>1.0401947226904609</v>
      </c>
      <c r="G23" s="9">
        <f t="shared" si="2"/>
        <v>0.88636669632641163</v>
      </c>
      <c r="H23" s="9">
        <f t="shared" si="2"/>
        <v>0.96080814267604608</v>
      </c>
      <c r="I23" s="9">
        <f t="shared" si="2"/>
        <v>0.8234372224027765</v>
      </c>
      <c r="J23" s="9">
        <f t="shared" si="2"/>
        <v>0.85566461989451148</v>
      </c>
      <c r="K23" s="9">
        <f t="shared" si="2"/>
        <v>1.0043334846395633</v>
      </c>
      <c r="L23" s="9">
        <f t="shared" si="2"/>
        <v>1.0690388164808871</v>
      </c>
      <c r="M23" s="9">
        <f t="shared" si="2"/>
        <v>0</v>
      </c>
      <c r="N23" s="9">
        <f t="shared" si="2"/>
        <v>0</v>
      </c>
      <c r="O23" s="9">
        <f t="shared" si="2"/>
        <v>0</v>
      </c>
      <c r="P23" s="9">
        <f t="shared" si="2"/>
        <v>0</v>
      </c>
    </row>
    <row r="25" spans="3:17" x14ac:dyDescent="0.35">
      <c r="C25" s="7" t="s">
        <v>3</v>
      </c>
      <c r="E25" s="11">
        <f>E18</f>
        <v>45839</v>
      </c>
      <c r="F25" s="11">
        <f t="shared" ref="F25:P25" si="3">F18</f>
        <v>45870</v>
      </c>
      <c r="G25" s="11">
        <f t="shared" si="3"/>
        <v>45901</v>
      </c>
      <c r="H25" s="11">
        <f t="shared" si="3"/>
        <v>45931</v>
      </c>
      <c r="I25" s="11">
        <f t="shared" si="3"/>
        <v>45962</v>
      </c>
      <c r="J25" s="11">
        <f t="shared" si="3"/>
        <v>45992</v>
      </c>
      <c r="K25" s="11">
        <f t="shared" si="3"/>
        <v>46023</v>
      </c>
      <c r="L25" s="11">
        <f t="shared" si="3"/>
        <v>46054</v>
      </c>
      <c r="M25" s="11">
        <f t="shared" si="3"/>
        <v>46082</v>
      </c>
      <c r="N25" s="11">
        <f t="shared" si="3"/>
        <v>46113</v>
      </c>
      <c r="O25" s="11">
        <f t="shared" si="3"/>
        <v>46143</v>
      </c>
      <c r="P25" s="11">
        <f t="shared" si="3"/>
        <v>46174</v>
      </c>
    </row>
    <row r="26" spans="3:17" x14ac:dyDescent="0.35">
      <c r="D26" s="3" t="str">
        <f>D19</f>
        <v>Budget 2025-26</v>
      </c>
      <c r="E26" s="5">
        <f>SUM($E19:E19)</f>
        <v>28805.518725913207</v>
      </c>
      <c r="F26" s="5">
        <f>SUM($E19:F19)</f>
        <v>58026.970572333681</v>
      </c>
      <c r="G26" s="5">
        <f>SUM($E19:G19)</f>
        <v>87634.355539261422</v>
      </c>
      <c r="H26" s="5">
        <f>SUM($E19:H19)</f>
        <v>117597.67362669643</v>
      </c>
      <c r="I26" s="5">
        <f>SUM($E19:I19)</f>
        <v>147916.92483463869</v>
      </c>
      <c r="J26" s="5">
        <f>SUM($E19:J19)</f>
        <v>178562.1091630882</v>
      </c>
      <c r="K26" s="5">
        <f>SUM($E19:K19)</f>
        <v>209680.2591381596</v>
      </c>
      <c r="L26" s="5">
        <f>SUM($E19:L19)</f>
        <v>241151.52050054018</v>
      </c>
      <c r="M26" s="5">
        <f>SUM($E19:M19)</f>
        <v>272975.89325022994</v>
      </c>
      <c r="N26" s="5">
        <f>SUM($E19:N19)</f>
        <v>305108.45025757252</v>
      </c>
      <c r="O26" s="5">
        <f>SUM($E19:O19)</f>
        <v>337549.19152256788</v>
      </c>
      <c r="P26" s="5">
        <f>SUM($E19:P19)</f>
        <v>370298.11704521609</v>
      </c>
    </row>
    <row r="27" spans="3:17" x14ac:dyDescent="0.35">
      <c r="D27" s="3" t="str">
        <f t="shared" ref="D27:D30" si="4">D20</f>
        <v>Actual 2025-26</v>
      </c>
      <c r="E27" s="5">
        <f>SUM($E20:E20)</f>
        <v>31567</v>
      </c>
      <c r="F27" s="5">
        <f>SUM($E20:F20)</f>
        <v>61963</v>
      </c>
      <c r="G27" s="5">
        <f>SUM($E20:G20)</f>
        <v>88206</v>
      </c>
      <c r="H27" s="5">
        <f>SUM($E20:H20)</f>
        <v>116995</v>
      </c>
      <c r="I27" s="5">
        <f>SUM($E20:I20)</f>
        <v>141961</v>
      </c>
      <c r="J27" s="5">
        <f>SUM($E20:J20)</f>
        <v>168183</v>
      </c>
      <c r="K27" s="5">
        <f>SUM($E20:K20)</f>
        <v>199436</v>
      </c>
      <c r="L27" s="5">
        <f>SUM($E20:L20)</f>
        <v>233080</v>
      </c>
      <c r="M27" s="5">
        <f>SUM($E20:M20)</f>
        <v>233080</v>
      </c>
      <c r="N27" s="5">
        <f>SUM($E20:N20)</f>
        <v>233080</v>
      </c>
      <c r="O27" s="5">
        <f>SUM($E20:O20)</f>
        <v>233080</v>
      </c>
      <c r="P27" s="5">
        <f>SUM($E20:P20)</f>
        <v>233080</v>
      </c>
    </row>
    <row r="28" spans="3:17" x14ac:dyDescent="0.35">
      <c r="D28" s="3" t="str">
        <f t="shared" si="4"/>
        <v>Actual 2024-25</v>
      </c>
      <c r="E28" s="5">
        <f>SUM($E21:E21)</f>
        <v>0</v>
      </c>
      <c r="F28" s="5">
        <f>SUM($E21:F21)</f>
        <v>0</v>
      </c>
      <c r="G28" s="5">
        <f>SUM($E21:G21)</f>
        <v>0</v>
      </c>
      <c r="H28" s="5">
        <f>SUM($E21:H21)</f>
        <v>0</v>
      </c>
      <c r="I28" s="5">
        <f>SUM($E21:I21)</f>
        <v>0</v>
      </c>
      <c r="J28" s="5">
        <f>SUM($E21:J21)</f>
        <v>0</v>
      </c>
      <c r="K28" s="5">
        <f>SUM($E21:K21)</f>
        <v>0</v>
      </c>
      <c r="L28" s="5">
        <f>SUM($E21:L21)</f>
        <v>0</v>
      </c>
      <c r="M28" s="5">
        <f>SUM($E21:M21)</f>
        <v>0</v>
      </c>
      <c r="N28" s="5">
        <f>SUM($E21:N21)</f>
        <v>0</v>
      </c>
      <c r="O28" s="5">
        <f>SUM($E21:O21)</f>
        <v>0</v>
      </c>
      <c r="P28" s="5">
        <f>SUM($E21:P21)</f>
        <v>0</v>
      </c>
    </row>
    <row r="29" spans="3:17" x14ac:dyDescent="0.35">
      <c r="D29" s="3" t="str">
        <f t="shared" si="4"/>
        <v>Difference</v>
      </c>
      <c r="E29" s="5">
        <f>SUM($E22:E22)</f>
        <v>2761.4812740867928</v>
      </c>
      <c r="F29" s="5">
        <f>SUM($E22:F22)</f>
        <v>3936.0294276663226</v>
      </c>
      <c r="G29" s="5">
        <f>SUM($E22:G22)</f>
        <v>571.64446073858926</v>
      </c>
      <c r="H29" s="5">
        <f>SUM($E22:H22)</f>
        <v>-602.67362669641079</v>
      </c>
      <c r="I29" s="5">
        <f>SUM($E22:I22)</f>
        <v>-5955.9248346386703</v>
      </c>
      <c r="J29" s="5">
        <f>SUM($E22:J22)</f>
        <v>-10379.109163088193</v>
      </c>
      <c r="K29" s="5">
        <f>SUM($E22:K22)</f>
        <v>-10244.259138159596</v>
      </c>
      <c r="L29" s="5">
        <f>SUM($E22:L22)</f>
        <v>-8071.5205005401695</v>
      </c>
      <c r="M29" s="5">
        <f>SUM($E22:M22)</f>
        <v>-8071.5205005401695</v>
      </c>
      <c r="N29" s="5">
        <f>SUM($E22:N22)</f>
        <v>-8071.5205005401695</v>
      </c>
      <c r="O29" s="5">
        <f>SUM($E22:O22)</f>
        <v>-8071.5205005401695</v>
      </c>
      <c r="P29" s="5">
        <f>SUM($E22:P22)</f>
        <v>-8071.5205005401695</v>
      </c>
    </row>
    <row r="30" spans="3:17" x14ac:dyDescent="0.35">
      <c r="D30" s="3" t="str">
        <f t="shared" si="4"/>
        <v>Realisation</v>
      </c>
      <c r="E30" s="9">
        <f>E28/E26</f>
        <v>0</v>
      </c>
      <c r="F30" s="9">
        <f t="shared" ref="F30:P30" si="5">F27/F26</f>
        <v>1.0678310342388089</v>
      </c>
      <c r="G30" s="9">
        <f t="shared" si="5"/>
        <v>1.0065230634403703</v>
      </c>
      <c r="H30" s="9">
        <f t="shared" si="5"/>
        <v>0.99487512288202606</v>
      </c>
      <c r="I30" s="9">
        <f t="shared" si="5"/>
        <v>0.95973466294477783</v>
      </c>
      <c r="J30" s="9">
        <f t="shared" si="5"/>
        <v>0.94187395516476269</v>
      </c>
      <c r="K30" s="9">
        <f t="shared" si="5"/>
        <v>0.95114342580333422</v>
      </c>
      <c r="L30" s="9">
        <f t="shared" si="5"/>
        <v>0.96652925727448569</v>
      </c>
      <c r="M30" s="9">
        <f t="shared" si="5"/>
        <v>0.85384829123479267</v>
      </c>
      <c r="N30" s="9">
        <f t="shared" si="5"/>
        <v>0.76392508894209221</v>
      </c>
      <c r="O30" s="9">
        <f t="shared" si="5"/>
        <v>0.69050676421014834</v>
      </c>
      <c r="P30" s="9">
        <f t="shared" si="5"/>
        <v>0.62943879342367615</v>
      </c>
    </row>
  </sheetData>
  <mergeCells count="2">
    <mergeCell ref="J4:Q8"/>
    <mergeCell ref="J10:Q15"/>
  </mergeCells>
  <conditionalFormatting sqref="C3">
    <cfRule type="expression" dxfId="236" priority="2">
      <formula>S4&lt;S6</formula>
    </cfRule>
  </conditionalFormatting>
  <conditionalFormatting sqref="C5">
    <cfRule type="expression" dxfId="235" priority="3">
      <formula>S4&gt;=S5</formula>
    </cfRule>
  </conditionalFormatting>
  <conditionalFormatting sqref="C4">
    <cfRule type="expression" dxfId="234" priority="1">
      <formula>AND(S4&gt;=S6,S4&lt;S5)</formula>
    </cfRule>
  </conditionalFormatting>
  <hyperlinks>
    <hyperlink ref="L1" location="Dashboard!A1" display="Dashboard"/>
  </hyperlinks>
  <pageMargins left="0.7" right="0.7" top="0.75" bottom="0.75" header="0.3" footer="0.3"/>
  <pageSetup orientation="portrait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30145" r:id="rId4" name="Spinner 1">
              <controlPr defaultSize="0" autoPict="0">
                <anchor moveWithCells="1" sizeWithCells="1">
                  <from>
                    <xdr:col>9</xdr:col>
                    <xdr:colOff>19050</xdr:colOff>
                    <xdr:row>0</xdr:row>
                    <xdr:rowOff>38100</xdr:rowOff>
                  </from>
                  <to>
                    <xdr:col>9</xdr:col>
                    <xdr:colOff>400050</xdr:colOff>
                    <xdr:row>1</xdr:row>
                    <xdr:rowOff>152400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1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95">
    <tabColor rgb="FFFFC000"/>
  </sheetPr>
  <dimension ref="A1:S30"/>
  <sheetViews>
    <sheetView zoomScale="90" zoomScaleNormal="90" workbookViewId="0">
      <selection activeCell="L1" sqref="L1"/>
    </sheetView>
  </sheetViews>
  <sheetFormatPr defaultColWidth="9.1796875" defaultRowHeight="14.5" x14ac:dyDescent="0.35"/>
  <cols>
    <col min="1" max="1" width="9.1796875" style="3"/>
    <col min="2" max="2" width="5.1796875" style="3" customWidth="1"/>
    <col min="3" max="3" width="6.26953125" style="3" customWidth="1"/>
    <col min="4" max="4" width="21.26953125" style="3" bestFit="1" customWidth="1"/>
    <col min="5" max="16" width="11.1796875" style="3" customWidth="1"/>
    <col min="17" max="17" width="12" style="3" bestFit="1" customWidth="1"/>
    <col min="18" max="18" width="9.1796875" style="3" customWidth="1"/>
    <col min="19" max="16384" width="9.1796875" style="3"/>
  </cols>
  <sheetData>
    <row r="1" spans="1:19" ht="21" x14ac:dyDescent="0.5">
      <c r="A1" s="4" t="s">
        <v>4</v>
      </c>
      <c r="B1" s="4">
        <f>Dashboard!A132</f>
        <v>1</v>
      </c>
      <c r="C1" s="4" t="str">
        <f>Dashboard!B132</f>
        <v>CBD - WATER(KES)</v>
      </c>
      <c r="D1" s="4"/>
      <c r="G1" s="3" t="s">
        <v>9</v>
      </c>
      <c r="I1" s="12">
        <f>INDEX($E$18:$P$18,Actual_month)</f>
        <v>46054</v>
      </c>
      <c r="L1" s="16" t="s">
        <v>19</v>
      </c>
      <c r="R1" s="5"/>
    </row>
    <row r="2" spans="1:19" x14ac:dyDescent="0.35">
      <c r="A2" s="3" t="s">
        <v>13</v>
      </c>
      <c r="C2" s="3" t="s">
        <v>27</v>
      </c>
      <c r="R2" s="6"/>
    </row>
    <row r="3" spans="1:19" ht="25.5" customHeight="1" thickBot="1" x14ac:dyDescent="0.4">
      <c r="C3" s="1" t="s">
        <v>5</v>
      </c>
      <c r="E3" s="10"/>
      <c r="F3" s="10"/>
      <c r="G3" s="10"/>
      <c r="H3" s="10"/>
      <c r="I3" s="10"/>
      <c r="J3" s="3" t="s">
        <v>6</v>
      </c>
      <c r="K3" s="10"/>
      <c r="M3" s="10"/>
      <c r="N3" s="10"/>
      <c r="O3" s="10"/>
      <c r="P3" s="10"/>
    </row>
    <row r="4" spans="1:19" ht="25.5" customHeight="1" x14ac:dyDescent="0.35">
      <c r="C4" s="1" t="s">
        <v>5</v>
      </c>
      <c r="E4" s="10"/>
      <c r="F4" s="10"/>
      <c r="G4" s="10"/>
      <c r="H4" s="10"/>
      <c r="I4" s="10"/>
      <c r="J4" s="401"/>
      <c r="K4" s="402"/>
      <c r="L4" s="402"/>
      <c r="M4" s="402"/>
      <c r="N4" s="402"/>
      <c r="O4" s="402"/>
      <c r="P4" s="402"/>
      <c r="Q4" s="403"/>
      <c r="R4" s="3" t="s">
        <v>22</v>
      </c>
      <c r="S4" s="5">
        <f>INDEX(E27:P27,Actual_month)</f>
        <v>16710300</v>
      </c>
    </row>
    <row r="5" spans="1:19" ht="25.5" customHeight="1" x14ac:dyDescent="0.35">
      <c r="C5" s="1" t="s">
        <v>5</v>
      </c>
      <c r="E5" s="10"/>
      <c r="F5" s="10"/>
      <c r="G5" s="10"/>
      <c r="H5" s="10"/>
      <c r="I5" s="10"/>
      <c r="J5" s="404"/>
      <c r="K5" s="405"/>
      <c r="L5" s="405"/>
      <c r="M5" s="405"/>
      <c r="N5" s="405"/>
      <c r="O5" s="405"/>
      <c r="P5" s="405"/>
      <c r="Q5" s="406"/>
      <c r="R5" s="3" t="s">
        <v>23</v>
      </c>
      <c r="S5" s="5">
        <f>INDEX(E26:P26,Actual_month)</f>
        <v>13892226.346725477</v>
      </c>
    </row>
    <row r="6" spans="1:19" x14ac:dyDescent="0.35">
      <c r="J6" s="404"/>
      <c r="K6" s="405"/>
      <c r="L6" s="405"/>
      <c r="M6" s="405"/>
      <c r="N6" s="405"/>
      <c r="O6" s="405"/>
      <c r="P6" s="405"/>
      <c r="Q6" s="406"/>
      <c r="R6" s="6">
        <v>0.9</v>
      </c>
      <c r="S6" s="5">
        <f>+S5*R6</f>
        <v>12503003.71205293</v>
      </c>
    </row>
    <row r="7" spans="1:19" x14ac:dyDescent="0.35">
      <c r="J7" s="404"/>
      <c r="K7" s="405"/>
      <c r="L7" s="405"/>
      <c r="M7" s="405"/>
      <c r="N7" s="405"/>
      <c r="O7" s="405"/>
      <c r="P7" s="405"/>
      <c r="Q7" s="406"/>
    </row>
    <row r="8" spans="1:19" ht="15" thickBot="1" x14ac:dyDescent="0.4">
      <c r="J8" s="407"/>
      <c r="K8" s="408"/>
      <c r="L8" s="408"/>
      <c r="M8" s="408"/>
      <c r="N8" s="408"/>
      <c r="O8" s="408"/>
      <c r="P8" s="408"/>
      <c r="Q8" s="409"/>
    </row>
    <row r="9" spans="1:19" ht="15" thickBot="1" x14ac:dyDescent="0.4">
      <c r="J9" s="3" t="s">
        <v>12</v>
      </c>
    </row>
    <row r="10" spans="1:19" x14ac:dyDescent="0.35">
      <c r="J10" s="401"/>
      <c r="K10" s="402"/>
      <c r="L10" s="402"/>
      <c r="M10" s="402"/>
      <c r="N10" s="402"/>
      <c r="O10" s="402"/>
      <c r="P10" s="402"/>
      <c r="Q10" s="403"/>
    </row>
    <row r="11" spans="1:19" x14ac:dyDescent="0.35">
      <c r="J11" s="404"/>
      <c r="K11" s="405"/>
      <c r="L11" s="405"/>
      <c r="M11" s="405"/>
      <c r="N11" s="405"/>
      <c r="O11" s="405"/>
      <c r="P11" s="405"/>
      <c r="Q11" s="406"/>
    </row>
    <row r="12" spans="1:19" x14ac:dyDescent="0.35">
      <c r="J12" s="404"/>
      <c r="K12" s="405"/>
      <c r="L12" s="405"/>
      <c r="M12" s="405"/>
      <c r="N12" s="405"/>
      <c r="O12" s="405"/>
      <c r="P12" s="405"/>
      <c r="Q12" s="406"/>
    </row>
    <row r="13" spans="1:19" x14ac:dyDescent="0.35">
      <c r="J13" s="404"/>
      <c r="K13" s="405"/>
      <c r="L13" s="405"/>
      <c r="M13" s="405"/>
      <c r="N13" s="405"/>
      <c r="O13" s="405"/>
      <c r="P13" s="405"/>
      <c r="Q13" s="406"/>
    </row>
    <row r="14" spans="1:19" x14ac:dyDescent="0.35">
      <c r="J14" s="404"/>
      <c r="K14" s="405"/>
      <c r="L14" s="405"/>
      <c r="M14" s="405"/>
      <c r="N14" s="405"/>
      <c r="O14" s="405"/>
      <c r="P14" s="405"/>
      <c r="Q14" s="406"/>
    </row>
    <row r="15" spans="1:19" ht="15" thickBot="1" x14ac:dyDescent="0.4">
      <c r="J15" s="407"/>
      <c r="K15" s="408"/>
      <c r="L15" s="408"/>
      <c r="M15" s="408"/>
      <c r="N15" s="408"/>
      <c r="O15" s="408"/>
      <c r="P15" s="408"/>
      <c r="Q15" s="409"/>
    </row>
    <row r="18" spans="3:17" x14ac:dyDescent="0.35">
      <c r="C18" s="7" t="s">
        <v>8</v>
      </c>
      <c r="E18" s="11">
        <f>'KPI 1'!E18</f>
        <v>45839</v>
      </c>
      <c r="F18" s="11">
        <f>'KPI 1'!F18</f>
        <v>45870</v>
      </c>
      <c r="G18" s="11">
        <f>'KPI 1'!G18</f>
        <v>45901</v>
      </c>
      <c r="H18" s="11">
        <f>'KPI 1'!H18</f>
        <v>45931</v>
      </c>
      <c r="I18" s="11">
        <f>'KPI 1'!I18</f>
        <v>45962</v>
      </c>
      <c r="J18" s="11">
        <f>'KPI 1'!J18</f>
        <v>45992</v>
      </c>
      <c r="K18" s="11">
        <f>'KPI 1'!K18</f>
        <v>46023</v>
      </c>
      <c r="L18" s="11">
        <f>'KPI 1'!L18</f>
        <v>46054</v>
      </c>
      <c r="M18" s="11">
        <f>'KPI 1'!M18</f>
        <v>46082</v>
      </c>
      <c r="N18" s="11">
        <f>'KPI 1'!N18</f>
        <v>46113</v>
      </c>
      <c r="O18" s="11">
        <f>'KPI 1'!O18</f>
        <v>46143</v>
      </c>
      <c r="P18" s="11">
        <f>'KPI 1'!P18</f>
        <v>46174</v>
      </c>
      <c r="Q18" s="8" t="s">
        <v>0</v>
      </c>
    </row>
    <row r="19" spans="3:17" x14ac:dyDescent="0.35">
      <c r="D19" s="3" t="str">
        <f>'KPI 1'!D19</f>
        <v>Budget 2025-26</v>
      </c>
      <c r="E19" s="49">
        <f>'budget 2025-26'!D124</f>
        <v>1752927.0586512885</v>
      </c>
      <c r="F19" s="49">
        <f>'budget 2025-26'!E124</f>
        <v>1754378.3852636518</v>
      </c>
      <c r="G19" s="49">
        <f>'budget 2025-26'!F124</f>
        <v>1755033.3425282673</v>
      </c>
      <c r="H19" s="49">
        <f>'budget 2025-26'!G124</f>
        <v>1744176.5014120559</v>
      </c>
      <c r="I19" s="49">
        <f>'budget 2025-26'!H124</f>
        <v>1734220.3937780771</v>
      </c>
      <c r="J19" s="49">
        <f>'budget 2025-26'!I124</f>
        <v>1723786.7373200238</v>
      </c>
      <c r="K19" s="49">
        <f>'budget 2025-26'!J124</f>
        <v>1717476.417078702</v>
      </c>
      <c r="L19" s="49">
        <f>'budget 2025-26'!K124</f>
        <v>1710227.5106934104</v>
      </c>
      <c r="M19" s="49">
        <f>'budget 2025-26'!L124</f>
        <v>1702694.1580974476</v>
      </c>
      <c r="N19" s="49">
        <f>'budget 2025-26'!M124</f>
        <v>1698050.1592234008</v>
      </c>
      <c r="O19" s="49">
        <f>'budget 2025-26'!N124</f>
        <v>1693550.1293134014</v>
      </c>
      <c r="P19" s="49">
        <f>'budget 2025-26'!O124</f>
        <v>1689153.9266319557</v>
      </c>
      <c r="Q19" s="5">
        <f>SUM(E19:P19)</f>
        <v>20675674.719991684</v>
      </c>
    </row>
    <row r="20" spans="3:17" x14ac:dyDescent="0.35">
      <c r="D20" s="3" t="str">
        <f>'KPI 1'!D20</f>
        <v>Actual 2025-26</v>
      </c>
      <c r="E20" s="49">
        <f>'Input Actual2025-26'!E127</f>
        <v>1698200</v>
      </c>
      <c r="F20" s="49">
        <f>'Input Actual2025-26'!F127</f>
        <v>2372360</v>
      </c>
      <c r="G20" s="49">
        <f>'Input Actual2025-26'!G127</f>
        <v>2175500</v>
      </c>
      <c r="H20" s="49">
        <f>'Input Actual2025-26'!H127</f>
        <v>2141510</v>
      </c>
      <c r="I20" s="49">
        <f>'Input Actual2025-26'!I127</f>
        <v>1794540</v>
      </c>
      <c r="J20" s="49">
        <f>'Input Actual2025-26'!J127</f>
        <v>1607470</v>
      </c>
      <c r="K20" s="49">
        <f>'Input Actual2025-26'!K127</f>
        <v>2825780</v>
      </c>
      <c r="L20" s="49">
        <f>'Input Actual2025-26'!L127</f>
        <v>2094940</v>
      </c>
      <c r="M20" s="49">
        <f>'Input Actual2025-26'!M127</f>
        <v>0</v>
      </c>
      <c r="N20" s="49">
        <f>'Input Actual2025-26'!N127</f>
        <v>0</v>
      </c>
      <c r="O20" s="49">
        <f>'Input Actual2025-26'!O127</f>
        <v>0</v>
      </c>
      <c r="P20" s="49">
        <f>'Input Actual2025-26'!P127</f>
        <v>0</v>
      </c>
      <c r="Q20" s="5">
        <f t="shared" ref="Q20:Q22" si="0">SUM(E20:P20)</f>
        <v>16710300</v>
      </c>
    </row>
    <row r="21" spans="3:17" x14ac:dyDescent="0.35">
      <c r="D21" s="3" t="s">
        <v>424</v>
      </c>
      <c r="E21" s="49">
        <f>'Input Actual2024-25'!E118</f>
        <v>1339524</v>
      </c>
      <c r="F21" s="49">
        <f>'Input Actual2024-25'!F118</f>
        <v>1619063</v>
      </c>
      <c r="G21" s="49">
        <f>'Input Actual2024-25'!G118</f>
        <v>1316585</v>
      </c>
      <c r="H21" s="49">
        <f>'Input Actual2024-25'!H118</f>
        <v>1520693</v>
      </c>
      <c r="I21" s="49">
        <f>'Input Actual2024-25'!I118</f>
        <v>1430127</v>
      </c>
      <c r="J21" s="49">
        <f>'Input Actual2024-25'!J118</f>
        <v>942800</v>
      </c>
      <c r="K21" s="49">
        <f>'Input Actual2024-25'!K118</f>
        <v>1962233</v>
      </c>
      <c r="L21" s="49">
        <f>'Input Actual2024-25'!L118</f>
        <v>1449396</v>
      </c>
      <c r="M21" s="49">
        <f>'Input Actual2024-25'!M118</f>
        <v>1472508</v>
      </c>
      <c r="N21" s="49">
        <f>'Input Actual2024-25'!N118</f>
        <v>1957640</v>
      </c>
      <c r="O21" s="49">
        <f>'Input Actual2024-25'!O118</f>
        <v>2066570</v>
      </c>
      <c r="P21" s="49">
        <f>'Input Actual2024-25'!P118</f>
        <v>2002180</v>
      </c>
      <c r="Q21" s="5">
        <f t="shared" si="0"/>
        <v>19079319</v>
      </c>
    </row>
    <row r="22" spans="3:17" x14ac:dyDescent="0.35">
      <c r="D22" s="3" t="s">
        <v>7</v>
      </c>
      <c r="E22" s="5">
        <f t="shared" ref="E22:P22" si="1">IF(E20=0,0,E20-E19)</f>
        <v>-54727.058651288506</v>
      </c>
      <c r="F22" s="5">
        <f t="shared" si="1"/>
        <v>617981.61473634816</v>
      </c>
      <c r="G22" s="5">
        <f t="shared" si="1"/>
        <v>420466.6574717327</v>
      </c>
      <c r="H22" s="5">
        <f t="shared" si="1"/>
        <v>397333.49858794408</v>
      </c>
      <c r="I22" s="5">
        <f t="shared" si="1"/>
        <v>60319.606221922906</v>
      </c>
      <c r="J22" s="5">
        <f t="shared" si="1"/>
        <v>-116316.73732002382</v>
      </c>
      <c r="K22" s="5">
        <f t="shared" si="1"/>
        <v>1108303.582921298</v>
      </c>
      <c r="L22" s="5">
        <f t="shared" si="1"/>
        <v>384712.48930658959</v>
      </c>
      <c r="M22" s="5">
        <f t="shared" si="1"/>
        <v>0</v>
      </c>
      <c r="N22" s="5">
        <f t="shared" si="1"/>
        <v>0</v>
      </c>
      <c r="O22" s="5">
        <f t="shared" si="1"/>
        <v>0</v>
      </c>
      <c r="P22" s="5">
        <f t="shared" si="1"/>
        <v>0</v>
      </c>
      <c r="Q22" s="5">
        <f t="shared" si="0"/>
        <v>2818073.6532745231</v>
      </c>
    </row>
    <row r="23" spans="3:17" x14ac:dyDescent="0.35">
      <c r="D23" s="3" t="s">
        <v>43</v>
      </c>
      <c r="E23" s="9">
        <f>E21/E19</f>
        <v>0.76416414099434171</v>
      </c>
      <c r="F23" s="9">
        <f t="shared" ref="F23:P23" si="2">F20/F19</f>
        <v>1.3522510422650222</v>
      </c>
      <c r="G23" s="9">
        <f t="shared" si="2"/>
        <v>1.2395775893727561</v>
      </c>
      <c r="H23" s="9">
        <f t="shared" si="2"/>
        <v>1.2278057858629958</v>
      </c>
      <c r="I23" s="9">
        <f t="shared" si="2"/>
        <v>1.0347819726018295</v>
      </c>
      <c r="J23" s="9">
        <f t="shared" si="2"/>
        <v>0.93252254771326193</v>
      </c>
      <c r="K23" s="9">
        <f t="shared" si="2"/>
        <v>1.6453093456773276</v>
      </c>
      <c r="L23" s="9">
        <f t="shared" si="2"/>
        <v>1.2249481352048934</v>
      </c>
      <c r="M23" s="9">
        <f t="shared" si="2"/>
        <v>0</v>
      </c>
      <c r="N23" s="9">
        <f t="shared" si="2"/>
        <v>0</v>
      </c>
      <c r="O23" s="9">
        <f t="shared" si="2"/>
        <v>0</v>
      </c>
      <c r="P23" s="9">
        <f t="shared" si="2"/>
        <v>0</v>
      </c>
    </row>
    <row r="25" spans="3:17" x14ac:dyDescent="0.35">
      <c r="C25" s="7" t="s">
        <v>3</v>
      </c>
      <c r="E25" s="11">
        <f>E18</f>
        <v>45839</v>
      </c>
      <c r="F25" s="11">
        <f t="shared" ref="F25:P25" si="3">F18</f>
        <v>45870</v>
      </c>
      <c r="G25" s="11">
        <f t="shared" si="3"/>
        <v>45901</v>
      </c>
      <c r="H25" s="11">
        <f t="shared" si="3"/>
        <v>45931</v>
      </c>
      <c r="I25" s="11">
        <f t="shared" si="3"/>
        <v>45962</v>
      </c>
      <c r="J25" s="11">
        <f t="shared" si="3"/>
        <v>45992</v>
      </c>
      <c r="K25" s="11">
        <f t="shared" si="3"/>
        <v>46023</v>
      </c>
      <c r="L25" s="11">
        <f t="shared" si="3"/>
        <v>46054</v>
      </c>
      <c r="M25" s="11">
        <f t="shared" si="3"/>
        <v>46082</v>
      </c>
      <c r="N25" s="11">
        <f t="shared" si="3"/>
        <v>46113</v>
      </c>
      <c r="O25" s="11">
        <f t="shared" si="3"/>
        <v>46143</v>
      </c>
      <c r="P25" s="11">
        <f t="shared" si="3"/>
        <v>46174</v>
      </c>
    </row>
    <row r="26" spans="3:17" x14ac:dyDescent="0.35">
      <c r="D26" s="3" t="str">
        <f>D19</f>
        <v>Budget 2025-26</v>
      </c>
      <c r="E26" s="5">
        <f>SUM($E19:E19)</f>
        <v>1752927.0586512885</v>
      </c>
      <c r="F26" s="5">
        <f>SUM($E19:F19)</f>
        <v>3507305.4439149406</v>
      </c>
      <c r="G26" s="5">
        <f>SUM($E19:G19)</f>
        <v>5262338.7864432074</v>
      </c>
      <c r="H26" s="5">
        <f>SUM($E19:H19)</f>
        <v>7006515.2878552638</v>
      </c>
      <c r="I26" s="5">
        <f>SUM($E19:I19)</f>
        <v>8740735.6816333402</v>
      </c>
      <c r="J26" s="5">
        <f>SUM($E19:J19)</f>
        <v>10464522.418953365</v>
      </c>
      <c r="K26" s="5">
        <f>SUM($E19:K19)</f>
        <v>12181998.836032066</v>
      </c>
      <c r="L26" s="5">
        <f>SUM($E19:L19)</f>
        <v>13892226.346725477</v>
      </c>
      <c r="M26" s="5">
        <f>SUM($E19:M19)</f>
        <v>15594920.504822925</v>
      </c>
      <c r="N26" s="5">
        <f>SUM($E19:N19)</f>
        <v>17292970.664046325</v>
      </c>
      <c r="O26" s="5">
        <f>SUM($E19:O19)</f>
        <v>18986520.793359727</v>
      </c>
      <c r="P26" s="5">
        <f>SUM($E19:P19)</f>
        <v>20675674.719991684</v>
      </c>
    </row>
    <row r="27" spans="3:17" x14ac:dyDescent="0.35">
      <c r="D27" s="3" t="str">
        <f t="shared" ref="D27:D30" si="4">D20</f>
        <v>Actual 2025-26</v>
      </c>
      <c r="E27" s="5">
        <f>SUM($E20:E20)</f>
        <v>1698200</v>
      </c>
      <c r="F27" s="5">
        <f>SUM($E20:F20)</f>
        <v>4070560</v>
      </c>
      <c r="G27" s="5">
        <f>SUM($E20:G20)</f>
        <v>6246060</v>
      </c>
      <c r="H27" s="5">
        <f>SUM($E20:H20)</f>
        <v>8387570</v>
      </c>
      <c r="I27" s="5">
        <f>SUM($E20:I20)</f>
        <v>10182110</v>
      </c>
      <c r="J27" s="5">
        <f>SUM($E20:J20)</f>
        <v>11789580</v>
      </c>
      <c r="K27" s="5">
        <f>SUM($E20:K20)</f>
        <v>14615360</v>
      </c>
      <c r="L27" s="5">
        <f>SUM($E20:L20)</f>
        <v>16710300</v>
      </c>
      <c r="M27" s="5">
        <f>SUM($E20:M20)</f>
        <v>16710300</v>
      </c>
      <c r="N27" s="5">
        <f>SUM($E20:N20)</f>
        <v>16710300</v>
      </c>
      <c r="O27" s="5">
        <f>SUM($E20:O20)</f>
        <v>16710300</v>
      </c>
      <c r="P27" s="5">
        <f>SUM($E20:P20)</f>
        <v>16710300</v>
      </c>
    </row>
    <row r="28" spans="3:17" x14ac:dyDescent="0.35">
      <c r="D28" s="3" t="str">
        <f t="shared" si="4"/>
        <v>Actual 2024-25</v>
      </c>
      <c r="E28" s="5">
        <f>SUM($E21:E21)</f>
        <v>1339524</v>
      </c>
      <c r="F28" s="5">
        <f>SUM($E21:F21)</f>
        <v>2958587</v>
      </c>
      <c r="G28" s="5">
        <f>SUM($E21:G21)</f>
        <v>4275172</v>
      </c>
      <c r="H28" s="5">
        <f>SUM($E21:H21)</f>
        <v>5795865</v>
      </c>
      <c r="I28" s="5">
        <f>SUM($E21:I21)</f>
        <v>7225992</v>
      </c>
      <c r="J28" s="5">
        <f>SUM($E21:J21)</f>
        <v>8168792</v>
      </c>
      <c r="K28" s="5">
        <f>SUM($E21:K21)</f>
        <v>10131025</v>
      </c>
      <c r="L28" s="5">
        <f>SUM($E21:L21)</f>
        <v>11580421</v>
      </c>
      <c r="M28" s="5">
        <f>SUM($E21:M21)</f>
        <v>13052929</v>
      </c>
      <c r="N28" s="5">
        <f>SUM($E21:N21)</f>
        <v>15010569</v>
      </c>
      <c r="O28" s="5">
        <f>SUM($E21:O21)</f>
        <v>17077139</v>
      </c>
      <c r="P28" s="5">
        <f>SUM($E21:P21)</f>
        <v>19079319</v>
      </c>
    </row>
    <row r="29" spans="3:17" x14ac:dyDescent="0.35">
      <c r="D29" s="3" t="str">
        <f t="shared" si="4"/>
        <v>Difference</v>
      </c>
      <c r="E29" s="5">
        <f>SUM($E22:E22)</f>
        <v>-54727.058651288506</v>
      </c>
      <c r="F29" s="5">
        <f>SUM($E22:F22)</f>
        <v>563254.55608505965</v>
      </c>
      <c r="G29" s="5">
        <f>SUM($E22:G22)</f>
        <v>983721.21355679235</v>
      </c>
      <c r="H29" s="5">
        <f>SUM($E22:H22)</f>
        <v>1381054.7121447364</v>
      </c>
      <c r="I29" s="5">
        <f>SUM($E22:I22)</f>
        <v>1441374.3183666593</v>
      </c>
      <c r="J29" s="5">
        <f>SUM($E22:J22)</f>
        <v>1325057.5810466355</v>
      </c>
      <c r="K29" s="5">
        <f>SUM($E22:K22)</f>
        <v>2433361.1639679335</v>
      </c>
      <c r="L29" s="5">
        <f>SUM($E22:L22)</f>
        <v>2818073.6532745231</v>
      </c>
      <c r="M29" s="5">
        <f>SUM($E22:M22)</f>
        <v>2818073.6532745231</v>
      </c>
      <c r="N29" s="5">
        <f>SUM($E22:N22)</f>
        <v>2818073.6532745231</v>
      </c>
      <c r="O29" s="5">
        <f>SUM($E22:O22)</f>
        <v>2818073.6532745231</v>
      </c>
      <c r="P29" s="5">
        <f>SUM($E22:P22)</f>
        <v>2818073.6532745231</v>
      </c>
    </row>
    <row r="30" spans="3:17" x14ac:dyDescent="0.35">
      <c r="D30" s="3" t="str">
        <f t="shared" si="4"/>
        <v>Realisation</v>
      </c>
      <c r="E30" s="9">
        <f>E28/E26</f>
        <v>0.76416414099434171</v>
      </c>
      <c r="F30" s="9">
        <f t="shared" ref="F30:P30" si="5">F27/F26</f>
        <v>1.160594668782637</v>
      </c>
      <c r="G30" s="9">
        <f t="shared" si="5"/>
        <v>1.186936123552335</v>
      </c>
      <c r="H30" s="9">
        <f t="shared" si="5"/>
        <v>1.197110069043678</v>
      </c>
      <c r="I30" s="9">
        <f t="shared" si="5"/>
        <v>1.1649030894957022</v>
      </c>
      <c r="J30" s="9">
        <f t="shared" si="5"/>
        <v>1.1266237987742935</v>
      </c>
      <c r="K30" s="9">
        <f t="shared" si="5"/>
        <v>1.1997505661197823</v>
      </c>
      <c r="L30" s="9">
        <f t="shared" si="5"/>
        <v>1.2028525581818474</v>
      </c>
      <c r="M30" s="9">
        <f t="shared" si="5"/>
        <v>1.0715219737626831</v>
      </c>
      <c r="N30" s="9">
        <f t="shared" si="5"/>
        <v>0.9663059242182287</v>
      </c>
      <c r="O30" s="9">
        <f t="shared" si="5"/>
        <v>0.88011385455328905</v>
      </c>
      <c r="P30" s="9">
        <f t="shared" si="5"/>
        <v>0.80821062559291035</v>
      </c>
    </row>
  </sheetData>
  <mergeCells count="2">
    <mergeCell ref="J4:Q8"/>
    <mergeCell ref="J10:Q15"/>
  </mergeCells>
  <conditionalFormatting sqref="C3">
    <cfRule type="expression" dxfId="233" priority="2">
      <formula>S4&lt;S6</formula>
    </cfRule>
  </conditionalFormatting>
  <conditionalFormatting sqref="C5">
    <cfRule type="expression" dxfId="232" priority="3">
      <formula>S4&gt;=S5</formula>
    </cfRule>
  </conditionalFormatting>
  <conditionalFormatting sqref="C4">
    <cfRule type="expression" dxfId="231" priority="1">
      <formula>AND(S4&gt;=S6,S4&lt;S5)</formula>
    </cfRule>
  </conditionalFormatting>
  <hyperlinks>
    <hyperlink ref="L1" location="Dashboard!A1" display="Dashboard"/>
  </hyperlinks>
  <pageMargins left="0.7" right="0.7" top="0.75" bottom="0.75" header="0.3" footer="0.3"/>
  <pageSetup orientation="portrait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31169" r:id="rId4" name="Spinner 1">
              <controlPr defaultSize="0" autoPict="0">
                <anchor moveWithCells="1" sizeWithCells="1">
                  <from>
                    <xdr:col>9</xdr:col>
                    <xdr:colOff>19050</xdr:colOff>
                    <xdr:row>0</xdr:row>
                    <xdr:rowOff>38100</xdr:rowOff>
                  </from>
                  <to>
                    <xdr:col>9</xdr:col>
                    <xdr:colOff>400050</xdr:colOff>
                    <xdr:row>1</xdr:row>
                    <xdr:rowOff>152400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1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96">
    <tabColor rgb="FFFFC000"/>
  </sheetPr>
  <dimension ref="A1:S30"/>
  <sheetViews>
    <sheetView zoomScale="90" zoomScaleNormal="90" workbookViewId="0">
      <selection activeCell="L1" sqref="L1"/>
    </sheetView>
  </sheetViews>
  <sheetFormatPr defaultColWidth="9.1796875" defaultRowHeight="14.5" x14ac:dyDescent="0.35"/>
  <cols>
    <col min="1" max="1" width="9.1796875" style="3"/>
    <col min="2" max="2" width="5.1796875" style="3" customWidth="1"/>
    <col min="3" max="3" width="6.26953125" style="3" customWidth="1"/>
    <col min="4" max="4" width="21.26953125" style="3" bestFit="1" customWidth="1"/>
    <col min="5" max="16" width="11.1796875" style="3" customWidth="1"/>
    <col min="17" max="17" width="12" style="3" bestFit="1" customWidth="1"/>
    <col min="18" max="18" width="9.1796875" style="3" customWidth="1"/>
    <col min="19" max="16384" width="9.1796875" style="3"/>
  </cols>
  <sheetData>
    <row r="1" spans="1:19" ht="21" x14ac:dyDescent="0.5">
      <c r="A1" s="4" t="s">
        <v>4</v>
      </c>
      <c r="B1" s="4">
        <f>Dashboard!A133</f>
        <v>2</v>
      </c>
      <c r="C1" s="4" t="str">
        <f>Dashboard!B133</f>
        <v>CCCR - WATER(KES)</v>
      </c>
      <c r="D1" s="4"/>
      <c r="G1" s="3" t="s">
        <v>9</v>
      </c>
      <c r="I1" s="12">
        <f>INDEX($E$18:$P$18,Actual_month)</f>
        <v>46054</v>
      </c>
      <c r="L1" s="16" t="s">
        <v>19</v>
      </c>
      <c r="R1" s="5"/>
    </row>
    <row r="2" spans="1:19" x14ac:dyDescent="0.35">
      <c r="A2" s="3" t="s">
        <v>13</v>
      </c>
      <c r="C2" s="3" t="s">
        <v>27</v>
      </c>
      <c r="R2" s="6"/>
    </row>
    <row r="3" spans="1:19" ht="25.5" customHeight="1" thickBot="1" x14ac:dyDescent="0.4">
      <c r="C3" s="1" t="s">
        <v>5</v>
      </c>
      <c r="E3" s="10"/>
      <c r="F3" s="10"/>
      <c r="G3" s="10"/>
      <c r="H3" s="10"/>
      <c r="I3" s="10"/>
      <c r="J3" s="3" t="s">
        <v>6</v>
      </c>
      <c r="K3" s="10"/>
      <c r="M3" s="10"/>
      <c r="N3" s="10"/>
      <c r="O3" s="10"/>
      <c r="P3" s="10"/>
    </row>
    <row r="4" spans="1:19" ht="25.5" customHeight="1" x14ac:dyDescent="0.35">
      <c r="C4" s="1" t="s">
        <v>5</v>
      </c>
      <c r="E4" s="10"/>
      <c r="F4" s="10"/>
      <c r="G4" s="10"/>
      <c r="H4" s="10"/>
      <c r="I4" s="10"/>
      <c r="J4" s="401"/>
      <c r="K4" s="402"/>
      <c r="L4" s="402"/>
      <c r="M4" s="402"/>
      <c r="N4" s="402"/>
      <c r="O4" s="402"/>
      <c r="P4" s="402"/>
      <c r="Q4" s="403"/>
      <c r="R4" s="3" t="s">
        <v>22</v>
      </c>
      <c r="S4" s="5">
        <f>INDEX(E27:P27,Actual_month)</f>
        <v>16864000</v>
      </c>
    </row>
    <row r="5" spans="1:19" ht="25.5" customHeight="1" x14ac:dyDescent="0.35">
      <c r="C5" s="1" t="s">
        <v>5</v>
      </c>
      <c r="E5" s="10"/>
      <c r="F5" s="10"/>
      <c r="G5" s="10"/>
      <c r="H5" s="10"/>
      <c r="I5" s="10"/>
      <c r="J5" s="404"/>
      <c r="K5" s="405"/>
      <c r="L5" s="405"/>
      <c r="M5" s="405"/>
      <c r="N5" s="405"/>
      <c r="O5" s="405"/>
      <c r="P5" s="405"/>
      <c r="Q5" s="406"/>
      <c r="R5" s="3" t="s">
        <v>23</v>
      </c>
      <c r="S5" s="5">
        <f>INDEX(E26:P26,Actual_month)</f>
        <v>13844515.540707203</v>
      </c>
    </row>
    <row r="6" spans="1:19" x14ac:dyDescent="0.35">
      <c r="J6" s="404"/>
      <c r="K6" s="405"/>
      <c r="L6" s="405"/>
      <c r="M6" s="405"/>
      <c r="N6" s="405"/>
      <c r="O6" s="405"/>
      <c r="P6" s="405"/>
      <c r="Q6" s="406"/>
      <c r="R6" s="6">
        <v>0.9</v>
      </c>
      <c r="S6" s="5">
        <f>+S5*R6</f>
        <v>12460063.986636482</v>
      </c>
    </row>
    <row r="7" spans="1:19" x14ac:dyDescent="0.35">
      <c r="J7" s="404"/>
      <c r="K7" s="405"/>
      <c r="L7" s="405"/>
      <c r="M7" s="405"/>
      <c r="N7" s="405"/>
      <c r="O7" s="405"/>
      <c r="P7" s="405"/>
      <c r="Q7" s="406"/>
    </row>
    <row r="8" spans="1:19" ht="15" thickBot="1" x14ac:dyDescent="0.4">
      <c r="J8" s="407"/>
      <c r="K8" s="408"/>
      <c r="L8" s="408"/>
      <c r="M8" s="408"/>
      <c r="N8" s="408"/>
      <c r="O8" s="408"/>
      <c r="P8" s="408"/>
      <c r="Q8" s="409"/>
    </row>
    <row r="9" spans="1:19" ht="15" thickBot="1" x14ac:dyDescent="0.4">
      <c r="J9" s="3" t="s">
        <v>12</v>
      </c>
    </row>
    <row r="10" spans="1:19" x14ac:dyDescent="0.35">
      <c r="J10" s="401"/>
      <c r="K10" s="402"/>
      <c r="L10" s="402"/>
      <c r="M10" s="402"/>
      <c r="N10" s="402"/>
      <c r="O10" s="402"/>
      <c r="P10" s="402"/>
      <c r="Q10" s="403"/>
    </row>
    <row r="11" spans="1:19" x14ac:dyDescent="0.35">
      <c r="J11" s="404"/>
      <c r="K11" s="405"/>
      <c r="L11" s="405"/>
      <c r="M11" s="405"/>
      <c r="N11" s="405"/>
      <c r="O11" s="405"/>
      <c r="P11" s="405"/>
      <c r="Q11" s="406"/>
    </row>
    <row r="12" spans="1:19" x14ac:dyDescent="0.35">
      <c r="J12" s="404"/>
      <c r="K12" s="405"/>
      <c r="L12" s="405"/>
      <c r="M12" s="405"/>
      <c r="N12" s="405"/>
      <c r="O12" s="405"/>
      <c r="P12" s="405"/>
      <c r="Q12" s="406"/>
    </row>
    <row r="13" spans="1:19" x14ac:dyDescent="0.35">
      <c r="J13" s="404"/>
      <c r="K13" s="405"/>
      <c r="L13" s="405"/>
      <c r="M13" s="405"/>
      <c r="N13" s="405"/>
      <c r="O13" s="405"/>
      <c r="P13" s="405"/>
      <c r="Q13" s="406"/>
    </row>
    <row r="14" spans="1:19" x14ac:dyDescent="0.35">
      <c r="J14" s="404"/>
      <c r="K14" s="405"/>
      <c r="L14" s="405"/>
      <c r="M14" s="405"/>
      <c r="N14" s="405"/>
      <c r="O14" s="405"/>
      <c r="P14" s="405"/>
      <c r="Q14" s="406"/>
    </row>
    <row r="15" spans="1:19" ht="15" thickBot="1" x14ac:dyDescent="0.4">
      <c r="J15" s="407"/>
      <c r="K15" s="408"/>
      <c r="L15" s="408"/>
      <c r="M15" s="408"/>
      <c r="N15" s="408"/>
      <c r="O15" s="408"/>
      <c r="P15" s="408"/>
      <c r="Q15" s="409"/>
    </row>
    <row r="18" spans="3:17" x14ac:dyDescent="0.35">
      <c r="C18" s="7" t="s">
        <v>8</v>
      </c>
      <c r="E18" s="11">
        <f>'KPI 1'!E18</f>
        <v>45839</v>
      </c>
      <c r="F18" s="11">
        <f>'KPI 1'!F18</f>
        <v>45870</v>
      </c>
      <c r="G18" s="11">
        <f>'KPI 1'!G18</f>
        <v>45901</v>
      </c>
      <c r="H18" s="11">
        <f>'KPI 1'!H18</f>
        <v>45931</v>
      </c>
      <c r="I18" s="11">
        <f>'KPI 1'!I18</f>
        <v>45962</v>
      </c>
      <c r="J18" s="11">
        <f>'KPI 1'!J18</f>
        <v>45992</v>
      </c>
      <c r="K18" s="11">
        <f>'KPI 1'!K18</f>
        <v>46023</v>
      </c>
      <c r="L18" s="11">
        <f>'KPI 1'!L18</f>
        <v>46054</v>
      </c>
      <c r="M18" s="11">
        <f>'KPI 1'!M18</f>
        <v>46082</v>
      </c>
      <c r="N18" s="11">
        <f>'KPI 1'!N18</f>
        <v>46113</v>
      </c>
      <c r="O18" s="11">
        <f>'KPI 1'!O18</f>
        <v>46143</v>
      </c>
      <c r="P18" s="11">
        <f>'KPI 1'!P18</f>
        <v>46174</v>
      </c>
      <c r="Q18" s="8" t="s">
        <v>0</v>
      </c>
    </row>
    <row r="19" spans="3:17" x14ac:dyDescent="0.35">
      <c r="D19" s="3" t="str">
        <f>'KPI 1'!D19</f>
        <v>Budget 2025-26</v>
      </c>
      <c r="E19" s="49">
        <f>'budget 2025-26'!D125</f>
        <v>1663282.8427858627</v>
      </c>
      <c r="F19" s="49">
        <f>'budget 2025-26'!E125</f>
        <v>1688782.9571948145</v>
      </c>
      <c r="G19" s="49">
        <f>'budget 2025-26'!F125</f>
        <v>1713512.5255645295</v>
      </c>
      <c r="H19" s="49">
        <f>'budget 2025-26'!G125</f>
        <v>1726829.9130229065</v>
      </c>
      <c r="I19" s="49">
        <f>'budget 2025-26'!H125</f>
        <v>1740721.2827597526</v>
      </c>
      <c r="J19" s="49">
        <f>'budget 2025-26'!I125</f>
        <v>1753821.9649670271</v>
      </c>
      <c r="K19" s="49">
        <f>'budget 2025-26'!J125</f>
        <v>1770856.9003018704</v>
      </c>
      <c r="L19" s="49">
        <f>'budget 2025-26'!K125</f>
        <v>1786707.1541104387</v>
      </c>
      <c r="M19" s="49">
        <f>'budget 2025-26'!L125</f>
        <v>1802027.094127028</v>
      </c>
      <c r="N19" s="49">
        <f>'budget 2025-26'!M125</f>
        <v>1820207.7035114679</v>
      </c>
      <c r="O19" s="49">
        <f>'budget 2025-26'!N125</f>
        <v>1838387.0224189812</v>
      </c>
      <c r="P19" s="49">
        <f>'budget 2025-26'!O125</f>
        <v>1856527.1105331483</v>
      </c>
      <c r="Q19" s="5">
        <f>SUM(E19:P19)</f>
        <v>21161664.471297827</v>
      </c>
    </row>
    <row r="20" spans="3:17" x14ac:dyDescent="0.35">
      <c r="D20" s="3" t="str">
        <f>'KPI 1'!D20</f>
        <v>Actual 2025-26</v>
      </c>
      <c r="E20" s="49">
        <f>'Input Actual2025-26'!E128</f>
        <v>2129980</v>
      </c>
      <c r="F20" s="49">
        <f>'Input Actual2025-26'!F128</f>
        <v>2042080</v>
      </c>
      <c r="G20" s="49">
        <f>'Input Actual2025-26'!G128</f>
        <v>1745610</v>
      </c>
      <c r="H20" s="49">
        <f>'Input Actual2025-26'!H128</f>
        <v>2179260</v>
      </c>
      <c r="I20" s="49">
        <f>'Input Actual2025-26'!I128</f>
        <v>2007170</v>
      </c>
      <c r="J20" s="49">
        <f>'Input Actual2025-26'!J128</f>
        <v>1665490</v>
      </c>
      <c r="K20" s="49">
        <f>'Input Actual2025-26'!K128</f>
        <v>2790210</v>
      </c>
      <c r="L20" s="49">
        <f>'Input Actual2025-26'!L128</f>
        <v>2304200</v>
      </c>
      <c r="M20" s="49">
        <f>'Input Actual2025-26'!M128</f>
        <v>0</v>
      </c>
      <c r="N20" s="49">
        <f>'Input Actual2025-26'!N128</f>
        <v>0</v>
      </c>
      <c r="O20" s="49">
        <f>'Input Actual2025-26'!O128</f>
        <v>0</v>
      </c>
      <c r="P20" s="49">
        <f>'Input Actual2025-26'!P128</f>
        <v>0</v>
      </c>
      <c r="Q20" s="5">
        <f t="shared" ref="Q20:Q22" si="0">SUM(E20:P20)</f>
        <v>16864000</v>
      </c>
    </row>
    <row r="21" spans="3:17" x14ac:dyDescent="0.35">
      <c r="D21" s="3" t="s">
        <v>424</v>
      </c>
      <c r="E21" s="49">
        <f>'Input Actual2024-25'!E119</f>
        <v>1114108</v>
      </c>
      <c r="F21" s="49">
        <f>'Input Actual2024-25'!F119</f>
        <v>1869561</v>
      </c>
      <c r="G21" s="49">
        <f>'Input Actual2024-25'!G119</f>
        <v>1298593</v>
      </c>
      <c r="H21" s="49">
        <f>'Input Actual2024-25'!H119</f>
        <v>1287677</v>
      </c>
      <c r="I21" s="49">
        <f>'Input Actual2024-25'!I119</f>
        <v>1286819</v>
      </c>
      <c r="J21" s="49">
        <f>'Input Actual2024-25'!J119</f>
        <v>1014450</v>
      </c>
      <c r="K21" s="49">
        <f>'Input Actual2024-25'!K119</f>
        <v>1701580</v>
      </c>
      <c r="L21" s="49">
        <f>'Input Actual2024-25'!L119</f>
        <v>1456091</v>
      </c>
      <c r="M21" s="49">
        <f>'Input Actual2024-25'!M119</f>
        <v>1493201</v>
      </c>
      <c r="N21" s="49">
        <f>'Input Actual2024-25'!N119</f>
        <v>1903160</v>
      </c>
      <c r="O21" s="49">
        <f>'Input Actual2024-25'!O119</f>
        <v>2465470</v>
      </c>
      <c r="P21" s="49">
        <f>'Input Actual2024-25'!P119</f>
        <v>2483450</v>
      </c>
      <c r="Q21" s="5">
        <f t="shared" si="0"/>
        <v>19374160</v>
      </c>
    </row>
    <row r="22" spans="3:17" x14ac:dyDescent="0.35">
      <c r="D22" s="3" t="s">
        <v>7</v>
      </c>
      <c r="E22" s="5">
        <f t="shared" ref="E22:P22" si="1">IF(E20=0,0,E20-E19)</f>
        <v>466697.15721413726</v>
      </c>
      <c r="F22" s="5">
        <f t="shared" si="1"/>
        <v>353297.04280518554</v>
      </c>
      <c r="G22" s="5">
        <f t="shared" si="1"/>
        <v>32097.474435470533</v>
      </c>
      <c r="H22" s="5">
        <f t="shared" si="1"/>
        <v>452430.08697709348</v>
      </c>
      <c r="I22" s="5">
        <f t="shared" si="1"/>
        <v>266448.71724024741</v>
      </c>
      <c r="J22" s="5">
        <f t="shared" si="1"/>
        <v>-88331.964967027074</v>
      </c>
      <c r="K22" s="5">
        <f t="shared" si="1"/>
        <v>1019353.0996981296</v>
      </c>
      <c r="L22" s="5">
        <f t="shared" si="1"/>
        <v>517492.84588956134</v>
      </c>
      <c r="M22" s="5">
        <f t="shared" si="1"/>
        <v>0</v>
      </c>
      <c r="N22" s="5">
        <f t="shared" si="1"/>
        <v>0</v>
      </c>
      <c r="O22" s="5">
        <f t="shared" si="1"/>
        <v>0</v>
      </c>
      <c r="P22" s="5">
        <f t="shared" si="1"/>
        <v>0</v>
      </c>
      <c r="Q22" s="5">
        <f t="shared" si="0"/>
        <v>3019484.4592927978</v>
      </c>
    </row>
    <row r="23" spans="3:17" x14ac:dyDescent="0.35">
      <c r="D23" s="3" t="s">
        <v>43</v>
      </c>
      <c r="E23" s="9">
        <f>E21/E19</f>
        <v>0.6698247413734878</v>
      </c>
      <c r="F23" s="9">
        <f t="shared" ref="F23:P23" si="2">F20/F19</f>
        <v>1.2092021602302503</v>
      </c>
      <c r="G23" s="9">
        <f t="shared" si="2"/>
        <v>1.0187319753760748</v>
      </c>
      <c r="H23" s="9">
        <f t="shared" si="2"/>
        <v>1.2620003762762546</v>
      </c>
      <c r="I23" s="9">
        <f t="shared" si="2"/>
        <v>1.1530679953644374</v>
      </c>
      <c r="J23" s="9">
        <f t="shared" si="2"/>
        <v>0.94963458849787652</v>
      </c>
      <c r="K23" s="9">
        <f t="shared" si="2"/>
        <v>1.5756270309161429</v>
      </c>
      <c r="L23" s="9">
        <f t="shared" si="2"/>
        <v>1.2896349548380297</v>
      </c>
      <c r="M23" s="9">
        <f t="shared" si="2"/>
        <v>0</v>
      </c>
      <c r="N23" s="9">
        <f t="shared" si="2"/>
        <v>0</v>
      </c>
      <c r="O23" s="9">
        <f t="shared" si="2"/>
        <v>0</v>
      </c>
      <c r="P23" s="9">
        <f t="shared" si="2"/>
        <v>0</v>
      </c>
    </row>
    <row r="25" spans="3:17" x14ac:dyDescent="0.35">
      <c r="C25" s="7" t="s">
        <v>3</v>
      </c>
      <c r="E25" s="11">
        <f>E18</f>
        <v>45839</v>
      </c>
      <c r="F25" s="11">
        <f t="shared" ref="F25:P25" si="3">F18</f>
        <v>45870</v>
      </c>
      <c r="G25" s="11">
        <f t="shared" si="3"/>
        <v>45901</v>
      </c>
      <c r="H25" s="11">
        <f t="shared" si="3"/>
        <v>45931</v>
      </c>
      <c r="I25" s="11">
        <f t="shared" si="3"/>
        <v>45962</v>
      </c>
      <c r="J25" s="11">
        <f t="shared" si="3"/>
        <v>45992</v>
      </c>
      <c r="K25" s="11">
        <f t="shared" si="3"/>
        <v>46023</v>
      </c>
      <c r="L25" s="11">
        <f t="shared" si="3"/>
        <v>46054</v>
      </c>
      <c r="M25" s="11">
        <f t="shared" si="3"/>
        <v>46082</v>
      </c>
      <c r="N25" s="11">
        <f t="shared" si="3"/>
        <v>46113</v>
      </c>
      <c r="O25" s="11">
        <f t="shared" si="3"/>
        <v>46143</v>
      </c>
      <c r="P25" s="11">
        <f t="shared" si="3"/>
        <v>46174</v>
      </c>
    </row>
    <row r="26" spans="3:17" x14ac:dyDescent="0.35">
      <c r="D26" s="3" t="str">
        <f>D19</f>
        <v>Budget 2025-26</v>
      </c>
      <c r="E26" s="5">
        <f>SUM($E19:E19)</f>
        <v>1663282.8427858627</v>
      </c>
      <c r="F26" s="5">
        <f>SUM($E19:F19)</f>
        <v>3352065.7999806772</v>
      </c>
      <c r="G26" s="5">
        <f>SUM($E19:G19)</f>
        <v>5065578.3255452067</v>
      </c>
      <c r="H26" s="5">
        <f>SUM($E19:H19)</f>
        <v>6792408.2385681132</v>
      </c>
      <c r="I26" s="5">
        <f>SUM($E19:I19)</f>
        <v>8533129.5213278662</v>
      </c>
      <c r="J26" s="5">
        <f>SUM($E19:J19)</f>
        <v>10286951.486294894</v>
      </c>
      <c r="K26" s="5">
        <f>SUM($E19:K19)</f>
        <v>12057808.386596764</v>
      </c>
      <c r="L26" s="5">
        <f>SUM($E19:L19)</f>
        <v>13844515.540707203</v>
      </c>
      <c r="M26" s="5">
        <f>SUM($E19:M19)</f>
        <v>15646542.63483423</v>
      </c>
      <c r="N26" s="5">
        <f>SUM($E19:N19)</f>
        <v>17466750.338345699</v>
      </c>
      <c r="O26" s="5">
        <f>SUM($E19:O19)</f>
        <v>19305137.360764679</v>
      </c>
      <c r="P26" s="5">
        <f>SUM($E19:P19)</f>
        <v>21161664.471297827</v>
      </c>
    </row>
    <row r="27" spans="3:17" x14ac:dyDescent="0.35">
      <c r="D27" s="3" t="str">
        <f t="shared" ref="D27:D30" si="4">D20</f>
        <v>Actual 2025-26</v>
      </c>
      <c r="E27" s="5">
        <f>SUM($E20:E20)</f>
        <v>2129980</v>
      </c>
      <c r="F27" s="5">
        <f>SUM($E20:F20)</f>
        <v>4172060</v>
      </c>
      <c r="G27" s="5">
        <f>SUM($E20:G20)</f>
        <v>5917670</v>
      </c>
      <c r="H27" s="5">
        <f>SUM($E20:H20)</f>
        <v>8096930</v>
      </c>
      <c r="I27" s="5">
        <f>SUM($E20:I20)</f>
        <v>10104100</v>
      </c>
      <c r="J27" s="5">
        <f>SUM($E20:J20)</f>
        <v>11769590</v>
      </c>
      <c r="K27" s="5">
        <f>SUM($E20:K20)</f>
        <v>14559800</v>
      </c>
      <c r="L27" s="5">
        <f>SUM($E20:L20)</f>
        <v>16864000</v>
      </c>
      <c r="M27" s="5">
        <f>SUM($E20:M20)</f>
        <v>16864000</v>
      </c>
      <c r="N27" s="5">
        <f>SUM($E20:N20)</f>
        <v>16864000</v>
      </c>
      <c r="O27" s="5">
        <f>SUM($E20:O20)</f>
        <v>16864000</v>
      </c>
      <c r="P27" s="5">
        <f>SUM($E20:P20)</f>
        <v>16864000</v>
      </c>
    </row>
    <row r="28" spans="3:17" x14ac:dyDescent="0.35">
      <c r="D28" s="3" t="str">
        <f t="shared" si="4"/>
        <v>Actual 2024-25</v>
      </c>
      <c r="E28" s="5">
        <f>SUM($E21:E21)</f>
        <v>1114108</v>
      </c>
      <c r="F28" s="5">
        <f>SUM($E21:F21)</f>
        <v>2983669</v>
      </c>
      <c r="G28" s="5">
        <f>SUM($E21:G21)</f>
        <v>4282262</v>
      </c>
      <c r="H28" s="5">
        <f>SUM($E21:H21)</f>
        <v>5569939</v>
      </c>
      <c r="I28" s="5">
        <f>SUM($E21:I21)</f>
        <v>6856758</v>
      </c>
      <c r="J28" s="5">
        <f>SUM($E21:J21)</f>
        <v>7871208</v>
      </c>
      <c r="K28" s="5">
        <f>SUM($E21:K21)</f>
        <v>9572788</v>
      </c>
      <c r="L28" s="5">
        <f>SUM($E21:L21)</f>
        <v>11028879</v>
      </c>
      <c r="M28" s="5">
        <f>SUM($E21:M21)</f>
        <v>12522080</v>
      </c>
      <c r="N28" s="5">
        <f>SUM($E21:N21)</f>
        <v>14425240</v>
      </c>
      <c r="O28" s="5">
        <f>SUM($E21:O21)</f>
        <v>16890710</v>
      </c>
      <c r="P28" s="5">
        <f>SUM($E21:P21)</f>
        <v>19374160</v>
      </c>
    </row>
    <row r="29" spans="3:17" x14ac:dyDescent="0.35">
      <c r="D29" s="3" t="str">
        <f t="shared" si="4"/>
        <v>Difference</v>
      </c>
      <c r="E29" s="5">
        <f>SUM($E22:E22)</f>
        <v>466697.15721413726</v>
      </c>
      <c r="F29" s="5">
        <f>SUM($E22:F22)</f>
        <v>819994.2000193228</v>
      </c>
      <c r="G29" s="5">
        <f>SUM($E22:G22)</f>
        <v>852091.67445479333</v>
      </c>
      <c r="H29" s="5">
        <f>SUM($E22:H22)</f>
        <v>1304521.7614318868</v>
      </c>
      <c r="I29" s="5">
        <f>SUM($E22:I22)</f>
        <v>1570970.4786721342</v>
      </c>
      <c r="J29" s="5">
        <f>SUM($E22:J22)</f>
        <v>1482638.5137051072</v>
      </c>
      <c r="K29" s="5">
        <f>SUM($E22:K22)</f>
        <v>2501991.6134032365</v>
      </c>
      <c r="L29" s="5">
        <f>SUM($E22:L22)</f>
        <v>3019484.4592927978</v>
      </c>
      <c r="M29" s="5">
        <f>SUM($E22:M22)</f>
        <v>3019484.4592927978</v>
      </c>
      <c r="N29" s="5">
        <f>SUM($E22:N22)</f>
        <v>3019484.4592927978</v>
      </c>
      <c r="O29" s="5">
        <f>SUM($E22:O22)</f>
        <v>3019484.4592927978</v>
      </c>
      <c r="P29" s="5">
        <f>SUM($E22:P22)</f>
        <v>3019484.4592927978</v>
      </c>
    </row>
    <row r="30" spans="3:17" x14ac:dyDescent="0.35">
      <c r="D30" s="3" t="str">
        <f t="shared" si="4"/>
        <v>Realisation</v>
      </c>
      <c r="E30" s="9">
        <f>E28/E26</f>
        <v>0.6698247413734878</v>
      </c>
      <c r="F30" s="9">
        <f t="shared" ref="F30:P30" si="5">F27/F26</f>
        <v>1.244623539318366</v>
      </c>
      <c r="G30" s="9">
        <f t="shared" si="5"/>
        <v>1.1682121210440632</v>
      </c>
      <c r="H30" s="9">
        <f t="shared" si="5"/>
        <v>1.1920558534783958</v>
      </c>
      <c r="I30" s="9">
        <f t="shared" si="5"/>
        <v>1.1841025001138938</v>
      </c>
      <c r="J30" s="9">
        <f t="shared" si="5"/>
        <v>1.1441280748412586</v>
      </c>
      <c r="K30" s="9">
        <f t="shared" si="5"/>
        <v>1.2074996992143616</v>
      </c>
      <c r="L30" s="9">
        <f t="shared" si="5"/>
        <v>1.2180996836194498</v>
      </c>
      <c r="M30" s="9">
        <f t="shared" si="5"/>
        <v>1.0778099925062883</v>
      </c>
      <c r="N30" s="9">
        <f t="shared" si="5"/>
        <v>0.96549155815077703</v>
      </c>
      <c r="O30" s="9">
        <f t="shared" si="5"/>
        <v>0.87354985799137641</v>
      </c>
      <c r="P30" s="9">
        <f t="shared" si="5"/>
        <v>0.79691273920693373</v>
      </c>
    </row>
  </sheetData>
  <mergeCells count="2">
    <mergeCell ref="J4:Q8"/>
    <mergeCell ref="J10:Q15"/>
  </mergeCells>
  <conditionalFormatting sqref="C3">
    <cfRule type="expression" dxfId="230" priority="2">
      <formula>S4&lt;S6</formula>
    </cfRule>
  </conditionalFormatting>
  <conditionalFormatting sqref="C5">
    <cfRule type="expression" dxfId="229" priority="3">
      <formula>S4&gt;=S5</formula>
    </cfRule>
  </conditionalFormatting>
  <conditionalFormatting sqref="C4">
    <cfRule type="expression" dxfId="228" priority="1">
      <formula>AND(S4&gt;=S6,S4&lt;S5)</formula>
    </cfRule>
  </conditionalFormatting>
  <hyperlinks>
    <hyperlink ref="L1" location="Dashboard!A1" display="Dashboard"/>
  </hyperlinks>
  <pageMargins left="0.7" right="0.7" top="0.75" bottom="0.75" header="0.3" footer="0.3"/>
  <pageSetup orientation="portrait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32193" r:id="rId4" name="Spinner 1">
              <controlPr defaultSize="0" autoPict="0">
                <anchor moveWithCells="1" sizeWithCells="1">
                  <from>
                    <xdr:col>9</xdr:col>
                    <xdr:colOff>19050</xdr:colOff>
                    <xdr:row>0</xdr:row>
                    <xdr:rowOff>38100</xdr:rowOff>
                  </from>
                  <to>
                    <xdr:col>9</xdr:col>
                    <xdr:colOff>400050</xdr:colOff>
                    <xdr:row>1</xdr:row>
                    <xdr:rowOff>152400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1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97">
    <tabColor rgb="FFFFC000"/>
  </sheetPr>
  <dimension ref="A1:S30"/>
  <sheetViews>
    <sheetView zoomScale="90" zoomScaleNormal="90" workbookViewId="0">
      <selection activeCell="L1" sqref="L1"/>
    </sheetView>
  </sheetViews>
  <sheetFormatPr defaultColWidth="9.1796875" defaultRowHeight="14.5" x14ac:dyDescent="0.35"/>
  <cols>
    <col min="1" max="1" width="9.1796875" style="3"/>
    <col min="2" max="2" width="5.1796875" style="3" customWidth="1"/>
    <col min="3" max="3" width="6.26953125" style="3" customWidth="1"/>
    <col min="4" max="4" width="21.26953125" style="3" bestFit="1" customWidth="1"/>
    <col min="5" max="16" width="11.1796875" style="3" customWidth="1"/>
    <col min="17" max="17" width="12" style="3" bestFit="1" customWidth="1"/>
    <col min="18" max="18" width="9.1796875" style="3" customWidth="1"/>
    <col min="19" max="16384" width="9.1796875" style="3"/>
  </cols>
  <sheetData>
    <row r="1" spans="1:19" ht="21" x14ac:dyDescent="0.5">
      <c r="A1" s="4" t="s">
        <v>4</v>
      </c>
      <c r="B1" s="4">
        <f>Dashboard!A134</f>
        <v>3</v>
      </c>
      <c r="C1" s="4" t="str">
        <f>Dashboard!B134</f>
        <v>KABATI - WATER(KES)</v>
      </c>
      <c r="D1" s="4"/>
      <c r="G1" s="3" t="s">
        <v>9</v>
      </c>
      <c r="I1" s="12">
        <f>INDEX($E$18:$P$18,Actual_month)</f>
        <v>46054</v>
      </c>
      <c r="L1" s="16" t="s">
        <v>19</v>
      </c>
      <c r="R1" s="5"/>
    </row>
    <row r="2" spans="1:19" x14ac:dyDescent="0.35">
      <c r="A2" s="3" t="s">
        <v>13</v>
      </c>
      <c r="C2" s="3" t="s">
        <v>27</v>
      </c>
      <c r="R2" s="6"/>
    </row>
    <row r="3" spans="1:19" ht="25.5" customHeight="1" thickBot="1" x14ac:dyDescent="0.4">
      <c r="C3" s="1" t="s">
        <v>5</v>
      </c>
      <c r="E3" s="10"/>
      <c r="F3" s="10"/>
      <c r="G3" s="10"/>
      <c r="H3" s="10"/>
      <c r="I3" s="10"/>
      <c r="J3" s="3" t="s">
        <v>6</v>
      </c>
      <c r="K3" s="10"/>
      <c r="M3" s="10"/>
      <c r="N3" s="10"/>
      <c r="O3" s="10"/>
      <c r="P3" s="10"/>
    </row>
    <row r="4" spans="1:19" ht="25.5" customHeight="1" x14ac:dyDescent="0.35">
      <c r="C4" s="1" t="s">
        <v>5</v>
      </c>
      <c r="E4" s="10"/>
      <c r="F4" s="10"/>
      <c r="G4" s="10"/>
      <c r="H4" s="10"/>
      <c r="I4" s="10"/>
      <c r="J4" s="401"/>
      <c r="K4" s="402"/>
      <c r="L4" s="402"/>
      <c r="M4" s="402"/>
      <c r="N4" s="402"/>
      <c r="O4" s="402"/>
      <c r="P4" s="402"/>
      <c r="Q4" s="403"/>
      <c r="R4" s="3" t="s">
        <v>22</v>
      </c>
      <c r="S4" s="5">
        <f>INDEX(E27:P27,Actual_month)</f>
        <v>12125250</v>
      </c>
    </row>
    <row r="5" spans="1:19" ht="25.5" customHeight="1" x14ac:dyDescent="0.35">
      <c r="C5" s="1" t="s">
        <v>5</v>
      </c>
      <c r="E5" s="10"/>
      <c r="F5" s="10"/>
      <c r="G5" s="10"/>
      <c r="H5" s="10"/>
      <c r="I5" s="10"/>
      <c r="J5" s="404"/>
      <c r="K5" s="405"/>
      <c r="L5" s="405"/>
      <c r="M5" s="405"/>
      <c r="N5" s="405"/>
      <c r="O5" s="405"/>
      <c r="P5" s="405"/>
      <c r="Q5" s="406"/>
      <c r="R5" s="3" t="s">
        <v>23</v>
      </c>
      <c r="S5" s="5">
        <f>INDEX(E26:P26,Actual_month)</f>
        <v>11516257.751294963</v>
      </c>
    </row>
    <row r="6" spans="1:19" x14ac:dyDescent="0.35">
      <c r="J6" s="404"/>
      <c r="K6" s="405"/>
      <c r="L6" s="405"/>
      <c r="M6" s="405"/>
      <c r="N6" s="405"/>
      <c r="O6" s="405"/>
      <c r="P6" s="405"/>
      <c r="Q6" s="406"/>
      <c r="R6" s="6">
        <v>0.9</v>
      </c>
      <c r="S6" s="5">
        <f>+S5*R6</f>
        <v>10364631.976165468</v>
      </c>
    </row>
    <row r="7" spans="1:19" x14ac:dyDescent="0.35">
      <c r="J7" s="404"/>
      <c r="K7" s="405"/>
      <c r="L7" s="405"/>
      <c r="M7" s="405"/>
      <c r="N7" s="405"/>
      <c r="O7" s="405"/>
      <c r="P7" s="405"/>
      <c r="Q7" s="406"/>
    </row>
    <row r="8" spans="1:19" ht="15" thickBot="1" x14ac:dyDescent="0.4">
      <c r="J8" s="407"/>
      <c r="K8" s="408"/>
      <c r="L8" s="408"/>
      <c r="M8" s="408"/>
      <c r="N8" s="408"/>
      <c r="O8" s="408"/>
      <c r="P8" s="408"/>
      <c r="Q8" s="409"/>
    </row>
    <row r="9" spans="1:19" ht="15" thickBot="1" x14ac:dyDescent="0.4">
      <c r="J9" s="3" t="s">
        <v>12</v>
      </c>
    </row>
    <row r="10" spans="1:19" x14ac:dyDescent="0.35">
      <c r="J10" s="401"/>
      <c r="K10" s="402"/>
      <c r="L10" s="402"/>
      <c r="M10" s="402"/>
      <c r="N10" s="402"/>
      <c r="O10" s="402"/>
      <c r="P10" s="402"/>
      <c r="Q10" s="403"/>
    </row>
    <row r="11" spans="1:19" x14ac:dyDescent="0.35">
      <c r="J11" s="404"/>
      <c r="K11" s="405"/>
      <c r="L11" s="405"/>
      <c r="M11" s="405"/>
      <c r="N11" s="405"/>
      <c r="O11" s="405"/>
      <c r="P11" s="405"/>
      <c r="Q11" s="406"/>
    </row>
    <row r="12" spans="1:19" x14ac:dyDescent="0.35">
      <c r="J12" s="404"/>
      <c r="K12" s="405"/>
      <c r="L12" s="405"/>
      <c r="M12" s="405"/>
      <c r="N12" s="405"/>
      <c r="O12" s="405"/>
      <c r="P12" s="405"/>
      <c r="Q12" s="406"/>
    </row>
    <row r="13" spans="1:19" x14ac:dyDescent="0.35">
      <c r="J13" s="404"/>
      <c r="K13" s="405"/>
      <c r="L13" s="405"/>
      <c r="M13" s="405"/>
      <c r="N13" s="405"/>
      <c r="O13" s="405"/>
      <c r="P13" s="405"/>
      <c r="Q13" s="406"/>
    </row>
    <row r="14" spans="1:19" x14ac:dyDescent="0.35">
      <c r="J14" s="404"/>
      <c r="K14" s="405"/>
      <c r="L14" s="405"/>
      <c r="M14" s="405"/>
      <c r="N14" s="405"/>
      <c r="O14" s="405"/>
      <c r="P14" s="405"/>
      <c r="Q14" s="406"/>
    </row>
    <row r="15" spans="1:19" ht="15" thickBot="1" x14ac:dyDescent="0.4">
      <c r="J15" s="407"/>
      <c r="K15" s="408"/>
      <c r="L15" s="408"/>
      <c r="M15" s="408"/>
      <c r="N15" s="408"/>
      <c r="O15" s="408"/>
      <c r="P15" s="408"/>
      <c r="Q15" s="409"/>
    </row>
    <row r="18" spans="3:17" x14ac:dyDescent="0.35">
      <c r="C18" s="7" t="s">
        <v>8</v>
      </c>
      <c r="E18" s="11">
        <f>'KPI 1'!E18</f>
        <v>45839</v>
      </c>
      <c r="F18" s="11">
        <f>'KPI 1'!F18</f>
        <v>45870</v>
      </c>
      <c r="G18" s="11">
        <f>'KPI 1'!G18</f>
        <v>45901</v>
      </c>
      <c r="H18" s="11">
        <f>'KPI 1'!H18</f>
        <v>45931</v>
      </c>
      <c r="I18" s="11">
        <f>'KPI 1'!I18</f>
        <v>45962</v>
      </c>
      <c r="J18" s="11">
        <f>'KPI 1'!J18</f>
        <v>45992</v>
      </c>
      <c r="K18" s="11">
        <f>'KPI 1'!K18</f>
        <v>46023</v>
      </c>
      <c r="L18" s="11">
        <f>'KPI 1'!L18</f>
        <v>46054</v>
      </c>
      <c r="M18" s="11">
        <f>'KPI 1'!M18</f>
        <v>46082</v>
      </c>
      <c r="N18" s="11">
        <f>'KPI 1'!N18</f>
        <v>46113</v>
      </c>
      <c r="O18" s="11">
        <f>'KPI 1'!O18</f>
        <v>46143</v>
      </c>
      <c r="P18" s="11">
        <f>'KPI 1'!P18</f>
        <v>46174</v>
      </c>
      <c r="Q18" s="8" t="s">
        <v>0</v>
      </c>
    </row>
    <row r="19" spans="3:17" x14ac:dyDescent="0.35">
      <c r="D19" s="3" t="str">
        <f>'KPI 1'!D19</f>
        <v>Budget 2025-26</v>
      </c>
      <c r="E19" s="49">
        <f>'budget 2025-26'!D126</f>
        <v>1424748.1160304756</v>
      </c>
      <c r="F19" s="49">
        <f>'budget 2025-26'!E126</f>
        <v>1434113.9838862398</v>
      </c>
      <c r="G19" s="49">
        <f>'budget 2025-26'!F126</f>
        <v>1442827.5194822694</v>
      </c>
      <c r="H19" s="49">
        <f>'budget 2025-26'!G126</f>
        <v>1442018.4930026892</v>
      </c>
      <c r="I19" s="49">
        <f>'budget 2025-26'!H126</f>
        <v>1441846.3140103987</v>
      </c>
      <c r="J19" s="49">
        <f>'budget 2025-26'!I126</f>
        <v>1441171.4390759747</v>
      </c>
      <c r="K19" s="49">
        <f>'budget 2025-26'!J126</f>
        <v>1443855.3311388872</v>
      </c>
      <c r="L19" s="49">
        <f>'budget 2025-26'!K126</f>
        <v>1445676.5546680286</v>
      </c>
      <c r="M19" s="49">
        <f>'budget 2025-26'!L126</f>
        <v>1447178.2126143673</v>
      </c>
      <c r="N19" s="49">
        <f>'budget 2025-26'!M126</f>
        <v>1451068.6953090201</v>
      </c>
      <c r="O19" s="49">
        <f>'budget 2025-26'!N126</f>
        <v>1455029.3974738852</v>
      </c>
      <c r="P19" s="49">
        <f>'budget 2025-26'!O126</f>
        <v>1459027.7430380341</v>
      </c>
      <c r="Q19" s="5">
        <f>SUM(E19:P19)</f>
        <v>17328561.799730271</v>
      </c>
    </row>
    <row r="20" spans="3:17" x14ac:dyDescent="0.35">
      <c r="D20" s="3" t="str">
        <f>'KPI 1'!D20</f>
        <v>Actual 2025-26</v>
      </c>
      <c r="E20" s="49">
        <f>'Input Actual2025-26'!E129</f>
        <v>1280450</v>
      </c>
      <c r="F20" s="49">
        <f>'Input Actual2025-26'!F129</f>
        <v>1521880</v>
      </c>
      <c r="G20" s="49">
        <f>'Input Actual2025-26'!G129</f>
        <v>1571080</v>
      </c>
      <c r="H20" s="49">
        <f>'Input Actual2025-26'!H129</f>
        <v>1604850</v>
      </c>
      <c r="I20" s="49">
        <f>'Input Actual2025-26'!I129</f>
        <v>1361310</v>
      </c>
      <c r="J20" s="49">
        <f>'Input Actual2025-26'!J129</f>
        <v>1217340</v>
      </c>
      <c r="K20" s="49">
        <f>'Input Actual2025-26'!K129</f>
        <v>2060930</v>
      </c>
      <c r="L20" s="49">
        <f>'Input Actual2025-26'!L129</f>
        <v>1507410</v>
      </c>
      <c r="M20" s="49">
        <f>'Input Actual2025-26'!M129</f>
        <v>0</v>
      </c>
      <c r="N20" s="49">
        <f>'Input Actual2025-26'!N129</f>
        <v>0</v>
      </c>
      <c r="O20" s="49">
        <f>'Input Actual2025-26'!O129</f>
        <v>0</v>
      </c>
      <c r="P20" s="49">
        <f>'Input Actual2025-26'!P129</f>
        <v>0</v>
      </c>
      <c r="Q20" s="5">
        <f t="shared" ref="Q20:Q22" si="0">SUM(E20:P20)</f>
        <v>12125250</v>
      </c>
    </row>
    <row r="21" spans="3:17" x14ac:dyDescent="0.35">
      <c r="D21" s="3" t="s">
        <v>424</v>
      </c>
      <c r="E21" s="49">
        <f>'Input Actual2024-25'!E120</f>
        <v>805899</v>
      </c>
      <c r="F21" s="49">
        <f>'Input Actual2024-25'!F120</f>
        <v>1120045</v>
      </c>
      <c r="G21" s="49">
        <f>'Input Actual2024-25'!G120</f>
        <v>947174</v>
      </c>
      <c r="H21" s="49">
        <f>'Input Actual2024-25'!H120</f>
        <v>955648</v>
      </c>
      <c r="I21" s="49">
        <f>'Input Actual2024-25'!I120</f>
        <v>1063398</v>
      </c>
      <c r="J21" s="49">
        <f>'Input Actual2024-25'!J120</f>
        <v>702522</v>
      </c>
      <c r="K21" s="49">
        <f>'Input Actual2024-25'!K120</f>
        <v>1250369</v>
      </c>
      <c r="L21" s="49">
        <f>'Input Actual2024-25'!L120</f>
        <v>1017374</v>
      </c>
      <c r="M21" s="49">
        <f>'Input Actual2024-25'!M120</f>
        <v>1183196</v>
      </c>
      <c r="N21" s="49">
        <f>'Input Actual2024-25'!N120</f>
        <v>1435580</v>
      </c>
      <c r="O21" s="49">
        <f>'Input Actual2024-25'!O120</f>
        <v>1589320</v>
      </c>
      <c r="P21" s="49">
        <f>'Input Actual2024-25'!P120</f>
        <v>1653920</v>
      </c>
      <c r="Q21" s="5">
        <f t="shared" si="0"/>
        <v>13724445</v>
      </c>
    </row>
    <row r="22" spans="3:17" x14ac:dyDescent="0.35">
      <c r="D22" s="3" t="s">
        <v>7</v>
      </c>
      <c r="E22" s="5">
        <f t="shared" ref="E22:P22" si="1">IF(E20=0,0,E20-E19)</f>
        <v>-144298.11603047559</v>
      </c>
      <c r="F22" s="5">
        <f t="shared" si="1"/>
        <v>87766.016113760183</v>
      </c>
      <c r="G22" s="5">
        <f t="shared" si="1"/>
        <v>128252.48051773058</v>
      </c>
      <c r="H22" s="5">
        <f t="shared" si="1"/>
        <v>162831.50699731079</v>
      </c>
      <c r="I22" s="5">
        <f t="shared" si="1"/>
        <v>-80536.314010398695</v>
      </c>
      <c r="J22" s="5">
        <f t="shared" si="1"/>
        <v>-223831.43907597475</v>
      </c>
      <c r="K22" s="5">
        <f t="shared" si="1"/>
        <v>617074.66886111279</v>
      </c>
      <c r="L22" s="5">
        <f t="shared" si="1"/>
        <v>61733.445331971394</v>
      </c>
      <c r="M22" s="5">
        <f t="shared" si="1"/>
        <v>0</v>
      </c>
      <c r="N22" s="5">
        <f t="shared" si="1"/>
        <v>0</v>
      </c>
      <c r="O22" s="5">
        <f t="shared" si="1"/>
        <v>0</v>
      </c>
      <c r="P22" s="5">
        <f t="shared" si="1"/>
        <v>0</v>
      </c>
      <c r="Q22" s="5">
        <f t="shared" si="0"/>
        <v>608992.24870503671</v>
      </c>
    </row>
    <row r="23" spans="3:17" x14ac:dyDescent="0.35">
      <c r="D23" s="3" t="s">
        <v>43</v>
      </c>
      <c r="E23" s="9">
        <f>E21/E19</f>
        <v>0.56564314136124938</v>
      </c>
      <c r="F23" s="9">
        <f t="shared" ref="F23:P23" si="2">F20/F19</f>
        <v>1.0611987729705605</v>
      </c>
      <c r="G23" s="9">
        <f t="shared" si="2"/>
        <v>1.0888896827832557</v>
      </c>
      <c r="H23" s="9">
        <f t="shared" si="2"/>
        <v>1.112919153108952</v>
      </c>
      <c r="I23" s="9">
        <f t="shared" si="2"/>
        <v>0.94414362111424177</v>
      </c>
      <c r="J23" s="9">
        <f t="shared" si="2"/>
        <v>0.84468784697850585</v>
      </c>
      <c r="K23" s="9">
        <f t="shared" si="2"/>
        <v>1.4273798458564233</v>
      </c>
      <c r="L23" s="9">
        <f t="shared" si="2"/>
        <v>1.0427021141988067</v>
      </c>
      <c r="M23" s="9">
        <f t="shared" si="2"/>
        <v>0</v>
      </c>
      <c r="N23" s="9">
        <f t="shared" si="2"/>
        <v>0</v>
      </c>
      <c r="O23" s="9">
        <f t="shared" si="2"/>
        <v>0</v>
      </c>
      <c r="P23" s="9">
        <f t="shared" si="2"/>
        <v>0</v>
      </c>
    </row>
    <row r="25" spans="3:17" x14ac:dyDescent="0.35">
      <c r="C25" s="7" t="s">
        <v>3</v>
      </c>
      <c r="E25" s="11">
        <f>E18</f>
        <v>45839</v>
      </c>
      <c r="F25" s="11">
        <f t="shared" ref="F25:P25" si="3">F18</f>
        <v>45870</v>
      </c>
      <c r="G25" s="11">
        <f t="shared" si="3"/>
        <v>45901</v>
      </c>
      <c r="H25" s="11">
        <f t="shared" si="3"/>
        <v>45931</v>
      </c>
      <c r="I25" s="11">
        <f t="shared" si="3"/>
        <v>45962</v>
      </c>
      <c r="J25" s="11">
        <f t="shared" si="3"/>
        <v>45992</v>
      </c>
      <c r="K25" s="11">
        <f t="shared" si="3"/>
        <v>46023</v>
      </c>
      <c r="L25" s="11">
        <f t="shared" si="3"/>
        <v>46054</v>
      </c>
      <c r="M25" s="11">
        <f t="shared" si="3"/>
        <v>46082</v>
      </c>
      <c r="N25" s="11">
        <f t="shared" si="3"/>
        <v>46113</v>
      </c>
      <c r="O25" s="11">
        <f t="shared" si="3"/>
        <v>46143</v>
      </c>
      <c r="P25" s="11">
        <f t="shared" si="3"/>
        <v>46174</v>
      </c>
    </row>
    <row r="26" spans="3:17" x14ac:dyDescent="0.35">
      <c r="D26" s="3" t="str">
        <f>D19</f>
        <v>Budget 2025-26</v>
      </c>
      <c r="E26" s="5">
        <f>SUM($E19:E19)</f>
        <v>1424748.1160304756</v>
      </c>
      <c r="F26" s="5">
        <f>SUM($E19:F19)</f>
        <v>2858862.0999167152</v>
      </c>
      <c r="G26" s="5">
        <f>SUM($E19:G19)</f>
        <v>4301689.6193989851</v>
      </c>
      <c r="H26" s="5">
        <f>SUM($E19:H19)</f>
        <v>5743708.1124016745</v>
      </c>
      <c r="I26" s="5">
        <f>SUM($E19:I19)</f>
        <v>7185554.426412073</v>
      </c>
      <c r="J26" s="5">
        <f>SUM($E19:J19)</f>
        <v>8626725.8654880486</v>
      </c>
      <c r="K26" s="5">
        <f>SUM($E19:K19)</f>
        <v>10070581.196626935</v>
      </c>
      <c r="L26" s="5">
        <f>SUM($E19:L19)</f>
        <v>11516257.751294963</v>
      </c>
      <c r="M26" s="5">
        <f>SUM($E19:M19)</f>
        <v>12963435.96390933</v>
      </c>
      <c r="N26" s="5">
        <f>SUM($E19:N19)</f>
        <v>14414504.65921835</v>
      </c>
      <c r="O26" s="5">
        <f>SUM($E19:O19)</f>
        <v>15869534.056692235</v>
      </c>
      <c r="P26" s="5">
        <f>SUM($E19:P19)</f>
        <v>17328561.799730271</v>
      </c>
    </row>
    <row r="27" spans="3:17" x14ac:dyDescent="0.35">
      <c r="D27" s="3" t="str">
        <f t="shared" ref="D27:D30" si="4">D20</f>
        <v>Actual 2025-26</v>
      </c>
      <c r="E27" s="5">
        <f>SUM($E20:E20)</f>
        <v>1280450</v>
      </c>
      <c r="F27" s="5">
        <f>SUM($E20:F20)</f>
        <v>2802330</v>
      </c>
      <c r="G27" s="5">
        <f>SUM($E20:G20)</f>
        <v>4373410</v>
      </c>
      <c r="H27" s="5">
        <f>SUM($E20:H20)</f>
        <v>5978260</v>
      </c>
      <c r="I27" s="5">
        <f>SUM($E20:I20)</f>
        <v>7339570</v>
      </c>
      <c r="J27" s="5">
        <f>SUM($E20:J20)</f>
        <v>8556910</v>
      </c>
      <c r="K27" s="5">
        <f>SUM($E20:K20)</f>
        <v>10617840</v>
      </c>
      <c r="L27" s="5">
        <f>SUM($E20:L20)</f>
        <v>12125250</v>
      </c>
      <c r="M27" s="5">
        <f>SUM($E20:M20)</f>
        <v>12125250</v>
      </c>
      <c r="N27" s="5">
        <f>SUM($E20:N20)</f>
        <v>12125250</v>
      </c>
      <c r="O27" s="5">
        <f>SUM($E20:O20)</f>
        <v>12125250</v>
      </c>
      <c r="P27" s="5">
        <f>SUM($E20:P20)</f>
        <v>12125250</v>
      </c>
    </row>
    <row r="28" spans="3:17" x14ac:dyDescent="0.35">
      <c r="D28" s="3" t="str">
        <f t="shared" si="4"/>
        <v>Actual 2024-25</v>
      </c>
      <c r="E28" s="5">
        <f>SUM($E21:E21)</f>
        <v>805899</v>
      </c>
      <c r="F28" s="5">
        <f>SUM($E21:F21)</f>
        <v>1925944</v>
      </c>
      <c r="G28" s="5">
        <f>SUM($E21:G21)</f>
        <v>2873118</v>
      </c>
      <c r="H28" s="5">
        <f>SUM($E21:H21)</f>
        <v>3828766</v>
      </c>
      <c r="I28" s="5">
        <f>SUM($E21:I21)</f>
        <v>4892164</v>
      </c>
      <c r="J28" s="5">
        <f>SUM($E21:J21)</f>
        <v>5594686</v>
      </c>
      <c r="K28" s="5">
        <f>SUM($E21:K21)</f>
        <v>6845055</v>
      </c>
      <c r="L28" s="5">
        <f>SUM($E21:L21)</f>
        <v>7862429</v>
      </c>
      <c r="M28" s="5">
        <f>SUM($E21:M21)</f>
        <v>9045625</v>
      </c>
      <c r="N28" s="5">
        <f>SUM($E21:N21)</f>
        <v>10481205</v>
      </c>
      <c r="O28" s="5">
        <f>SUM($E21:O21)</f>
        <v>12070525</v>
      </c>
      <c r="P28" s="5">
        <f>SUM($E21:P21)</f>
        <v>13724445</v>
      </c>
    </row>
    <row r="29" spans="3:17" x14ac:dyDescent="0.35">
      <c r="D29" s="3" t="str">
        <f t="shared" si="4"/>
        <v>Difference</v>
      </c>
      <c r="E29" s="5">
        <f>SUM($E22:E22)</f>
        <v>-144298.11603047559</v>
      </c>
      <c r="F29" s="5">
        <f>SUM($E22:F22)</f>
        <v>-56532.099916715408</v>
      </c>
      <c r="G29" s="5">
        <f>SUM($E22:G22)</f>
        <v>71720.380601015175</v>
      </c>
      <c r="H29" s="5">
        <f>SUM($E22:H22)</f>
        <v>234551.88759832596</v>
      </c>
      <c r="I29" s="5">
        <f>SUM($E22:I22)</f>
        <v>154015.57358792727</v>
      </c>
      <c r="J29" s="5">
        <f>SUM($E22:J22)</f>
        <v>-69815.865488047479</v>
      </c>
      <c r="K29" s="5">
        <f>SUM($E22:K22)</f>
        <v>547258.80337306531</v>
      </c>
      <c r="L29" s="5">
        <f>SUM($E22:L22)</f>
        <v>608992.24870503671</v>
      </c>
      <c r="M29" s="5">
        <f>SUM($E22:M22)</f>
        <v>608992.24870503671</v>
      </c>
      <c r="N29" s="5">
        <f>SUM($E22:N22)</f>
        <v>608992.24870503671</v>
      </c>
      <c r="O29" s="5">
        <f>SUM($E22:O22)</f>
        <v>608992.24870503671</v>
      </c>
      <c r="P29" s="5">
        <f>SUM($E22:P22)</f>
        <v>608992.24870503671</v>
      </c>
    </row>
    <row r="30" spans="3:17" x14ac:dyDescent="0.35">
      <c r="D30" s="3" t="str">
        <f t="shared" si="4"/>
        <v>Realisation</v>
      </c>
      <c r="E30" s="9">
        <f>E28/E26</f>
        <v>0.56564314136124938</v>
      </c>
      <c r="F30" s="9">
        <f t="shared" ref="F30:P30" si="5">F27/F26</f>
        <v>0.98022566393868316</v>
      </c>
      <c r="G30" s="9">
        <f t="shared" si="5"/>
        <v>1.0166726070327303</v>
      </c>
      <c r="H30" s="9">
        <f t="shared" si="5"/>
        <v>1.0408363174117234</v>
      </c>
      <c r="I30" s="9">
        <f t="shared" si="5"/>
        <v>1.0214340556689416</v>
      </c>
      <c r="J30" s="9">
        <f t="shared" si="5"/>
        <v>0.99190702630677619</v>
      </c>
      <c r="K30" s="9">
        <f t="shared" si="5"/>
        <v>1.0543423256997684</v>
      </c>
      <c r="L30" s="9">
        <f t="shared" si="5"/>
        <v>1.0528810887926294</v>
      </c>
      <c r="M30" s="9">
        <f t="shared" si="5"/>
        <v>0.93534229919884904</v>
      </c>
      <c r="N30" s="9">
        <f t="shared" si="5"/>
        <v>0.84118395232164089</v>
      </c>
      <c r="O30" s="9">
        <f t="shared" si="5"/>
        <v>0.76405834958252861</v>
      </c>
      <c r="P30" s="9">
        <f t="shared" si="5"/>
        <v>0.69972627504428764</v>
      </c>
    </row>
  </sheetData>
  <mergeCells count="2">
    <mergeCell ref="J4:Q8"/>
    <mergeCell ref="J10:Q15"/>
  </mergeCells>
  <conditionalFormatting sqref="C3">
    <cfRule type="expression" dxfId="227" priority="2">
      <formula>S4&lt;S6</formula>
    </cfRule>
  </conditionalFormatting>
  <conditionalFormatting sqref="C5">
    <cfRule type="expression" dxfId="226" priority="3">
      <formula>S4&gt;=S5</formula>
    </cfRule>
  </conditionalFormatting>
  <conditionalFormatting sqref="C4">
    <cfRule type="expression" dxfId="225" priority="1">
      <formula>AND(S4&gt;=S6,S4&lt;S5)</formula>
    </cfRule>
  </conditionalFormatting>
  <hyperlinks>
    <hyperlink ref="L1" location="Dashboard!A1" display="Dashboard"/>
  </hyperlinks>
  <pageMargins left="0.7" right="0.7" top="0.75" bottom="0.75" header="0.3" footer="0.3"/>
  <pageSetup orientation="portrait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33217" r:id="rId4" name="Spinner 1">
              <controlPr defaultSize="0" autoPict="0">
                <anchor moveWithCells="1" sizeWithCells="1">
                  <from>
                    <xdr:col>9</xdr:col>
                    <xdr:colOff>19050</xdr:colOff>
                    <xdr:row>0</xdr:row>
                    <xdr:rowOff>38100</xdr:rowOff>
                  </from>
                  <to>
                    <xdr:col>9</xdr:col>
                    <xdr:colOff>400050</xdr:colOff>
                    <xdr:row>1</xdr:row>
                    <xdr:rowOff>152400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1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98">
    <tabColor rgb="FFFFC000"/>
  </sheetPr>
  <dimension ref="A1:S30"/>
  <sheetViews>
    <sheetView zoomScale="90" zoomScaleNormal="90" workbookViewId="0">
      <selection activeCell="L1" sqref="L1"/>
    </sheetView>
  </sheetViews>
  <sheetFormatPr defaultColWidth="9.1796875" defaultRowHeight="14.5" x14ac:dyDescent="0.35"/>
  <cols>
    <col min="1" max="1" width="9.1796875" style="3"/>
    <col min="2" max="2" width="5.1796875" style="3" customWidth="1"/>
    <col min="3" max="3" width="6.26953125" style="3" customWidth="1"/>
    <col min="4" max="4" width="21.26953125" style="3" bestFit="1" customWidth="1"/>
    <col min="5" max="16" width="11.1796875" style="3" customWidth="1"/>
    <col min="17" max="17" width="12" style="3" bestFit="1" customWidth="1"/>
    <col min="18" max="18" width="9.1796875" style="3" customWidth="1"/>
    <col min="19" max="16384" width="9.1796875" style="3"/>
  </cols>
  <sheetData>
    <row r="1" spans="1:19" ht="21" x14ac:dyDescent="0.5">
      <c r="A1" s="4" t="s">
        <v>4</v>
      </c>
      <c r="B1" s="4">
        <f>Dashboard!A135</f>
        <v>4</v>
      </c>
      <c r="C1" s="4" t="str">
        <f>Dashboard!B135</f>
        <v>SITE - WATER(KES)</v>
      </c>
      <c r="D1" s="4"/>
      <c r="G1" s="3" t="s">
        <v>9</v>
      </c>
      <c r="I1" s="12">
        <f>INDEX($E$18:$P$18,Actual_month)</f>
        <v>46054</v>
      </c>
      <c r="L1" s="16" t="s">
        <v>19</v>
      </c>
      <c r="R1" s="5"/>
    </row>
    <row r="2" spans="1:19" x14ac:dyDescent="0.35">
      <c r="A2" s="3" t="s">
        <v>13</v>
      </c>
      <c r="C2" s="3" t="s">
        <v>27</v>
      </c>
      <c r="R2" s="6"/>
    </row>
    <row r="3" spans="1:19" ht="25.5" customHeight="1" thickBot="1" x14ac:dyDescent="0.4">
      <c r="C3" s="1" t="s">
        <v>5</v>
      </c>
      <c r="E3" s="10"/>
      <c r="F3" s="10"/>
      <c r="G3" s="10"/>
      <c r="H3" s="10"/>
      <c r="I3" s="10"/>
      <c r="J3" s="3" t="s">
        <v>6</v>
      </c>
      <c r="K3" s="10"/>
      <c r="M3" s="10"/>
      <c r="N3" s="10"/>
      <c r="O3" s="10"/>
      <c r="P3" s="10"/>
    </row>
    <row r="4" spans="1:19" ht="25.5" customHeight="1" x14ac:dyDescent="0.35">
      <c r="C4" s="1" t="s">
        <v>5</v>
      </c>
      <c r="E4" s="10"/>
      <c r="F4" s="10"/>
      <c r="G4" s="10"/>
      <c r="H4" s="10"/>
      <c r="I4" s="10"/>
      <c r="J4" s="401"/>
      <c r="K4" s="402"/>
      <c r="L4" s="402"/>
      <c r="M4" s="402"/>
      <c r="N4" s="402"/>
      <c r="O4" s="402"/>
      <c r="P4" s="402"/>
      <c r="Q4" s="403"/>
      <c r="R4" s="3" t="s">
        <v>22</v>
      </c>
      <c r="S4" s="5">
        <f>INDEX(E27:P27,Actual_month)</f>
        <v>10086280</v>
      </c>
    </row>
    <row r="5" spans="1:19" ht="25.5" customHeight="1" x14ac:dyDescent="0.35">
      <c r="C5" s="1" t="s">
        <v>5</v>
      </c>
      <c r="E5" s="10"/>
      <c r="F5" s="10"/>
      <c r="G5" s="10"/>
      <c r="H5" s="10"/>
      <c r="I5" s="10"/>
      <c r="J5" s="404"/>
      <c r="K5" s="405"/>
      <c r="L5" s="405"/>
      <c r="M5" s="405"/>
      <c r="N5" s="405"/>
      <c r="O5" s="405"/>
      <c r="P5" s="405"/>
      <c r="Q5" s="406"/>
      <c r="R5" s="3" t="s">
        <v>23</v>
      </c>
      <c r="S5" s="5">
        <f>INDEX(E26:P26,Actual_month)</f>
        <v>9006259.1079853848</v>
      </c>
    </row>
    <row r="6" spans="1:19" x14ac:dyDescent="0.35">
      <c r="J6" s="404"/>
      <c r="K6" s="405"/>
      <c r="L6" s="405"/>
      <c r="M6" s="405"/>
      <c r="N6" s="405"/>
      <c r="O6" s="405"/>
      <c r="P6" s="405"/>
      <c r="Q6" s="406"/>
      <c r="R6" s="6">
        <v>0.9</v>
      </c>
      <c r="S6" s="5">
        <f>+S5*R6</f>
        <v>8105633.1971868463</v>
      </c>
    </row>
    <row r="7" spans="1:19" x14ac:dyDescent="0.35">
      <c r="J7" s="404"/>
      <c r="K7" s="405"/>
      <c r="L7" s="405"/>
      <c r="M7" s="405"/>
      <c r="N7" s="405"/>
      <c r="O7" s="405"/>
      <c r="P7" s="405"/>
      <c r="Q7" s="406"/>
    </row>
    <row r="8" spans="1:19" ht="15" thickBot="1" x14ac:dyDescent="0.4">
      <c r="J8" s="407"/>
      <c r="K8" s="408"/>
      <c r="L8" s="408"/>
      <c r="M8" s="408"/>
      <c r="N8" s="408"/>
      <c r="O8" s="408"/>
      <c r="P8" s="408"/>
      <c r="Q8" s="409"/>
    </row>
    <row r="9" spans="1:19" ht="15" thickBot="1" x14ac:dyDescent="0.4">
      <c r="J9" s="3" t="s">
        <v>12</v>
      </c>
    </row>
    <row r="10" spans="1:19" x14ac:dyDescent="0.35">
      <c r="J10" s="401"/>
      <c r="K10" s="402"/>
      <c r="L10" s="402"/>
      <c r="M10" s="402"/>
      <c r="N10" s="402"/>
      <c r="O10" s="402"/>
      <c r="P10" s="402"/>
      <c r="Q10" s="403"/>
    </row>
    <row r="11" spans="1:19" x14ac:dyDescent="0.35">
      <c r="J11" s="404"/>
      <c r="K11" s="405"/>
      <c r="L11" s="405"/>
      <c r="M11" s="405"/>
      <c r="N11" s="405"/>
      <c r="O11" s="405"/>
      <c r="P11" s="405"/>
      <c r="Q11" s="406"/>
    </row>
    <row r="12" spans="1:19" x14ac:dyDescent="0.35">
      <c r="J12" s="404"/>
      <c r="K12" s="405"/>
      <c r="L12" s="405"/>
      <c r="M12" s="405"/>
      <c r="N12" s="405"/>
      <c r="O12" s="405"/>
      <c r="P12" s="405"/>
      <c r="Q12" s="406"/>
    </row>
    <row r="13" spans="1:19" x14ac:dyDescent="0.35">
      <c r="J13" s="404"/>
      <c r="K13" s="405"/>
      <c r="L13" s="405"/>
      <c r="M13" s="405"/>
      <c r="N13" s="405"/>
      <c r="O13" s="405"/>
      <c r="P13" s="405"/>
      <c r="Q13" s="406"/>
    </row>
    <row r="14" spans="1:19" x14ac:dyDescent="0.35">
      <c r="J14" s="404"/>
      <c r="K14" s="405"/>
      <c r="L14" s="405"/>
      <c r="M14" s="405"/>
      <c r="N14" s="405"/>
      <c r="O14" s="405"/>
      <c r="P14" s="405"/>
      <c r="Q14" s="406"/>
    </row>
    <row r="15" spans="1:19" ht="15" thickBot="1" x14ac:dyDescent="0.4">
      <c r="J15" s="407"/>
      <c r="K15" s="408"/>
      <c r="L15" s="408"/>
      <c r="M15" s="408"/>
      <c r="N15" s="408"/>
      <c r="O15" s="408"/>
      <c r="P15" s="408"/>
      <c r="Q15" s="409"/>
    </row>
    <row r="18" spans="3:17" x14ac:dyDescent="0.35">
      <c r="C18" s="7" t="s">
        <v>8</v>
      </c>
      <c r="E18" s="11">
        <f>'KPI 1'!E18</f>
        <v>45839</v>
      </c>
      <c r="F18" s="11">
        <f>'KPI 1'!F18</f>
        <v>45870</v>
      </c>
      <c r="G18" s="11">
        <f>'KPI 1'!G18</f>
        <v>45901</v>
      </c>
      <c r="H18" s="11">
        <f>'KPI 1'!H18</f>
        <v>45931</v>
      </c>
      <c r="I18" s="11">
        <f>'KPI 1'!I18</f>
        <v>45962</v>
      </c>
      <c r="J18" s="11">
        <f>'KPI 1'!J18</f>
        <v>45992</v>
      </c>
      <c r="K18" s="11">
        <f>'KPI 1'!K18</f>
        <v>46023</v>
      </c>
      <c r="L18" s="11">
        <f>'KPI 1'!L18</f>
        <v>46054</v>
      </c>
      <c r="M18" s="11">
        <f>'KPI 1'!M18</f>
        <v>46082</v>
      </c>
      <c r="N18" s="11">
        <f>'KPI 1'!N18</f>
        <v>46113</v>
      </c>
      <c r="O18" s="11">
        <f>'KPI 1'!O18</f>
        <v>46143</v>
      </c>
      <c r="P18" s="11">
        <f>'KPI 1'!P18</f>
        <v>46174</v>
      </c>
      <c r="Q18" s="8" t="s">
        <v>0</v>
      </c>
    </row>
    <row r="19" spans="3:17" x14ac:dyDescent="0.35">
      <c r="D19" s="3" t="str">
        <f>'KPI 1'!D19</f>
        <v>Budget 2025-26</v>
      </c>
      <c r="E19" s="49">
        <f>'budget 2025-26'!D127</f>
        <v>1133218.3889606094</v>
      </c>
      <c r="F19" s="49">
        <f>'budget 2025-26'!E127</f>
        <v>1135078.3597499891</v>
      </c>
      <c r="G19" s="49">
        <f>'budget 2025-26'!F127</f>
        <v>1136422.930567394</v>
      </c>
      <c r="H19" s="49">
        <f>'budget 2025-26'!G127</f>
        <v>1130306.7572219612</v>
      </c>
      <c r="I19" s="49">
        <f>'budget 2025-26'!H127</f>
        <v>1124762.1579652634</v>
      </c>
      <c r="J19" s="49">
        <f>'budget 2025-26'!I127</f>
        <v>1118895.9387072914</v>
      </c>
      <c r="K19" s="49">
        <f>'budget 2025-26'!J127</f>
        <v>1115696.1734860314</v>
      </c>
      <c r="L19" s="49">
        <f>'budget 2025-26'!K127</f>
        <v>1111878.4013268447</v>
      </c>
      <c r="M19" s="49">
        <f>'budget 2025-26'!L127</f>
        <v>1107866.7923380483</v>
      </c>
      <c r="N19" s="49">
        <f>'budget 2025-26'!M127</f>
        <v>1105727.6196918457</v>
      </c>
      <c r="O19" s="49">
        <f>'budget 2025-26'!N127</f>
        <v>1103676.2499850402</v>
      </c>
      <c r="P19" s="49">
        <f>'budget 2025-26'!O127</f>
        <v>1101686.7383839148</v>
      </c>
      <c r="Q19" s="5">
        <f>SUM(E19:P19)</f>
        <v>13425216.508384235</v>
      </c>
    </row>
    <row r="20" spans="3:17" x14ac:dyDescent="0.35">
      <c r="D20" s="3" t="str">
        <f>'KPI 1'!D20</f>
        <v>Actual 2025-26</v>
      </c>
      <c r="E20" s="49">
        <f>'Input Actual2025-26'!E130</f>
        <v>1103030</v>
      </c>
      <c r="F20" s="49">
        <f>'Input Actual2025-26'!F130</f>
        <v>1314980</v>
      </c>
      <c r="G20" s="49">
        <f>'Input Actual2025-26'!G130</f>
        <v>1318450</v>
      </c>
      <c r="H20" s="49">
        <f>'Input Actual2025-26'!H130</f>
        <v>1353420</v>
      </c>
      <c r="I20" s="49">
        <f>'Input Actual2025-26'!I130</f>
        <v>1181460</v>
      </c>
      <c r="J20" s="49">
        <f>'Input Actual2025-26'!J130</f>
        <v>939470</v>
      </c>
      <c r="K20" s="49">
        <f>'Input Actual2025-26'!K130</f>
        <v>1641050</v>
      </c>
      <c r="L20" s="49">
        <f>'Input Actual2025-26'!L130</f>
        <v>1234420</v>
      </c>
      <c r="M20" s="49">
        <f>'Input Actual2025-26'!M130</f>
        <v>0</v>
      </c>
      <c r="N20" s="49">
        <f>'Input Actual2025-26'!N130</f>
        <v>0</v>
      </c>
      <c r="O20" s="49">
        <f>'Input Actual2025-26'!O130</f>
        <v>0</v>
      </c>
      <c r="P20" s="49">
        <f>'Input Actual2025-26'!P130</f>
        <v>0</v>
      </c>
      <c r="Q20" s="5">
        <f t="shared" ref="Q20:Q22" si="0">SUM(E20:P20)</f>
        <v>10086280</v>
      </c>
    </row>
    <row r="21" spans="3:17" x14ac:dyDescent="0.35">
      <c r="D21" s="3" t="s">
        <v>424</v>
      </c>
      <c r="E21" s="49">
        <f>'Input Actual2024-25'!E121</f>
        <v>702788</v>
      </c>
      <c r="F21" s="49">
        <f>'Input Actual2024-25'!F121</f>
        <v>803765</v>
      </c>
      <c r="G21" s="49">
        <f>'Input Actual2024-25'!G121</f>
        <v>713204</v>
      </c>
      <c r="H21" s="49">
        <f>'Input Actual2024-25'!H121</f>
        <v>788260</v>
      </c>
      <c r="I21" s="49">
        <f>'Input Actual2024-25'!I121</f>
        <v>769000</v>
      </c>
      <c r="J21" s="49">
        <f>'Input Actual2024-25'!J121</f>
        <v>551820</v>
      </c>
      <c r="K21" s="49">
        <f>'Input Actual2024-25'!K121</f>
        <v>979832</v>
      </c>
      <c r="L21" s="49">
        <f>'Input Actual2024-25'!L121</f>
        <v>752782</v>
      </c>
      <c r="M21" s="49">
        <f>'Input Actual2024-25'!M121</f>
        <v>898811</v>
      </c>
      <c r="N21" s="49">
        <f>'Input Actual2024-25'!N121</f>
        <v>1159540</v>
      </c>
      <c r="O21" s="49">
        <f>'Input Actual2024-25'!O121</f>
        <v>1232510</v>
      </c>
      <c r="P21" s="49">
        <f>'Input Actual2024-25'!P121</f>
        <v>1327580</v>
      </c>
      <c r="Q21" s="5">
        <f t="shared" si="0"/>
        <v>10679892</v>
      </c>
    </row>
    <row r="22" spans="3:17" x14ac:dyDescent="0.35">
      <c r="D22" s="3" t="s">
        <v>7</v>
      </c>
      <c r="E22" s="5">
        <f t="shared" ref="E22:P22" si="1">IF(E20=0,0,E20-E19)</f>
        <v>-30188.388960609445</v>
      </c>
      <c r="F22" s="5">
        <f t="shared" si="1"/>
        <v>179901.64025001088</v>
      </c>
      <c r="G22" s="5">
        <f t="shared" si="1"/>
        <v>182027.06943260599</v>
      </c>
      <c r="H22" s="5">
        <f t="shared" si="1"/>
        <v>223113.24277803884</v>
      </c>
      <c r="I22" s="5">
        <f t="shared" si="1"/>
        <v>56697.842034736648</v>
      </c>
      <c r="J22" s="5">
        <f t="shared" si="1"/>
        <v>-179425.93870729138</v>
      </c>
      <c r="K22" s="5">
        <f t="shared" si="1"/>
        <v>525353.82651396864</v>
      </c>
      <c r="L22" s="5">
        <f t="shared" si="1"/>
        <v>122541.5986731553</v>
      </c>
      <c r="M22" s="5">
        <f t="shared" si="1"/>
        <v>0</v>
      </c>
      <c r="N22" s="5">
        <f t="shared" si="1"/>
        <v>0</v>
      </c>
      <c r="O22" s="5">
        <f t="shared" si="1"/>
        <v>0</v>
      </c>
      <c r="P22" s="5">
        <f t="shared" si="1"/>
        <v>0</v>
      </c>
      <c r="Q22" s="5">
        <f t="shared" si="0"/>
        <v>1080020.8920146155</v>
      </c>
    </row>
    <row r="23" spans="3:17" x14ac:dyDescent="0.35">
      <c r="D23" s="3" t="s">
        <v>43</v>
      </c>
      <c r="E23" s="9">
        <f>E21/E19</f>
        <v>0.6201699573941778</v>
      </c>
      <c r="F23" s="9">
        <f t="shared" ref="F23:P23" si="2">F20/F19</f>
        <v>1.1584927055517433</v>
      </c>
      <c r="G23" s="9">
        <f t="shared" si="2"/>
        <v>1.1601754633213213</v>
      </c>
      <c r="H23" s="9">
        <f t="shared" si="2"/>
        <v>1.1973917623268933</v>
      </c>
      <c r="I23" s="9">
        <f t="shared" si="2"/>
        <v>1.0504087389793635</v>
      </c>
      <c r="J23" s="9">
        <f t="shared" si="2"/>
        <v>0.83964019128124645</v>
      </c>
      <c r="K23" s="9">
        <f t="shared" si="2"/>
        <v>1.4708753502958447</v>
      </c>
      <c r="L23" s="9">
        <f t="shared" si="2"/>
        <v>1.1102113311373996</v>
      </c>
      <c r="M23" s="9">
        <f t="shared" si="2"/>
        <v>0</v>
      </c>
      <c r="N23" s="9">
        <f t="shared" si="2"/>
        <v>0</v>
      </c>
      <c r="O23" s="9">
        <f t="shared" si="2"/>
        <v>0</v>
      </c>
      <c r="P23" s="9">
        <f t="shared" si="2"/>
        <v>0</v>
      </c>
    </row>
    <row r="25" spans="3:17" x14ac:dyDescent="0.35">
      <c r="C25" s="7" t="s">
        <v>3</v>
      </c>
      <c r="E25" s="11">
        <f>E18</f>
        <v>45839</v>
      </c>
      <c r="F25" s="11">
        <f t="shared" ref="F25:P25" si="3">F18</f>
        <v>45870</v>
      </c>
      <c r="G25" s="11">
        <f t="shared" si="3"/>
        <v>45901</v>
      </c>
      <c r="H25" s="11">
        <f t="shared" si="3"/>
        <v>45931</v>
      </c>
      <c r="I25" s="11">
        <f t="shared" si="3"/>
        <v>45962</v>
      </c>
      <c r="J25" s="11">
        <f t="shared" si="3"/>
        <v>45992</v>
      </c>
      <c r="K25" s="11">
        <f t="shared" si="3"/>
        <v>46023</v>
      </c>
      <c r="L25" s="11">
        <f t="shared" si="3"/>
        <v>46054</v>
      </c>
      <c r="M25" s="11">
        <f t="shared" si="3"/>
        <v>46082</v>
      </c>
      <c r="N25" s="11">
        <f t="shared" si="3"/>
        <v>46113</v>
      </c>
      <c r="O25" s="11">
        <f t="shared" si="3"/>
        <v>46143</v>
      </c>
      <c r="P25" s="11">
        <f t="shared" si="3"/>
        <v>46174</v>
      </c>
    </row>
    <row r="26" spans="3:17" x14ac:dyDescent="0.35">
      <c r="D26" s="3" t="str">
        <f>D19</f>
        <v>Budget 2025-26</v>
      </c>
      <c r="E26" s="5">
        <f>SUM($E19:E19)</f>
        <v>1133218.3889606094</v>
      </c>
      <c r="F26" s="5">
        <f>SUM($E19:F19)</f>
        <v>2268296.7487105988</v>
      </c>
      <c r="G26" s="5">
        <f>SUM($E19:G19)</f>
        <v>3404719.6792779928</v>
      </c>
      <c r="H26" s="5">
        <f>SUM($E19:H19)</f>
        <v>4535026.4364999542</v>
      </c>
      <c r="I26" s="5">
        <f>SUM($E19:I19)</f>
        <v>5659788.5944652176</v>
      </c>
      <c r="J26" s="5">
        <f>SUM($E19:J19)</f>
        <v>6778684.5331725087</v>
      </c>
      <c r="K26" s="5">
        <f>SUM($E19:K19)</f>
        <v>7894380.7066585403</v>
      </c>
      <c r="L26" s="5">
        <f>SUM($E19:L19)</f>
        <v>9006259.1079853848</v>
      </c>
      <c r="M26" s="5">
        <f>SUM($E19:M19)</f>
        <v>10114125.900323434</v>
      </c>
      <c r="N26" s="5">
        <f>SUM($E19:N19)</f>
        <v>11219853.520015279</v>
      </c>
      <c r="O26" s="5">
        <f>SUM($E19:O19)</f>
        <v>12323529.77000032</v>
      </c>
      <c r="P26" s="5">
        <f>SUM($E19:P19)</f>
        <v>13425216.508384235</v>
      </c>
    </row>
    <row r="27" spans="3:17" x14ac:dyDescent="0.35">
      <c r="D27" s="3" t="str">
        <f t="shared" ref="D27:D30" si="4">D20</f>
        <v>Actual 2025-26</v>
      </c>
      <c r="E27" s="5">
        <f>SUM($E20:E20)</f>
        <v>1103030</v>
      </c>
      <c r="F27" s="5">
        <f>SUM($E20:F20)</f>
        <v>2418010</v>
      </c>
      <c r="G27" s="5">
        <f>SUM($E20:G20)</f>
        <v>3736460</v>
      </c>
      <c r="H27" s="5">
        <f>SUM($E20:H20)</f>
        <v>5089880</v>
      </c>
      <c r="I27" s="5">
        <f>SUM($E20:I20)</f>
        <v>6271340</v>
      </c>
      <c r="J27" s="5">
        <f>SUM($E20:J20)</f>
        <v>7210810</v>
      </c>
      <c r="K27" s="5">
        <f>SUM($E20:K20)</f>
        <v>8851860</v>
      </c>
      <c r="L27" s="5">
        <f>SUM($E20:L20)</f>
        <v>10086280</v>
      </c>
      <c r="M27" s="5">
        <f>SUM($E20:M20)</f>
        <v>10086280</v>
      </c>
      <c r="N27" s="5">
        <f>SUM($E20:N20)</f>
        <v>10086280</v>
      </c>
      <c r="O27" s="5">
        <f>SUM($E20:O20)</f>
        <v>10086280</v>
      </c>
      <c r="P27" s="5">
        <f>SUM($E20:P20)</f>
        <v>10086280</v>
      </c>
    </row>
    <row r="28" spans="3:17" x14ac:dyDescent="0.35">
      <c r="D28" s="3" t="str">
        <f t="shared" si="4"/>
        <v>Actual 2024-25</v>
      </c>
      <c r="E28" s="5">
        <f>SUM($E21:E21)</f>
        <v>702788</v>
      </c>
      <c r="F28" s="5">
        <f>SUM($E21:F21)</f>
        <v>1506553</v>
      </c>
      <c r="G28" s="5">
        <f>SUM($E21:G21)</f>
        <v>2219757</v>
      </c>
      <c r="H28" s="5">
        <f>SUM($E21:H21)</f>
        <v>3008017</v>
      </c>
      <c r="I28" s="5">
        <f>SUM($E21:I21)</f>
        <v>3777017</v>
      </c>
      <c r="J28" s="5">
        <f>SUM($E21:J21)</f>
        <v>4328837</v>
      </c>
      <c r="K28" s="5">
        <f>SUM($E21:K21)</f>
        <v>5308669</v>
      </c>
      <c r="L28" s="5">
        <f>SUM($E21:L21)</f>
        <v>6061451</v>
      </c>
      <c r="M28" s="5">
        <f>SUM($E21:M21)</f>
        <v>6960262</v>
      </c>
      <c r="N28" s="5">
        <f>SUM($E21:N21)</f>
        <v>8119802</v>
      </c>
      <c r="O28" s="5">
        <f>SUM($E21:O21)</f>
        <v>9352312</v>
      </c>
      <c r="P28" s="5">
        <f>SUM($E21:P21)</f>
        <v>10679892</v>
      </c>
    </row>
    <row r="29" spans="3:17" x14ac:dyDescent="0.35">
      <c r="D29" s="3" t="str">
        <f t="shared" si="4"/>
        <v>Difference</v>
      </c>
      <c r="E29" s="5">
        <f>SUM($E22:E22)</f>
        <v>-30188.388960609445</v>
      </c>
      <c r="F29" s="5">
        <f>SUM($E22:F22)</f>
        <v>149713.25128940144</v>
      </c>
      <c r="G29" s="5">
        <f>SUM($E22:G22)</f>
        <v>331740.32072200743</v>
      </c>
      <c r="H29" s="5">
        <f>SUM($E22:H22)</f>
        <v>554853.56350004626</v>
      </c>
      <c r="I29" s="5">
        <f>SUM($E22:I22)</f>
        <v>611551.40553478291</v>
      </c>
      <c r="J29" s="5">
        <f>SUM($E22:J22)</f>
        <v>432125.46682749153</v>
      </c>
      <c r="K29" s="5">
        <f>SUM($E22:K22)</f>
        <v>957479.29334146017</v>
      </c>
      <c r="L29" s="5">
        <f>SUM($E22:L22)</f>
        <v>1080020.8920146155</v>
      </c>
      <c r="M29" s="5">
        <f>SUM($E22:M22)</f>
        <v>1080020.8920146155</v>
      </c>
      <c r="N29" s="5">
        <f>SUM($E22:N22)</f>
        <v>1080020.8920146155</v>
      </c>
      <c r="O29" s="5">
        <f>SUM($E22:O22)</f>
        <v>1080020.8920146155</v>
      </c>
      <c r="P29" s="5">
        <f>SUM($E22:P22)</f>
        <v>1080020.8920146155</v>
      </c>
    </row>
    <row r="30" spans="3:17" x14ac:dyDescent="0.35">
      <c r="D30" s="3" t="str">
        <f t="shared" si="4"/>
        <v>Realisation</v>
      </c>
      <c r="E30" s="9">
        <f>E28/E26</f>
        <v>0.6201699573941778</v>
      </c>
      <c r="F30" s="9">
        <f t="shared" ref="F30:P30" si="5">F27/F26</f>
        <v>1.066002497854174</v>
      </c>
      <c r="G30" s="9">
        <f t="shared" si="5"/>
        <v>1.0974354284557006</v>
      </c>
      <c r="H30" s="9">
        <f t="shared" si="5"/>
        <v>1.1223484738775351</v>
      </c>
      <c r="I30" s="9">
        <f t="shared" si="5"/>
        <v>1.1080519873362102</v>
      </c>
      <c r="J30" s="9">
        <f t="shared" si="5"/>
        <v>1.0637476880230701</v>
      </c>
      <c r="K30" s="9">
        <f t="shared" si="5"/>
        <v>1.1212861817689981</v>
      </c>
      <c r="L30" s="9">
        <f t="shared" si="5"/>
        <v>1.1199189229473774</v>
      </c>
      <c r="M30" s="9">
        <f t="shared" si="5"/>
        <v>0.99724683075948828</v>
      </c>
      <c r="N30" s="9">
        <f t="shared" si="5"/>
        <v>0.89896717296771489</v>
      </c>
      <c r="O30" s="9">
        <f t="shared" si="5"/>
        <v>0.8184570645135657</v>
      </c>
      <c r="P30" s="9">
        <f t="shared" si="5"/>
        <v>0.75129365650833102</v>
      </c>
    </row>
  </sheetData>
  <mergeCells count="2">
    <mergeCell ref="J4:Q8"/>
    <mergeCell ref="J10:Q15"/>
  </mergeCells>
  <conditionalFormatting sqref="C3">
    <cfRule type="expression" dxfId="224" priority="2">
      <formula>S4&lt;S6</formula>
    </cfRule>
  </conditionalFormatting>
  <conditionalFormatting sqref="C5">
    <cfRule type="expression" dxfId="223" priority="3">
      <formula>S4&gt;=S5</formula>
    </cfRule>
  </conditionalFormatting>
  <conditionalFormatting sqref="C4">
    <cfRule type="expression" dxfId="222" priority="1">
      <formula>AND(S4&gt;=S6,S4&lt;S5)</formula>
    </cfRule>
  </conditionalFormatting>
  <hyperlinks>
    <hyperlink ref="L1" location="Dashboard!A1" display="Dashboard"/>
  </hyperlinks>
  <pageMargins left="0.7" right="0.7" top="0.75" bottom="0.75" header="0.3" footer="0.3"/>
  <pageSetup orientation="portrait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34241" r:id="rId4" name="Spinner 1">
              <controlPr defaultSize="0" autoPict="0">
                <anchor moveWithCells="1" sizeWithCells="1">
                  <from>
                    <xdr:col>9</xdr:col>
                    <xdr:colOff>19050</xdr:colOff>
                    <xdr:row>0</xdr:row>
                    <xdr:rowOff>38100</xdr:rowOff>
                  </from>
                  <to>
                    <xdr:col>9</xdr:col>
                    <xdr:colOff>400050</xdr:colOff>
                    <xdr:row>1</xdr:row>
                    <xdr:rowOff>152400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1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99">
    <tabColor rgb="FFFFC000"/>
  </sheetPr>
  <dimension ref="A1:S30"/>
  <sheetViews>
    <sheetView zoomScale="90" zoomScaleNormal="90" workbookViewId="0">
      <selection activeCell="L1" sqref="L1"/>
    </sheetView>
  </sheetViews>
  <sheetFormatPr defaultColWidth="9.1796875" defaultRowHeight="14.5" x14ac:dyDescent="0.35"/>
  <cols>
    <col min="1" max="1" width="9.1796875" style="3"/>
    <col min="2" max="2" width="5.1796875" style="3" customWidth="1"/>
    <col min="3" max="3" width="6.26953125" style="3" customWidth="1"/>
    <col min="4" max="4" width="21.26953125" style="3" bestFit="1" customWidth="1"/>
    <col min="5" max="16" width="11.1796875" style="3" customWidth="1"/>
    <col min="17" max="17" width="12" style="3" bestFit="1" customWidth="1"/>
    <col min="18" max="18" width="9.1796875" style="3" customWidth="1"/>
    <col min="19" max="16384" width="9.1796875" style="3"/>
  </cols>
  <sheetData>
    <row r="1" spans="1:19" ht="21" x14ac:dyDescent="0.5">
      <c r="A1" s="4" t="s">
        <v>4</v>
      </c>
      <c r="B1" s="4">
        <f>Dashboard!A136</f>
        <v>5</v>
      </c>
      <c r="C1" s="4" t="str">
        <f>Dashboard!B136</f>
        <v>KIHOTO - WATER(KES)</v>
      </c>
      <c r="D1" s="4"/>
      <c r="G1" s="3" t="s">
        <v>9</v>
      </c>
      <c r="I1" s="12">
        <f>INDEX($E$18:$P$18,Actual_month)</f>
        <v>46054</v>
      </c>
      <c r="L1" s="16" t="s">
        <v>19</v>
      </c>
      <c r="R1" s="5"/>
    </row>
    <row r="2" spans="1:19" x14ac:dyDescent="0.35">
      <c r="A2" s="3" t="s">
        <v>13</v>
      </c>
      <c r="C2" s="3" t="s">
        <v>27</v>
      </c>
      <c r="R2" s="6"/>
    </row>
    <row r="3" spans="1:19" ht="25.5" customHeight="1" thickBot="1" x14ac:dyDescent="0.4">
      <c r="C3" s="1" t="s">
        <v>5</v>
      </c>
      <c r="E3" s="10"/>
      <c r="F3" s="10"/>
      <c r="G3" s="10"/>
      <c r="H3" s="10"/>
      <c r="I3" s="10"/>
      <c r="J3" s="3" t="s">
        <v>6</v>
      </c>
      <c r="K3" s="10"/>
      <c r="M3" s="10"/>
      <c r="N3" s="10"/>
      <c r="O3" s="10"/>
      <c r="P3" s="10"/>
    </row>
    <row r="4" spans="1:19" ht="25.5" customHeight="1" x14ac:dyDescent="0.35">
      <c r="C4" s="1" t="s">
        <v>5</v>
      </c>
      <c r="E4" s="10"/>
      <c r="F4" s="10"/>
      <c r="G4" s="10"/>
      <c r="H4" s="10"/>
      <c r="I4" s="10"/>
      <c r="J4" s="401"/>
      <c r="K4" s="402"/>
      <c r="L4" s="402"/>
      <c r="M4" s="402"/>
      <c r="N4" s="402"/>
      <c r="O4" s="402"/>
      <c r="P4" s="402"/>
      <c r="Q4" s="403"/>
      <c r="R4" s="3" t="s">
        <v>22</v>
      </c>
      <c r="S4" s="5">
        <f>INDEX(E27:P27,Actual_month)</f>
        <v>1485550</v>
      </c>
    </row>
    <row r="5" spans="1:19" ht="25.5" customHeight="1" x14ac:dyDescent="0.35">
      <c r="C5" s="1" t="s">
        <v>5</v>
      </c>
      <c r="E5" s="10"/>
      <c r="F5" s="10"/>
      <c r="G5" s="10"/>
      <c r="H5" s="10"/>
      <c r="I5" s="10"/>
      <c r="J5" s="404"/>
      <c r="K5" s="405"/>
      <c r="L5" s="405"/>
      <c r="M5" s="405"/>
      <c r="N5" s="405"/>
      <c r="O5" s="405"/>
      <c r="P5" s="405"/>
      <c r="Q5" s="406"/>
      <c r="R5" s="3" t="s">
        <v>23</v>
      </c>
      <c r="S5" s="5">
        <f>INDEX(E26:P26,Actual_month)</f>
        <v>1482913.4488399487</v>
      </c>
    </row>
    <row r="6" spans="1:19" x14ac:dyDescent="0.35">
      <c r="J6" s="404"/>
      <c r="K6" s="405"/>
      <c r="L6" s="405"/>
      <c r="M6" s="405"/>
      <c r="N6" s="405"/>
      <c r="O6" s="405"/>
      <c r="P6" s="405"/>
      <c r="Q6" s="406"/>
      <c r="R6" s="6">
        <v>0.9</v>
      </c>
      <c r="S6" s="5">
        <f>+S5*R6</f>
        <v>1334622.1039559538</v>
      </c>
    </row>
    <row r="7" spans="1:19" x14ac:dyDescent="0.35">
      <c r="J7" s="404"/>
      <c r="K7" s="405"/>
      <c r="L7" s="405"/>
      <c r="M7" s="405"/>
      <c r="N7" s="405"/>
      <c r="O7" s="405"/>
      <c r="P7" s="405"/>
      <c r="Q7" s="406"/>
    </row>
    <row r="8" spans="1:19" ht="15" thickBot="1" x14ac:dyDescent="0.4">
      <c r="J8" s="407"/>
      <c r="K8" s="408"/>
      <c r="L8" s="408"/>
      <c r="M8" s="408"/>
      <c r="N8" s="408"/>
      <c r="O8" s="408"/>
      <c r="P8" s="408"/>
      <c r="Q8" s="409"/>
    </row>
    <row r="9" spans="1:19" ht="15" thickBot="1" x14ac:dyDescent="0.4">
      <c r="J9" s="3" t="s">
        <v>12</v>
      </c>
    </row>
    <row r="10" spans="1:19" x14ac:dyDescent="0.35">
      <c r="J10" s="401"/>
      <c r="K10" s="402"/>
      <c r="L10" s="402"/>
      <c r="M10" s="402"/>
      <c r="N10" s="402"/>
      <c r="O10" s="402"/>
      <c r="P10" s="402"/>
      <c r="Q10" s="403"/>
    </row>
    <row r="11" spans="1:19" x14ac:dyDescent="0.35">
      <c r="J11" s="404"/>
      <c r="K11" s="405"/>
      <c r="L11" s="405"/>
      <c r="M11" s="405"/>
      <c r="N11" s="405"/>
      <c r="O11" s="405"/>
      <c r="P11" s="405"/>
      <c r="Q11" s="406"/>
    </row>
    <row r="12" spans="1:19" x14ac:dyDescent="0.35">
      <c r="J12" s="404"/>
      <c r="K12" s="405"/>
      <c r="L12" s="405"/>
      <c r="M12" s="405"/>
      <c r="N12" s="405"/>
      <c r="O12" s="405"/>
      <c r="P12" s="405"/>
      <c r="Q12" s="406"/>
    </row>
    <row r="13" spans="1:19" x14ac:dyDescent="0.35">
      <c r="J13" s="404"/>
      <c r="K13" s="405"/>
      <c r="L13" s="405"/>
      <c r="M13" s="405"/>
      <c r="N13" s="405"/>
      <c r="O13" s="405"/>
      <c r="P13" s="405"/>
      <c r="Q13" s="406"/>
    </row>
    <row r="14" spans="1:19" x14ac:dyDescent="0.35">
      <c r="J14" s="404"/>
      <c r="K14" s="405"/>
      <c r="L14" s="405"/>
      <c r="M14" s="405"/>
      <c r="N14" s="405"/>
      <c r="O14" s="405"/>
      <c r="P14" s="405"/>
      <c r="Q14" s="406"/>
    </row>
    <row r="15" spans="1:19" ht="15" thickBot="1" x14ac:dyDescent="0.4">
      <c r="J15" s="407"/>
      <c r="K15" s="408"/>
      <c r="L15" s="408"/>
      <c r="M15" s="408"/>
      <c r="N15" s="408"/>
      <c r="O15" s="408"/>
      <c r="P15" s="408"/>
      <c r="Q15" s="409"/>
    </row>
    <row r="18" spans="3:17" x14ac:dyDescent="0.35">
      <c r="C18" s="7" t="s">
        <v>8</v>
      </c>
      <c r="E18" s="11">
        <f>'KPI 1'!E18</f>
        <v>45839</v>
      </c>
      <c r="F18" s="11">
        <f>'KPI 1'!F18</f>
        <v>45870</v>
      </c>
      <c r="G18" s="11">
        <f>'KPI 1'!G18</f>
        <v>45901</v>
      </c>
      <c r="H18" s="11">
        <f>'KPI 1'!H18</f>
        <v>45931</v>
      </c>
      <c r="I18" s="11">
        <f>'KPI 1'!I18</f>
        <v>45962</v>
      </c>
      <c r="J18" s="11">
        <f>'KPI 1'!J18</f>
        <v>45992</v>
      </c>
      <c r="K18" s="11">
        <f>'KPI 1'!K18</f>
        <v>46023</v>
      </c>
      <c r="L18" s="11">
        <f>'KPI 1'!L18</f>
        <v>46054</v>
      </c>
      <c r="M18" s="11">
        <f>'KPI 1'!M18</f>
        <v>46082</v>
      </c>
      <c r="N18" s="11">
        <f>'KPI 1'!N18</f>
        <v>46113</v>
      </c>
      <c r="O18" s="11">
        <f>'KPI 1'!O18</f>
        <v>46143</v>
      </c>
      <c r="P18" s="11">
        <f>'KPI 1'!P18</f>
        <v>46174</v>
      </c>
      <c r="Q18" s="8" t="s">
        <v>0</v>
      </c>
    </row>
    <row r="19" spans="3:17" x14ac:dyDescent="0.35">
      <c r="D19" s="3" t="str">
        <f>'KPI 1'!D19</f>
        <v>Budget 2025-26</v>
      </c>
      <c r="E19" s="49">
        <f>'budget 2025-26'!D128</f>
        <v>183708.59105408264</v>
      </c>
      <c r="F19" s="49">
        <f>'budget 2025-26'!E128</f>
        <v>184843.23742081341</v>
      </c>
      <c r="G19" s="49">
        <f>'budget 2025-26'!F128</f>
        <v>185893.81644517777</v>
      </c>
      <c r="H19" s="49">
        <f>'budget 2025-26'!G128</f>
        <v>185718.02587903308</v>
      </c>
      <c r="I19" s="49">
        <f>'budget 2025-26'!H128</f>
        <v>185625.2005226257</v>
      </c>
      <c r="J19" s="49">
        <f>'budget 2025-26'!I128</f>
        <v>185468.57849383735</v>
      </c>
      <c r="K19" s="49">
        <f>'budget 2025-26'!J128</f>
        <v>185744.97366199992</v>
      </c>
      <c r="L19" s="49">
        <f>'budget 2025-26'!K128</f>
        <v>185911.02536237886</v>
      </c>
      <c r="M19" s="49">
        <f>'budget 2025-26'!L128</f>
        <v>186036.65996703701</v>
      </c>
      <c r="N19" s="49">
        <f>'budget 2025-26'!M128</f>
        <v>186469.95192670121</v>
      </c>
      <c r="O19" s="49">
        <f>'budget 2025-26'!N128</f>
        <v>186912.71535380371</v>
      </c>
      <c r="P19" s="49">
        <f>'budget 2025-26'!O128</f>
        <v>187360.74940426063</v>
      </c>
      <c r="Q19" s="5">
        <f>SUM(E19:P19)</f>
        <v>2229693.5254917513</v>
      </c>
    </row>
    <row r="20" spans="3:17" x14ac:dyDescent="0.35">
      <c r="D20" s="3" t="str">
        <f>'KPI 1'!D20</f>
        <v>Actual 2025-26</v>
      </c>
      <c r="E20" s="49">
        <f>'Input Actual2025-26'!E131</f>
        <v>221630</v>
      </c>
      <c r="F20" s="49">
        <f>'Input Actual2025-26'!F131</f>
        <v>204780</v>
      </c>
      <c r="G20" s="49">
        <f>'Input Actual2025-26'!G131</f>
        <v>199690</v>
      </c>
      <c r="H20" s="49">
        <f>'Input Actual2025-26'!H131</f>
        <v>215690</v>
      </c>
      <c r="I20" s="49">
        <f>'Input Actual2025-26'!I131</f>
        <v>79090</v>
      </c>
      <c r="J20" s="49">
        <f>'Input Actual2025-26'!J131</f>
        <v>145220</v>
      </c>
      <c r="K20" s="49">
        <f>'Input Actual2025-26'!K131</f>
        <v>220770</v>
      </c>
      <c r="L20" s="49">
        <f>'Input Actual2025-26'!L131</f>
        <v>198680</v>
      </c>
      <c r="M20" s="49">
        <f>'Input Actual2025-26'!M131</f>
        <v>0</v>
      </c>
      <c r="N20" s="49">
        <f>'Input Actual2025-26'!N131</f>
        <v>0</v>
      </c>
      <c r="O20" s="49">
        <f>'Input Actual2025-26'!O131</f>
        <v>0</v>
      </c>
      <c r="P20" s="49">
        <f>'Input Actual2025-26'!P131</f>
        <v>0</v>
      </c>
      <c r="Q20" s="5">
        <f t="shared" ref="Q20:Q22" si="0">SUM(E20:P20)</f>
        <v>1485550</v>
      </c>
    </row>
    <row r="21" spans="3:17" x14ac:dyDescent="0.35">
      <c r="D21" s="3" t="s">
        <v>424</v>
      </c>
      <c r="E21" s="49">
        <f>'Input Actual2024-25'!E122</f>
        <v>118810</v>
      </c>
      <c r="F21" s="49">
        <f>'Input Actual2024-25'!F122</f>
        <v>151900</v>
      </c>
      <c r="G21" s="49">
        <f>'Input Actual2024-25'!G122</f>
        <v>130082</v>
      </c>
      <c r="H21" s="49">
        <f>'Input Actual2024-25'!H122</f>
        <v>118286</v>
      </c>
      <c r="I21" s="49">
        <f>'Input Actual2024-25'!I122</f>
        <v>128711</v>
      </c>
      <c r="J21" s="49">
        <f>'Input Actual2024-25'!J122</f>
        <v>69212</v>
      </c>
      <c r="K21" s="49">
        <f>'Input Actual2024-25'!K122</f>
        <v>192220</v>
      </c>
      <c r="L21" s="49">
        <f>'Input Actual2024-25'!L122</f>
        <v>130101</v>
      </c>
      <c r="M21" s="49">
        <f>'Input Actual2024-25'!M122</f>
        <v>158121</v>
      </c>
      <c r="N21" s="49">
        <f>'Input Actual2024-25'!N122</f>
        <v>184480</v>
      </c>
      <c r="O21" s="49">
        <f>'Input Actual2024-25'!O122</f>
        <v>195150</v>
      </c>
      <c r="P21" s="49">
        <f>'Input Actual2024-25'!P122</f>
        <v>251810</v>
      </c>
      <c r="Q21" s="5">
        <f t="shared" si="0"/>
        <v>1828883</v>
      </c>
    </row>
    <row r="22" spans="3:17" x14ac:dyDescent="0.35">
      <c r="D22" s="3" t="s">
        <v>7</v>
      </c>
      <c r="E22" s="5">
        <f t="shared" ref="E22:P22" si="1">IF(E20=0,0,E20-E19)</f>
        <v>37921.408945917356</v>
      </c>
      <c r="F22" s="5">
        <f t="shared" si="1"/>
        <v>19936.762579186587</v>
      </c>
      <c r="G22" s="5">
        <f t="shared" si="1"/>
        <v>13796.18355482223</v>
      </c>
      <c r="H22" s="5">
        <f t="shared" si="1"/>
        <v>29971.974120966916</v>
      </c>
      <c r="I22" s="5">
        <f t="shared" si="1"/>
        <v>-106535.2005226257</v>
      </c>
      <c r="J22" s="5">
        <f t="shared" si="1"/>
        <v>-40248.578493837354</v>
      </c>
      <c r="K22" s="5">
        <f t="shared" si="1"/>
        <v>35025.026338000083</v>
      </c>
      <c r="L22" s="5">
        <f t="shared" si="1"/>
        <v>12768.974637621141</v>
      </c>
      <c r="M22" s="5">
        <f t="shared" si="1"/>
        <v>0</v>
      </c>
      <c r="N22" s="5">
        <f t="shared" si="1"/>
        <v>0</v>
      </c>
      <c r="O22" s="5">
        <f t="shared" si="1"/>
        <v>0</v>
      </c>
      <c r="P22" s="5">
        <f t="shared" si="1"/>
        <v>0</v>
      </c>
      <c r="Q22" s="5">
        <f t="shared" si="0"/>
        <v>2636.5511600512546</v>
      </c>
    </row>
    <row r="23" spans="3:17" x14ac:dyDescent="0.35">
      <c r="D23" s="3" t="s">
        <v>43</v>
      </c>
      <c r="E23" s="9">
        <f>E21/E19</f>
        <v>0.64673077790370237</v>
      </c>
      <c r="F23" s="9">
        <f t="shared" ref="F23:P23" si="2">F20/F19</f>
        <v>1.1078576790656325</v>
      </c>
      <c r="G23" s="9">
        <f t="shared" si="2"/>
        <v>1.0742153979010425</v>
      </c>
      <c r="H23" s="9">
        <f t="shared" si="2"/>
        <v>1.1613843027843138</v>
      </c>
      <c r="I23" s="9">
        <f t="shared" si="2"/>
        <v>0.42607361380525371</v>
      </c>
      <c r="J23" s="9">
        <f t="shared" si="2"/>
        <v>0.78298977206441078</v>
      </c>
      <c r="K23" s="9">
        <f t="shared" si="2"/>
        <v>1.1885651366358645</v>
      </c>
      <c r="L23" s="9">
        <f t="shared" si="2"/>
        <v>1.0686832564810602</v>
      </c>
      <c r="M23" s="9">
        <f t="shared" si="2"/>
        <v>0</v>
      </c>
      <c r="N23" s="9">
        <f t="shared" si="2"/>
        <v>0</v>
      </c>
      <c r="O23" s="9">
        <f t="shared" si="2"/>
        <v>0</v>
      </c>
      <c r="P23" s="9">
        <f t="shared" si="2"/>
        <v>0</v>
      </c>
    </row>
    <row r="25" spans="3:17" x14ac:dyDescent="0.35">
      <c r="C25" s="7" t="s">
        <v>3</v>
      </c>
      <c r="E25" s="11">
        <f>E18</f>
        <v>45839</v>
      </c>
      <c r="F25" s="11">
        <f t="shared" ref="F25:P25" si="3">F18</f>
        <v>45870</v>
      </c>
      <c r="G25" s="11">
        <f t="shared" si="3"/>
        <v>45901</v>
      </c>
      <c r="H25" s="11">
        <f t="shared" si="3"/>
        <v>45931</v>
      </c>
      <c r="I25" s="11">
        <f t="shared" si="3"/>
        <v>45962</v>
      </c>
      <c r="J25" s="11">
        <f t="shared" si="3"/>
        <v>45992</v>
      </c>
      <c r="K25" s="11">
        <f t="shared" si="3"/>
        <v>46023</v>
      </c>
      <c r="L25" s="11">
        <f t="shared" si="3"/>
        <v>46054</v>
      </c>
      <c r="M25" s="11">
        <f t="shared" si="3"/>
        <v>46082</v>
      </c>
      <c r="N25" s="11">
        <f t="shared" si="3"/>
        <v>46113</v>
      </c>
      <c r="O25" s="11">
        <f t="shared" si="3"/>
        <v>46143</v>
      </c>
      <c r="P25" s="11">
        <f t="shared" si="3"/>
        <v>46174</v>
      </c>
    </row>
    <row r="26" spans="3:17" x14ac:dyDescent="0.35">
      <c r="D26" s="3" t="str">
        <f>D19</f>
        <v>Budget 2025-26</v>
      </c>
      <c r="E26" s="5">
        <f>SUM($E19:E19)</f>
        <v>183708.59105408264</v>
      </c>
      <c r="F26" s="5">
        <f>SUM($E19:F19)</f>
        <v>368551.82847489603</v>
      </c>
      <c r="G26" s="5">
        <f>SUM($E19:G19)</f>
        <v>554445.6449200738</v>
      </c>
      <c r="H26" s="5">
        <f>SUM($E19:H19)</f>
        <v>740163.67079910683</v>
      </c>
      <c r="I26" s="5">
        <f>SUM($E19:I19)</f>
        <v>925788.87132173253</v>
      </c>
      <c r="J26" s="5">
        <f>SUM($E19:J19)</f>
        <v>1111257.4498155699</v>
      </c>
      <c r="K26" s="5">
        <f>SUM($E19:K19)</f>
        <v>1297002.4234775698</v>
      </c>
      <c r="L26" s="5">
        <f>SUM($E19:L19)</f>
        <v>1482913.4488399487</v>
      </c>
      <c r="M26" s="5">
        <f>SUM($E19:M19)</f>
        <v>1668950.1088069857</v>
      </c>
      <c r="N26" s="5">
        <f>SUM($E19:N19)</f>
        <v>1855420.0607336869</v>
      </c>
      <c r="O26" s="5">
        <f>SUM($E19:O19)</f>
        <v>2042332.7760874906</v>
      </c>
      <c r="P26" s="5">
        <f>SUM($E19:P19)</f>
        <v>2229693.5254917513</v>
      </c>
    </row>
    <row r="27" spans="3:17" x14ac:dyDescent="0.35">
      <c r="D27" s="3" t="str">
        <f t="shared" ref="D27:D30" si="4">D20</f>
        <v>Actual 2025-26</v>
      </c>
      <c r="E27" s="5">
        <f>SUM($E20:E20)</f>
        <v>221630</v>
      </c>
      <c r="F27" s="5">
        <f>SUM($E20:F20)</f>
        <v>426410</v>
      </c>
      <c r="G27" s="5">
        <f>SUM($E20:G20)</f>
        <v>626100</v>
      </c>
      <c r="H27" s="5">
        <f>SUM($E20:H20)</f>
        <v>841790</v>
      </c>
      <c r="I27" s="5">
        <f>SUM($E20:I20)</f>
        <v>920880</v>
      </c>
      <c r="J27" s="5">
        <f>SUM($E20:J20)</f>
        <v>1066100</v>
      </c>
      <c r="K27" s="5">
        <f>SUM($E20:K20)</f>
        <v>1286870</v>
      </c>
      <c r="L27" s="5">
        <f>SUM($E20:L20)</f>
        <v>1485550</v>
      </c>
      <c r="M27" s="5">
        <f>SUM($E20:M20)</f>
        <v>1485550</v>
      </c>
      <c r="N27" s="5">
        <f>SUM($E20:N20)</f>
        <v>1485550</v>
      </c>
      <c r="O27" s="5">
        <f>SUM($E20:O20)</f>
        <v>1485550</v>
      </c>
      <c r="P27" s="5">
        <f>SUM($E20:P20)</f>
        <v>1485550</v>
      </c>
    </row>
    <row r="28" spans="3:17" x14ac:dyDescent="0.35">
      <c r="D28" s="3" t="str">
        <f t="shared" si="4"/>
        <v>Actual 2024-25</v>
      </c>
      <c r="E28" s="5">
        <f>SUM($E21:E21)</f>
        <v>118810</v>
      </c>
      <c r="F28" s="5">
        <f>SUM($E21:F21)</f>
        <v>270710</v>
      </c>
      <c r="G28" s="5">
        <f>SUM($E21:G21)</f>
        <v>400792</v>
      </c>
      <c r="H28" s="5">
        <f>SUM($E21:H21)</f>
        <v>519078</v>
      </c>
      <c r="I28" s="5">
        <f>SUM($E21:I21)</f>
        <v>647789</v>
      </c>
      <c r="J28" s="5">
        <f>SUM($E21:J21)</f>
        <v>717001</v>
      </c>
      <c r="K28" s="5">
        <f>SUM($E21:K21)</f>
        <v>909221</v>
      </c>
      <c r="L28" s="5">
        <f>SUM($E21:L21)</f>
        <v>1039322</v>
      </c>
      <c r="M28" s="5">
        <f>SUM($E21:M21)</f>
        <v>1197443</v>
      </c>
      <c r="N28" s="5">
        <f>SUM($E21:N21)</f>
        <v>1381923</v>
      </c>
      <c r="O28" s="5">
        <f>SUM($E21:O21)</f>
        <v>1577073</v>
      </c>
      <c r="P28" s="5">
        <f>SUM($E21:P21)</f>
        <v>1828883</v>
      </c>
    </row>
    <row r="29" spans="3:17" x14ac:dyDescent="0.35">
      <c r="D29" s="3" t="str">
        <f t="shared" si="4"/>
        <v>Difference</v>
      </c>
      <c r="E29" s="5">
        <f>SUM($E22:E22)</f>
        <v>37921.408945917356</v>
      </c>
      <c r="F29" s="5">
        <f>SUM($E22:F22)</f>
        <v>57858.171525103942</v>
      </c>
      <c r="G29" s="5">
        <f>SUM($E22:G22)</f>
        <v>71654.355079926172</v>
      </c>
      <c r="H29" s="5">
        <f>SUM($E22:H22)</f>
        <v>101626.32920089309</v>
      </c>
      <c r="I29" s="5">
        <f>SUM($E22:I22)</f>
        <v>-4908.8713217326149</v>
      </c>
      <c r="J29" s="5">
        <f>SUM($E22:J22)</f>
        <v>-45157.449815569969</v>
      </c>
      <c r="K29" s="5">
        <f>SUM($E22:K22)</f>
        <v>-10132.423477569886</v>
      </c>
      <c r="L29" s="5">
        <f>SUM($E22:L22)</f>
        <v>2636.5511600512546</v>
      </c>
      <c r="M29" s="5">
        <f>SUM($E22:M22)</f>
        <v>2636.5511600512546</v>
      </c>
      <c r="N29" s="5">
        <f>SUM($E22:N22)</f>
        <v>2636.5511600512546</v>
      </c>
      <c r="O29" s="5">
        <f>SUM($E22:O22)</f>
        <v>2636.5511600512546</v>
      </c>
      <c r="P29" s="5">
        <f>SUM($E22:P22)</f>
        <v>2636.5511600512546</v>
      </c>
    </row>
    <row r="30" spans="3:17" x14ac:dyDescent="0.35">
      <c r="D30" s="3" t="str">
        <f t="shared" si="4"/>
        <v>Realisation</v>
      </c>
      <c r="E30" s="9">
        <f>E28/E26</f>
        <v>0.64673077790370237</v>
      </c>
      <c r="F30" s="9">
        <f t="shared" ref="F30:P30" si="5">F27/F26</f>
        <v>1.1569878835346628</v>
      </c>
      <c r="G30" s="9">
        <f t="shared" si="5"/>
        <v>1.1292360319472896</v>
      </c>
      <c r="H30" s="9">
        <f t="shared" si="5"/>
        <v>1.1373025091749962</v>
      </c>
      <c r="I30" s="9">
        <f t="shared" si="5"/>
        <v>0.99469763412177958</v>
      </c>
      <c r="J30" s="9">
        <f t="shared" si="5"/>
        <v>0.95936364717009148</v>
      </c>
      <c r="K30" s="9">
        <f t="shared" si="5"/>
        <v>0.99218781453746063</v>
      </c>
      <c r="L30" s="9">
        <f t="shared" si="5"/>
        <v>1.001777953502353</v>
      </c>
      <c r="M30" s="9">
        <f t="shared" si="5"/>
        <v>0.89011049051784696</v>
      </c>
      <c r="N30" s="9">
        <f t="shared" si="5"/>
        <v>0.80065427308820325</v>
      </c>
      <c r="O30" s="9">
        <f t="shared" si="5"/>
        <v>0.72737901354444168</v>
      </c>
      <c r="P30" s="9">
        <f t="shared" si="5"/>
        <v>0.66625748472421431</v>
      </c>
    </row>
  </sheetData>
  <mergeCells count="2">
    <mergeCell ref="J4:Q8"/>
    <mergeCell ref="J10:Q15"/>
  </mergeCells>
  <conditionalFormatting sqref="C3">
    <cfRule type="expression" dxfId="221" priority="2">
      <formula>S4&lt;S6</formula>
    </cfRule>
  </conditionalFormatting>
  <conditionalFormatting sqref="C5">
    <cfRule type="expression" dxfId="220" priority="3">
      <formula>S4&gt;=S5</formula>
    </cfRule>
  </conditionalFormatting>
  <conditionalFormatting sqref="C4">
    <cfRule type="expression" dxfId="219" priority="1">
      <formula>AND(S4&gt;=S6,S4&lt;S5)</formula>
    </cfRule>
  </conditionalFormatting>
  <hyperlinks>
    <hyperlink ref="L1" location="Dashboard!A1" display="Dashboard"/>
  </hyperlinks>
  <pageMargins left="0.7" right="0.7" top="0.75" bottom="0.75" header="0.3" footer="0.3"/>
  <pageSetup orientation="portrait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35265" r:id="rId4" name="Spinner 1">
              <controlPr defaultSize="0" autoPict="0">
                <anchor moveWithCells="1" sizeWithCells="1">
                  <from>
                    <xdr:col>9</xdr:col>
                    <xdr:colOff>19050</xdr:colOff>
                    <xdr:row>0</xdr:row>
                    <xdr:rowOff>38100</xdr:rowOff>
                  </from>
                  <to>
                    <xdr:col>9</xdr:col>
                    <xdr:colOff>400050</xdr:colOff>
                    <xdr:row>1</xdr:row>
                    <xdr:rowOff>152400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1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100">
    <tabColor rgb="FFFFC000"/>
  </sheetPr>
  <dimension ref="A1:S30"/>
  <sheetViews>
    <sheetView zoomScale="90" zoomScaleNormal="90" workbookViewId="0">
      <selection activeCell="L1" sqref="L1"/>
    </sheetView>
  </sheetViews>
  <sheetFormatPr defaultColWidth="9.1796875" defaultRowHeight="14.5" x14ac:dyDescent="0.35"/>
  <cols>
    <col min="1" max="1" width="9.1796875" style="3"/>
    <col min="2" max="2" width="5.1796875" style="3" customWidth="1"/>
    <col min="3" max="3" width="6.26953125" style="3" customWidth="1"/>
    <col min="4" max="4" width="21.26953125" style="3" bestFit="1" customWidth="1"/>
    <col min="5" max="16" width="11.1796875" style="3" customWidth="1"/>
    <col min="17" max="17" width="12" style="3" bestFit="1" customWidth="1"/>
    <col min="18" max="18" width="9.1796875" style="3" customWidth="1"/>
    <col min="19" max="16384" width="9.1796875" style="3"/>
  </cols>
  <sheetData>
    <row r="1" spans="1:19" ht="21" x14ac:dyDescent="0.5">
      <c r="A1" s="4" t="s">
        <v>4</v>
      </c>
      <c r="B1" s="4">
        <f>Dashboard!A139</f>
        <v>0</v>
      </c>
      <c r="C1" s="4" t="str">
        <f>Dashboard!B139</f>
        <v>TOTAL - WATER(KES)CENTRAL REGION</v>
      </c>
      <c r="D1" s="4"/>
      <c r="G1" s="3" t="s">
        <v>9</v>
      </c>
      <c r="I1" s="12">
        <f>INDEX($E$18:$P$18,Actual_month)</f>
        <v>46054</v>
      </c>
      <c r="L1" s="16" t="s">
        <v>19</v>
      </c>
      <c r="R1" s="5"/>
    </row>
    <row r="2" spans="1:19" x14ac:dyDescent="0.35">
      <c r="A2" s="3" t="s">
        <v>13</v>
      </c>
      <c r="C2" s="3" t="s">
        <v>27</v>
      </c>
      <c r="R2" s="6"/>
    </row>
    <row r="3" spans="1:19" ht="25.5" customHeight="1" thickBot="1" x14ac:dyDescent="0.4">
      <c r="C3" s="1" t="s">
        <v>5</v>
      </c>
      <c r="E3" s="10"/>
      <c r="F3" s="10"/>
      <c r="G3" s="10"/>
      <c r="H3" s="10"/>
      <c r="I3" s="10"/>
      <c r="J3" s="3" t="s">
        <v>6</v>
      </c>
      <c r="K3" s="10"/>
      <c r="M3" s="10"/>
      <c r="N3" s="10"/>
      <c r="O3" s="10"/>
      <c r="P3" s="10"/>
    </row>
    <row r="4" spans="1:19" ht="25.5" customHeight="1" x14ac:dyDescent="0.35">
      <c r="C4" s="1" t="s">
        <v>5</v>
      </c>
      <c r="E4" s="10"/>
      <c r="F4" s="10"/>
      <c r="G4" s="10"/>
      <c r="H4" s="10"/>
      <c r="I4" s="10"/>
      <c r="J4" s="401"/>
      <c r="K4" s="402"/>
      <c r="L4" s="402"/>
      <c r="M4" s="402"/>
      <c r="N4" s="402"/>
      <c r="O4" s="402"/>
      <c r="P4" s="402"/>
      <c r="Q4" s="403"/>
      <c r="R4" s="3" t="s">
        <v>22</v>
      </c>
      <c r="S4" s="5">
        <f>INDEX(E27:P27,Actual_month)</f>
        <v>82982080</v>
      </c>
    </row>
    <row r="5" spans="1:19" ht="25.5" customHeight="1" x14ac:dyDescent="0.35">
      <c r="C5" s="1" t="s">
        <v>5</v>
      </c>
      <c r="E5" s="10"/>
      <c r="F5" s="10"/>
      <c r="G5" s="10"/>
      <c r="H5" s="10"/>
      <c r="I5" s="10"/>
      <c r="J5" s="404"/>
      <c r="K5" s="405"/>
      <c r="L5" s="405"/>
      <c r="M5" s="405"/>
      <c r="N5" s="405"/>
      <c r="O5" s="405"/>
      <c r="P5" s="405"/>
      <c r="Q5" s="406"/>
      <c r="R5" s="3" t="s">
        <v>23</v>
      </c>
      <c r="S5" s="5">
        <f>INDEX(E26:P26,Actual_month)</f>
        <v>72143595.132168084</v>
      </c>
    </row>
    <row r="6" spans="1:19" x14ac:dyDescent="0.35">
      <c r="J6" s="404"/>
      <c r="K6" s="405"/>
      <c r="L6" s="405"/>
      <c r="M6" s="405"/>
      <c r="N6" s="405"/>
      <c r="O6" s="405"/>
      <c r="P6" s="405"/>
      <c r="Q6" s="406"/>
      <c r="R6" s="6">
        <v>0.9</v>
      </c>
      <c r="S6" s="5">
        <f>+S5*R6</f>
        <v>64929235.618951276</v>
      </c>
    </row>
    <row r="7" spans="1:19" x14ac:dyDescent="0.35">
      <c r="J7" s="404"/>
      <c r="K7" s="405"/>
      <c r="L7" s="405"/>
      <c r="M7" s="405"/>
      <c r="N7" s="405"/>
      <c r="O7" s="405"/>
      <c r="P7" s="405"/>
      <c r="Q7" s="406"/>
    </row>
    <row r="8" spans="1:19" ht="15" thickBot="1" x14ac:dyDescent="0.4">
      <c r="J8" s="407"/>
      <c r="K8" s="408"/>
      <c r="L8" s="408"/>
      <c r="M8" s="408"/>
      <c r="N8" s="408"/>
      <c r="O8" s="408"/>
      <c r="P8" s="408"/>
      <c r="Q8" s="409"/>
    </row>
    <row r="9" spans="1:19" ht="15" thickBot="1" x14ac:dyDescent="0.4">
      <c r="J9" s="3" t="s">
        <v>12</v>
      </c>
    </row>
    <row r="10" spans="1:19" x14ac:dyDescent="0.35">
      <c r="J10" s="401"/>
      <c r="K10" s="402"/>
      <c r="L10" s="402"/>
      <c r="M10" s="402"/>
      <c r="N10" s="402"/>
      <c r="O10" s="402"/>
      <c r="P10" s="402"/>
      <c r="Q10" s="403"/>
    </row>
    <row r="11" spans="1:19" x14ac:dyDescent="0.35">
      <c r="J11" s="404"/>
      <c r="K11" s="405"/>
      <c r="L11" s="405"/>
      <c r="M11" s="405"/>
      <c r="N11" s="405"/>
      <c r="O11" s="405"/>
      <c r="P11" s="405"/>
      <c r="Q11" s="406"/>
    </row>
    <row r="12" spans="1:19" x14ac:dyDescent="0.35">
      <c r="J12" s="404"/>
      <c r="K12" s="405"/>
      <c r="L12" s="405"/>
      <c r="M12" s="405"/>
      <c r="N12" s="405"/>
      <c r="O12" s="405"/>
      <c r="P12" s="405"/>
      <c r="Q12" s="406"/>
    </row>
    <row r="13" spans="1:19" x14ac:dyDescent="0.35">
      <c r="J13" s="404"/>
      <c r="K13" s="405"/>
      <c r="L13" s="405"/>
      <c r="M13" s="405"/>
      <c r="N13" s="405"/>
      <c r="O13" s="405"/>
      <c r="P13" s="405"/>
      <c r="Q13" s="406"/>
    </row>
    <row r="14" spans="1:19" x14ac:dyDescent="0.35">
      <c r="J14" s="404"/>
      <c r="K14" s="405"/>
      <c r="L14" s="405"/>
      <c r="M14" s="405"/>
      <c r="N14" s="405"/>
      <c r="O14" s="405"/>
      <c r="P14" s="405"/>
      <c r="Q14" s="406"/>
    </row>
    <row r="15" spans="1:19" ht="15" thickBot="1" x14ac:dyDescent="0.4">
      <c r="J15" s="407"/>
      <c r="K15" s="408"/>
      <c r="L15" s="408"/>
      <c r="M15" s="408"/>
      <c r="N15" s="408"/>
      <c r="O15" s="408"/>
      <c r="P15" s="408"/>
      <c r="Q15" s="409"/>
    </row>
    <row r="18" spans="3:17" x14ac:dyDescent="0.35">
      <c r="C18" s="7" t="s">
        <v>8</v>
      </c>
      <c r="E18" s="11">
        <f>'KPI 1'!E18</f>
        <v>45839</v>
      </c>
      <c r="F18" s="11">
        <f>'KPI 1'!F18</f>
        <v>45870</v>
      </c>
      <c r="G18" s="11">
        <f>'KPI 1'!G18</f>
        <v>45901</v>
      </c>
      <c r="H18" s="11">
        <f>'KPI 1'!H18</f>
        <v>45931</v>
      </c>
      <c r="I18" s="11">
        <f>'KPI 1'!I18</f>
        <v>45962</v>
      </c>
      <c r="J18" s="11">
        <f>'KPI 1'!J18</f>
        <v>45992</v>
      </c>
      <c r="K18" s="11">
        <f>'KPI 1'!K18</f>
        <v>46023</v>
      </c>
      <c r="L18" s="11">
        <f>'KPI 1'!L18</f>
        <v>46054</v>
      </c>
      <c r="M18" s="11">
        <f>'KPI 1'!M18</f>
        <v>46082</v>
      </c>
      <c r="N18" s="11">
        <f>'KPI 1'!N18</f>
        <v>46113</v>
      </c>
      <c r="O18" s="11">
        <f>'KPI 1'!O18</f>
        <v>46143</v>
      </c>
      <c r="P18" s="11">
        <f>'KPI 1'!P18</f>
        <v>46174</v>
      </c>
      <c r="Q18" s="8" t="s">
        <v>0</v>
      </c>
    </row>
    <row r="19" spans="3:17" x14ac:dyDescent="0.35">
      <c r="D19" s="3" t="str">
        <f>'KPI 1'!D19</f>
        <v>Budget 2025-26</v>
      </c>
      <c r="E19" s="49">
        <f>'budget 2025-26'!D131</f>
        <v>8942465.9244022779</v>
      </c>
      <c r="F19" s="49">
        <f>'budget 2025-26'!E131</f>
        <v>8996210.65412887</v>
      </c>
      <c r="G19" s="49">
        <f>'budget 2025-26'!F131</f>
        <v>9045864.1185453143</v>
      </c>
      <c r="H19" s="49">
        <f>'budget 2025-26'!G131</f>
        <v>9035851.1855140068</v>
      </c>
      <c r="I19" s="49">
        <f>'budget 2025-26'!H131</f>
        <v>9029894.0892549474</v>
      </c>
      <c r="J19" s="49">
        <f>'budget 2025-26'!I131</f>
        <v>9020852.3411238343</v>
      </c>
      <c r="K19" s="49">
        <f>'budget 2025-26'!J131</f>
        <v>9032887.4236083888</v>
      </c>
      <c r="L19" s="49">
        <f>'budget 2025-26'!K131</f>
        <v>9039569.3955904376</v>
      </c>
      <c r="M19" s="49">
        <f>'budget 2025-26'!L131</f>
        <v>9044300.0185286924</v>
      </c>
      <c r="N19" s="49">
        <f>'budget 2025-26'!M131</f>
        <v>9063999.2772918735</v>
      </c>
      <c r="O19" s="49">
        <f>'budget 2025-26'!N131</f>
        <v>9084168.0830310751</v>
      </c>
      <c r="P19" s="49">
        <f>'budget 2025-26'!O131</f>
        <v>9104601.9402058907</v>
      </c>
      <c r="Q19" s="5">
        <f>SUM(E19:P19)</f>
        <v>108440664.45122562</v>
      </c>
    </row>
    <row r="20" spans="3:17" x14ac:dyDescent="0.35">
      <c r="D20" s="3" t="str">
        <f>'KPI 1'!D20</f>
        <v>Actual 2025-26</v>
      </c>
      <c r="E20" s="49">
        <f>'Input Actual2025-26'!E134</f>
        <v>9210800</v>
      </c>
      <c r="F20" s="49">
        <f>'Input Actual2025-26'!F134</f>
        <v>10871060</v>
      </c>
      <c r="G20" s="49">
        <f>'Input Actual2025-26'!G134</f>
        <v>10150080</v>
      </c>
      <c r="H20" s="49">
        <f>'Input Actual2025-26'!H134</f>
        <v>11059010</v>
      </c>
      <c r="I20" s="49">
        <f>'Input Actual2025-26'!I134</f>
        <v>9188690</v>
      </c>
      <c r="J20" s="49">
        <f>'Input Actual2025-26'!J134</f>
        <v>8043560</v>
      </c>
      <c r="K20" s="49">
        <f>'Input Actual2025-26'!K134</f>
        <v>13738330</v>
      </c>
      <c r="L20" s="49">
        <f>'Input Actual2025-26'!L134</f>
        <v>10720550</v>
      </c>
      <c r="M20" s="49">
        <f>'Input Actual2025-26'!M134</f>
        <v>0</v>
      </c>
      <c r="N20" s="49">
        <f>'Input Actual2025-26'!N134</f>
        <v>0</v>
      </c>
      <c r="O20" s="49">
        <f>'Input Actual2025-26'!O134</f>
        <v>0</v>
      </c>
      <c r="P20" s="49">
        <f>'Input Actual2025-26'!P134</f>
        <v>0</v>
      </c>
      <c r="Q20" s="5">
        <f t="shared" ref="Q20:Q22" si="0">SUM(E20:P20)</f>
        <v>82982080</v>
      </c>
    </row>
    <row r="21" spans="3:17" x14ac:dyDescent="0.35">
      <c r="D21" s="3" t="s">
        <v>424</v>
      </c>
      <c r="E21" s="49">
        <f>'Input Actual2024-25'!E125</f>
        <v>5843053</v>
      </c>
      <c r="F21" s="49">
        <f>'Input Actual2024-25'!F125</f>
        <v>7924829</v>
      </c>
      <c r="G21" s="49">
        <f>'Input Actual2024-25'!G125</f>
        <v>6574586</v>
      </c>
      <c r="H21" s="49">
        <f>'Input Actual2024-25'!H125</f>
        <v>6654857</v>
      </c>
      <c r="I21" s="49">
        <f>'Input Actual2024-25'!I125</f>
        <v>7074189</v>
      </c>
      <c r="J21" s="49">
        <f>'Input Actual2024-25'!J125</f>
        <v>4685457</v>
      </c>
      <c r="K21" s="49">
        <f>'Input Actual2024-25'!K125</f>
        <v>8536944</v>
      </c>
      <c r="L21" s="49">
        <f>'Input Actual2024-25'!L125</f>
        <v>7146065</v>
      </c>
      <c r="M21" s="49">
        <f>'Input Actual2024-25'!M125</f>
        <v>7724897</v>
      </c>
      <c r="N21" s="49">
        <f>'Input Actual2024-25'!N125</f>
        <v>9123070</v>
      </c>
      <c r="O21" s="49">
        <f>'Input Actual2024-25'!O125</f>
        <v>10708050</v>
      </c>
      <c r="P21" s="49">
        <f>'Input Actual2024-25'!P125</f>
        <v>11093770</v>
      </c>
      <c r="Q21" s="5">
        <f t="shared" si="0"/>
        <v>93089767</v>
      </c>
    </row>
    <row r="22" spans="3:17" x14ac:dyDescent="0.35">
      <c r="D22" s="3" t="s">
        <v>7</v>
      </c>
      <c r="E22" s="5">
        <f t="shared" ref="E22:P22" si="1">IF(E20=0,0,E20-E19)</f>
        <v>268334.07559772208</v>
      </c>
      <c r="F22" s="5">
        <f t="shared" si="1"/>
        <v>1874849.34587113</v>
      </c>
      <c r="G22" s="5">
        <f t="shared" si="1"/>
        <v>1104215.8814546857</v>
      </c>
      <c r="H22" s="5">
        <f t="shared" si="1"/>
        <v>2023158.8144859932</v>
      </c>
      <c r="I22" s="5">
        <f t="shared" si="1"/>
        <v>158795.91074505262</v>
      </c>
      <c r="J22" s="5">
        <f t="shared" si="1"/>
        <v>-977292.34112383425</v>
      </c>
      <c r="K22" s="5">
        <f t="shared" si="1"/>
        <v>4705442.5763916112</v>
      </c>
      <c r="L22" s="5">
        <f t="shared" si="1"/>
        <v>1680980.6044095624</v>
      </c>
      <c r="M22" s="5">
        <f t="shared" si="1"/>
        <v>0</v>
      </c>
      <c r="N22" s="5">
        <f t="shared" si="1"/>
        <v>0</v>
      </c>
      <c r="O22" s="5">
        <f t="shared" si="1"/>
        <v>0</v>
      </c>
      <c r="P22" s="5">
        <f t="shared" si="1"/>
        <v>0</v>
      </c>
      <c r="Q22" s="5">
        <f t="shared" si="0"/>
        <v>10838484.867831923</v>
      </c>
    </row>
    <row r="23" spans="3:17" x14ac:dyDescent="0.35">
      <c r="D23" s="3" t="s">
        <v>43</v>
      </c>
      <c r="E23" s="9">
        <f>E21/E19</f>
        <v>0.65340511771539733</v>
      </c>
      <c r="F23" s="9">
        <f t="shared" ref="F23:P23" si="2">F20/F19</f>
        <v>1.2084043402219196</v>
      </c>
      <c r="G23" s="9">
        <f t="shared" si="2"/>
        <v>1.1220685903506868</v>
      </c>
      <c r="H23" s="9">
        <f t="shared" si="2"/>
        <v>1.2239035120154986</v>
      </c>
      <c r="I23" s="9">
        <f t="shared" si="2"/>
        <v>1.0175855784326431</v>
      </c>
      <c r="J23" s="9">
        <f t="shared" si="2"/>
        <v>0.89166297106221326</v>
      </c>
      <c r="K23" s="9">
        <f t="shared" si="2"/>
        <v>1.5209234163699914</v>
      </c>
      <c r="L23" s="9">
        <f t="shared" si="2"/>
        <v>1.1859580396860006</v>
      </c>
      <c r="M23" s="9">
        <f t="shared" si="2"/>
        <v>0</v>
      </c>
      <c r="N23" s="9">
        <f t="shared" si="2"/>
        <v>0</v>
      </c>
      <c r="O23" s="9">
        <f t="shared" si="2"/>
        <v>0</v>
      </c>
      <c r="P23" s="9">
        <f t="shared" si="2"/>
        <v>0</v>
      </c>
    </row>
    <row r="25" spans="3:17" x14ac:dyDescent="0.35">
      <c r="C25" s="7" t="s">
        <v>3</v>
      </c>
      <c r="E25" s="11">
        <f>E18</f>
        <v>45839</v>
      </c>
      <c r="F25" s="11">
        <f t="shared" ref="F25:P25" si="3">F18</f>
        <v>45870</v>
      </c>
      <c r="G25" s="11">
        <f t="shared" si="3"/>
        <v>45901</v>
      </c>
      <c r="H25" s="11">
        <f t="shared" si="3"/>
        <v>45931</v>
      </c>
      <c r="I25" s="11">
        <f t="shared" si="3"/>
        <v>45962</v>
      </c>
      <c r="J25" s="11">
        <f t="shared" si="3"/>
        <v>45992</v>
      </c>
      <c r="K25" s="11">
        <f t="shared" si="3"/>
        <v>46023</v>
      </c>
      <c r="L25" s="11">
        <f t="shared" si="3"/>
        <v>46054</v>
      </c>
      <c r="M25" s="11">
        <f t="shared" si="3"/>
        <v>46082</v>
      </c>
      <c r="N25" s="11">
        <f t="shared" si="3"/>
        <v>46113</v>
      </c>
      <c r="O25" s="11">
        <f t="shared" si="3"/>
        <v>46143</v>
      </c>
      <c r="P25" s="11">
        <f t="shared" si="3"/>
        <v>46174</v>
      </c>
    </row>
    <row r="26" spans="3:17" x14ac:dyDescent="0.35">
      <c r="D26" s="3" t="str">
        <f>D19</f>
        <v>Budget 2025-26</v>
      </c>
      <c r="E26" s="5">
        <f>SUM($E19:E19)</f>
        <v>8942465.9244022779</v>
      </c>
      <c r="F26" s="5">
        <f>SUM($E19:F19)</f>
        <v>17938676.578531146</v>
      </c>
      <c r="G26" s="5">
        <f>SUM($E19:G19)</f>
        <v>26984540.697076462</v>
      </c>
      <c r="H26" s="5">
        <f>SUM($E19:H19)</f>
        <v>36020391.882590473</v>
      </c>
      <c r="I26" s="5">
        <f>SUM($E19:I19)</f>
        <v>45050285.971845418</v>
      </c>
      <c r="J26" s="5">
        <f>SUM($E19:J19)</f>
        <v>54071138.312969252</v>
      </c>
      <c r="K26" s="5">
        <f>SUM($E19:K19)</f>
        <v>63104025.736577645</v>
      </c>
      <c r="L26" s="5">
        <f>SUM($E19:L19)</f>
        <v>72143595.132168084</v>
      </c>
      <c r="M26" s="5">
        <f>SUM($E19:M19)</f>
        <v>81187895.150696784</v>
      </c>
      <c r="N26" s="5">
        <f>SUM($E19:N19)</f>
        <v>90251894.427988663</v>
      </c>
      <c r="O26" s="5">
        <f>SUM($E19:O19)</f>
        <v>99336062.511019737</v>
      </c>
      <c r="P26" s="5">
        <f>SUM($E19:P19)</f>
        <v>108440664.45122562</v>
      </c>
    </row>
    <row r="27" spans="3:17" x14ac:dyDescent="0.35">
      <c r="D27" s="3" t="str">
        <f t="shared" ref="D27:D30" si="4">D20</f>
        <v>Actual 2025-26</v>
      </c>
      <c r="E27" s="5">
        <f>SUM($E20:E20)</f>
        <v>9210800</v>
      </c>
      <c r="F27" s="5">
        <f>SUM($E20:F20)</f>
        <v>20081860</v>
      </c>
      <c r="G27" s="5">
        <f>SUM($E20:G20)</f>
        <v>30231940</v>
      </c>
      <c r="H27" s="5">
        <f>SUM($E20:H20)</f>
        <v>41290950</v>
      </c>
      <c r="I27" s="5">
        <f>SUM($E20:I20)</f>
        <v>50479640</v>
      </c>
      <c r="J27" s="5">
        <f>SUM($E20:J20)</f>
        <v>58523200</v>
      </c>
      <c r="K27" s="5">
        <f>SUM($E20:K20)</f>
        <v>72261530</v>
      </c>
      <c r="L27" s="5">
        <f>SUM($E20:L20)</f>
        <v>82982080</v>
      </c>
      <c r="M27" s="5">
        <f>SUM($E20:M20)</f>
        <v>82982080</v>
      </c>
      <c r="N27" s="5">
        <f>SUM($E20:N20)</f>
        <v>82982080</v>
      </c>
      <c r="O27" s="5">
        <f>SUM($E20:O20)</f>
        <v>82982080</v>
      </c>
      <c r="P27" s="5">
        <f>SUM($E20:P20)</f>
        <v>82982080</v>
      </c>
    </row>
    <row r="28" spans="3:17" x14ac:dyDescent="0.35">
      <c r="D28" s="3" t="str">
        <f t="shared" si="4"/>
        <v>Actual 2024-25</v>
      </c>
      <c r="E28" s="5">
        <f>SUM($E21:E21)</f>
        <v>5843053</v>
      </c>
      <c r="F28" s="5">
        <f>SUM($E21:F21)</f>
        <v>13767882</v>
      </c>
      <c r="G28" s="5">
        <f>SUM($E21:G21)</f>
        <v>20342468</v>
      </c>
      <c r="H28" s="5">
        <f>SUM($E21:H21)</f>
        <v>26997325</v>
      </c>
      <c r="I28" s="5">
        <f>SUM($E21:I21)</f>
        <v>34071514</v>
      </c>
      <c r="J28" s="5">
        <f>SUM($E21:J21)</f>
        <v>38756971</v>
      </c>
      <c r="K28" s="5">
        <f>SUM($E21:K21)</f>
        <v>47293915</v>
      </c>
      <c r="L28" s="5">
        <f>SUM($E21:L21)</f>
        <v>54439980</v>
      </c>
      <c r="M28" s="5">
        <f>SUM($E21:M21)</f>
        <v>62164877</v>
      </c>
      <c r="N28" s="5">
        <f>SUM($E21:N21)</f>
        <v>71287947</v>
      </c>
      <c r="O28" s="5">
        <f>SUM($E21:O21)</f>
        <v>81995997</v>
      </c>
      <c r="P28" s="5">
        <f>SUM($E21:P21)</f>
        <v>93089767</v>
      </c>
    </row>
    <row r="29" spans="3:17" x14ac:dyDescent="0.35">
      <c r="D29" s="3" t="str">
        <f t="shared" si="4"/>
        <v>Difference</v>
      </c>
      <c r="E29" s="5">
        <f>SUM($E22:E22)</f>
        <v>268334.07559772208</v>
      </c>
      <c r="F29" s="5">
        <f>SUM($E22:F22)</f>
        <v>2143183.4214688521</v>
      </c>
      <c r="G29" s="5">
        <f>SUM($E22:G22)</f>
        <v>3247399.3029235378</v>
      </c>
      <c r="H29" s="5">
        <f>SUM($E22:H22)</f>
        <v>5270558.117409531</v>
      </c>
      <c r="I29" s="5">
        <f>SUM($E22:I22)</f>
        <v>5429354.0281545836</v>
      </c>
      <c r="J29" s="5">
        <f>SUM($E22:J22)</f>
        <v>4452061.6870307494</v>
      </c>
      <c r="K29" s="5">
        <f>SUM($E22:K22)</f>
        <v>9157504.2634223606</v>
      </c>
      <c r="L29" s="5">
        <f>SUM($E22:L22)</f>
        <v>10838484.867831923</v>
      </c>
      <c r="M29" s="5">
        <f>SUM($E22:M22)</f>
        <v>10838484.867831923</v>
      </c>
      <c r="N29" s="5">
        <f>SUM($E22:N22)</f>
        <v>10838484.867831923</v>
      </c>
      <c r="O29" s="5">
        <f>SUM($E22:O22)</f>
        <v>10838484.867831923</v>
      </c>
      <c r="P29" s="5">
        <f>SUM($E22:P22)</f>
        <v>10838484.867831923</v>
      </c>
    </row>
    <row r="30" spans="3:17" x14ac:dyDescent="0.35">
      <c r="D30" s="3" t="str">
        <f t="shared" si="4"/>
        <v>Realisation</v>
      </c>
      <c r="E30" s="9">
        <f>E28/E26</f>
        <v>0.65340511771539733</v>
      </c>
      <c r="F30" s="9">
        <f t="shared" ref="F30:P30" si="5">F27/F26</f>
        <v>1.1194727722575586</v>
      </c>
      <c r="G30" s="9">
        <f t="shared" si="5"/>
        <v>1.1203429526327038</v>
      </c>
      <c r="H30" s="9">
        <f t="shared" si="5"/>
        <v>1.1463215096212465</v>
      </c>
      <c r="I30" s="9">
        <f t="shared" si="5"/>
        <v>1.1205176373696653</v>
      </c>
      <c r="J30" s="9">
        <f t="shared" si="5"/>
        <v>1.0823371178402379</v>
      </c>
      <c r="K30" s="9">
        <f t="shared" si="5"/>
        <v>1.1451175920479237</v>
      </c>
      <c r="L30" s="9">
        <f t="shared" si="5"/>
        <v>1.1502348870745305</v>
      </c>
      <c r="M30" s="9">
        <f t="shared" si="5"/>
        <v>1.0220991669506019</v>
      </c>
      <c r="N30" s="9">
        <f t="shared" si="5"/>
        <v>0.91944973040106992</v>
      </c>
      <c r="O30" s="9">
        <f t="shared" si="5"/>
        <v>0.83536711545008613</v>
      </c>
      <c r="P30" s="9">
        <f t="shared" si="5"/>
        <v>0.76523027980268077</v>
      </c>
    </row>
  </sheetData>
  <mergeCells count="2">
    <mergeCell ref="J4:Q8"/>
    <mergeCell ref="J10:Q15"/>
  </mergeCells>
  <conditionalFormatting sqref="C3">
    <cfRule type="expression" dxfId="218" priority="2">
      <formula>S4&lt;S6</formula>
    </cfRule>
  </conditionalFormatting>
  <conditionalFormatting sqref="C5">
    <cfRule type="expression" dxfId="217" priority="3">
      <formula>S4&gt;=S5</formula>
    </cfRule>
  </conditionalFormatting>
  <conditionalFormatting sqref="C4">
    <cfRule type="expression" dxfId="216" priority="1">
      <formula>AND(S4&gt;=S6,S4&lt;S5)</formula>
    </cfRule>
  </conditionalFormatting>
  <hyperlinks>
    <hyperlink ref="L1" location="Dashboard!A1" display="Dashboard"/>
  </hyperlinks>
  <pageMargins left="0.7" right="0.7" top="0.75" bottom="0.75" header="0.3" footer="0.3"/>
  <pageSetup orientation="portrait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36289" r:id="rId4" name="Spinner 1">
              <controlPr defaultSize="0" autoPict="0">
                <anchor moveWithCells="1" sizeWithCells="1">
                  <from>
                    <xdr:col>9</xdr:col>
                    <xdr:colOff>19050</xdr:colOff>
                    <xdr:row>0</xdr:row>
                    <xdr:rowOff>38100</xdr:rowOff>
                  </from>
                  <to>
                    <xdr:col>9</xdr:col>
                    <xdr:colOff>400050</xdr:colOff>
                    <xdr:row>1</xdr:row>
                    <xdr:rowOff>152400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1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101">
    <tabColor rgb="FFFFC000"/>
  </sheetPr>
  <dimension ref="A1:S30"/>
  <sheetViews>
    <sheetView topLeftCell="C1" zoomScale="90" zoomScaleNormal="90" workbookViewId="0">
      <selection activeCell="L1" sqref="L1"/>
    </sheetView>
  </sheetViews>
  <sheetFormatPr defaultColWidth="9.1796875" defaultRowHeight="14.5" x14ac:dyDescent="0.35"/>
  <cols>
    <col min="1" max="1" width="9.1796875" style="3"/>
    <col min="2" max="2" width="5.1796875" style="3" customWidth="1"/>
    <col min="3" max="3" width="6.26953125" style="3" customWidth="1"/>
    <col min="4" max="4" width="21.26953125" style="3" bestFit="1" customWidth="1"/>
    <col min="5" max="16" width="11.1796875" style="3" customWidth="1"/>
    <col min="17" max="17" width="12" style="3" bestFit="1" customWidth="1"/>
    <col min="18" max="18" width="9.1796875" style="3" customWidth="1"/>
    <col min="19" max="16384" width="9.1796875" style="3"/>
  </cols>
  <sheetData>
    <row r="1" spans="1:19" ht="21" x14ac:dyDescent="0.5">
      <c r="A1" s="4" t="s">
        <v>4</v>
      </c>
      <c r="B1" s="4">
        <f>Dashboard!A140</f>
        <v>1</v>
      </c>
      <c r="C1" s="4" t="str">
        <f>Dashboard!B140</f>
        <v>HELLSGATE - WATER(KES)</v>
      </c>
      <c r="D1" s="4"/>
      <c r="G1" s="3" t="s">
        <v>9</v>
      </c>
      <c r="I1" s="12">
        <f>INDEX($E$18:$P$18,Actual_month)</f>
        <v>46054</v>
      </c>
      <c r="L1" s="16" t="s">
        <v>19</v>
      </c>
      <c r="R1" s="5"/>
    </row>
    <row r="2" spans="1:19" x14ac:dyDescent="0.35">
      <c r="A2" s="3" t="s">
        <v>13</v>
      </c>
      <c r="C2" s="3" t="s">
        <v>27</v>
      </c>
      <c r="R2" s="6"/>
    </row>
    <row r="3" spans="1:19" ht="25.5" customHeight="1" thickBot="1" x14ac:dyDescent="0.4">
      <c r="C3" s="1" t="s">
        <v>5</v>
      </c>
      <c r="E3" s="10"/>
      <c r="F3" s="10"/>
      <c r="G3" s="10"/>
      <c r="H3" s="10"/>
      <c r="I3" s="10"/>
      <c r="J3" s="3" t="s">
        <v>6</v>
      </c>
      <c r="K3" s="10"/>
      <c r="M3" s="10"/>
      <c r="N3" s="10"/>
      <c r="O3" s="10"/>
      <c r="P3" s="10"/>
    </row>
    <row r="4" spans="1:19" ht="25.5" customHeight="1" x14ac:dyDescent="0.35">
      <c r="C4" s="1" t="s">
        <v>5</v>
      </c>
      <c r="E4" s="10"/>
      <c r="F4" s="10"/>
      <c r="G4" s="10"/>
      <c r="H4" s="10"/>
      <c r="I4" s="10"/>
      <c r="J4" s="401"/>
      <c r="K4" s="402"/>
      <c r="L4" s="402"/>
      <c r="M4" s="402"/>
      <c r="N4" s="402"/>
      <c r="O4" s="402"/>
      <c r="P4" s="402"/>
      <c r="Q4" s="403"/>
      <c r="R4" s="3" t="s">
        <v>22</v>
      </c>
      <c r="S4" s="5">
        <f>INDEX(E27:P27,Actual_month)</f>
        <v>24950670</v>
      </c>
    </row>
    <row r="5" spans="1:19" ht="25.5" customHeight="1" x14ac:dyDescent="0.35">
      <c r="C5" s="1" t="s">
        <v>5</v>
      </c>
      <c r="E5" s="10"/>
      <c r="F5" s="10"/>
      <c r="G5" s="10"/>
      <c r="H5" s="10"/>
      <c r="I5" s="10"/>
      <c r="J5" s="404"/>
      <c r="K5" s="405"/>
      <c r="L5" s="405"/>
      <c r="M5" s="405"/>
      <c r="N5" s="405"/>
      <c r="O5" s="405"/>
      <c r="P5" s="405"/>
      <c r="Q5" s="406"/>
      <c r="R5" s="3" t="s">
        <v>23</v>
      </c>
      <c r="S5" s="5">
        <f>INDEX(E26:P26,Actual_month)</f>
        <v>22781462.103232253</v>
      </c>
    </row>
    <row r="6" spans="1:19" x14ac:dyDescent="0.35">
      <c r="J6" s="404"/>
      <c r="K6" s="405"/>
      <c r="L6" s="405"/>
      <c r="M6" s="405"/>
      <c r="N6" s="405"/>
      <c r="O6" s="405"/>
      <c r="P6" s="405"/>
      <c r="Q6" s="406"/>
      <c r="R6" s="6">
        <v>0.9</v>
      </c>
      <c r="S6" s="5">
        <f>+S5*R6</f>
        <v>20503315.892909028</v>
      </c>
    </row>
    <row r="7" spans="1:19" x14ac:dyDescent="0.35">
      <c r="J7" s="404"/>
      <c r="K7" s="405"/>
      <c r="L7" s="405"/>
      <c r="M7" s="405"/>
      <c r="N7" s="405"/>
      <c r="O7" s="405"/>
      <c r="P7" s="405"/>
      <c r="Q7" s="406"/>
    </row>
    <row r="8" spans="1:19" ht="15" thickBot="1" x14ac:dyDescent="0.4">
      <c r="J8" s="407"/>
      <c r="K8" s="408"/>
      <c r="L8" s="408"/>
      <c r="M8" s="408"/>
      <c r="N8" s="408"/>
      <c r="O8" s="408"/>
      <c r="P8" s="408"/>
      <c r="Q8" s="409"/>
    </row>
    <row r="9" spans="1:19" ht="15" thickBot="1" x14ac:dyDescent="0.4">
      <c r="J9" s="3" t="s">
        <v>12</v>
      </c>
    </row>
    <row r="10" spans="1:19" x14ac:dyDescent="0.35">
      <c r="J10" s="401"/>
      <c r="K10" s="402"/>
      <c r="L10" s="402"/>
      <c r="M10" s="402"/>
      <c r="N10" s="402"/>
      <c r="O10" s="402"/>
      <c r="P10" s="402"/>
      <c r="Q10" s="403"/>
    </row>
    <row r="11" spans="1:19" x14ac:dyDescent="0.35">
      <c r="J11" s="404"/>
      <c r="K11" s="405"/>
      <c r="L11" s="405"/>
      <c r="M11" s="405"/>
      <c r="N11" s="405"/>
      <c r="O11" s="405"/>
      <c r="P11" s="405"/>
      <c r="Q11" s="406"/>
    </row>
    <row r="12" spans="1:19" x14ac:dyDescent="0.35">
      <c r="J12" s="404"/>
      <c r="K12" s="405"/>
      <c r="L12" s="405"/>
      <c r="M12" s="405"/>
      <c r="N12" s="405"/>
      <c r="O12" s="405"/>
      <c r="P12" s="405"/>
      <c r="Q12" s="406"/>
    </row>
    <row r="13" spans="1:19" x14ac:dyDescent="0.35">
      <c r="J13" s="404"/>
      <c r="K13" s="405"/>
      <c r="L13" s="405"/>
      <c r="M13" s="405"/>
      <c r="N13" s="405"/>
      <c r="O13" s="405"/>
      <c r="P13" s="405"/>
      <c r="Q13" s="406"/>
    </row>
    <row r="14" spans="1:19" x14ac:dyDescent="0.35">
      <c r="J14" s="404"/>
      <c r="K14" s="405"/>
      <c r="L14" s="405"/>
      <c r="M14" s="405"/>
      <c r="N14" s="405"/>
      <c r="O14" s="405"/>
      <c r="P14" s="405"/>
      <c r="Q14" s="406"/>
    </row>
    <row r="15" spans="1:19" ht="15" thickBot="1" x14ac:dyDescent="0.4">
      <c r="J15" s="407"/>
      <c r="K15" s="408"/>
      <c r="L15" s="408"/>
      <c r="M15" s="408"/>
      <c r="N15" s="408"/>
      <c r="O15" s="408"/>
      <c r="P15" s="408"/>
      <c r="Q15" s="409"/>
    </row>
    <row r="18" spans="3:17" x14ac:dyDescent="0.35">
      <c r="C18" s="7" t="s">
        <v>8</v>
      </c>
      <c r="E18" s="11">
        <f>'KPI 1'!E18</f>
        <v>45839</v>
      </c>
      <c r="F18" s="11">
        <f>'KPI 1'!F18</f>
        <v>45870</v>
      </c>
      <c r="G18" s="11">
        <f>'KPI 1'!G18</f>
        <v>45901</v>
      </c>
      <c r="H18" s="11">
        <f>'KPI 1'!H18</f>
        <v>45931</v>
      </c>
      <c r="I18" s="11">
        <f>'KPI 1'!I18</f>
        <v>45962</v>
      </c>
      <c r="J18" s="11">
        <f>'KPI 1'!J18</f>
        <v>45992</v>
      </c>
      <c r="K18" s="11">
        <f>'KPI 1'!K18</f>
        <v>46023</v>
      </c>
      <c r="L18" s="11">
        <f>'KPI 1'!L18</f>
        <v>46054</v>
      </c>
      <c r="M18" s="11">
        <f>'KPI 1'!M18</f>
        <v>46082</v>
      </c>
      <c r="N18" s="11">
        <f>'KPI 1'!N18</f>
        <v>46113</v>
      </c>
      <c r="O18" s="11">
        <f>'KPI 1'!O18</f>
        <v>46143</v>
      </c>
      <c r="P18" s="11">
        <f>'KPI 1'!P18</f>
        <v>46174</v>
      </c>
      <c r="Q18" s="8" t="s">
        <v>0</v>
      </c>
    </row>
    <row r="19" spans="3:17" x14ac:dyDescent="0.35">
      <c r="D19" s="3" t="str">
        <f>'KPI 1'!D19</f>
        <v>Budget 2025-26</v>
      </c>
      <c r="E19" s="49">
        <f>'budget 2025-26'!D132</f>
        <v>2688213.5283896001</v>
      </c>
      <c r="F19" s="49">
        <f>'budget 2025-26'!E132</f>
        <v>2702286.7497774758</v>
      </c>
      <c r="G19" s="49">
        <f>'budget 2025-26'!F132</f>
        <v>2732965.0247134324</v>
      </c>
      <c r="H19" s="49">
        <f>'budget 2025-26'!G132</f>
        <v>2800450.1302181515</v>
      </c>
      <c r="I19" s="49">
        <f>'budget 2025-26'!H132</f>
        <v>2868260.1330612507</v>
      </c>
      <c r="J19" s="49">
        <f>'budget 2025-26'!I132</f>
        <v>2934181.7272959882</v>
      </c>
      <c r="K19" s="49">
        <f>'budget 2025-26'!J132</f>
        <v>2997202.2204598826</v>
      </c>
      <c r="L19" s="49">
        <f>'budget 2025-26'!K132</f>
        <v>3057902.5893164724</v>
      </c>
      <c r="M19" s="49">
        <f>'budget 2025-26'!L132</f>
        <v>3103001.7466430347</v>
      </c>
      <c r="N19" s="49">
        <f>'budget 2025-26'!M132</f>
        <v>3143989.1710044788</v>
      </c>
      <c r="O19" s="49">
        <f>'budget 2025-26'!N132</f>
        <v>3184909.961858456</v>
      </c>
      <c r="P19" s="49">
        <f>'budget 2025-26'!O132</f>
        <v>3222857.4397244095</v>
      </c>
      <c r="Q19" s="5">
        <f>SUM(E19:P19)</f>
        <v>35436220.422462627</v>
      </c>
    </row>
    <row r="20" spans="3:17" x14ac:dyDescent="0.35">
      <c r="D20" s="3" t="str">
        <f>'KPI 1'!D20</f>
        <v>Actual 2025-26</v>
      </c>
      <c r="E20" s="49">
        <f>'Input Actual2025-26'!E135</f>
        <v>2570510</v>
      </c>
      <c r="F20" s="49">
        <f>'Input Actual2025-26'!F135</f>
        <v>3596170</v>
      </c>
      <c r="G20" s="49">
        <f>'Input Actual2025-26'!G135</f>
        <v>2612160</v>
      </c>
      <c r="H20" s="49">
        <f>'Input Actual2025-26'!H135</f>
        <v>3498390</v>
      </c>
      <c r="I20" s="49">
        <f>'Input Actual2025-26'!I135</f>
        <v>2420620</v>
      </c>
      <c r="J20" s="49">
        <f>'Input Actual2025-26'!J135</f>
        <v>2797250</v>
      </c>
      <c r="K20" s="49">
        <f>'Input Actual2025-26'!K135</f>
        <v>4115890</v>
      </c>
      <c r="L20" s="49">
        <f>'Input Actual2025-26'!L135</f>
        <v>3339680</v>
      </c>
      <c r="M20" s="49">
        <f>'Input Actual2025-26'!M135</f>
        <v>0</v>
      </c>
      <c r="N20" s="49">
        <f>'Input Actual2025-26'!N135</f>
        <v>0</v>
      </c>
      <c r="O20" s="49">
        <f>'Input Actual2025-26'!O135</f>
        <v>0</v>
      </c>
      <c r="P20" s="49">
        <f>'Input Actual2025-26'!P135</f>
        <v>0</v>
      </c>
      <c r="Q20" s="5">
        <f t="shared" ref="Q20:Q22" si="0">SUM(E20:P20)</f>
        <v>24950670</v>
      </c>
    </row>
    <row r="21" spans="3:17" x14ac:dyDescent="0.35">
      <c r="D21" s="3" t="s">
        <v>424</v>
      </c>
      <c r="E21" s="49">
        <f>'Input Actual2024-25'!E126</f>
        <v>2012524</v>
      </c>
      <c r="F21" s="49">
        <f>'Input Actual2024-25'!F126</f>
        <v>1783986</v>
      </c>
      <c r="G21" s="49">
        <f>'Input Actual2024-25'!G126</f>
        <v>2041020</v>
      </c>
      <c r="H21" s="49">
        <f>'Input Actual2024-25'!H126</f>
        <v>1972246</v>
      </c>
      <c r="I21" s="49">
        <f>'Input Actual2024-25'!I126</f>
        <v>2322298</v>
      </c>
      <c r="J21" s="49">
        <f>'Input Actual2024-25'!J126</f>
        <v>1310338</v>
      </c>
      <c r="K21" s="49">
        <f>'Input Actual2024-25'!K126</f>
        <v>2379301</v>
      </c>
      <c r="L21" s="49">
        <f>'Input Actual2024-25'!L126</f>
        <v>2157536</v>
      </c>
      <c r="M21" s="49">
        <f>'Input Actual2024-25'!M126</f>
        <v>1983195</v>
      </c>
      <c r="N21" s="49">
        <f>'Input Actual2024-25'!N126</f>
        <v>1700227</v>
      </c>
      <c r="O21" s="49">
        <f>'Input Actual2024-25'!O126</f>
        <v>2880970</v>
      </c>
      <c r="P21" s="49">
        <f>'Input Actual2024-25'!P126</f>
        <v>3480160</v>
      </c>
      <c r="Q21" s="5">
        <f t="shared" si="0"/>
        <v>26023801</v>
      </c>
    </row>
    <row r="22" spans="3:17" x14ac:dyDescent="0.35">
      <c r="D22" s="3" t="s">
        <v>7</v>
      </c>
      <c r="E22" s="5">
        <f t="shared" ref="E22:P22" si="1">IF(E20=0,0,E20-E19)</f>
        <v>-117703.52838960011</v>
      </c>
      <c r="F22" s="5">
        <f t="shared" si="1"/>
        <v>893883.25022252416</v>
      </c>
      <c r="G22" s="5">
        <f t="shared" si="1"/>
        <v>-120805.02471343242</v>
      </c>
      <c r="H22" s="5">
        <f t="shared" si="1"/>
        <v>697939.86978184851</v>
      </c>
      <c r="I22" s="5">
        <f t="shared" si="1"/>
        <v>-447640.13306125067</v>
      </c>
      <c r="J22" s="5">
        <f t="shared" si="1"/>
        <v>-136931.72729598824</v>
      </c>
      <c r="K22" s="5">
        <f t="shared" si="1"/>
        <v>1118687.7795401174</v>
      </c>
      <c r="L22" s="5">
        <f t="shared" si="1"/>
        <v>281777.41068352759</v>
      </c>
      <c r="M22" s="5">
        <f t="shared" si="1"/>
        <v>0</v>
      </c>
      <c r="N22" s="5">
        <f t="shared" si="1"/>
        <v>0</v>
      </c>
      <c r="O22" s="5">
        <f t="shared" si="1"/>
        <v>0</v>
      </c>
      <c r="P22" s="5">
        <f t="shared" si="1"/>
        <v>0</v>
      </c>
      <c r="Q22" s="5">
        <f t="shared" si="0"/>
        <v>2169207.8967677462</v>
      </c>
    </row>
    <row r="23" spans="3:17" x14ac:dyDescent="0.35">
      <c r="D23" s="3" t="s">
        <v>43</v>
      </c>
      <c r="E23" s="9">
        <f>E21/E19</f>
        <v>0.74864737445377771</v>
      </c>
      <c r="F23" s="9">
        <f t="shared" ref="F23:P23" si="2">F20/F19</f>
        <v>1.3307877116653635</v>
      </c>
      <c r="G23" s="9">
        <f t="shared" si="2"/>
        <v>0.95579708352612391</v>
      </c>
      <c r="H23" s="9">
        <f t="shared" si="2"/>
        <v>1.2492241737321992</v>
      </c>
      <c r="I23" s="9">
        <f t="shared" si="2"/>
        <v>0.843933216551216</v>
      </c>
      <c r="J23" s="9">
        <f t="shared" si="2"/>
        <v>0.95333222682762109</v>
      </c>
      <c r="K23" s="9">
        <f t="shared" si="2"/>
        <v>1.3732440113328319</v>
      </c>
      <c r="L23" s="9">
        <f t="shared" si="2"/>
        <v>1.0921472814954882</v>
      </c>
      <c r="M23" s="9">
        <f t="shared" si="2"/>
        <v>0</v>
      </c>
      <c r="N23" s="9">
        <f t="shared" si="2"/>
        <v>0</v>
      </c>
      <c r="O23" s="9">
        <f t="shared" si="2"/>
        <v>0</v>
      </c>
      <c r="P23" s="9">
        <f t="shared" si="2"/>
        <v>0</v>
      </c>
    </row>
    <row r="25" spans="3:17" x14ac:dyDescent="0.35">
      <c r="C25" s="7" t="s">
        <v>3</v>
      </c>
      <c r="E25" s="11">
        <f>E18</f>
        <v>45839</v>
      </c>
      <c r="F25" s="11">
        <f t="shared" ref="F25:P25" si="3">F18</f>
        <v>45870</v>
      </c>
      <c r="G25" s="11">
        <f t="shared" si="3"/>
        <v>45901</v>
      </c>
      <c r="H25" s="11">
        <f t="shared" si="3"/>
        <v>45931</v>
      </c>
      <c r="I25" s="11">
        <f t="shared" si="3"/>
        <v>45962</v>
      </c>
      <c r="J25" s="11">
        <f t="shared" si="3"/>
        <v>45992</v>
      </c>
      <c r="K25" s="11">
        <f t="shared" si="3"/>
        <v>46023</v>
      </c>
      <c r="L25" s="11">
        <f t="shared" si="3"/>
        <v>46054</v>
      </c>
      <c r="M25" s="11">
        <f t="shared" si="3"/>
        <v>46082</v>
      </c>
      <c r="N25" s="11">
        <f t="shared" si="3"/>
        <v>46113</v>
      </c>
      <c r="O25" s="11">
        <f t="shared" si="3"/>
        <v>46143</v>
      </c>
      <c r="P25" s="11">
        <f t="shared" si="3"/>
        <v>46174</v>
      </c>
    </row>
    <row r="26" spans="3:17" x14ac:dyDescent="0.35">
      <c r="D26" s="3" t="str">
        <f>D19</f>
        <v>Budget 2025-26</v>
      </c>
      <c r="E26" s="5">
        <f>SUM($E19:E19)</f>
        <v>2688213.5283896001</v>
      </c>
      <c r="F26" s="5">
        <f>SUM($E19:F19)</f>
        <v>5390500.2781670764</v>
      </c>
      <c r="G26" s="5">
        <f>SUM($E19:G19)</f>
        <v>8123465.3028805088</v>
      </c>
      <c r="H26" s="5">
        <f>SUM($E19:H19)</f>
        <v>10923915.433098661</v>
      </c>
      <c r="I26" s="5">
        <f>SUM($E19:I19)</f>
        <v>13792175.566159911</v>
      </c>
      <c r="J26" s="5">
        <f>SUM($E19:J19)</f>
        <v>16726357.293455899</v>
      </c>
      <c r="K26" s="5">
        <f>SUM($E19:K19)</f>
        <v>19723559.513915781</v>
      </c>
      <c r="L26" s="5">
        <f>SUM($E19:L19)</f>
        <v>22781462.103232253</v>
      </c>
      <c r="M26" s="5">
        <f>SUM($E19:M19)</f>
        <v>25884463.849875286</v>
      </c>
      <c r="N26" s="5">
        <f>SUM($E19:N19)</f>
        <v>29028453.020879764</v>
      </c>
      <c r="O26" s="5">
        <f>SUM($E19:O19)</f>
        <v>32213362.982738219</v>
      </c>
      <c r="P26" s="5">
        <f>SUM($E19:P19)</f>
        <v>35436220.422462627</v>
      </c>
    </row>
    <row r="27" spans="3:17" x14ac:dyDescent="0.35">
      <c r="D27" s="3" t="str">
        <f t="shared" ref="D27:D30" si="4">D20</f>
        <v>Actual 2025-26</v>
      </c>
      <c r="E27" s="5">
        <f>SUM($E20:E20)</f>
        <v>2570510</v>
      </c>
      <c r="F27" s="5">
        <f>SUM($E20:F20)</f>
        <v>6166680</v>
      </c>
      <c r="G27" s="5">
        <f>SUM($E20:G20)</f>
        <v>8778840</v>
      </c>
      <c r="H27" s="5">
        <f>SUM($E20:H20)</f>
        <v>12277230</v>
      </c>
      <c r="I27" s="5">
        <f>SUM($E20:I20)</f>
        <v>14697850</v>
      </c>
      <c r="J27" s="5">
        <f>SUM($E20:J20)</f>
        <v>17495100</v>
      </c>
      <c r="K27" s="5">
        <f>SUM($E20:K20)</f>
        <v>21610990</v>
      </c>
      <c r="L27" s="5">
        <f>SUM($E20:L20)</f>
        <v>24950670</v>
      </c>
      <c r="M27" s="5">
        <f>SUM($E20:M20)</f>
        <v>24950670</v>
      </c>
      <c r="N27" s="5">
        <f>SUM($E20:N20)</f>
        <v>24950670</v>
      </c>
      <c r="O27" s="5">
        <f>SUM($E20:O20)</f>
        <v>24950670</v>
      </c>
      <c r="P27" s="5">
        <f>SUM($E20:P20)</f>
        <v>24950670</v>
      </c>
    </row>
    <row r="28" spans="3:17" x14ac:dyDescent="0.35">
      <c r="D28" s="3" t="str">
        <f t="shared" si="4"/>
        <v>Actual 2024-25</v>
      </c>
      <c r="E28" s="5">
        <f>SUM($E21:E21)</f>
        <v>2012524</v>
      </c>
      <c r="F28" s="5">
        <f>SUM($E21:F21)</f>
        <v>3796510</v>
      </c>
      <c r="G28" s="5">
        <f>SUM($E21:G21)</f>
        <v>5837530</v>
      </c>
      <c r="H28" s="5">
        <f>SUM($E21:H21)</f>
        <v>7809776</v>
      </c>
      <c r="I28" s="5">
        <f>SUM($E21:I21)</f>
        <v>10132074</v>
      </c>
      <c r="J28" s="5">
        <f>SUM($E21:J21)</f>
        <v>11442412</v>
      </c>
      <c r="K28" s="5">
        <f>SUM($E21:K21)</f>
        <v>13821713</v>
      </c>
      <c r="L28" s="5">
        <f>SUM($E21:L21)</f>
        <v>15979249</v>
      </c>
      <c r="M28" s="5">
        <f>SUM($E21:M21)</f>
        <v>17962444</v>
      </c>
      <c r="N28" s="5">
        <f>SUM($E21:N21)</f>
        <v>19662671</v>
      </c>
      <c r="O28" s="5">
        <f>SUM($E21:O21)</f>
        <v>22543641</v>
      </c>
      <c r="P28" s="5">
        <f>SUM($E21:P21)</f>
        <v>26023801</v>
      </c>
    </row>
    <row r="29" spans="3:17" x14ac:dyDescent="0.35">
      <c r="D29" s="3" t="str">
        <f t="shared" si="4"/>
        <v>Difference</v>
      </c>
      <c r="E29" s="5">
        <f>SUM($E22:E22)</f>
        <v>-117703.52838960011</v>
      </c>
      <c r="F29" s="5">
        <f>SUM($E22:F22)</f>
        <v>776179.72183292406</v>
      </c>
      <c r="G29" s="5">
        <f>SUM($E22:G22)</f>
        <v>655374.69711949164</v>
      </c>
      <c r="H29" s="5">
        <f>SUM($E22:H22)</f>
        <v>1353314.5669013401</v>
      </c>
      <c r="I29" s="5">
        <f>SUM($E22:I22)</f>
        <v>905674.43384008948</v>
      </c>
      <c r="J29" s="5">
        <f>SUM($E22:J22)</f>
        <v>768742.70654410124</v>
      </c>
      <c r="K29" s="5">
        <f>SUM($E22:K22)</f>
        <v>1887430.4860842186</v>
      </c>
      <c r="L29" s="5">
        <f>SUM($E22:L22)</f>
        <v>2169207.8967677462</v>
      </c>
      <c r="M29" s="5">
        <f>SUM($E22:M22)</f>
        <v>2169207.8967677462</v>
      </c>
      <c r="N29" s="5">
        <f>SUM($E22:N22)</f>
        <v>2169207.8967677462</v>
      </c>
      <c r="O29" s="5">
        <f>SUM($E22:O22)</f>
        <v>2169207.8967677462</v>
      </c>
      <c r="P29" s="5">
        <f>SUM($E22:P22)</f>
        <v>2169207.8967677462</v>
      </c>
    </row>
    <row r="30" spans="3:17" x14ac:dyDescent="0.35">
      <c r="D30" s="3" t="str">
        <f t="shared" si="4"/>
        <v>Realisation</v>
      </c>
      <c r="E30" s="9">
        <f>E28/E26</f>
        <v>0.74864737445377771</v>
      </c>
      <c r="F30" s="9">
        <f t="shared" ref="F30:P30" si="5">F27/F26</f>
        <v>1.1439902943659335</v>
      </c>
      <c r="G30" s="9">
        <f t="shared" si="5"/>
        <v>1.0806767398744352</v>
      </c>
      <c r="H30" s="9">
        <f t="shared" si="5"/>
        <v>1.1238854854918499</v>
      </c>
      <c r="I30" s="9">
        <f t="shared" si="5"/>
        <v>1.0656658138881459</v>
      </c>
      <c r="J30" s="9">
        <f t="shared" si="5"/>
        <v>1.0459599596646705</v>
      </c>
      <c r="K30" s="9">
        <f t="shared" si="5"/>
        <v>1.0956942120286433</v>
      </c>
      <c r="L30" s="9">
        <f t="shared" si="5"/>
        <v>1.0952181158056566</v>
      </c>
      <c r="M30" s="9">
        <f t="shared" si="5"/>
        <v>0.96392454349098733</v>
      </c>
      <c r="N30" s="9">
        <f t="shared" si="5"/>
        <v>0.85952461821004822</v>
      </c>
      <c r="O30" s="9">
        <f t="shared" si="5"/>
        <v>0.77454409256711287</v>
      </c>
      <c r="P30" s="9">
        <f t="shared" si="5"/>
        <v>0.70410076759156981</v>
      </c>
    </row>
  </sheetData>
  <mergeCells count="2">
    <mergeCell ref="J4:Q8"/>
    <mergeCell ref="J10:Q15"/>
  </mergeCells>
  <conditionalFormatting sqref="C3">
    <cfRule type="expression" dxfId="215" priority="2">
      <formula>S4&lt;S6</formula>
    </cfRule>
  </conditionalFormatting>
  <conditionalFormatting sqref="C5">
    <cfRule type="expression" dxfId="214" priority="3">
      <formula>S4&gt;=S5</formula>
    </cfRule>
  </conditionalFormatting>
  <conditionalFormatting sqref="C4">
    <cfRule type="expression" dxfId="213" priority="1">
      <formula>AND(S4&gt;=S6,S4&lt;S5)</formula>
    </cfRule>
  </conditionalFormatting>
  <hyperlinks>
    <hyperlink ref="L1" location="Dashboard!A1" display="Dashboard"/>
  </hyperlinks>
  <pageMargins left="0.7" right="0.7" top="0.75" bottom="0.75" header="0.3" footer="0.3"/>
  <pageSetup orientation="portrait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37313" r:id="rId4" name="Spinner 1">
              <controlPr defaultSize="0" autoPict="0">
                <anchor moveWithCells="1" sizeWithCells="1">
                  <from>
                    <xdr:col>9</xdr:col>
                    <xdr:colOff>19050</xdr:colOff>
                    <xdr:row>0</xdr:row>
                    <xdr:rowOff>38100</xdr:rowOff>
                  </from>
                  <to>
                    <xdr:col>9</xdr:col>
                    <xdr:colOff>400050</xdr:colOff>
                    <xdr:row>1</xdr:row>
                    <xdr:rowOff>152400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1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102">
    <tabColor rgb="FFFFC000"/>
  </sheetPr>
  <dimension ref="A1:S30"/>
  <sheetViews>
    <sheetView zoomScale="90" zoomScaleNormal="90" workbookViewId="0">
      <selection activeCell="L1" sqref="L1"/>
    </sheetView>
  </sheetViews>
  <sheetFormatPr defaultColWidth="9.1796875" defaultRowHeight="14.5" x14ac:dyDescent="0.35"/>
  <cols>
    <col min="1" max="1" width="9.1796875" style="3"/>
    <col min="2" max="2" width="5.1796875" style="3" customWidth="1"/>
    <col min="3" max="3" width="6.26953125" style="3" customWidth="1"/>
    <col min="4" max="4" width="21.26953125" style="3" bestFit="1" customWidth="1"/>
    <col min="5" max="16" width="11.1796875" style="3" customWidth="1"/>
    <col min="17" max="17" width="12" style="3" bestFit="1" customWidth="1"/>
    <col min="18" max="18" width="9.1796875" style="3" customWidth="1"/>
    <col min="19" max="16384" width="9.1796875" style="3"/>
  </cols>
  <sheetData>
    <row r="1" spans="1:19" ht="21" x14ac:dyDescent="0.5">
      <c r="A1" s="4" t="s">
        <v>4</v>
      </c>
      <c r="B1" s="4">
        <f>Dashboard!A141</f>
        <v>2</v>
      </c>
      <c r="C1" s="4" t="str">
        <f>Dashboard!B141</f>
        <v>KAMERE - WATER(KES)</v>
      </c>
      <c r="D1" s="4"/>
      <c r="G1" s="3" t="s">
        <v>9</v>
      </c>
      <c r="I1" s="12">
        <f>INDEX($E$18:$P$18,Actual_month)</f>
        <v>46054</v>
      </c>
      <c r="L1" s="16" t="s">
        <v>19</v>
      </c>
      <c r="R1" s="5"/>
    </row>
    <row r="2" spans="1:19" x14ac:dyDescent="0.35">
      <c r="A2" s="3" t="s">
        <v>13</v>
      </c>
      <c r="C2" s="3" t="s">
        <v>27</v>
      </c>
      <c r="R2" s="6"/>
    </row>
    <row r="3" spans="1:19" ht="25.5" customHeight="1" thickBot="1" x14ac:dyDescent="0.4">
      <c r="C3" s="1" t="s">
        <v>5</v>
      </c>
      <c r="E3" s="10"/>
      <c r="F3" s="10"/>
      <c r="G3" s="10"/>
      <c r="H3" s="10"/>
      <c r="I3" s="10"/>
      <c r="J3" s="3" t="s">
        <v>6</v>
      </c>
      <c r="K3" s="10"/>
      <c r="M3" s="10"/>
      <c r="N3" s="10"/>
      <c r="O3" s="10"/>
      <c r="P3" s="10"/>
    </row>
    <row r="4" spans="1:19" ht="25.5" customHeight="1" x14ac:dyDescent="0.35">
      <c r="C4" s="1" t="s">
        <v>5</v>
      </c>
      <c r="E4" s="10"/>
      <c r="F4" s="10"/>
      <c r="G4" s="10"/>
      <c r="H4" s="10"/>
      <c r="I4" s="10"/>
      <c r="J4" s="401"/>
      <c r="K4" s="402"/>
      <c r="L4" s="402"/>
      <c r="M4" s="402"/>
      <c r="N4" s="402"/>
      <c r="O4" s="402"/>
      <c r="P4" s="402"/>
      <c r="Q4" s="403"/>
      <c r="R4" s="3" t="s">
        <v>22</v>
      </c>
      <c r="S4" s="5">
        <f>INDEX(E27:P27,Actual_month)</f>
        <v>6260710</v>
      </c>
    </row>
    <row r="5" spans="1:19" ht="25.5" customHeight="1" x14ac:dyDescent="0.35">
      <c r="C5" s="1" t="s">
        <v>5</v>
      </c>
      <c r="E5" s="10"/>
      <c r="F5" s="10"/>
      <c r="G5" s="10"/>
      <c r="H5" s="10"/>
      <c r="I5" s="10"/>
      <c r="J5" s="404"/>
      <c r="K5" s="405"/>
      <c r="L5" s="405"/>
      <c r="M5" s="405"/>
      <c r="N5" s="405"/>
      <c r="O5" s="405"/>
      <c r="P5" s="405"/>
      <c r="Q5" s="406"/>
      <c r="R5" s="3" t="s">
        <v>23</v>
      </c>
      <c r="S5" s="5">
        <f>INDEX(E26:P26,Actual_month)</f>
        <v>6133668.7234305432</v>
      </c>
    </row>
    <row r="6" spans="1:19" x14ac:dyDescent="0.35">
      <c r="J6" s="404"/>
      <c r="K6" s="405"/>
      <c r="L6" s="405"/>
      <c r="M6" s="405"/>
      <c r="N6" s="405"/>
      <c r="O6" s="405"/>
      <c r="P6" s="405"/>
      <c r="Q6" s="406"/>
      <c r="R6" s="6">
        <v>0.9</v>
      </c>
      <c r="S6" s="5">
        <f>+S5*R6</f>
        <v>5520301.8510874892</v>
      </c>
    </row>
    <row r="7" spans="1:19" x14ac:dyDescent="0.35">
      <c r="J7" s="404"/>
      <c r="K7" s="405"/>
      <c r="L7" s="405"/>
      <c r="M7" s="405"/>
      <c r="N7" s="405"/>
      <c r="O7" s="405"/>
      <c r="P7" s="405"/>
      <c r="Q7" s="406"/>
    </row>
    <row r="8" spans="1:19" ht="15" thickBot="1" x14ac:dyDescent="0.4">
      <c r="J8" s="407"/>
      <c r="K8" s="408"/>
      <c r="L8" s="408"/>
      <c r="M8" s="408"/>
      <c r="N8" s="408"/>
      <c r="O8" s="408"/>
      <c r="P8" s="408"/>
      <c r="Q8" s="409"/>
    </row>
    <row r="9" spans="1:19" ht="15" thickBot="1" x14ac:dyDescent="0.4">
      <c r="J9" s="3" t="s">
        <v>12</v>
      </c>
    </row>
    <row r="10" spans="1:19" x14ac:dyDescent="0.35">
      <c r="J10" s="401"/>
      <c r="K10" s="402"/>
      <c r="L10" s="402"/>
      <c r="M10" s="402"/>
      <c r="N10" s="402"/>
      <c r="O10" s="402"/>
      <c r="P10" s="402"/>
      <c r="Q10" s="403"/>
    </row>
    <row r="11" spans="1:19" x14ac:dyDescent="0.35">
      <c r="J11" s="404"/>
      <c r="K11" s="405"/>
      <c r="L11" s="405"/>
      <c r="M11" s="405"/>
      <c r="N11" s="405"/>
      <c r="O11" s="405"/>
      <c r="P11" s="405"/>
      <c r="Q11" s="406"/>
    </row>
    <row r="12" spans="1:19" x14ac:dyDescent="0.35">
      <c r="J12" s="404"/>
      <c r="K12" s="405"/>
      <c r="L12" s="405"/>
      <c r="M12" s="405"/>
      <c r="N12" s="405"/>
      <c r="O12" s="405"/>
      <c r="P12" s="405"/>
      <c r="Q12" s="406"/>
    </row>
    <row r="13" spans="1:19" x14ac:dyDescent="0.35">
      <c r="J13" s="404"/>
      <c r="K13" s="405"/>
      <c r="L13" s="405"/>
      <c r="M13" s="405"/>
      <c r="N13" s="405"/>
      <c r="O13" s="405"/>
      <c r="P13" s="405"/>
      <c r="Q13" s="406"/>
    </row>
    <row r="14" spans="1:19" x14ac:dyDescent="0.35">
      <c r="J14" s="404"/>
      <c r="K14" s="405"/>
      <c r="L14" s="405"/>
      <c r="M14" s="405"/>
      <c r="N14" s="405"/>
      <c r="O14" s="405"/>
      <c r="P14" s="405"/>
      <c r="Q14" s="406"/>
    </row>
    <row r="15" spans="1:19" ht="15" thickBot="1" x14ac:dyDescent="0.4">
      <c r="J15" s="407"/>
      <c r="K15" s="408"/>
      <c r="L15" s="408"/>
      <c r="M15" s="408"/>
      <c r="N15" s="408"/>
      <c r="O15" s="408"/>
      <c r="P15" s="408"/>
      <c r="Q15" s="409"/>
    </row>
    <row r="18" spans="3:17" x14ac:dyDescent="0.35">
      <c r="C18" s="7" t="s">
        <v>8</v>
      </c>
      <c r="E18" s="11">
        <f>'KPI 1'!E18</f>
        <v>45839</v>
      </c>
      <c r="F18" s="11">
        <f>'KPI 1'!F18</f>
        <v>45870</v>
      </c>
      <c r="G18" s="11">
        <f>'KPI 1'!G18</f>
        <v>45901</v>
      </c>
      <c r="H18" s="11">
        <f>'KPI 1'!H18</f>
        <v>45931</v>
      </c>
      <c r="I18" s="11">
        <f>'KPI 1'!I18</f>
        <v>45962</v>
      </c>
      <c r="J18" s="11">
        <f>'KPI 1'!J18</f>
        <v>45992</v>
      </c>
      <c r="K18" s="11">
        <f>'KPI 1'!K18</f>
        <v>46023</v>
      </c>
      <c r="L18" s="11">
        <f>'KPI 1'!L18</f>
        <v>46054</v>
      </c>
      <c r="M18" s="11">
        <f>'KPI 1'!M18</f>
        <v>46082</v>
      </c>
      <c r="N18" s="11">
        <f>'KPI 1'!N18</f>
        <v>46113</v>
      </c>
      <c r="O18" s="11">
        <f>'KPI 1'!O18</f>
        <v>46143</v>
      </c>
      <c r="P18" s="11">
        <f>'KPI 1'!P18</f>
        <v>46174</v>
      </c>
      <c r="Q18" s="8" t="s">
        <v>0</v>
      </c>
    </row>
    <row r="19" spans="3:17" x14ac:dyDescent="0.35">
      <c r="D19" s="3" t="str">
        <f>'KPI 1'!D19</f>
        <v>Budget 2025-26</v>
      </c>
      <c r="E19" s="49">
        <f>'budget 2025-26'!D133</f>
        <v>720087.34240920749</v>
      </c>
      <c r="F19" s="49">
        <f>'budget 2025-26'!E133</f>
        <v>721554.22809174797</v>
      </c>
      <c r="G19" s="49">
        <f>'budget 2025-26'!F133</f>
        <v>722693.43420304731</v>
      </c>
      <c r="H19" s="49">
        <f>'budget 2025-26'!G133</f>
        <v>759974.38734635361</v>
      </c>
      <c r="I19" s="49">
        <f>'budget 2025-26'!H133</f>
        <v>776779.41947001475</v>
      </c>
      <c r="J19" s="49">
        <f>'budget 2025-26'!I133</f>
        <v>793093.35953986295</v>
      </c>
      <c r="K19" s="49">
        <f>'budget 2025-26'!J133</f>
        <v>811072.09384178184</v>
      </c>
      <c r="L19" s="49">
        <f>'budget 2025-26'!K133</f>
        <v>828414.45852852741</v>
      </c>
      <c r="M19" s="49">
        <f>'budget 2025-26'!L133</f>
        <v>845411.47092874232</v>
      </c>
      <c r="N19" s="49">
        <f>'budget 2025-26'!M133</f>
        <v>863667.48138267198</v>
      </c>
      <c r="O19" s="49">
        <f>'budget 2025-26'!N133</f>
        <v>881858.17324671615</v>
      </c>
      <c r="P19" s="49">
        <f>'budget 2025-26'!O133</f>
        <v>899967.66040379391</v>
      </c>
      <c r="Q19" s="5">
        <f>SUM(E19:P19)</f>
        <v>9624573.5093924683</v>
      </c>
    </row>
    <row r="20" spans="3:17" x14ac:dyDescent="0.35">
      <c r="D20" s="3" t="str">
        <f>'KPI 1'!D20</f>
        <v>Actual 2025-26</v>
      </c>
      <c r="E20" s="49">
        <f>'Input Actual2025-26'!E136</f>
        <v>706180</v>
      </c>
      <c r="F20" s="49">
        <f>'Input Actual2025-26'!F136</f>
        <v>829150</v>
      </c>
      <c r="G20" s="49">
        <f>'Input Actual2025-26'!G136</f>
        <v>584980</v>
      </c>
      <c r="H20" s="49">
        <f>'Input Actual2025-26'!H136</f>
        <v>768260</v>
      </c>
      <c r="I20" s="49">
        <f>'Input Actual2025-26'!I136</f>
        <v>636320</v>
      </c>
      <c r="J20" s="49">
        <f>'Input Actual2025-26'!J136</f>
        <v>749170</v>
      </c>
      <c r="K20" s="49">
        <f>'Input Actual2025-26'!K136</f>
        <v>1094700</v>
      </c>
      <c r="L20" s="49">
        <f>'Input Actual2025-26'!L136</f>
        <v>891950</v>
      </c>
      <c r="M20" s="49">
        <f>'Input Actual2025-26'!M136</f>
        <v>0</v>
      </c>
      <c r="N20" s="49">
        <f>'Input Actual2025-26'!N136</f>
        <v>0</v>
      </c>
      <c r="O20" s="49">
        <f>'Input Actual2025-26'!O136</f>
        <v>0</v>
      </c>
      <c r="P20" s="49">
        <f>'Input Actual2025-26'!P136</f>
        <v>0</v>
      </c>
      <c r="Q20" s="5">
        <f t="shared" ref="Q20:Q22" si="0">SUM(E20:P20)</f>
        <v>6260710</v>
      </c>
    </row>
    <row r="21" spans="3:17" x14ac:dyDescent="0.35">
      <c r="D21" s="3" t="s">
        <v>424</v>
      </c>
      <c r="E21" s="49">
        <f>'Input Actual2024-25'!E127</f>
        <v>460986</v>
      </c>
      <c r="F21" s="49">
        <f>'Input Actual2024-25'!F127</f>
        <v>490051</v>
      </c>
      <c r="G21" s="49">
        <f>'Input Actual2024-25'!G127</f>
        <v>487474</v>
      </c>
      <c r="H21" s="49">
        <f>'Input Actual2024-25'!H127</f>
        <v>505046</v>
      </c>
      <c r="I21" s="49">
        <f>'Input Actual2024-25'!I127</f>
        <v>546053</v>
      </c>
      <c r="J21" s="49">
        <f>'Input Actual2024-25'!J127</f>
        <v>360214</v>
      </c>
      <c r="K21" s="49">
        <f>'Input Actual2024-25'!K127</f>
        <v>573645</v>
      </c>
      <c r="L21" s="49">
        <f>'Input Actual2024-25'!L127</f>
        <v>606588</v>
      </c>
      <c r="M21" s="49">
        <f>'Input Actual2024-25'!M127</f>
        <v>628054</v>
      </c>
      <c r="N21" s="49">
        <f>'Input Actual2024-25'!N127</f>
        <v>455096</v>
      </c>
      <c r="O21" s="49">
        <f>'Input Actual2024-25'!O127</f>
        <v>846340</v>
      </c>
      <c r="P21" s="49">
        <f>'Input Actual2024-25'!P127</f>
        <v>843290</v>
      </c>
      <c r="Q21" s="5">
        <f t="shared" si="0"/>
        <v>6802837</v>
      </c>
    </row>
    <row r="22" spans="3:17" x14ac:dyDescent="0.35">
      <c r="D22" s="3" t="s">
        <v>7</v>
      </c>
      <c r="E22" s="5">
        <f t="shared" ref="E22:P22" si="1">IF(E20=0,0,E20-E19)</f>
        <v>-13907.342409207486</v>
      </c>
      <c r="F22" s="5">
        <f t="shared" si="1"/>
        <v>107595.77190825203</v>
      </c>
      <c r="G22" s="5">
        <f t="shared" si="1"/>
        <v>-137713.43420304731</v>
      </c>
      <c r="H22" s="5">
        <f t="shared" si="1"/>
        <v>8285.6126536463853</v>
      </c>
      <c r="I22" s="5">
        <f t="shared" si="1"/>
        <v>-140459.41947001475</v>
      </c>
      <c r="J22" s="5">
        <f t="shared" si="1"/>
        <v>-43923.359539862955</v>
      </c>
      <c r="K22" s="5">
        <f t="shared" si="1"/>
        <v>283627.90615821816</v>
      </c>
      <c r="L22" s="5">
        <f t="shared" si="1"/>
        <v>63535.541471472592</v>
      </c>
      <c r="M22" s="5">
        <f t="shared" si="1"/>
        <v>0</v>
      </c>
      <c r="N22" s="5">
        <f t="shared" si="1"/>
        <v>0</v>
      </c>
      <c r="O22" s="5">
        <f t="shared" si="1"/>
        <v>0</v>
      </c>
      <c r="P22" s="5">
        <f t="shared" si="1"/>
        <v>0</v>
      </c>
      <c r="Q22" s="5">
        <f t="shared" si="0"/>
        <v>127041.27656945668</v>
      </c>
    </row>
    <row r="23" spans="3:17" x14ac:dyDescent="0.35">
      <c r="D23" s="3" t="s">
        <v>43</v>
      </c>
      <c r="E23" s="9">
        <f>E21/E19</f>
        <v>0.64018067371892962</v>
      </c>
      <c r="F23" s="9">
        <f t="shared" ref="F23:P23" si="2">F20/F19</f>
        <v>1.1491166813515932</v>
      </c>
      <c r="G23" s="9">
        <f t="shared" si="2"/>
        <v>0.80944418797036499</v>
      </c>
      <c r="H23" s="9">
        <f t="shared" si="2"/>
        <v>1.0109024893359599</v>
      </c>
      <c r="I23" s="9">
        <f t="shared" si="2"/>
        <v>0.81917721305509339</v>
      </c>
      <c r="J23" s="9">
        <f t="shared" si="2"/>
        <v>0.94461766825869475</v>
      </c>
      <c r="K23" s="9">
        <f t="shared" si="2"/>
        <v>1.3496950620194144</v>
      </c>
      <c r="L23" s="9">
        <f t="shared" si="2"/>
        <v>1.0766953555884669</v>
      </c>
      <c r="M23" s="9">
        <f t="shared" si="2"/>
        <v>0</v>
      </c>
      <c r="N23" s="9">
        <f t="shared" si="2"/>
        <v>0</v>
      </c>
      <c r="O23" s="9">
        <f t="shared" si="2"/>
        <v>0</v>
      </c>
      <c r="P23" s="9">
        <f t="shared" si="2"/>
        <v>0</v>
      </c>
    </row>
    <row r="25" spans="3:17" x14ac:dyDescent="0.35">
      <c r="C25" s="7" t="s">
        <v>3</v>
      </c>
      <c r="E25" s="11">
        <f>E18</f>
        <v>45839</v>
      </c>
      <c r="F25" s="11">
        <f t="shared" ref="F25:P25" si="3">F18</f>
        <v>45870</v>
      </c>
      <c r="G25" s="11">
        <f t="shared" si="3"/>
        <v>45901</v>
      </c>
      <c r="H25" s="11">
        <f t="shared" si="3"/>
        <v>45931</v>
      </c>
      <c r="I25" s="11">
        <f t="shared" si="3"/>
        <v>45962</v>
      </c>
      <c r="J25" s="11">
        <f t="shared" si="3"/>
        <v>45992</v>
      </c>
      <c r="K25" s="11">
        <f t="shared" si="3"/>
        <v>46023</v>
      </c>
      <c r="L25" s="11">
        <f t="shared" si="3"/>
        <v>46054</v>
      </c>
      <c r="M25" s="11">
        <f t="shared" si="3"/>
        <v>46082</v>
      </c>
      <c r="N25" s="11">
        <f t="shared" si="3"/>
        <v>46113</v>
      </c>
      <c r="O25" s="11">
        <f t="shared" si="3"/>
        <v>46143</v>
      </c>
      <c r="P25" s="11">
        <f t="shared" si="3"/>
        <v>46174</v>
      </c>
    </row>
    <row r="26" spans="3:17" x14ac:dyDescent="0.35">
      <c r="D26" s="3" t="str">
        <f>D19</f>
        <v>Budget 2025-26</v>
      </c>
      <c r="E26" s="5">
        <f>SUM($E19:E19)</f>
        <v>720087.34240920749</v>
      </c>
      <c r="F26" s="5">
        <f>SUM($E19:F19)</f>
        <v>1441641.5705009555</v>
      </c>
      <c r="G26" s="5">
        <f>SUM($E19:G19)</f>
        <v>2164335.0047040028</v>
      </c>
      <c r="H26" s="5">
        <f>SUM($E19:H19)</f>
        <v>2924309.3920503566</v>
      </c>
      <c r="I26" s="5">
        <f>SUM($E19:I19)</f>
        <v>3701088.8115203716</v>
      </c>
      <c r="J26" s="5">
        <f>SUM($E19:J19)</f>
        <v>4494182.1710602343</v>
      </c>
      <c r="K26" s="5">
        <f>SUM($E19:K19)</f>
        <v>5305254.2649020161</v>
      </c>
      <c r="L26" s="5">
        <f>SUM($E19:L19)</f>
        <v>6133668.7234305432</v>
      </c>
      <c r="M26" s="5">
        <f>SUM($E19:M19)</f>
        <v>6979080.1943592858</v>
      </c>
      <c r="N26" s="5">
        <f>SUM($E19:N19)</f>
        <v>7842747.6757419575</v>
      </c>
      <c r="O26" s="5">
        <f>SUM($E19:O19)</f>
        <v>8724605.8489886746</v>
      </c>
      <c r="P26" s="5">
        <f>SUM($E19:P19)</f>
        <v>9624573.5093924683</v>
      </c>
    </row>
    <row r="27" spans="3:17" x14ac:dyDescent="0.35">
      <c r="D27" s="3" t="str">
        <f t="shared" ref="D27:D30" si="4">D20</f>
        <v>Actual 2025-26</v>
      </c>
      <c r="E27" s="5">
        <f>SUM($E20:E20)</f>
        <v>706180</v>
      </c>
      <c r="F27" s="5">
        <f>SUM($E20:F20)</f>
        <v>1535330</v>
      </c>
      <c r="G27" s="5">
        <f>SUM($E20:G20)</f>
        <v>2120310</v>
      </c>
      <c r="H27" s="5">
        <f>SUM($E20:H20)</f>
        <v>2888570</v>
      </c>
      <c r="I27" s="5">
        <f>SUM($E20:I20)</f>
        <v>3524890</v>
      </c>
      <c r="J27" s="5">
        <f>SUM($E20:J20)</f>
        <v>4274060</v>
      </c>
      <c r="K27" s="5">
        <f>SUM($E20:K20)</f>
        <v>5368760</v>
      </c>
      <c r="L27" s="5">
        <f>SUM($E20:L20)</f>
        <v>6260710</v>
      </c>
      <c r="M27" s="5">
        <f>SUM($E20:M20)</f>
        <v>6260710</v>
      </c>
      <c r="N27" s="5">
        <f>SUM($E20:N20)</f>
        <v>6260710</v>
      </c>
      <c r="O27" s="5">
        <f>SUM($E20:O20)</f>
        <v>6260710</v>
      </c>
      <c r="P27" s="5">
        <f>SUM($E20:P20)</f>
        <v>6260710</v>
      </c>
    </row>
    <row r="28" spans="3:17" x14ac:dyDescent="0.35">
      <c r="D28" s="3" t="str">
        <f t="shared" si="4"/>
        <v>Actual 2024-25</v>
      </c>
      <c r="E28" s="5">
        <f>SUM($E21:E21)</f>
        <v>460986</v>
      </c>
      <c r="F28" s="5">
        <f>SUM($E21:F21)</f>
        <v>951037</v>
      </c>
      <c r="G28" s="5">
        <f>SUM($E21:G21)</f>
        <v>1438511</v>
      </c>
      <c r="H28" s="5">
        <f>SUM($E21:H21)</f>
        <v>1943557</v>
      </c>
      <c r="I28" s="5">
        <f>SUM($E21:I21)</f>
        <v>2489610</v>
      </c>
      <c r="J28" s="5">
        <f>SUM($E21:J21)</f>
        <v>2849824</v>
      </c>
      <c r="K28" s="5">
        <f>SUM($E21:K21)</f>
        <v>3423469</v>
      </c>
      <c r="L28" s="5">
        <f>SUM($E21:L21)</f>
        <v>4030057</v>
      </c>
      <c r="M28" s="5">
        <f>SUM($E21:M21)</f>
        <v>4658111</v>
      </c>
      <c r="N28" s="5">
        <f>SUM($E21:N21)</f>
        <v>5113207</v>
      </c>
      <c r="O28" s="5">
        <f>SUM($E21:O21)</f>
        <v>5959547</v>
      </c>
      <c r="P28" s="5">
        <f>SUM($E21:P21)</f>
        <v>6802837</v>
      </c>
    </row>
    <row r="29" spans="3:17" x14ac:dyDescent="0.35">
      <c r="D29" s="3" t="str">
        <f t="shared" si="4"/>
        <v>Difference</v>
      </c>
      <c r="E29" s="5">
        <f>SUM($E22:E22)</f>
        <v>-13907.342409207486</v>
      </c>
      <c r="F29" s="5">
        <f>SUM($E22:F22)</f>
        <v>93688.429499044549</v>
      </c>
      <c r="G29" s="5">
        <f>SUM($E22:G22)</f>
        <v>-44025.004704002757</v>
      </c>
      <c r="H29" s="5">
        <f>SUM($E22:H22)</f>
        <v>-35739.392050356371</v>
      </c>
      <c r="I29" s="5">
        <f>SUM($E22:I22)</f>
        <v>-176198.81152037112</v>
      </c>
      <c r="J29" s="5">
        <f>SUM($E22:J22)</f>
        <v>-220122.17106023408</v>
      </c>
      <c r="K29" s="5">
        <f>SUM($E22:K22)</f>
        <v>63505.735097984085</v>
      </c>
      <c r="L29" s="5">
        <f>SUM($E22:L22)</f>
        <v>127041.27656945668</v>
      </c>
      <c r="M29" s="5">
        <f>SUM($E22:M22)</f>
        <v>127041.27656945668</v>
      </c>
      <c r="N29" s="5">
        <f>SUM($E22:N22)</f>
        <v>127041.27656945668</v>
      </c>
      <c r="O29" s="5">
        <f>SUM($E22:O22)</f>
        <v>127041.27656945668</v>
      </c>
      <c r="P29" s="5">
        <f>SUM($E22:P22)</f>
        <v>127041.27656945668</v>
      </c>
    </row>
    <row r="30" spans="3:17" x14ac:dyDescent="0.35">
      <c r="D30" s="3" t="str">
        <f t="shared" si="4"/>
        <v>Realisation</v>
      </c>
      <c r="E30" s="9">
        <f>E28/E26</f>
        <v>0.64018067371892962</v>
      </c>
      <c r="F30" s="9">
        <f t="shared" ref="F30:P30" si="5">F27/F26</f>
        <v>1.0649873251549542</v>
      </c>
      <c r="G30" s="9">
        <f t="shared" si="5"/>
        <v>0.97965887692602205</v>
      </c>
      <c r="H30" s="9">
        <f t="shared" si="5"/>
        <v>0.987778518870981</v>
      </c>
      <c r="I30" s="9">
        <f t="shared" si="5"/>
        <v>0.95239270914766538</v>
      </c>
      <c r="J30" s="9">
        <f t="shared" si="5"/>
        <v>0.9510206389768342</v>
      </c>
      <c r="K30" s="9">
        <f t="shared" si="5"/>
        <v>1.011970347117596</v>
      </c>
      <c r="L30" s="9">
        <f t="shared" si="5"/>
        <v>1.0207121190103015</v>
      </c>
      <c r="M30" s="9">
        <f t="shared" si="5"/>
        <v>0.89706806995284349</v>
      </c>
      <c r="N30" s="9">
        <f t="shared" si="5"/>
        <v>0.79828017664838491</v>
      </c>
      <c r="O30" s="9">
        <f t="shared" si="5"/>
        <v>0.71759230254805373</v>
      </c>
      <c r="P30" s="9">
        <f t="shared" si="5"/>
        <v>0.6504922003962329</v>
      </c>
    </row>
  </sheetData>
  <mergeCells count="2">
    <mergeCell ref="J4:Q8"/>
    <mergeCell ref="J10:Q15"/>
  </mergeCells>
  <conditionalFormatting sqref="C3">
    <cfRule type="expression" dxfId="212" priority="2">
      <formula>S4&lt;S6</formula>
    </cfRule>
  </conditionalFormatting>
  <conditionalFormatting sqref="C5">
    <cfRule type="expression" dxfId="211" priority="3">
      <formula>S4&gt;=S5</formula>
    </cfRule>
  </conditionalFormatting>
  <conditionalFormatting sqref="C4">
    <cfRule type="expression" dxfId="210" priority="1">
      <formula>AND(S4&gt;=S6,S4&lt;S5)</formula>
    </cfRule>
  </conditionalFormatting>
  <hyperlinks>
    <hyperlink ref="L1" location="Dashboard!A1" display="Dashboard"/>
  </hyperlinks>
  <pageMargins left="0.7" right="0.7" top="0.75" bottom="0.75" header="0.3" footer="0.3"/>
  <pageSetup orientation="portrait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38337" r:id="rId4" name="Spinner 1">
              <controlPr defaultSize="0" autoPict="0">
                <anchor moveWithCells="1" sizeWithCells="1">
                  <from>
                    <xdr:col>9</xdr:col>
                    <xdr:colOff>19050</xdr:colOff>
                    <xdr:row>0</xdr:row>
                    <xdr:rowOff>38100</xdr:rowOff>
                  </from>
                  <to>
                    <xdr:col>9</xdr:col>
                    <xdr:colOff>400050</xdr:colOff>
                    <xdr:row>1</xdr:row>
                    <xdr:rowOff>152400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1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FFC000"/>
  </sheetPr>
  <dimension ref="A1:S30"/>
  <sheetViews>
    <sheetView topLeftCell="D1" workbookViewId="0">
      <selection activeCell="L1" sqref="L1"/>
    </sheetView>
  </sheetViews>
  <sheetFormatPr defaultColWidth="9.1796875" defaultRowHeight="14.5" x14ac:dyDescent="0.35"/>
  <cols>
    <col min="1" max="1" width="9.1796875" style="3"/>
    <col min="2" max="2" width="5.1796875" style="3" customWidth="1"/>
    <col min="3" max="3" width="6.26953125" style="3" customWidth="1"/>
    <col min="4" max="4" width="21.26953125" style="3" bestFit="1" customWidth="1"/>
    <col min="5" max="16" width="11.1796875" style="3" customWidth="1"/>
    <col min="17" max="17" width="12" style="3" bestFit="1" customWidth="1"/>
    <col min="18" max="18" width="9.1796875" style="3" customWidth="1"/>
    <col min="19" max="16384" width="9.1796875" style="3"/>
  </cols>
  <sheetData>
    <row r="1" spans="1:19" ht="21" x14ac:dyDescent="0.5">
      <c r="A1" s="4" t="s">
        <v>4</v>
      </c>
      <c r="B1" s="4">
        <f>Dashboard!A146</f>
        <v>1</v>
      </c>
      <c r="C1" s="4" t="str">
        <f>Dashboard!B147</f>
        <v>IHINDU- WATER(KES)</v>
      </c>
      <c r="D1" s="4"/>
      <c r="G1" s="3" t="s">
        <v>9</v>
      </c>
      <c r="I1" s="12">
        <f>INDEX($E$18:$P$18,Actual_month)</f>
        <v>46054</v>
      </c>
      <c r="L1" s="16" t="s">
        <v>19</v>
      </c>
      <c r="R1" s="5"/>
    </row>
    <row r="2" spans="1:19" x14ac:dyDescent="0.35">
      <c r="A2" s="3" t="s">
        <v>13</v>
      </c>
      <c r="C2" s="3" t="s">
        <v>27</v>
      </c>
      <c r="R2" s="6"/>
    </row>
    <row r="3" spans="1:19" ht="25.5" customHeight="1" thickBot="1" x14ac:dyDescent="0.4">
      <c r="C3" s="1" t="s">
        <v>5</v>
      </c>
      <c r="E3" s="10"/>
      <c r="F3" s="10"/>
      <c r="G3" s="10"/>
      <c r="H3" s="10"/>
      <c r="I3" s="10"/>
      <c r="J3" s="3" t="s">
        <v>6</v>
      </c>
      <c r="K3" s="10"/>
      <c r="M3" s="10"/>
      <c r="N3" s="10"/>
      <c r="O3" s="10"/>
      <c r="P3" s="10"/>
    </row>
    <row r="4" spans="1:19" ht="25.5" customHeight="1" x14ac:dyDescent="0.35">
      <c r="C4" s="1" t="s">
        <v>5</v>
      </c>
      <c r="E4" s="10"/>
      <c r="F4" s="10"/>
      <c r="G4" s="10"/>
      <c r="H4" s="10"/>
      <c r="I4" s="10"/>
      <c r="J4" s="401"/>
      <c r="K4" s="402"/>
      <c r="L4" s="402"/>
      <c r="M4" s="402"/>
      <c r="N4" s="402"/>
      <c r="O4" s="402"/>
      <c r="P4" s="402"/>
      <c r="Q4" s="403"/>
      <c r="R4" s="3" t="s">
        <v>22</v>
      </c>
      <c r="S4" s="5">
        <f>INDEX(E27:P27,Actual_month)</f>
        <v>97860</v>
      </c>
    </row>
    <row r="5" spans="1:19" ht="25.5" customHeight="1" x14ac:dyDescent="0.35">
      <c r="C5" s="1" t="s">
        <v>5</v>
      </c>
      <c r="E5" s="10"/>
      <c r="F5" s="10"/>
      <c r="G5" s="10"/>
      <c r="H5" s="10"/>
      <c r="I5" s="10"/>
      <c r="J5" s="404"/>
      <c r="K5" s="405"/>
      <c r="L5" s="405"/>
      <c r="M5" s="405"/>
      <c r="N5" s="405"/>
      <c r="O5" s="405"/>
      <c r="P5" s="405"/>
      <c r="Q5" s="406"/>
      <c r="R5" s="3" t="s">
        <v>23</v>
      </c>
      <c r="S5" s="5">
        <f>INDEX(E26:P26,Actual_month)</f>
        <v>717780.48739052098</v>
      </c>
    </row>
    <row r="6" spans="1:19" x14ac:dyDescent="0.35">
      <c r="J6" s="404"/>
      <c r="K6" s="405"/>
      <c r="L6" s="405"/>
      <c r="M6" s="405"/>
      <c r="N6" s="405"/>
      <c r="O6" s="405"/>
      <c r="P6" s="405"/>
      <c r="Q6" s="406"/>
      <c r="R6" s="6">
        <v>0.9</v>
      </c>
      <c r="S6" s="5">
        <f>+S5*R6</f>
        <v>646002.43865146895</v>
      </c>
    </row>
    <row r="7" spans="1:19" x14ac:dyDescent="0.35">
      <c r="J7" s="404"/>
      <c r="K7" s="405"/>
      <c r="L7" s="405"/>
      <c r="M7" s="405"/>
      <c r="N7" s="405"/>
      <c r="O7" s="405"/>
      <c r="P7" s="405"/>
      <c r="Q7" s="406"/>
    </row>
    <row r="8" spans="1:19" ht="15" thickBot="1" x14ac:dyDescent="0.4">
      <c r="J8" s="407"/>
      <c r="K8" s="408"/>
      <c r="L8" s="408"/>
      <c r="M8" s="408"/>
      <c r="N8" s="408"/>
      <c r="O8" s="408"/>
      <c r="P8" s="408"/>
      <c r="Q8" s="409"/>
    </row>
    <row r="9" spans="1:19" ht="15" thickBot="1" x14ac:dyDescent="0.4">
      <c r="J9" s="3" t="s">
        <v>12</v>
      </c>
    </row>
    <row r="10" spans="1:19" x14ac:dyDescent="0.35">
      <c r="J10" s="401"/>
      <c r="K10" s="402"/>
      <c r="L10" s="402"/>
      <c r="M10" s="402"/>
      <c r="N10" s="402"/>
      <c r="O10" s="402"/>
      <c r="P10" s="402"/>
      <c r="Q10" s="403"/>
    </row>
    <row r="11" spans="1:19" x14ac:dyDescent="0.35">
      <c r="J11" s="404"/>
      <c r="K11" s="405"/>
      <c r="L11" s="405"/>
      <c r="M11" s="405"/>
      <c r="N11" s="405"/>
      <c r="O11" s="405"/>
      <c r="P11" s="405"/>
      <c r="Q11" s="406"/>
    </row>
    <row r="12" spans="1:19" x14ac:dyDescent="0.35">
      <c r="J12" s="404"/>
      <c r="K12" s="405"/>
      <c r="L12" s="405"/>
      <c r="M12" s="405"/>
      <c r="N12" s="405"/>
      <c r="O12" s="405"/>
      <c r="P12" s="405"/>
      <c r="Q12" s="406"/>
    </row>
    <row r="13" spans="1:19" x14ac:dyDescent="0.35">
      <c r="J13" s="404"/>
      <c r="K13" s="405"/>
      <c r="L13" s="405"/>
      <c r="M13" s="405"/>
      <c r="N13" s="405"/>
      <c r="O13" s="405"/>
      <c r="P13" s="405"/>
      <c r="Q13" s="406"/>
    </row>
    <row r="14" spans="1:19" x14ac:dyDescent="0.35">
      <c r="J14" s="404"/>
      <c r="K14" s="405"/>
      <c r="L14" s="405"/>
      <c r="M14" s="405"/>
      <c r="N14" s="405"/>
      <c r="O14" s="405"/>
      <c r="P14" s="405"/>
      <c r="Q14" s="406"/>
    </row>
    <row r="15" spans="1:19" ht="15" thickBot="1" x14ac:dyDescent="0.4">
      <c r="J15" s="407"/>
      <c r="K15" s="408"/>
      <c r="L15" s="408"/>
      <c r="M15" s="408"/>
      <c r="N15" s="408"/>
      <c r="O15" s="408"/>
      <c r="P15" s="408"/>
      <c r="Q15" s="409"/>
    </row>
    <row r="18" spans="3:17" x14ac:dyDescent="0.35">
      <c r="C18" s="7" t="s">
        <v>8</v>
      </c>
      <c r="E18" s="11">
        <v>45839</v>
      </c>
      <c r="F18" s="11">
        <v>45870</v>
      </c>
      <c r="G18" s="11">
        <v>45901</v>
      </c>
      <c r="H18" s="11">
        <v>45931</v>
      </c>
      <c r="I18" s="11">
        <v>45962</v>
      </c>
      <c r="J18" s="11">
        <v>45992</v>
      </c>
      <c r="K18" s="11">
        <v>46023</v>
      </c>
      <c r="L18" s="11">
        <v>46054</v>
      </c>
      <c r="M18" s="11">
        <v>46082</v>
      </c>
      <c r="N18" s="11">
        <v>46113</v>
      </c>
      <c r="O18" s="11">
        <v>46143</v>
      </c>
      <c r="P18" s="11">
        <v>46174</v>
      </c>
      <c r="Q18" s="8" t="s">
        <v>0</v>
      </c>
    </row>
    <row r="19" spans="3:17" x14ac:dyDescent="0.35">
      <c r="D19" s="3" t="s">
        <v>501</v>
      </c>
      <c r="E19" s="49">
        <f>'budget 2025-26'!D138</f>
        <v>31848.168653195429</v>
      </c>
      <c r="F19" s="49">
        <f>'budget 2025-26'!E138</f>
        <v>53182.157201207912</v>
      </c>
      <c r="G19" s="49">
        <f>'budget 2025-26'!F138</f>
        <v>71635.099481421435</v>
      </c>
      <c r="H19" s="49">
        <f>'budget 2025-26'!G138</f>
        <v>86652.216468204031</v>
      </c>
      <c r="I19" s="49">
        <f>'budget 2025-26'!H138</f>
        <v>101508.66036810634</v>
      </c>
      <c r="J19" s="49">
        <f>'budget 2025-26'!I138</f>
        <v>113339.00585589245</v>
      </c>
      <c r="K19" s="49">
        <f>'budget 2025-26'!J138</f>
        <v>125302.75414831932</v>
      </c>
      <c r="L19" s="49">
        <f>'budget 2025-26'!K138</f>
        <v>134312.42521417406</v>
      </c>
      <c r="M19" s="49">
        <f>'budget 2025-26'!L138</f>
        <v>143204.41175823667</v>
      </c>
      <c r="N19" s="49">
        <f>'budget 2025-26'!M138</f>
        <v>152258.74276436967</v>
      </c>
      <c r="O19" s="49">
        <f>'budget 2025-26'!N138</f>
        <v>161262.34365666882</v>
      </c>
      <c r="P19" s="49">
        <f>'budget 2025-26'!O138</f>
        <v>170213.69628540627</v>
      </c>
      <c r="Q19" s="5">
        <f>SUM(E19:P19)</f>
        <v>1344719.6818552027</v>
      </c>
    </row>
    <row r="20" spans="3:17" x14ac:dyDescent="0.35">
      <c r="D20" s="3" t="s">
        <v>502</v>
      </c>
      <c r="E20" s="49">
        <f>'Input Actual2025-26'!E141</f>
        <v>7250</v>
      </c>
      <c r="F20" s="49">
        <f>'Input Actual2025-26'!F141</f>
        <v>13550</v>
      </c>
      <c r="G20" s="49">
        <f>'Input Actual2025-26'!G141</f>
        <v>14080</v>
      </c>
      <c r="H20" s="49">
        <f>'Input Actual2025-26'!H141</f>
        <v>0</v>
      </c>
      <c r="I20" s="49">
        <f>'Input Actual2025-26'!I141</f>
        <v>100</v>
      </c>
      <c r="J20" s="49">
        <f>'Input Actual2025-26'!J141</f>
        <v>13360</v>
      </c>
      <c r="K20" s="49">
        <f>'Input Actual2025-26'!K141</f>
        <v>29010</v>
      </c>
      <c r="L20" s="49">
        <f>'Input Actual2025-26'!L141</f>
        <v>20510</v>
      </c>
      <c r="M20" s="49">
        <f>'Input Actual2025-26'!M141</f>
        <v>0</v>
      </c>
      <c r="N20" s="49">
        <f>'Input Actual2025-26'!N141</f>
        <v>0</v>
      </c>
      <c r="O20" s="49">
        <f>'Input Actual2025-26'!O141</f>
        <v>0</v>
      </c>
      <c r="P20" s="49">
        <f>'Input Actual2025-26'!P141</f>
        <v>0</v>
      </c>
      <c r="Q20" s="5">
        <f t="shared" ref="Q20:Q22" si="0">SUM(E20:P20)</f>
        <v>97860</v>
      </c>
    </row>
    <row r="21" spans="3:17" x14ac:dyDescent="0.35">
      <c r="D21" s="3" t="s">
        <v>424</v>
      </c>
      <c r="E21" s="49"/>
      <c r="F21" s="49"/>
      <c r="G21" s="49"/>
      <c r="H21" s="49"/>
      <c r="I21" s="49"/>
      <c r="J21" s="49"/>
      <c r="K21" s="49"/>
      <c r="L21" s="49"/>
      <c r="M21" s="49"/>
      <c r="N21" s="49"/>
      <c r="O21" s="49"/>
      <c r="P21" s="49"/>
      <c r="Q21" s="5">
        <f t="shared" si="0"/>
        <v>0</v>
      </c>
    </row>
    <row r="22" spans="3:17" x14ac:dyDescent="0.35">
      <c r="D22" s="3" t="s">
        <v>7</v>
      </c>
      <c r="E22" s="5">
        <f t="shared" ref="E22:P22" si="1">IF(E20=0,0,E20-E19)</f>
        <v>-24598.168653195429</v>
      </c>
      <c r="F22" s="5">
        <f t="shared" si="1"/>
        <v>-39632.157201207912</v>
      </c>
      <c r="G22" s="5">
        <f t="shared" si="1"/>
        <v>-57555.099481421435</v>
      </c>
      <c r="H22" s="5">
        <f t="shared" si="1"/>
        <v>0</v>
      </c>
      <c r="I22" s="5">
        <f t="shared" si="1"/>
        <v>-101408.66036810634</v>
      </c>
      <c r="J22" s="5">
        <f t="shared" si="1"/>
        <v>-99979.00585589245</v>
      </c>
      <c r="K22" s="5">
        <f t="shared" si="1"/>
        <v>-96292.75414831932</v>
      </c>
      <c r="L22" s="5">
        <f t="shared" si="1"/>
        <v>-113802.42521417406</v>
      </c>
      <c r="M22" s="5">
        <f t="shared" si="1"/>
        <v>0</v>
      </c>
      <c r="N22" s="5">
        <f t="shared" si="1"/>
        <v>0</v>
      </c>
      <c r="O22" s="5">
        <f t="shared" si="1"/>
        <v>0</v>
      </c>
      <c r="P22" s="5">
        <f t="shared" si="1"/>
        <v>0</v>
      </c>
      <c r="Q22" s="5">
        <f t="shared" si="0"/>
        <v>-533268.27092231694</v>
      </c>
    </row>
    <row r="23" spans="3:17" x14ac:dyDescent="0.35">
      <c r="D23" s="3" t="s">
        <v>43</v>
      </c>
      <c r="E23" s="9">
        <f>E21/E19</f>
        <v>0</v>
      </c>
      <c r="F23" s="9">
        <f t="shared" ref="F23:P23" si="2">F20/F19</f>
        <v>0.2547847006042892</v>
      </c>
      <c r="G23" s="9">
        <f t="shared" si="2"/>
        <v>0.19655169186512608</v>
      </c>
      <c r="H23" s="9">
        <f t="shared" si="2"/>
        <v>0</v>
      </c>
      <c r="I23" s="9">
        <f t="shared" si="2"/>
        <v>9.8513761916830134E-4</v>
      </c>
      <c r="J23" s="9">
        <f t="shared" si="2"/>
        <v>0.11787645302789126</v>
      </c>
      <c r="K23" s="9">
        <f t="shared" si="2"/>
        <v>0.23151925268666659</v>
      </c>
      <c r="L23" s="9">
        <f t="shared" si="2"/>
        <v>0.15270366808800329</v>
      </c>
      <c r="M23" s="9">
        <f t="shared" si="2"/>
        <v>0</v>
      </c>
      <c r="N23" s="9">
        <f t="shared" si="2"/>
        <v>0</v>
      </c>
      <c r="O23" s="9">
        <f t="shared" si="2"/>
        <v>0</v>
      </c>
      <c r="P23" s="9">
        <f t="shared" si="2"/>
        <v>0</v>
      </c>
    </row>
    <row r="25" spans="3:17" x14ac:dyDescent="0.35">
      <c r="C25" s="7" t="s">
        <v>3</v>
      </c>
      <c r="E25" s="11">
        <f>E18</f>
        <v>45839</v>
      </c>
      <c r="F25" s="11">
        <f t="shared" ref="F25:P25" si="3">F18</f>
        <v>45870</v>
      </c>
      <c r="G25" s="11">
        <f t="shared" si="3"/>
        <v>45901</v>
      </c>
      <c r="H25" s="11">
        <f t="shared" si="3"/>
        <v>45931</v>
      </c>
      <c r="I25" s="11">
        <f t="shared" si="3"/>
        <v>45962</v>
      </c>
      <c r="J25" s="11">
        <f t="shared" si="3"/>
        <v>45992</v>
      </c>
      <c r="K25" s="11">
        <f t="shared" si="3"/>
        <v>46023</v>
      </c>
      <c r="L25" s="11">
        <f t="shared" si="3"/>
        <v>46054</v>
      </c>
      <c r="M25" s="11">
        <f t="shared" si="3"/>
        <v>46082</v>
      </c>
      <c r="N25" s="11">
        <f t="shared" si="3"/>
        <v>46113</v>
      </c>
      <c r="O25" s="11">
        <f t="shared" si="3"/>
        <v>46143</v>
      </c>
      <c r="P25" s="11">
        <f t="shared" si="3"/>
        <v>46174</v>
      </c>
    </row>
    <row r="26" spans="3:17" x14ac:dyDescent="0.35">
      <c r="D26" s="3" t="str">
        <f>D19</f>
        <v>Budget 2025-26</v>
      </c>
      <c r="E26" s="5">
        <f>SUM($E19:E19)</f>
        <v>31848.168653195429</v>
      </c>
      <c r="F26" s="5">
        <f>SUM($E19:F19)</f>
        <v>85030.325854403345</v>
      </c>
      <c r="G26" s="5">
        <f>SUM($E19:G19)</f>
        <v>156665.42533582478</v>
      </c>
      <c r="H26" s="5">
        <f>SUM($E19:H19)</f>
        <v>243317.64180402883</v>
      </c>
      <c r="I26" s="5">
        <f>SUM($E19:I19)</f>
        <v>344826.30217213515</v>
      </c>
      <c r="J26" s="5">
        <f>SUM($E19:J19)</f>
        <v>458165.30802802759</v>
      </c>
      <c r="K26" s="5">
        <f>SUM($E19:K19)</f>
        <v>583468.0621763469</v>
      </c>
      <c r="L26" s="5">
        <f>SUM($E19:L19)</f>
        <v>717780.48739052098</v>
      </c>
      <c r="M26" s="5">
        <f>SUM($E19:M19)</f>
        <v>860984.89914875769</v>
      </c>
      <c r="N26" s="5">
        <f>SUM($E19:N19)</f>
        <v>1013243.6419131274</v>
      </c>
      <c r="O26" s="5">
        <f>SUM($E19:O19)</f>
        <v>1174505.9855697963</v>
      </c>
      <c r="P26" s="5">
        <f>SUM($E19:P19)</f>
        <v>1344719.6818552027</v>
      </c>
    </row>
    <row r="27" spans="3:17" x14ac:dyDescent="0.35">
      <c r="D27" s="3" t="str">
        <f t="shared" ref="D27:D30" si="4">D20</f>
        <v>Actual 2025-26</v>
      </c>
      <c r="E27" s="5">
        <f>SUM($E20:E20)</f>
        <v>7250</v>
      </c>
      <c r="F27" s="5">
        <f>SUM($E20:F20)</f>
        <v>20800</v>
      </c>
      <c r="G27" s="5">
        <f>SUM($E20:G20)</f>
        <v>34880</v>
      </c>
      <c r="H27" s="5">
        <f>SUM($E20:H20)</f>
        <v>34880</v>
      </c>
      <c r="I27" s="5">
        <f>SUM($E20:I20)</f>
        <v>34980</v>
      </c>
      <c r="J27" s="5">
        <f>SUM($E20:J20)</f>
        <v>48340</v>
      </c>
      <c r="K27" s="5">
        <f>SUM($E20:K20)</f>
        <v>77350</v>
      </c>
      <c r="L27" s="5">
        <f>SUM($E20:L20)</f>
        <v>97860</v>
      </c>
      <c r="M27" s="5">
        <f>SUM($E20:M20)</f>
        <v>97860</v>
      </c>
      <c r="N27" s="5">
        <f>SUM($E20:N20)</f>
        <v>97860</v>
      </c>
      <c r="O27" s="5">
        <f>SUM($E20:O20)</f>
        <v>97860</v>
      </c>
      <c r="P27" s="5">
        <f>SUM($E20:P20)</f>
        <v>97860</v>
      </c>
    </row>
    <row r="28" spans="3:17" x14ac:dyDescent="0.35">
      <c r="D28" s="3" t="str">
        <f t="shared" si="4"/>
        <v>Actual 2024-25</v>
      </c>
      <c r="E28" s="5">
        <f>SUM($E21:E21)</f>
        <v>0</v>
      </c>
      <c r="F28" s="5">
        <f>SUM($E21:F21)</f>
        <v>0</v>
      </c>
      <c r="G28" s="5">
        <f>SUM($E21:G21)</f>
        <v>0</v>
      </c>
      <c r="H28" s="5">
        <f>SUM($E21:H21)</f>
        <v>0</v>
      </c>
      <c r="I28" s="5">
        <f>SUM($E21:I21)</f>
        <v>0</v>
      </c>
      <c r="J28" s="5">
        <f>SUM($E21:J21)</f>
        <v>0</v>
      </c>
      <c r="K28" s="5">
        <f>SUM($E21:K21)</f>
        <v>0</v>
      </c>
      <c r="L28" s="5">
        <f>SUM($E21:L21)</f>
        <v>0</v>
      </c>
      <c r="M28" s="5">
        <f>SUM($E21:M21)</f>
        <v>0</v>
      </c>
      <c r="N28" s="5">
        <f>SUM($E21:N21)</f>
        <v>0</v>
      </c>
      <c r="O28" s="5">
        <f>SUM($E21:O21)</f>
        <v>0</v>
      </c>
      <c r="P28" s="5">
        <f>SUM($E21:P21)</f>
        <v>0</v>
      </c>
    </row>
    <row r="29" spans="3:17" x14ac:dyDescent="0.35">
      <c r="D29" s="3" t="str">
        <f t="shared" si="4"/>
        <v>Difference</v>
      </c>
      <c r="E29" s="5">
        <f>SUM($E22:E22)</f>
        <v>-24598.168653195429</v>
      </c>
      <c r="F29" s="5">
        <f>SUM($E22:F22)</f>
        <v>-64230.325854403345</v>
      </c>
      <c r="G29" s="5">
        <f>SUM($E22:G22)</f>
        <v>-121785.42533582478</v>
      </c>
      <c r="H29" s="5">
        <f>SUM($E22:H22)</f>
        <v>-121785.42533582478</v>
      </c>
      <c r="I29" s="5">
        <f>SUM($E22:I22)</f>
        <v>-223194.08570393111</v>
      </c>
      <c r="J29" s="5">
        <f>SUM($E22:J22)</f>
        <v>-323173.09155982354</v>
      </c>
      <c r="K29" s="5">
        <f>SUM($E22:K22)</f>
        <v>-419465.84570814285</v>
      </c>
      <c r="L29" s="5">
        <f>SUM($E22:L22)</f>
        <v>-533268.27092231694</v>
      </c>
      <c r="M29" s="5">
        <f>SUM($E22:M22)</f>
        <v>-533268.27092231694</v>
      </c>
      <c r="N29" s="5">
        <f>SUM($E22:N22)</f>
        <v>-533268.27092231694</v>
      </c>
      <c r="O29" s="5">
        <f>SUM($E22:O22)</f>
        <v>-533268.27092231694</v>
      </c>
      <c r="P29" s="5">
        <f>SUM($E22:P22)</f>
        <v>-533268.27092231694</v>
      </c>
    </row>
    <row r="30" spans="3:17" x14ac:dyDescent="0.35">
      <c r="D30" s="3" t="str">
        <f t="shared" si="4"/>
        <v>Realisation</v>
      </c>
      <c r="E30" s="9">
        <f>E28/E26</f>
        <v>0</v>
      </c>
      <c r="F30" s="9">
        <f t="shared" ref="F30:P30" si="5">F27/F26</f>
        <v>0.24461860860812942</v>
      </c>
      <c r="G30" s="9">
        <f t="shared" si="5"/>
        <v>0.22264006193601396</v>
      </c>
      <c r="H30" s="9">
        <f t="shared" si="5"/>
        <v>0.14335170989406845</v>
      </c>
      <c r="I30" s="9">
        <f t="shared" si="5"/>
        <v>0.10144237774106396</v>
      </c>
      <c r="J30" s="9">
        <f t="shared" si="5"/>
        <v>0.1055077701279008</v>
      </c>
      <c r="K30" s="9">
        <f t="shared" si="5"/>
        <v>0.13256938128109882</v>
      </c>
      <c r="L30" s="9">
        <f t="shared" si="5"/>
        <v>0.13633694662802606</v>
      </c>
      <c r="M30" s="9">
        <f t="shared" si="5"/>
        <v>0.11366053004733609</v>
      </c>
      <c r="N30" s="9">
        <f t="shared" si="5"/>
        <v>9.6580916920661258E-2</v>
      </c>
      <c r="O30" s="9">
        <f t="shared" si="5"/>
        <v>8.3320137319287044E-2</v>
      </c>
      <c r="P30" s="9">
        <f t="shared" si="5"/>
        <v>7.2773531406181508E-2</v>
      </c>
    </row>
  </sheetData>
  <mergeCells count="2">
    <mergeCell ref="J4:Q8"/>
    <mergeCell ref="J10:Q15"/>
  </mergeCells>
  <conditionalFormatting sqref="C3">
    <cfRule type="expression" dxfId="209" priority="2">
      <formula>S4&lt;S6</formula>
    </cfRule>
  </conditionalFormatting>
  <conditionalFormatting sqref="C5">
    <cfRule type="expression" dxfId="208" priority="3">
      <formula>S4&gt;=S5</formula>
    </cfRule>
  </conditionalFormatting>
  <conditionalFormatting sqref="C4">
    <cfRule type="expression" dxfId="207" priority="1">
      <formula>AND(S4&gt;=S6,S4&lt;S5)</formula>
    </cfRule>
  </conditionalFormatting>
  <hyperlinks>
    <hyperlink ref="L1" location="Dashboard!A1" display="Dashboard"/>
  </hyperlinks>
  <pageMargins left="0.7" right="0.7" top="0.75" bottom="0.75" header="0.3" footer="0.3"/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2125825" r:id="rId3" name="Spinner 1">
              <controlPr defaultSize="0" autoPict="0">
                <anchor moveWithCells="1" sizeWithCells="1">
                  <from>
                    <xdr:col>9</xdr:col>
                    <xdr:colOff>19050</xdr:colOff>
                    <xdr:row>0</xdr:row>
                    <xdr:rowOff>38100</xdr:rowOff>
                  </from>
                  <to>
                    <xdr:col>9</xdr:col>
                    <xdr:colOff>400050</xdr:colOff>
                    <xdr:row>1</xdr:row>
                    <xdr:rowOff>152400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1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103">
    <tabColor rgb="FFFFC000"/>
  </sheetPr>
  <dimension ref="A1:S30"/>
  <sheetViews>
    <sheetView zoomScale="90" zoomScaleNormal="90" workbookViewId="0">
      <selection activeCell="L1" sqref="L1"/>
    </sheetView>
  </sheetViews>
  <sheetFormatPr defaultColWidth="9.1796875" defaultRowHeight="14.5" x14ac:dyDescent="0.35"/>
  <cols>
    <col min="1" max="1" width="9.1796875" style="3"/>
    <col min="2" max="2" width="5.1796875" style="3" customWidth="1"/>
    <col min="3" max="3" width="6.26953125" style="3" customWidth="1"/>
    <col min="4" max="4" width="21.26953125" style="3" bestFit="1" customWidth="1"/>
    <col min="5" max="16" width="11.1796875" style="3" customWidth="1"/>
    <col min="17" max="17" width="12" style="3" bestFit="1" customWidth="1"/>
    <col min="18" max="18" width="9.1796875" style="3" customWidth="1"/>
    <col min="19" max="16384" width="9.1796875" style="3"/>
  </cols>
  <sheetData>
    <row r="1" spans="1:19" ht="21" x14ac:dyDescent="0.5">
      <c r="A1" s="4" t="s">
        <v>4</v>
      </c>
      <c r="B1" s="4">
        <f>Dashboard!A146</f>
        <v>1</v>
      </c>
      <c r="C1" s="4" t="str">
        <f>Dashboard!B146</f>
        <v>KAYOLE - WATER(KES)</v>
      </c>
      <c r="D1" s="4"/>
      <c r="G1" s="3" t="s">
        <v>9</v>
      </c>
      <c r="I1" s="12">
        <f>INDEX($E$18:$P$18,Actual_month)</f>
        <v>46054</v>
      </c>
      <c r="L1" s="16" t="s">
        <v>19</v>
      </c>
      <c r="R1" s="5"/>
    </row>
    <row r="2" spans="1:19" x14ac:dyDescent="0.35">
      <c r="A2" s="3" t="s">
        <v>13</v>
      </c>
      <c r="C2" s="3" t="s">
        <v>27</v>
      </c>
      <c r="R2" s="6"/>
    </row>
    <row r="3" spans="1:19" ht="25.5" customHeight="1" thickBot="1" x14ac:dyDescent="0.4">
      <c r="C3" s="1" t="s">
        <v>5</v>
      </c>
      <c r="E3" s="10"/>
      <c r="F3" s="10"/>
      <c r="G3" s="10"/>
      <c r="H3" s="10"/>
      <c r="I3" s="10"/>
      <c r="J3" s="3" t="s">
        <v>6</v>
      </c>
      <c r="K3" s="10"/>
      <c r="M3" s="10"/>
      <c r="N3" s="10"/>
      <c r="O3" s="10"/>
      <c r="P3" s="10"/>
    </row>
    <row r="4" spans="1:19" ht="25.5" customHeight="1" x14ac:dyDescent="0.35">
      <c r="C4" s="1" t="s">
        <v>5</v>
      </c>
      <c r="E4" s="10"/>
      <c r="F4" s="10"/>
      <c r="G4" s="10"/>
      <c r="H4" s="10"/>
      <c r="I4" s="10"/>
      <c r="J4" s="401"/>
      <c r="K4" s="402"/>
      <c r="L4" s="402"/>
      <c r="M4" s="402"/>
      <c r="N4" s="402"/>
      <c r="O4" s="402"/>
      <c r="P4" s="402"/>
      <c r="Q4" s="403"/>
      <c r="R4" s="3" t="s">
        <v>22</v>
      </c>
      <c r="S4" s="5">
        <f>INDEX(E27:P27,Actual_month)</f>
        <v>28521870</v>
      </c>
    </row>
    <row r="5" spans="1:19" ht="25.5" customHeight="1" x14ac:dyDescent="0.35">
      <c r="C5" s="1" t="s">
        <v>5</v>
      </c>
      <c r="E5" s="10"/>
      <c r="F5" s="10"/>
      <c r="G5" s="10"/>
      <c r="H5" s="10"/>
      <c r="I5" s="10"/>
      <c r="J5" s="404"/>
      <c r="K5" s="405"/>
      <c r="L5" s="405"/>
      <c r="M5" s="405"/>
      <c r="N5" s="405"/>
      <c r="O5" s="405"/>
      <c r="P5" s="405"/>
      <c r="Q5" s="406"/>
      <c r="R5" s="3" t="s">
        <v>23</v>
      </c>
      <c r="S5" s="5">
        <f>INDEX(E26:P26,Actual_month)</f>
        <v>23548847.454145331</v>
      </c>
    </row>
    <row r="6" spans="1:19" x14ac:dyDescent="0.35">
      <c r="J6" s="404"/>
      <c r="K6" s="405"/>
      <c r="L6" s="405"/>
      <c r="M6" s="405"/>
      <c r="N6" s="405"/>
      <c r="O6" s="405"/>
      <c r="P6" s="405"/>
      <c r="Q6" s="406"/>
      <c r="R6" s="6">
        <v>0.9</v>
      </c>
      <c r="S6" s="5">
        <f>+S5*R6</f>
        <v>21193962.708730798</v>
      </c>
    </row>
    <row r="7" spans="1:19" x14ac:dyDescent="0.35">
      <c r="J7" s="404"/>
      <c r="K7" s="405"/>
      <c r="L7" s="405"/>
      <c r="M7" s="405"/>
      <c r="N7" s="405"/>
      <c r="O7" s="405"/>
      <c r="P7" s="405"/>
      <c r="Q7" s="406"/>
    </row>
    <row r="8" spans="1:19" ht="15" thickBot="1" x14ac:dyDescent="0.4">
      <c r="J8" s="407"/>
      <c r="K8" s="408"/>
      <c r="L8" s="408"/>
      <c r="M8" s="408"/>
      <c r="N8" s="408"/>
      <c r="O8" s="408"/>
      <c r="P8" s="408"/>
      <c r="Q8" s="409"/>
    </row>
    <row r="9" spans="1:19" ht="15" thickBot="1" x14ac:dyDescent="0.4">
      <c r="J9" s="3" t="s">
        <v>12</v>
      </c>
    </row>
    <row r="10" spans="1:19" x14ac:dyDescent="0.35">
      <c r="J10" s="401"/>
      <c r="K10" s="402"/>
      <c r="L10" s="402"/>
      <c r="M10" s="402"/>
      <c r="N10" s="402"/>
      <c r="O10" s="402"/>
      <c r="P10" s="402"/>
      <c r="Q10" s="403"/>
    </row>
    <row r="11" spans="1:19" x14ac:dyDescent="0.35">
      <c r="J11" s="404"/>
      <c r="K11" s="405"/>
      <c r="L11" s="405"/>
      <c r="M11" s="405"/>
      <c r="N11" s="405"/>
      <c r="O11" s="405"/>
      <c r="P11" s="405"/>
      <c r="Q11" s="406"/>
    </row>
    <row r="12" spans="1:19" x14ac:dyDescent="0.35">
      <c r="J12" s="404"/>
      <c r="K12" s="405"/>
      <c r="L12" s="405"/>
      <c r="M12" s="405"/>
      <c r="N12" s="405"/>
      <c r="O12" s="405"/>
      <c r="P12" s="405"/>
      <c r="Q12" s="406"/>
    </row>
    <row r="13" spans="1:19" x14ac:dyDescent="0.35">
      <c r="J13" s="404"/>
      <c r="K13" s="405"/>
      <c r="L13" s="405"/>
      <c r="M13" s="405"/>
      <c r="N13" s="405"/>
      <c r="O13" s="405"/>
      <c r="P13" s="405"/>
      <c r="Q13" s="406"/>
    </row>
    <row r="14" spans="1:19" x14ac:dyDescent="0.35">
      <c r="J14" s="404"/>
      <c r="K14" s="405"/>
      <c r="L14" s="405"/>
      <c r="M14" s="405"/>
      <c r="N14" s="405"/>
      <c r="O14" s="405"/>
      <c r="P14" s="405"/>
      <c r="Q14" s="406"/>
    </row>
    <row r="15" spans="1:19" ht="15" thickBot="1" x14ac:dyDescent="0.4">
      <c r="J15" s="407"/>
      <c r="K15" s="408"/>
      <c r="L15" s="408"/>
      <c r="M15" s="408"/>
      <c r="N15" s="408"/>
      <c r="O15" s="408"/>
      <c r="P15" s="408"/>
      <c r="Q15" s="409"/>
    </row>
    <row r="18" spans="3:17" x14ac:dyDescent="0.35">
      <c r="C18" s="7" t="s">
        <v>8</v>
      </c>
      <c r="E18" s="11">
        <v>45839</v>
      </c>
      <c r="F18" s="11">
        <v>45870</v>
      </c>
      <c r="G18" s="11">
        <v>45901</v>
      </c>
      <c r="H18" s="11">
        <v>45931</v>
      </c>
      <c r="I18" s="11">
        <v>45962</v>
      </c>
      <c r="J18" s="11">
        <v>45992</v>
      </c>
      <c r="K18" s="11">
        <v>46023</v>
      </c>
      <c r="L18" s="11">
        <v>46054</v>
      </c>
      <c r="M18" s="11">
        <v>46082</v>
      </c>
      <c r="N18" s="11">
        <v>46113</v>
      </c>
      <c r="O18" s="11">
        <v>46143</v>
      </c>
      <c r="P18" s="11">
        <v>46174</v>
      </c>
      <c r="Q18" s="8" t="s">
        <v>0</v>
      </c>
    </row>
    <row r="19" spans="3:17" x14ac:dyDescent="0.35">
      <c r="D19" s="3" t="s">
        <v>501</v>
      </c>
      <c r="E19" s="49">
        <f>'budget 2025-26'!D137</f>
        <v>2905035.4432993769</v>
      </c>
      <c r="F19" s="49">
        <f>'budget 2025-26'!E137</f>
        <v>2925280.926313458</v>
      </c>
      <c r="G19" s="49">
        <f>'budget 2025-26'!F137</f>
        <v>2944195.6061214763</v>
      </c>
      <c r="H19" s="49">
        <f>'budget 2025-26'!G137</f>
        <v>2943670.6665969905</v>
      </c>
      <c r="I19" s="49">
        <f>'budget 2025-26'!H137</f>
        <v>2944430.8821631768</v>
      </c>
      <c r="J19" s="49">
        <f>'budget 2025-26'!I137</f>
        <v>2944150.0364758922</v>
      </c>
      <c r="K19" s="49">
        <f>'budget 2025-26'!J137</f>
        <v>2965559.5046671415</v>
      </c>
      <c r="L19" s="49">
        <f>'budget 2025-26'!K137</f>
        <v>2976524.3885078211</v>
      </c>
      <c r="M19" s="49">
        <f>'budget 2025-26'!L137</f>
        <v>2986759.4972029631</v>
      </c>
      <c r="N19" s="49">
        <f>'budget 2025-26'!M137</f>
        <v>2997637.3306012782</v>
      </c>
      <c r="O19" s="49">
        <f>'budget 2025-26'!N137</f>
        <v>3008641.1352224974</v>
      </c>
      <c r="P19" s="49">
        <f>'budget 2025-26'!O137</f>
        <v>3019704.2392601273</v>
      </c>
      <c r="Q19" s="5">
        <f>SUM(E19:P19)</f>
        <v>35561589.656432196</v>
      </c>
    </row>
    <row r="20" spans="3:17" x14ac:dyDescent="0.35">
      <c r="D20" s="3" t="s">
        <v>502</v>
      </c>
      <c r="E20" s="49">
        <f>'Input Actual2025-26'!E140</f>
        <v>3898650</v>
      </c>
      <c r="F20" s="49">
        <f>'Input Actual2025-26'!F140</f>
        <v>3719620</v>
      </c>
      <c r="G20" s="49">
        <f>'Input Actual2025-26'!G140</f>
        <v>3193940</v>
      </c>
      <c r="H20" s="49">
        <f>'Input Actual2025-26'!H140</f>
        <v>3548620</v>
      </c>
      <c r="I20" s="49">
        <f>'Input Actual2025-26'!I140</f>
        <v>3056970</v>
      </c>
      <c r="J20" s="49">
        <f>'Input Actual2025-26'!J140</f>
        <v>3204540</v>
      </c>
      <c r="K20" s="49">
        <f>'Input Actual2025-26'!K140</f>
        <v>3796270</v>
      </c>
      <c r="L20" s="49">
        <f>'Input Actual2025-26'!L140</f>
        <v>4103260</v>
      </c>
      <c r="M20" s="49">
        <f>'Input Actual2025-26'!M140</f>
        <v>0</v>
      </c>
      <c r="N20" s="49">
        <f>'Input Actual2025-26'!N140</f>
        <v>0</v>
      </c>
      <c r="O20" s="49">
        <f>'Input Actual2025-26'!O140</f>
        <v>0</v>
      </c>
      <c r="P20" s="49">
        <f>'Input Actual2025-26'!P140</f>
        <v>0</v>
      </c>
      <c r="Q20" s="5">
        <f t="shared" ref="Q20:Q22" si="0">SUM(E20:P20)</f>
        <v>28521870</v>
      </c>
    </row>
    <row r="21" spans="3:17" x14ac:dyDescent="0.35">
      <c r="D21" s="3" t="s">
        <v>424</v>
      </c>
      <c r="E21" s="49">
        <f>'Input Actual2024-25'!E131</f>
        <v>2130898</v>
      </c>
      <c r="F21" s="49">
        <f>'Input Actual2024-25'!F131</f>
        <v>2494851</v>
      </c>
      <c r="G21" s="49">
        <f>'Input Actual2024-25'!G131</f>
        <v>2586627</v>
      </c>
      <c r="H21" s="49">
        <f>'Input Actual2024-25'!H131</f>
        <v>2312515</v>
      </c>
      <c r="I21" s="49">
        <f>'Input Actual2024-25'!I131</f>
        <v>2408145</v>
      </c>
      <c r="J21" s="49">
        <f>'Input Actual2024-25'!J131</f>
        <v>1739352</v>
      </c>
      <c r="K21" s="49">
        <f>'Input Actual2024-25'!K131</f>
        <v>2146405</v>
      </c>
      <c r="L21" s="49">
        <f>'Input Actual2024-25'!L131</f>
        <v>2060613</v>
      </c>
      <c r="M21" s="49">
        <f>'Input Actual2024-25'!M131</f>
        <v>2172698</v>
      </c>
      <c r="N21" s="49">
        <f>'Input Actual2024-25'!N131</f>
        <v>1949510</v>
      </c>
      <c r="O21" s="49">
        <f>'Input Actual2024-25'!O131</f>
        <v>3454620</v>
      </c>
      <c r="P21" s="49">
        <f>'actual 2022-23'!O116</f>
        <v>1840557</v>
      </c>
      <c r="Q21" s="5">
        <f t="shared" si="0"/>
        <v>27296791</v>
      </c>
    </row>
    <row r="22" spans="3:17" x14ac:dyDescent="0.35">
      <c r="D22" s="3" t="s">
        <v>7</v>
      </c>
      <c r="E22" s="5">
        <f t="shared" ref="E22:P22" si="1">IF(E20=0,0,E20-E19)</f>
        <v>993614.55670062313</v>
      </c>
      <c r="F22" s="5">
        <f t="shared" si="1"/>
        <v>794339.07368654199</v>
      </c>
      <c r="G22" s="5">
        <f t="shared" si="1"/>
        <v>249744.39387852373</v>
      </c>
      <c r="H22" s="5">
        <f t="shared" si="1"/>
        <v>604949.33340300946</v>
      </c>
      <c r="I22" s="5">
        <f t="shared" si="1"/>
        <v>112539.11783682322</v>
      </c>
      <c r="J22" s="5">
        <f t="shared" si="1"/>
        <v>260389.96352410782</v>
      </c>
      <c r="K22" s="5">
        <f t="shared" si="1"/>
        <v>830710.49533285853</v>
      </c>
      <c r="L22" s="5">
        <f t="shared" si="1"/>
        <v>1126735.6114921789</v>
      </c>
      <c r="M22" s="5">
        <f t="shared" si="1"/>
        <v>0</v>
      </c>
      <c r="N22" s="5">
        <f t="shared" si="1"/>
        <v>0</v>
      </c>
      <c r="O22" s="5">
        <f t="shared" si="1"/>
        <v>0</v>
      </c>
      <c r="P22" s="5">
        <f t="shared" si="1"/>
        <v>0</v>
      </c>
      <c r="Q22" s="5">
        <f t="shared" si="0"/>
        <v>4973022.5458546672</v>
      </c>
    </row>
    <row r="23" spans="3:17" x14ac:dyDescent="0.35">
      <c r="D23" s="3" t="s">
        <v>43</v>
      </c>
      <c r="E23" s="9">
        <f>E21/E19</f>
        <v>0.7335187613338876</v>
      </c>
      <c r="F23" s="9">
        <f t="shared" ref="F23:P23" si="2">F20/F19</f>
        <v>1.2715428342424522</v>
      </c>
      <c r="G23" s="9">
        <f t="shared" si="2"/>
        <v>1.0848260194938351</v>
      </c>
      <c r="H23" s="9">
        <f t="shared" si="2"/>
        <v>1.2055084966764835</v>
      </c>
      <c r="I23" s="9">
        <f t="shared" si="2"/>
        <v>1.0382210085210573</v>
      </c>
      <c r="J23" s="9">
        <f t="shared" si="2"/>
        <v>1.0884431704560109</v>
      </c>
      <c r="K23" s="9">
        <f t="shared" si="2"/>
        <v>1.2801193144246481</v>
      </c>
      <c r="L23" s="9">
        <f t="shared" si="2"/>
        <v>1.3785406952627153</v>
      </c>
      <c r="M23" s="9">
        <f t="shared" si="2"/>
        <v>0</v>
      </c>
      <c r="N23" s="9">
        <f t="shared" si="2"/>
        <v>0</v>
      </c>
      <c r="O23" s="9">
        <f t="shared" si="2"/>
        <v>0</v>
      </c>
      <c r="P23" s="9">
        <f t="shared" si="2"/>
        <v>0</v>
      </c>
    </row>
    <row r="25" spans="3:17" x14ac:dyDescent="0.35">
      <c r="C25" s="7" t="s">
        <v>3</v>
      </c>
      <c r="E25" s="11">
        <f>E18</f>
        <v>45839</v>
      </c>
      <c r="F25" s="11">
        <f t="shared" ref="F25:P25" si="3">F18</f>
        <v>45870</v>
      </c>
      <c r="G25" s="11">
        <f t="shared" si="3"/>
        <v>45901</v>
      </c>
      <c r="H25" s="11">
        <f t="shared" si="3"/>
        <v>45931</v>
      </c>
      <c r="I25" s="11">
        <f t="shared" si="3"/>
        <v>45962</v>
      </c>
      <c r="J25" s="11">
        <f t="shared" si="3"/>
        <v>45992</v>
      </c>
      <c r="K25" s="11">
        <f t="shared" si="3"/>
        <v>46023</v>
      </c>
      <c r="L25" s="11">
        <f t="shared" si="3"/>
        <v>46054</v>
      </c>
      <c r="M25" s="11">
        <f t="shared" si="3"/>
        <v>46082</v>
      </c>
      <c r="N25" s="11">
        <f t="shared" si="3"/>
        <v>46113</v>
      </c>
      <c r="O25" s="11">
        <f t="shared" si="3"/>
        <v>46143</v>
      </c>
      <c r="P25" s="11">
        <f t="shared" si="3"/>
        <v>46174</v>
      </c>
    </row>
    <row r="26" spans="3:17" x14ac:dyDescent="0.35">
      <c r="D26" s="3" t="str">
        <f>D19</f>
        <v>Budget 2025-26</v>
      </c>
      <c r="E26" s="5">
        <f>SUM($E19:E19)</f>
        <v>2905035.4432993769</v>
      </c>
      <c r="F26" s="5">
        <f>SUM($E19:F19)</f>
        <v>5830316.3696128353</v>
      </c>
      <c r="G26" s="5">
        <f>SUM($E19:G19)</f>
        <v>8774511.9757343121</v>
      </c>
      <c r="H26" s="5">
        <f>SUM($E19:H19)</f>
        <v>11718182.642331302</v>
      </c>
      <c r="I26" s="5">
        <f>SUM($E19:I19)</f>
        <v>14662613.524494478</v>
      </c>
      <c r="J26" s="5">
        <f>SUM($E19:J19)</f>
        <v>17606763.56097037</v>
      </c>
      <c r="K26" s="5">
        <f>SUM($E19:K19)</f>
        <v>20572323.06563751</v>
      </c>
      <c r="L26" s="5">
        <f>SUM($E19:L19)</f>
        <v>23548847.454145331</v>
      </c>
      <c r="M26" s="5">
        <f>SUM($E19:M19)</f>
        <v>26535606.951348294</v>
      </c>
      <c r="N26" s="5">
        <f>SUM($E19:N19)</f>
        <v>29533244.281949572</v>
      </c>
      <c r="O26" s="5">
        <f>SUM($E19:O19)</f>
        <v>32541885.417172071</v>
      </c>
      <c r="P26" s="5">
        <f>SUM($E19:P19)</f>
        <v>35561589.656432196</v>
      </c>
    </row>
    <row r="27" spans="3:17" x14ac:dyDescent="0.35">
      <c r="D27" s="3" t="str">
        <f t="shared" ref="D27:D30" si="4">D20</f>
        <v>Actual 2025-26</v>
      </c>
      <c r="E27" s="5">
        <f>SUM($E20:E20)</f>
        <v>3898650</v>
      </c>
      <c r="F27" s="5">
        <f>SUM($E20:F20)</f>
        <v>7618270</v>
      </c>
      <c r="G27" s="5">
        <f>SUM($E20:G20)</f>
        <v>10812210</v>
      </c>
      <c r="H27" s="5">
        <f>SUM($E20:H20)</f>
        <v>14360830</v>
      </c>
      <c r="I27" s="5">
        <f>SUM($E20:I20)</f>
        <v>17417800</v>
      </c>
      <c r="J27" s="5">
        <f>SUM($E20:J20)</f>
        <v>20622340</v>
      </c>
      <c r="K27" s="5">
        <f>SUM($E20:K20)</f>
        <v>24418610</v>
      </c>
      <c r="L27" s="5">
        <f>SUM($E20:L20)</f>
        <v>28521870</v>
      </c>
      <c r="M27" s="5">
        <f>SUM($E20:M20)</f>
        <v>28521870</v>
      </c>
      <c r="N27" s="5">
        <f>SUM($E20:N20)</f>
        <v>28521870</v>
      </c>
      <c r="O27" s="5">
        <f>SUM($E20:O20)</f>
        <v>28521870</v>
      </c>
      <c r="P27" s="5">
        <f>SUM($E20:P20)</f>
        <v>28521870</v>
      </c>
    </row>
    <row r="28" spans="3:17" x14ac:dyDescent="0.35">
      <c r="D28" s="3" t="str">
        <f t="shared" si="4"/>
        <v>Actual 2024-25</v>
      </c>
      <c r="E28" s="5">
        <f>SUM($E21:E21)</f>
        <v>2130898</v>
      </c>
      <c r="F28" s="5">
        <f>SUM($E21:F21)</f>
        <v>4625749</v>
      </c>
      <c r="G28" s="5">
        <f>SUM($E21:G21)</f>
        <v>7212376</v>
      </c>
      <c r="H28" s="5">
        <f>SUM($E21:H21)</f>
        <v>9524891</v>
      </c>
      <c r="I28" s="5">
        <f>SUM($E21:I21)</f>
        <v>11933036</v>
      </c>
      <c r="J28" s="5">
        <f>SUM($E21:J21)</f>
        <v>13672388</v>
      </c>
      <c r="K28" s="5">
        <f>SUM($E21:K21)</f>
        <v>15818793</v>
      </c>
      <c r="L28" s="5">
        <f>SUM($E21:L21)</f>
        <v>17879406</v>
      </c>
      <c r="M28" s="5">
        <f>SUM($E21:M21)</f>
        <v>20052104</v>
      </c>
      <c r="N28" s="5">
        <f>SUM($E21:N21)</f>
        <v>22001614</v>
      </c>
      <c r="O28" s="5">
        <f>SUM($E21:O21)</f>
        <v>25456234</v>
      </c>
      <c r="P28" s="5">
        <f>SUM($E21:P21)</f>
        <v>27296791</v>
      </c>
    </row>
    <row r="29" spans="3:17" x14ac:dyDescent="0.35">
      <c r="D29" s="3" t="str">
        <f t="shared" si="4"/>
        <v>Difference</v>
      </c>
      <c r="E29" s="5">
        <f>SUM($E22:E22)</f>
        <v>993614.55670062313</v>
      </c>
      <c r="F29" s="5">
        <f>SUM($E22:F22)</f>
        <v>1787953.6303871651</v>
      </c>
      <c r="G29" s="5">
        <f>SUM($E22:G22)</f>
        <v>2037698.0242656888</v>
      </c>
      <c r="H29" s="5">
        <f>SUM($E22:H22)</f>
        <v>2642647.3576686983</v>
      </c>
      <c r="I29" s="5">
        <f>SUM($E22:I22)</f>
        <v>2755186.4755055215</v>
      </c>
      <c r="J29" s="5">
        <f>SUM($E22:J22)</f>
        <v>3015576.4390296293</v>
      </c>
      <c r="K29" s="5">
        <f>SUM($E22:K22)</f>
        <v>3846286.9343624879</v>
      </c>
      <c r="L29" s="5">
        <f>SUM($E22:L22)</f>
        <v>4973022.5458546672</v>
      </c>
      <c r="M29" s="5">
        <f>SUM($E22:M22)</f>
        <v>4973022.5458546672</v>
      </c>
      <c r="N29" s="5">
        <f>SUM($E22:N22)</f>
        <v>4973022.5458546672</v>
      </c>
      <c r="O29" s="5">
        <f>SUM($E22:O22)</f>
        <v>4973022.5458546672</v>
      </c>
      <c r="P29" s="5">
        <f>SUM($E22:P22)</f>
        <v>4973022.5458546672</v>
      </c>
    </row>
    <row r="30" spans="3:17" x14ac:dyDescent="0.35">
      <c r="D30" s="3" t="str">
        <f t="shared" si="4"/>
        <v>Realisation</v>
      </c>
      <c r="E30" s="9">
        <f>E28/E26</f>
        <v>0.7335187613338876</v>
      </c>
      <c r="F30" s="9">
        <f t="shared" ref="F30:P30" si="5">F27/F26</f>
        <v>1.3066649418384639</v>
      </c>
      <c r="G30" s="9">
        <f t="shared" si="5"/>
        <v>1.2322292145592699</v>
      </c>
      <c r="H30" s="9">
        <f t="shared" si="5"/>
        <v>1.2255168261435248</v>
      </c>
      <c r="I30" s="9">
        <f t="shared" si="5"/>
        <v>1.1879055511422212</v>
      </c>
      <c r="J30" s="9">
        <f t="shared" si="5"/>
        <v>1.1712737510552127</v>
      </c>
      <c r="K30" s="9">
        <f t="shared" si="5"/>
        <v>1.1869641518894405</v>
      </c>
      <c r="L30" s="9">
        <f t="shared" si="5"/>
        <v>1.2111790207796034</v>
      </c>
      <c r="M30" s="9">
        <f t="shared" si="5"/>
        <v>1.0748527460590376</v>
      </c>
      <c r="N30" s="9">
        <f t="shared" si="5"/>
        <v>0.96575471789370215</v>
      </c>
      <c r="O30" s="9">
        <f t="shared" si="5"/>
        <v>0.87646642578826295</v>
      </c>
      <c r="P30" s="9">
        <f t="shared" si="5"/>
        <v>0.80204148002256448</v>
      </c>
    </row>
  </sheetData>
  <mergeCells count="2">
    <mergeCell ref="J4:Q8"/>
    <mergeCell ref="J10:Q15"/>
  </mergeCells>
  <conditionalFormatting sqref="C3">
    <cfRule type="expression" dxfId="206" priority="2">
      <formula>S4&lt;S6</formula>
    </cfRule>
  </conditionalFormatting>
  <conditionalFormatting sqref="C5">
    <cfRule type="expression" dxfId="205" priority="3">
      <formula>S4&gt;=S5</formula>
    </cfRule>
  </conditionalFormatting>
  <conditionalFormatting sqref="C4">
    <cfRule type="expression" dxfId="204" priority="1">
      <formula>AND(S4&gt;=S6,S4&lt;S5)</formula>
    </cfRule>
  </conditionalFormatting>
  <hyperlinks>
    <hyperlink ref="L1" location="Dashboard!A1" display="Dashboard"/>
  </hyperlinks>
  <pageMargins left="0.7" right="0.7" top="0.75" bottom="0.75" header="0.3" footer="0.3"/>
  <pageSetup orientation="portrait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39361" r:id="rId4" name="Spinner 1">
              <controlPr defaultSize="0" autoPict="0">
                <anchor moveWithCells="1" sizeWithCells="1">
                  <from>
                    <xdr:col>9</xdr:col>
                    <xdr:colOff>19050</xdr:colOff>
                    <xdr:row>0</xdr:row>
                    <xdr:rowOff>38100</xdr:rowOff>
                  </from>
                  <to>
                    <xdr:col>9</xdr:col>
                    <xdr:colOff>400050</xdr:colOff>
                    <xdr:row>1</xdr:row>
                    <xdr:rowOff>152400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1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FFC000"/>
  </sheetPr>
  <dimension ref="A1:S30"/>
  <sheetViews>
    <sheetView topLeftCell="D1" workbookViewId="0">
      <selection activeCell="L1" sqref="L1"/>
    </sheetView>
  </sheetViews>
  <sheetFormatPr defaultColWidth="9.1796875" defaultRowHeight="14.5" x14ac:dyDescent="0.35"/>
  <cols>
    <col min="1" max="1" width="9.1796875" style="3"/>
    <col min="2" max="2" width="5.1796875" style="3" customWidth="1"/>
    <col min="3" max="3" width="20.6328125" style="3" customWidth="1"/>
    <col min="4" max="4" width="21.26953125" style="3" bestFit="1" customWidth="1"/>
    <col min="5" max="16" width="11.1796875" style="3" customWidth="1"/>
    <col min="17" max="17" width="12" style="3" bestFit="1" customWidth="1"/>
    <col min="18" max="18" width="9.1796875" style="3" customWidth="1"/>
    <col min="19" max="16384" width="9.1796875" style="3"/>
  </cols>
  <sheetData>
    <row r="1" spans="1:19" ht="21" x14ac:dyDescent="0.5">
      <c r="A1" s="4" t="s">
        <v>4</v>
      </c>
      <c r="B1" s="4">
        <f>Dashboard!A138</f>
        <v>7</v>
      </c>
      <c r="C1" s="4" t="str">
        <f>Dashboard!B138</f>
        <v>HOPEWELL - WATER(KES)</v>
      </c>
      <c r="D1" s="4" t="str">
        <f>Dashboard!C138</f>
        <v>Ksh</v>
      </c>
      <c r="G1" s="3" t="s">
        <v>9</v>
      </c>
      <c r="I1" s="12">
        <f>INDEX($E$18:$P$18,Actual_month)</f>
        <v>46054</v>
      </c>
      <c r="L1" s="16" t="s">
        <v>19</v>
      </c>
      <c r="R1" s="5"/>
    </row>
    <row r="2" spans="1:19" x14ac:dyDescent="0.35">
      <c r="A2" s="3" t="s">
        <v>13</v>
      </c>
      <c r="C2" s="3" t="s">
        <v>27</v>
      </c>
      <c r="R2" s="6"/>
    </row>
    <row r="3" spans="1:19" ht="25.5" customHeight="1" thickBot="1" x14ac:dyDescent="0.4">
      <c r="C3" s="1" t="s">
        <v>5</v>
      </c>
      <c r="E3" s="10"/>
      <c r="F3" s="10"/>
      <c r="G3" s="10"/>
      <c r="H3" s="10"/>
      <c r="I3" s="10"/>
      <c r="J3" s="3" t="s">
        <v>6</v>
      </c>
      <c r="K3" s="10"/>
      <c r="M3" s="10"/>
      <c r="N3" s="10"/>
      <c r="O3" s="10"/>
      <c r="P3" s="10"/>
    </row>
    <row r="4" spans="1:19" ht="25.5" customHeight="1" x14ac:dyDescent="0.35">
      <c r="C4" s="1" t="s">
        <v>5</v>
      </c>
      <c r="E4" s="10"/>
      <c r="F4" s="10"/>
      <c r="G4" s="10"/>
      <c r="H4" s="10"/>
      <c r="I4" s="10"/>
      <c r="J4" s="401"/>
      <c r="K4" s="402"/>
      <c r="L4" s="402"/>
      <c r="M4" s="402"/>
      <c r="N4" s="402"/>
      <c r="O4" s="402"/>
      <c r="P4" s="402"/>
      <c r="Q4" s="403"/>
      <c r="R4" s="3" t="s">
        <v>22</v>
      </c>
      <c r="S4" s="5">
        <f>INDEX(E27:P27,Actual_month)</f>
        <v>5755650</v>
      </c>
    </row>
    <row r="5" spans="1:19" ht="25.5" customHeight="1" x14ac:dyDescent="0.35">
      <c r="C5" s="1" t="s">
        <v>5</v>
      </c>
      <c r="E5" s="10"/>
      <c r="F5" s="10"/>
      <c r="G5" s="10"/>
      <c r="H5" s="10"/>
      <c r="I5" s="10"/>
      <c r="J5" s="404"/>
      <c r="K5" s="405"/>
      <c r="L5" s="405"/>
      <c r="M5" s="405"/>
      <c r="N5" s="405"/>
      <c r="O5" s="405"/>
      <c r="P5" s="405"/>
      <c r="Q5" s="406"/>
      <c r="R5" s="3" t="s">
        <v>23</v>
      </c>
      <c r="S5" s="5">
        <f>INDEX(E26:P26,Actual_month)</f>
        <v>4970937.1021776684</v>
      </c>
    </row>
    <row r="6" spans="1:19" x14ac:dyDescent="0.35">
      <c r="J6" s="404"/>
      <c r="K6" s="405"/>
      <c r="L6" s="405"/>
      <c r="M6" s="405"/>
      <c r="N6" s="405"/>
      <c r="O6" s="405"/>
      <c r="P6" s="405"/>
      <c r="Q6" s="406"/>
      <c r="R6" s="6">
        <v>0.9</v>
      </c>
      <c r="S6" s="5">
        <f>+S5*R6</f>
        <v>4473843.3919599019</v>
      </c>
    </row>
    <row r="7" spans="1:19" x14ac:dyDescent="0.35">
      <c r="J7" s="404"/>
      <c r="K7" s="405"/>
      <c r="L7" s="405"/>
      <c r="M7" s="405"/>
      <c r="N7" s="405"/>
      <c r="O7" s="405"/>
      <c r="P7" s="405"/>
      <c r="Q7" s="406"/>
    </row>
    <row r="8" spans="1:19" ht="15" thickBot="1" x14ac:dyDescent="0.4">
      <c r="J8" s="407"/>
      <c r="K8" s="408"/>
      <c r="L8" s="408"/>
      <c r="M8" s="408"/>
      <c r="N8" s="408"/>
      <c r="O8" s="408"/>
      <c r="P8" s="408"/>
      <c r="Q8" s="409"/>
    </row>
    <row r="9" spans="1:19" ht="15" thickBot="1" x14ac:dyDescent="0.4">
      <c r="J9" s="3" t="s">
        <v>12</v>
      </c>
    </row>
    <row r="10" spans="1:19" x14ac:dyDescent="0.35">
      <c r="J10" s="401"/>
      <c r="K10" s="402"/>
      <c r="L10" s="402"/>
      <c r="M10" s="402"/>
      <c r="N10" s="402"/>
      <c r="O10" s="402"/>
      <c r="P10" s="402"/>
      <c r="Q10" s="403"/>
    </row>
    <row r="11" spans="1:19" x14ac:dyDescent="0.35">
      <c r="J11" s="404"/>
      <c r="K11" s="405"/>
      <c r="L11" s="405"/>
      <c r="M11" s="405"/>
      <c r="N11" s="405"/>
      <c r="O11" s="405"/>
      <c r="P11" s="405"/>
      <c r="Q11" s="406"/>
    </row>
    <row r="12" spans="1:19" x14ac:dyDescent="0.35">
      <c r="J12" s="404"/>
      <c r="K12" s="405"/>
      <c r="L12" s="405"/>
      <c r="M12" s="405"/>
      <c r="N12" s="405"/>
      <c r="O12" s="405"/>
      <c r="P12" s="405"/>
      <c r="Q12" s="406"/>
    </row>
    <row r="13" spans="1:19" x14ac:dyDescent="0.35">
      <c r="J13" s="404"/>
      <c r="K13" s="405"/>
      <c r="L13" s="405"/>
      <c r="M13" s="405"/>
      <c r="N13" s="405"/>
      <c r="O13" s="405"/>
      <c r="P13" s="405"/>
      <c r="Q13" s="406"/>
    </row>
    <row r="14" spans="1:19" x14ac:dyDescent="0.35">
      <c r="J14" s="404"/>
      <c r="K14" s="405"/>
      <c r="L14" s="405"/>
      <c r="M14" s="405"/>
      <c r="N14" s="405"/>
      <c r="O14" s="405"/>
      <c r="P14" s="405"/>
      <c r="Q14" s="406"/>
    </row>
    <row r="15" spans="1:19" ht="15" thickBot="1" x14ac:dyDescent="0.4">
      <c r="J15" s="407"/>
      <c r="K15" s="408"/>
      <c r="L15" s="408"/>
      <c r="M15" s="408"/>
      <c r="N15" s="408"/>
      <c r="O15" s="408"/>
      <c r="P15" s="408"/>
      <c r="Q15" s="409"/>
    </row>
    <row r="18" spans="3:17" x14ac:dyDescent="0.35">
      <c r="C18" s="7" t="s">
        <v>8</v>
      </c>
      <c r="E18" s="11">
        <v>45839</v>
      </c>
      <c r="F18" s="11">
        <v>45870</v>
      </c>
      <c r="G18" s="11">
        <v>45901</v>
      </c>
      <c r="H18" s="11">
        <v>45931</v>
      </c>
      <c r="I18" s="11">
        <v>45962</v>
      </c>
      <c r="J18" s="11">
        <v>45992</v>
      </c>
      <c r="K18" s="11">
        <v>46023</v>
      </c>
      <c r="L18" s="11">
        <v>46054</v>
      </c>
      <c r="M18" s="11">
        <v>46082</v>
      </c>
      <c r="N18" s="11">
        <v>46113</v>
      </c>
      <c r="O18" s="11">
        <v>46143</v>
      </c>
      <c r="P18" s="11">
        <v>46174</v>
      </c>
      <c r="Q18" s="8" t="s">
        <v>0</v>
      </c>
    </row>
    <row r="19" spans="3:17" x14ac:dyDescent="0.35">
      <c r="D19" s="3" t="s">
        <v>501</v>
      </c>
      <c r="E19" s="49">
        <f>'budget 2025-26'!D130</f>
        <v>607373.63794520765</v>
      </c>
      <c r="F19" s="49">
        <f>'budget 2025-26'!E130</f>
        <v>613605.90288007155</v>
      </c>
      <c r="G19" s="49">
        <f>'budget 2025-26'!F130</f>
        <v>619558.69339113927</v>
      </c>
      <c r="H19" s="49">
        <f>'budget 2025-26'!G130</f>
        <v>621406.58497137623</v>
      </c>
      <c r="I19" s="49">
        <f>'budget 2025-26'!H130</f>
        <v>623499.90722898534</v>
      </c>
      <c r="J19" s="49">
        <f>'budget 2025-26'!I130</f>
        <v>625347.58996437164</v>
      </c>
      <c r="K19" s="49">
        <f>'budget 2025-26'!J130</f>
        <v>628629.14570594812</v>
      </c>
      <c r="L19" s="49">
        <f>'budget 2025-26'!K130</f>
        <v>631515.64009056799</v>
      </c>
      <c r="M19" s="49">
        <f>'budget 2025-26'!L130</f>
        <v>634241.72611853434</v>
      </c>
      <c r="N19" s="49">
        <f>'budget 2025-26'!M130</f>
        <v>637997.22904811928</v>
      </c>
      <c r="O19" s="49">
        <f>'budget 2025-26'!N130</f>
        <v>641769.86440649047</v>
      </c>
      <c r="P19" s="49">
        <f>'budget 2025-26'!O130</f>
        <v>645545.75872848381</v>
      </c>
      <c r="Q19" s="5">
        <f>SUM(E19:P19)</f>
        <v>7530491.6804792965</v>
      </c>
    </row>
    <row r="20" spans="3:17" x14ac:dyDescent="0.35">
      <c r="D20" s="3" t="s">
        <v>502</v>
      </c>
      <c r="E20" s="49">
        <f>'Input Actual2025-26'!E133</f>
        <v>676970</v>
      </c>
      <c r="F20" s="49">
        <f>'Input Actual2025-26'!F133</f>
        <v>776690</v>
      </c>
      <c r="G20" s="49">
        <f>'Input Actual2025-26'!G133</f>
        <v>706040</v>
      </c>
      <c r="H20" s="49">
        <f>'Input Actual2025-26'!H133</f>
        <v>810770</v>
      </c>
      <c r="I20" s="49">
        <f>'Input Actual2025-26'!I133</f>
        <v>637850</v>
      </c>
      <c r="J20" s="49">
        <f>'Input Actual2025-26'!J133</f>
        <v>604280</v>
      </c>
      <c r="K20" s="49">
        <f>'Input Actual2025-26'!K133</f>
        <v>852920</v>
      </c>
      <c r="L20" s="49">
        <f>'Input Actual2025-26'!L133</f>
        <v>690130</v>
      </c>
      <c r="M20" s="49">
        <f>'Input Actual2025-26'!M133</f>
        <v>0</v>
      </c>
      <c r="N20" s="49">
        <f>'Input Actual2025-26'!N133</f>
        <v>0</v>
      </c>
      <c r="O20" s="49">
        <f>'Input Actual2025-26'!O133</f>
        <v>0</v>
      </c>
      <c r="P20" s="49">
        <f>'Input Actual2025-26'!P133</f>
        <v>0</v>
      </c>
      <c r="Q20" s="5">
        <f t="shared" ref="Q20:Q22" si="0">SUM(E20:P20)</f>
        <v>5755650</v>
      </c>
    </row>
    <row r="21" spans="3:17" x14ac:dyDescent="0.35">
      <c r="D21" s="3" t="s">
        <v>424</v>
      </c>
      <c r="E21" s="49">
        <f>'Input Actual2024-25'!E124</f>
        <v>353632</v>
      </c>
      <c r="F21" s="49">
        <f>'Input Actual2024-25'!F124</f>
        <v>488873</v>
      </c>
      <c r="G21" s="49">
        <f>'Input Actual2024-25'!G124</f>
        <v>501899</v>
      </c>
      <c r="H21" s="49">
        <f>'Input Actual2024-25'!H124</f>
        <v>405347</v>
      </c>
      <c r="I21" s="49">
        <f>'Input Actual2024-25'!I124</f>
        <v>569177</v>
      </c>
      <c r="J21" s="49">
        <f>'Input Actual2024-25'!J124</f>
        <v>342441</v>
      </c>
      <c r="K21" s="49">
        <f>'Input Actual2024-25'!K124</f>
        <v>550410</v>
      </c>
      <c r="L21" s="49">
        <f>'Input Actual2024-25'!L124</f>
        <v>476164</v>
      </c>
      <c r="M21" s="49">
        <f>'Input Actual2024-25'!M124</f>
        <v>552285</v>
      </c>
      <c r="N21" s="49">
        <f>'Input Actual2024-25'!N124</f>
        <v>623850</v>
      </c>
      <c r="O21" s="49">
        <f>'Input Actual2024-25'!O124</f>
        <v>707250</v>
      </c>
      <c r="P21" s="49">
        <f>'Input Actual2024-25'!P124</f>
        <v>777850</v>
      </c>
      <c r="Q21" s="5">
        <f t="shared" si="0"/>
        <v>6349178</v>
      </c>
    </row>
    <row r="22" spans="3:17" x14ac:dyDescent="0.35">
      <c r="D22" s="3" t="s">
        <v>7</v>
      </c>
      <c r="E22" s="5">
        <f t="shared" ref="E22:P22" si="1">IF(E20=0,0,E20-E19)</f>
        <v>69596.362054792349</v>
      </c>
      <c r="F22" s="5">
        <f t="shared" si="1"/>
        <v>163084.09711992845</v>
      </c>
      <c r="G22" s="5">
        <f t="shared" si="1"/>
        <v>86481.30660886073</v>
      </c>
      <c r="H22" s="5">
        <f t="shared" si="1"/>
        <v>189363.41502862377</v>
      </c>
      <c r="I22" s="5">
        <f t="shared" si="1"/>
        <v>14350.092771014664</v>
      </c>
      <c r="J22" s="5">
        <f t="shared" si="1"/>
        <v>-21067.58996437164</v>
      </c>
      <c r="K22" s="5">
        <f t="shared" si="1"/>
        <v>224290.85429405188</v>
      </c>
      <c r="L22" s="5">
        <f t="shared" si="1"/>
        <v>58614.359909432009</v>
      </c>
      <c r="M22" s="5">
        <f t="shared" si="1"/>
        <v>0</v>
      </c>
      <c r="N22" s="5">
        <f t="shared" si="1"/>
        <v>0</v>
      </c>
      <c r="O22" s="5">
        <f t="shared" si="1"/>
        <v>0</v>
      </c>
      <c r="P22" s="5">
        <f t="shared" si="1"/>
        <v>0</v>
      </c>
      <c r="Q22" s="5">
        <f t="shared" si="0"/>
        <v>784712.89782233222</v>
      </c>
    </row>
    <row r="23" spans="3:17" x14ac:dyDescent="0.35">
      <c r="D23" s="3" t="s">
        <v>43</v>
      </c>
      <c r="E23" s="9">
        <f>E21/E19</f>
        <v>0.58223139416515446</v>
      </c>
      <c r="F23" s="9">
        <f t="shared" ref="F23:P23" si="2">F20/F19</f>
        <v>1.2657798700345995</v>
      </c>
      <c r="G23" s="9">
        <f t="shared" si="2"/>
        <v>1.1395853331272094</v>
      </c>
      <c r="H23" s="9">
        <f t="shared" si="2"/>
        <v>1.304733518453697</v>
      </c>
      <c r="I23" s="9">
        <f t="shared" si="2"/>
        <v>1.0230153887829601</v>
      </c>
      <c r="J23" s="9">
        <f t="shared" si="2"/>
        <v>0.96631059221708693</v>
      </c>
      <c r="K23" s="9">
        <f t="shared" si="2"/>
        <v>1.3567935973477241</v>
      </c>
      <c r="L23" s="9">
        <f t="shared" si="2"/>
        <v>1.0928153733469308</v>
      </c>
      <c r="M23" s="9">
        <f t="shared" si="2"/>
        <v>0</v>
      </c>
      <c r="N23" s="9">
        <f t="shared" si="2"/>
        <v>0</v>
      </c>
      <c r="O23" s="9">
        <f t="shared" si="2"/>
        <v>0</v>
      </c>
      <c r="P23" s="9">
        <f t="shared" si="2"/>
        <v>0</v>
      </c>
    </row>
    <row r="25" spans="3:17" x14ac:dyDescent="0.35">
      <c r="C25" s="7" t="s">
        <v>3</v>
      </c>
      <c r="E25" s="11">
        <f>E18</f>
        <v>45839</v>
      </c>
      <c r="F25" s="11">
        <f t="shared" ref="F25:P25" si="3">F18</f>
        <v>45870</v>
      </c>
      <c r="G25" s="11">
        <f t="shared" si="3"/>
        <v>45901</v>
      </c>
      <c r="H25" s="11">
        <f t="shared" si="3"/>
        <v>45931</v>
      </c>
      <c r="I25" s="11">
        <f t="shared" si="3"/>
        <v>45962</v>
      </c>
      <c r="J25" s="11">
        <f t="shared" si="3"/>
        <v>45992</v>
      </c>
      <c r="K25" s="11">
        <f t="shared" si="3"/>
        <v>46023</v>
      </c>
      <c r="L25" s="11">
        <f t="shared" si="3"/>
        <v>46054</v>
      </c>
      <c r="M25" s="11">
        <f t="shared" si="3"/>
        <v>46082</v>
      </c>
      <c r="N25" s="11">
        <f t="shared" si="3"/>
        <v>46113</v>
      </c>
      <c r="O25" s="11">
        <f t="shared" si="3"/>
        <v>46143</v>
      </c>
      <c r="P25" s="11">
        <f t="shared" si="3"/>
        <v>46174</v>
      </c>
    </row>
    <row r="26" spans="3:17" x14ac:dyDescent="0.35">
      <c r="D26" s="3" t="str">
        <f>D19</f>
        <v>Budget 2025-26</v>
      </c>
      <c r="E26" s="5">
        <f>SUM($E19:E19)</f>
        <v>607373.63794520765</v>
      </c>
      <c r="F26" s="5">
        <f>SUM($E19:F19)</f>
        <v>1220979.5408252792</v>
      </c>
      <c r="G26" s="5">
        <f>SUM($E19:G19)</f>
        <v>1840538.2342164186</v>
      </c>
      <c r="H26" s="5">
        <f>SUM($E19:H19)</f>
        <v>2461944.8191877948</v>
      </c>
      <c r="I26" s="5">
        <f>SUM($E19:I19)</f>
        <v>3085444.7264167801</v>
      </c>
      <c r="J26" s="5">
        <f>SUM($E19:J19)</f>
        <v>3710792.3163811518</v>
      </c>
      <c r="K26" s="5">
        <f>SUM($E19:K19)</f>
        <v>4339421.4620871004</v>
      </c>
      <c r="L26" s="5">
        <f>SUM($E19:L19)</f>
        <v>4970937.1021776684</v>
      </c>
      <c r="M26" s="5">
        <f>SUM($E19:M19)</f>
        <v>5605178.8282962032</v>
      </c>
      <c r="N26" s="5">
        <f>SUM($E19:N19)</f>
        <v>6243176.0573443221</v>
      </c>
      <c r="O26" s="5">
        <f>SUM($E19:O19)</f>
        <v>6884945.9217508128</v>
      </c>
      <c r="P26" s="5">
        <f>SUM($E19:P19)</f>
        <v>7530491.6804792965</v>
      </c>
    </row>
    <row r="27" spans="3:17" x14ac:dyDescent="0.35">
      <c r="D27" s="3" t="str">
        <f t="shared" ref="D27:D30" si="4">D20</f>
        <v>Actual 2025-26</v>
      </c>
      <c r="E27" s="5">
        <f>SUM($E20:E20)</f>
        <v>676970</v>
      </c>
      <c r="F27" s="5">
        <f>SUM($E20:F20)</f>
        <v>1453660</v>
      </c>
      <c r="G27" s="5">
        <f>SUM($E20:G20)</f>
        <v>2159700</v>
      </c>
      <c r="H27" s="5">
        <f>SUM($E20:H20)</f>
        <v>2970470</v>
      </c>
      <c r="I27" s="5">
        <f>SUM($E20:I20)</f>
        <v>3608320</v>
      </c>
      <c r="J27" s="5">
        <f>SUM($E20:J20)</f>
        <v>4212600</v>
      </c>
      <c r="K27" s="5">
        <f>SUM($E20:K20)</f>
        <v>5065520</v>
      </c>
      <c r="L27" s="5">
        <f>SUM($E20:L20)</f>
        <v>5755650</v>
      </c>
      <c r="M27" s="5">
        <f>SUM($E20:M20)</f>
        <v>5755650</v>
      </c>
      <c r="N27" s="5">
        <f>SUM($E20:N20)</f>
        <v>5755650</v>
      </c>
      <c r="O27" s="5">
        <f>SUM($E20:O20)</f>
        <v>5755650</v>
      </c>
      <c r="P27" s="5">
        <f>SUM($E20:P20)</f>
        <v>5755650</v>
      </c>
    </row>
    <row r="28" spans="3:17" x14ac:dyDescent="0.35">
      <c r="D28" s="3" t="str">
        <f t="shared" si="4"/>
        <v>Actual 2024-25</v>
      </c>
      <c r="E28" s="5">
        <f>SUM($E21:E21)</f>
        <v>353632</v>
      </c>
      <c r="F28" s="5">
        <f>SUM($E21:F21)</f>
        <v>842505</v>
      </c>
      <c r="G28" s="5">
        <f>SUM($E21:G21)</f>
        <v>1344404</v>
      </c>
      <c r="H28" s="5">
        <f>SUM($E21:H21)</f>
        <v>1749751</v>
      </c>
      <c r="I28" s="5">
        <f>SUM($E21:I21)</f>
        <v>2318928</v>
      </c>
      <c r="J28" s="5">
        <f>SUM($E21:J21)</f>
        <v>2661369</v>
      </c>
      <c r="K28" s="5">
        <f>SUM($E21:K21)</f>
        <v>3211779</v>
      </c>
      <c r="L28" s="5">
        <f>SUM($E21:L21)</f>
        <v>3687943</v>
      </c>
      <c r="M28" s="5">
        <f>SUM($E21:M21)</f>
        <v>4240228</v>
      </c>
      <c r="N28" s="5">
        <f>SUM($E21:N21)</f>
        <v>4864078</v>
      </c>
      <c r="O28" s="5">
        <f>SUM($E21:O21)</f>
        <v>5571328</v>
      </c>
      <c r="P28" s="5">
        <f>SUM($E21:P21)</f>
        <v>6349178</v>
      </c>
    </row>
    <row r="29" spans="3:17" x14ac:dyDescent="0.35">
      <c r="D29" s="3" t="str">
        <f t="shared" si="4"/>
        <v>Difference</v>
      </c>
      <c r="E29" s="5">
        <f>SUM($E22:E22)</f>
        <v>69596.362054792349</v>
      </c>
      <c r="F29" s="5">
        <f>SUM($E22:F22)</f>
        <v>232680.4591747208</v>
      </c>
      <c r="G29" s="5">
        <f>SUM($E22:G22)</f>
        <v>319161.76578358153</v>
      </c>
      <c r="H29" s="5">
        <f>SUM($E22:H22)</f>
        <v>508525.1808122053</v>
      </c>
      <c r="I29" s="5">
        <f>SUM($E22:I22)</f>
        <v>522875.27358321997</v>
      </c>
      <c r="J29" s="5">
        <f>SUM($E22:J22)</f>
        <v>501807.68361884833</v>
      </c>
      <c r="K29" s="5">
        <f>SUM($E22:K22)</f>
        <v>726098.53791290021</v>
      </c>
      <c r="L29" s="5">
        <f>SUM($E22:L22)</f>
        <v>784712.89782233222</v>
      </c>
      <c r="M29" s="5">
        <f>SUM($E22:M22)</f>
        <v>784712.89782233222</v>
      </c>
      <c r="N29" s="5">
        <f>SUM($E22:N22)</f>
        <v>784712.89782233222</v>
      </c>
      <c r="O29" s="5">
        <f>SUM($E22:O22)</f>
        <v>784712.89782233222</v>
      </c>
      <c r="P29" s="5">
        <f>SUM($E22:P22)</f>
        <v>784712.89782233222</v>
      </c>
    </row>
    <row r="30" spans="3:17" x14ac:dyDescent="0.35">
      <c r="D30" s="3" t="str">
        <f t="shared" si="4"/>
        <v>Realisation</v>
      </c>
      <c r="E30" s="9">
        <f>E28/E26</f>
        <v>0.58223139416515446</v>
      </c>
      <c r="F30" s="9">
        <f t="shared" ref="F30:P30" si="5">F27/F26</f>
        <v>1.1905686798137898</v>
      </c>
      <c r="G30" s="9">
        <f t="shared" si="5"/>
        <v>1.1734067567031334</v>
      </c>
      <c r="H30" s="9">
        <f t="shared" si="5"/>
        <v>1.2065542561510252</v>
      </c>
      <c r="I30" s="9">
        <f t="shared" si="5"/>
        <v>1.1694651241380203</v>
      </c>
      <c r="J30" s="9">
        <f t="shared" si="5"/>
        <v>1.135229255866365</v>
      </c>
      <c r="K30" s="9">
        <f t="shared" si="5"/>
        <v>1.1673261157637529</v>
      </c>
      <c r="L30" s="9">
        <f t="shared" si="5"/>
        <v>1.1578601542712268</v>
      </c>
      <c r="M30" s="9">
        <f t="shared" si="5"/>
        <v>1.0268450260577209</v>
      </c>
      <c r="N30" s="9">
        <f t="shared" si="5"/>
        <v>0.92191057037854829</v>
      </c>
      <c r="O30" s="9">
        <f t="shared" si="5"/>
        <v>0.83597606508670474</v>
      </c>
      <c r="P30" s="9">
        <f t="shared" si="5"/>
        <v>0.76431264308012192</v>
      </c>
    </row>
  </sheetData>
  <mergeCells count="2">
    <mergeCell ref="J4:Q8"/>
    <mergeCell ref="J10:Q15"/>
  </mergeCells>
  <conditionalFormatting sqref="C3">
    <cfRule type="expression" dxfId="203" priority="2">
      <formula>S4&lt;S6</formula>
    </cfRule>
  </conditionalFormatting>
  <conditionalFormatting sqref="C5">
    <cfRule type="expression" dxfId="202" priority="3">
      <formula>S4&gt;=S5</formula>
    </cfRule>
  </conditionalFormatting>
  <conditionalFormatting sqref="C4">
    <cfRule type="expression" dxfId="201" priority="1">
      <formula>AND(S4&gt;=S6,S4&lt;S5)</formula>
    </cfRule>
  </conditionalFormatting>
  <hyperlinks>
    <hyperlink ref="L1" location="Dashboard!A1" display="Dashboard"/>
  </hyperlinks>
  <pageMargins left="0.7" right="0.7" top="0.75" bottom="0.75" header="0.3" footer="0.3"/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595393" r:id="rId3" name="Spinner 1">
              <controlPr defaultSize="0" autoPict="0">
                <anchor moveWithCells="1" sizeWithCells="1">
                  <from>
                    <xdr:col>9</xdr:col>
                    <xdr:colOff>19050</xdr:colOff>
                    <xdr:row>0</xdr:row>
                    <xdr:rowOff>38100</xdr:rowOff>
                  </from>
                  <to>
                    <xdr:col>9</xdr:col>
                    <xdr:colOff>400050</xdr:colOff>
                    <xdr:row>1</xdr:row>
                    <xdr:rowOff>152400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1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104">
    <tabColor rgb="FFFFC000"/>
  </sheetPr>
  <dimension ref="A1:S30"/>
  <sheetViews>
    <sheetView zoomScale="90" zoomScaleNormal="90" workbookViewId="0">
      <selection activeCell="L1" sqref="L1"/>
    </sheetView>
  </sheetViews>
  <sheetFormatPr defaultColWidth="9.1796875" defaultRowHeight="14.5" x14ac:dyDescent="0.35"/>
  <cols>
    <col min="1" max="1" width="9.1796875" style="3"/>
    <col min="2" max="2" width="5.1796875" style="3" customWidth="1"/>
    <col min="3" max="3" width="6.26953125" style="3" customWidth="1"/>
    <col min="4" max="4" width="21.26953125" style="3" bestFit="1" customWidth="1"/>
    <col min="5" max="16" width="11.1796875" style="3" customWidth="1"/>
    <col min="17" max="17" width="12" style="3" bestFit="1" customWidth="1"/>
    <col min="18" max="18" width="9.1796875" style="3" customWidth="1"/>
    <col min="19" max="16384" width="9.1796875" style="3"/>
  </cols>
  <sheetData>
    <row r="1" spans="1:19" ht="21" x14ac:dyDescent="0.5">
      <c r="A1" s="4" t="s">
        <v>4</v>
      </c>
      <c r="B1" s="4">
        <f>Dashboard!A137</f>
        <v>6</v>
      </c>
      <c r="C1" s="4" t="str">
        <f>Dashboard!B137</f>
        <v>LAKEVIEW - WATER(KES)</v>
      </c>
      <c r="D1" s="4"/>
      <c r="G1" s="3" t="s">
        <v>9</v>
      </c>
      <c r="I1" s="12">
        <f>INDEX($E$18:$P$18,Actual_month)</f>
        <v>46054</v>
      </c>
      <c r="L1" s="16" t="s">
        <v>19</v>
      </c>
      <c r="R1" s="5"/>
    </row>
    <row r="2" spans="1:19" x14ac:dyDescent="0.35">
      <c r="A2" s="3" t="s">
        <v>13</v>
      </c>
      <c r="C2" s="3" t="s">
        <v>27</v>
      </c>
      <c r="R2" s="6"/>
    </row>
    <row r="3" spans="1:19" ht="25.5" customHeight="1" thickBot="1" x14ac:dyDescent="0.4">
      <c r="C3" s="1" t="s">
        <v>5</v>
      </c>
      <c r="E3" s="10"/>
      <c r="F3" s="10"/>
      <c r="G3" s="10"/>
      <c r="H3" s="10"/>
      <c r="I3" s="10"/>
      <c r="J3" s="3" t="s">
        <v>6</v>
      </c>
      <c r="K3" s="10"/>
      <c r="M3" s="10"/>
      <c r="N3" s="10"/>
      <c r="O3" s="10"/>
      <c r="P3" s="10"/>
    </row>
    <row r="4" spans="1:19" ht="25.5" customHeight="1" x14ac:dyDescent="0.35">
      <c r="C4" s="1" t="s">
        <v>5</v>
      </c>
      <c r="E4" s="10"/>
      <c r="F4" s="10"/>
      <c r="G4" s="10"/>
      <c r="H4" s="10"/>
      <c r="I4" s="10"/>
      <c r="J4" s="401"/>
      <c r="K4" s="402"/>
      <c r="L4" s="402"/>
      <c r="M4" s="402"/>
      <c r="N4" s="402"/>
      <c r="O4" s="402"/>
      <c r="P4" s="402"/>
      <c r="Q4" s="403"/>
      <c r="R4" s="3" t="s">
        <v>22</v>
      </c>
      <c r="S4" s="5">
        <f>INDEX(E27:P27,Actual_month)</f>
        <v>19955050</v>
      </c>
    </row>
    <row r="5" spans="1:19" ht="25.5" customHeight="1" x14ac:dyDescent="0.35">
      <c r="C5" s="1" t="s">
        <v>5</v>
      </c>
      <c r="E5" s="10"/>
      <c r="F5" s="10"/>
      <c r="G5" s="10"/>
      <c r="H5" s="10"/>
      <c r="I5" s="10"/>
      <c r="J5" s="404"/>
      <c r="K5" s="405"/>
      <c r="L5" s="405"/>
      <c r="M5" s="405"/>
      <c r="N5" s="405"/>
      <c r="O5" s="405"/>
      <c r="P5" s="405"/>
      <c r="Q5" s="406"/>
      <c r="R5" s="3" t="s">
        <v>23</v>
      </c>
      <c r="S5" s="5">
        <f>INDEX(E26:P26,Actual_month)</f>
        <v>17430485.834437434</v>
      </c>
    </row>
    <row r="6" spans="1:19" x14ac:dyDescent="0.35">
      <c r="J6" s="404"/>
      <c r="K6" s="405"/>
      <c r="L6" s="405"/>
      <c r="M6" s="405"/>
      <c r="N6" s="405"/>
      <c r="O6" s="405"/>
      <c r="P6" s="405"/>
      <c r="Q6" s="406"/>
      <c r="R6" s="6">
        <v>0.9</v>
      </c>
      <c r="S6" s="5">
        <f>+S5*R6</f>
        <v>15687437.250993691</v>
      </c>
    </row>
    <row r="7" spans="1:19" x14ac:dyDescent="0.35">
      <c r="J7" s="404"/>
      <c r="K7" s="405"/>
      <c r="L7" s="405"/>
      <c r="M7" s="405"/>
      <c r="N7" s="405"/>
      <c r="O7" s="405"/>
      <c r="P7" s="405"/>
      <c r="Q7" s="406"/>
    </row>
    <row r="8" spans="1:19" ht="15" thickBot="1" x14ac:dyDescent="0.4">
      <c r="J8" s="407"/>
      <c r="K8" s="408"/>
      <c r="L8" s="408"/>
      <c r="M8" s="408"/>
      <c r="N8" s="408"/>
      <c r="O8" s="408"/>
      <c r="P8" s="408"/>
      <c r="Q8" s="409"/>
    </row>
    <row r="9" spans="1:19" ht="15" thickBot="1" x14ac:dyDescent="0.4">
      <c r="J9" s="3" t="s">
        <v>12</v>
      </c>
    </row>
    <row r="10" spans="1:19" x14ac:dyDescent="0.35">
      <c r="J10" s="401"/>
      <c r="K10" s="402"/>
      <c r="L10" s="402"/>
      <c r="M10" s="402"/>
      <c r="N10" s="402"/>
      <c r="O10" s="402"/>
      <c r="P10" s="402"/>
      <c r="Q10" s="403"/>
    </row>
    <row r="11" spans="1:19" x14ac:dyDescent="0.35">
      <c r="J11" s="404"/>
      <c r="K11" s="405"/>
      <c r="L11" s="405"/>
      <c r="M11" s="405"/>
      <c r="N11" s="405"/>
      <c r="O11" s="405"/>
      <c r="P11" s="405"/>
      <c r="Q11" s="406"/>
    </row>
    <row r="12" spans="1:19" x14ac:dyDescent="0.35">
      <c r="J12" s="404"/>
      <c r="K12" s="405"/>
      <c r="L12" s="405"/>
      <c r="M12" s="405"/>
      <c r="N12" s="405"/>
      <c r="O12" s="405"/>
      <c r="P12" s="405"/>
      <c r="Q12" s="406"/>
    </row>
    <row r="13" spans="1:19" x14ac:dyDescent="0.35">
      <c r="J13" s="404"/>
      <c r="K13" s="405"/>
      <c r="L13" s="405"/>
      <c r="M13" s="405"/>
      <c r="N13" s="405"/>
      <c r="O13" s="405"/>
      <c r="P13" s="405"/>
      <c r="Q13" s="406"/>
    </row>
    <row r="14" spans="1:19" x14ac:dyDescent="0.35">
      <c r="J14" s="404"/>
      <c r="K14" s="405"/>
      <c r="L14" s="405"/>
      <c r="M14" s="405"/>
      <c r="N14" s="405"/>
      <c r="O14" s="405"/>
      <c r="P14" s="405"/>
      <c r="Q14" s="406"/>
    </row>
    <row r="15" spans="1:19" ht="15" thickBot="1" x14ac:dyDescent="0.4">
      <c r="J15" s="407"/>
      <c r="K15" s="408"/>
      <c r="L15" s="408"/>
      <c r="M15" s="408"/>
      <c r="N15" s="408"/>
      <c r="O15" s="408"/>
      <c r="P15" s="408"/>
      <c r="Q15" s="409"/>
    </row>
    <row r="18" spans="3:17" x14ac:dyDescent="0.35">
      <c r="C18" s="7" t="s">
        <v>8</v>
      </c>
      <c r="E18" s="11">
        <v>45839</v>
      </c>
      <c r="F18" s="11">
        <v>45870</v>
      </c>
      <c r="G18" s="11">
        <v>45901</v>
      </c>
      <c r="H18" s="11">
        <v>45931</v>
      </c>
      <c r="I18" s="11">
        <v>45962</v>
      </c>
      <c r="J18" s="11">
        <v>45992</v>
      </c>
      <c r="K18" s="11">
        <v>46023</v>
      </c>
      <c r="L18" s="11">
        <v>46054</v>
      </c>
      <c r="M18" s="11">
        <v>46082</v>
      </c>
      <c r="N18" s="11">
        <v>46113</v>
      </c>
      <c r="O18" s="11">
        <v>46143</v>
      </c>
      <c r="P18" s="11">
        <v>46174</v>
      </c>
      <c r="Q18" s="8" t="s">
        <v>0</v>
      </c>
    </row>
    <row r="19" spans="3:17" x14ac:dyDescent="0.35">
      <c r="D19" s="3" t="s">
        <v>501</v>
      </c>
      <c r="E19" s="49">
        <f>'budget 2025-26'!D129</f>
        <v>2177207.2889747513</v>
      </c>
      <c r="F19" s="49">
        <f>'budget 2025-26'!E129</f>
        <v>2185407.8277332895</v>
      </c>
      <c r="G19" s="49">
        <f>'budget 2025-26'!F129</f>
        <v>2192615.290566538</v>
      </c>
      <c r="H19" s="49">
        <f>'budget 2025-26'!G129</f>
        <v>2185394.9100039843</v>
      </c>
      <c r="I19" s="49">
        <f>'budget 2025-26'!H129</f>
        <v>2179218.832989845</v>
      </c>
      <c r="J19" s="49">
        <f>'budget 2025-26'!I129</f>
        <v>2172360.092595309</v>
      </c>
      <c r="K19" s="49">
        <f>'budget 2025-26'!J129</f>
        <v>2170628.4822349497</v>
      </c>
      <c r="L19" s="49">
        <f>'budget 2025-26'!K129</f>
        <v>2167653.1093387692</v>
      </c>
      <c r="M19" s="49">
        <f>'budget 2025-26'!L129</f>
        <v>2164255.3752662288</v>
      </c>
      <c r="N19" s="49">
        <f>'budget 2025-26'!M129</f>
        <v>2164477.9185813186</v>
      </c>
      <c r="O19" s="49">
        <f>'budget 2025-26'!N129</f>
        <v>2164842.7040794734</v>
      </c>
      <c r="P19" s="49">
        <f>'budget 2025-26'!O129</f>
        <v>2165299.9134860937</v>
      </c>
      <c r="Q19" s="5">
        <f>SUM(E19:P19)</f>
        <v>26089361.745850548</v>
      </c>
    </row>
    <row r="20" spans="3:17" x14ac:dyDescent="0.35">
      <c r="D20" s="3" t="s">
        <v>502</v>
      </c>
      <c r="E20" s="49">
        <f>'Input Actual2025-26'!E132</f>
        <v>2100540</v>
      </c>
      <c r="F20" s="49">
        <f>'Input Actual2025-26'!F132</f>
        <v>2638290</v>
      </c>
      <c r="G20" s="49">
        <f>'Input Actual2025-26'!G132</f>
        <v>2433710</v>
      </c>
      <c r="H20" s="49">
        <f>'Input Actual2025-26'!H132</f>
        <v>2753510</v>
      </c>
      <c r="I20" s="49">
        <f>'Input Actual2025-26'!I132</f>
        <v>2127270</v>
      </c>
      <c r="J20" s="49">
        <f>'Input Actual2025-26'!J132</f>
        <v>1864290</v>
      </c>
      <c r="K20" s="49">
        <f>'Input Actual2025-26'!K132</f>
        <v>3346670</v>
      </c>
      <c r="L20" s="49">
        <f>'Input Actual2025-26'!L132</f>
        <v>2690770</v>
      </c>
      <c r="M20" s="49">
        <f>'Input Actual2025-26'!M132</f>
        <v>0</v>
      </c>
      <c r="N20" s="49">
        <f>'Input Actual2025-26'!N132</f>
        <v>0</v>
      </c>
      <c r="O20" s="49">
        <f>'Input Actual2025-26'!O132</f>
        <v>0</v>
      </c>
      <c r="P20" s="49">
        <f>'Input Actual2025-26'!P132</f>
        <v>0</v>
      </c>
      <c r="Q20" s="5">
        <f t="shared" ref="Q20:Q22" si="0">SUM(E20:P20)</f>
        <v>19955050</v>
      </c>
    </row>
    <row r="21" spans="3:17" x14ac:dyDescent="0.35">
      <c r="D21" s="3" t="s">
        <v>424</v>
      </c>
      <c r="E21" s="49">
        <f>'Input Actual2024-25'!E123</f>
        <v>1408292</v>
      </c>
      <c r="F21" s="49">
        <f>'Input Actual2024-25'!F123</f>
        <v>1871622</v>
      </c>
      <c r="G21" s="49">
        <f>'Input Actual2024-25'!G123</f>
        <v>1667049</v>
      </c>
      <c r="H21" s="49">
        <f>'Input Actual2024-25'!H123</f>
        <v>1578946</v>
      </c>
      <c r="I21" s="49">
        <f>'Input Actual2024-25'!I123</f>
        <v>1826957</v>
      </c>
      <c r="J21" s="49">
        <f>'Input Actual2024-25'!J123</f>
        <v>1062212</v>
      </c>
      <c r="K21" s="49">
        <f>'Input Actual2024-25'!K123</f>
        <v>1900300</v>
      </c>
      <c r="L21" s="49">
        <f>'Input Actual2024-25'!L123</f>
        <v>1864157</v>
      </c>
      <c r="M21" s="49">
        <f>'Input Actual2024-25'!M123</f>
        <v>1966775</v>
      </c>
      <c r="N21" s="49">
        <f>'Input Actual2024-25'!N123</f>
        <v>1858820</v>
      </c>
      <c r="O21" s="49">
        <f>'Input Actual2024-25'!O123</f>
        <v>2451780</v>
      </c>
      <c r="P21" s="49">
        <f>'Input Actual2024-25'!P123</f>
        <v>2596980</v>
      </c>
      <c r="Q21" s="5">
        <f t="shared" si="0"/>
        <v>22053890</v>
      </c>
    </row>
    <row r="22" spans="3:17" x14ac:dyDescent="0.35">
      <c r="D22" s="3" t="s">
        <v>7</v>
      </c>
      <c r="E22" s="5">
        <f t="shared" ref="E22:P22" si="1">IF(E20=0,0,E20-E19)</f>
        <v>-76667.288974751253</v>
      </c>
      <c r="F22" s="5">
        <f t="shared" si="1"/>
        <v>452882.17226671055</v>
      </c>
      <c r="G22" s="5">
        <f t="shared" si="1"/>
        <v>241094.70943346201</v>
      </c>
      <c r="H22" s="5">
        <f t="shared" si="1"/>
        <v>568115.08999601565</v>
      </c>
      <c r="I22" s="5">
        <f t="shared" si="1"/>
        <v>-51948.832989844959</v>
      </c>
      <c r="J22" s="5">
        <f t="shared" si="1"/>
        <v>-308070.09259530902</v>
      </c>
      <c r="K22" s="5">
        <f t="shared" si="1"/>
        <v>1176041.5177650503</v>
      </c>
      <c r="L22" s="5">
        <f t="shared" si="1"/>
        <v>523116.89066123078</v>
      </c>
      <c r="M22" s="5">
        <f t="shared" si="1"/>
        <v>0</v>
      </c>
      <c r="N22" s="5">
        <f t="shared" si="1"/>
        <v>0</v>
      </c>
      <c r="O22" s="5">
        <f t="shared" si="1"/>
        <v>0</v>
      </c>
      <c r="P22" s="5">
        <f t="shared" si="1"/>
        <v>0</v>
      </c>
      <c r="Q22" s="5">
        <f t="shared" si="0"/>
        <v>2524564.165562564</v>
      </c>
    </row>
    <row r="23" spans="3:17" x14ac:dyDescent="0.35">
      <c r="D23" s="3" t="s">
        <v>43</v>
      </c>
      <c r="E23" s="9">
        <f>E21/E19</f>
        <v>0.64683413799480982</v>
      </c>
      <c r="F23" s="9">
        <f t="shared" ref="F23:P23" si="2">F20/F19</f>
        <v>1.2072300494761388</v>
      </c>
      <c r="G23" s="9">
        <f t="shared" si="2"/>
        <v>1.1099575974274845</v>
      </c>
      <c r="H23" s="9">
        <f t="shared" si="2"/>
        <v>1.2599599218408448</v>
      </c>
      <c r="I23" s="9">
        <f t="shared" si="2"/>
        <v>0.97616171804161023</v>
      </c>
      <c r="J23" s="9">
        <f t="shared" si="2"/>
        <v>0.85818645184774178</v>
      </c>
      <c r="K23" s="9">
        <f t="shared" si="2"/>
        <v>1.5417976993253859</v>
      </c>
      <c r="L23" s="9">
        <f t="shared" si="2"/>
        <v>1.2413286924958231</v>
      </c>
      <c r="M23" s="9">
        <f t="shared" si="2"/>
        <v>0</v>
      </c>
      <c r="N23" s="9">
        <f t="shared" si="2"/>
        <v>0</v>
      </c>
      <c r="O23" s="9">
        <f t="shared" si="2"/>
        <v>0</v>
      </c>
      <c r="P23" s="9">
        <f t="shared" si="2"/>
        <v>0</v>
      </c>
    </row>
    <row r="25" spans="3:17" x14ac:dyDescent="0.35">
      <c r="C25" s="7" t="s">
        <v>3</v>
      </c>
      <c r="E25" s="11">
        <f>E18</f>
        <v>45839</v>
      </c>
      <c r="F25" s="11">
        <f t="shared" ref="F25:P25" si="3">F18</f>
        <v>45870</v>
      </c>
      <c r="G25" s="11">
        <f t="shared" si="3"/>
        <v>45901</v>
      </c>
      <c r="H25" s="11">
        <f t="shared" si="3"/>
        <v>45931</v>
      </c>
      <c r="I25" s="11">
        <f t="shared" si="3"/>
        <v>45962</v>
      </c>
      <c r="J25" s="11">
        <f t="shared" si="3"/>
        <v>45992</v>
      </c>
      <c r="K25" s="11">
        <f t="shared" si="3"/>
        <v>46023</v>
      </c>
      <c r="L25" s="11">
        <f t="shared" si="3"/>
        <v>46054</v>
      </c>
      <c r="M25" s="11">
        <f t="shared" si="3"/>
        <v>46082</v>
      </c>
      <c r="N25" s="11">
        <f t="shared" si="3"/>
        <v>46113</v>
      </c>
      <c r="O25" s="11">
        <f t="shared" si="3"/>
        <v>46143</v>
      </c>
      <c r="P25" s="11">
        <f t="shared" si="3"/>
        <v>46174</v>
      </c>
    </row>
    <row r="26" spans="3:17" x14ac:dyDescent="0.35">
      <c r="D26" s="3" t="str">
        <f>D19</f>
        <v>Budget 2025-26</v>
      </c>
      <c r="E26" s="5">
        <f>SUM($E19:E19)</f>
        <v>2177207.2889747513</v>
      </c>
      <c r="F26" s="5">
        <f>SUM($E19:F19)</f>
        <v>4362615.1167080402</v>
      </c>
      <c r="G26" s="5">
        <f>SUM($E19:G19)</f>
        <v>6555230.4072745778</v>
      </c>
      <c r="H26" s="5">
        <f>SUM($E19:H19)</f>
        <v>8740625.3172785621</v>
      </c>
      <c r="I26" s="5">
        <f>SUM($E19:I19)</f>
        <v>10919844.150268408</v>
      </c>
      <c r="J26" s="5">
        <f>SUM($E19:J19)</f>
        <v>13092204.242863717</v>
      </c>
      <c r="K26" s="5">
        <f>SUM($E19:K19)</f>
        <v>15262832.725098666</v>
      </c>
      <c r="L26" s="5">
        <f>SUM($E19:L19)</f>
        <v>17430485.834437434</v>
      </c>
      <c r="M26" s="5">
        <f>SUM($E19:M19)</f>
        <v>19594741.209703662</v>
      </c>
      <c r="N26" s="5">
        <f>SUM($E19:N19)</f>
        <v>21759219.12828498</v>
      </c>
      <c r="O26" s="5">
        <f>SUM($E19:O19)</f>
        <v>23924061.832364455</v>
      </c>
      <c r="P26" s="5">
        <f>SUM($E19:P19)</f>
        <v>26089361.745850548</v>
      </c>
    </row>
    <row r="27" spans="3:17" x14ac:dyDescent="0.35">
      <c r="D27" s="3" t="str">
        <f t="shared" ref="D27:D30" si="4">D20</f>
        <v>Actual 2025-26</v>
      </c>
      <c r="E27" s="5">
        <f>SUM($E20:E20)</f>
        <v>2100540</v>
      </c>
      <c r="F27" s="5">
        <f>SUM($E20:F20)</f>
        <v>4738830</v>
      </c>
      <c r="G27" s="5">
        <f>SUM($E20:G20)</f>
        <v>7172540</v>
      </c>
      <c r="H27" s="5">
        <f>SUM($E20:H20)</f>
        <v>9926050</v>
      </c>
      <c r="I27" s="5">
        <f>SUM($E20:I20)</f>
        <v>12053320</v>
      </c>
      <c r="J27" s="5">
        <f>SUM($E20:J20)</f>
        <v>13917610</v>
      </c>
      <c r="K27" s="5">
        <f>SUM($E20:K20)</f>
        <v>17264280</v>
      </c>
      <c r="L27" s="5">
        <f>SUM($E20:L20)</f>
        <v>19955050</v>
      </c>
      <c r="M27" s="5">
        <f>SUM($E20:M20)</f>
        <v>19955050</v>
      </c>
      <c r="N27" s="5">
        <f>SUM($E20:N20)</f>
        <v>19955050</v>
      </c>
      <c r="O27" s="5">
        <f>SUM($E20:O20)</f>
        <v>19955050</v>
      </c>
      <c r="P27" s="5">
        <f>SUM($E20:P20)</f>
        <v>19955050</v>
      </c>
    </row>
    <row r="28" spans="3:17" x14ac:dyDescent="0.35">
      <c r="D28" s="3" t="str">
        <f t="shared" si="4"/>
        <v>Actual 2024-25</v>
      </c>
      <c r="E28" s="5">
        <f>SUM($E21:E21)</f>
        <v>1408292</v>
      </c>
      <c r="F28" s="5">
        <f>SUM($E21:F21)</f>
        <v>3279914</v>
      </c>
      <c r="G28" s="5">
        <f>SUM($E21:G21)</f>
        <v>4946963</v>
      </c>
      <c r="H28" s="5">
        <f>SUM($E21:H21)</f>
        <v>6525909</v>
      </c>
      <c r="I28" s="5">
        <f>SUM($E21:I21)</f>
        <v>8352866</v>
      </c>
      <c r="J28" s="5">
        <f>SUM($E21:J21)</f>
        <v>9415078</v>
      </c>
      <c r="K28" s="5">
        <f>SUM($E21:K21)</f>
        <v>11315378</v>
      </c>
      <c r="L28" s="5">
        <f>SUM($E21:L21)</f>
        <v>13179535</v>
      </c>
      <c r="M28" s="5">
        <f>SUM($E21:M21)</f>
        <v>15146310</v>
      </c>
      <c r="N28" s="5">
        <f>SUM($E21:N21)</f>
        <v>17005130</v>
      </c>
      <c r="O28" s="5">
        <f>SUM($E21:O21)</f>
        <v>19456910</v>
      </c>
      <c r="P28" s="5">
        <f>SUM($E21:P21)</f>
        <v>22053890</v>
      </c>
    </row>
    <row r="29" spans="3:17" x14ac:dyDescent="0.35">
      <c r="D29" s="3" t="str">
        <f t="shared" si="4"/>
        <v>Difference</v>
      </c>
      <c r="E29" s="5">
        <f>SUM($E22:E22)</f>
        <v>-76667.288974751253</v>
      </c>
      <c r="F29" s="5">
        <f>SUM($E22:F22)</f>
        <v>376214.8832919593</v>
      </c>
      <c r="G29" s="5">
        <f>SUM($E22:G22)</f>
        <v>617309.5927254213</v>
      </c>
      <c r="H29" s="5">
        <f>SUM($E22:H22)</f>
        <v>1185424.682721437</v>
      </c>
      <c r="I29" s="5">
        <f>SUM($E22:I22)</f>
        <v>1133475.849731592</v>
      </c>
      <c r="J29" s="5">
        <f>SUM($E22:J22)</f>
        <v>825405.75713628298</v>
      </c>
      <c r="K29" s="5">
        <f>SUM($E22:K22)</f>
        <v>2001447.2749013333</v>
      </c>
      <c r="L29" s="5">
        <f>SUM($E22:L22)</f>
        <v>2524564.165562564</v>
      </c>
      <c r="M29" s="5">
        <f>SUM($E22:M22)</f>
        <v>2524564.165562564</v>
      </c>
      <c r="N29" s="5">
        <f>SUM($E22:N22)</f>
        <v>2524564.165562564</v>
      </c>
      <c r="O29" s="5">
        <f>SUM($E22:O22)</f>
        <v>2524564.165562564</v>
      </c>
      <c r="P29" s="5">
        <f>SUM($E22:P22)</f>
        <v>2524564.165562564</v>
      </c>
    </row>
    <row r="30" spans="3:17" x14ac:dyDescent="0.35">
      <c r="D30" s="3" t="str">
        <f t="shared" si="4"/>
        <v>Realisation</v>
      </c>
      <c r="E30" s="9">
        <f>E28/E26</f>
        <v>0.64683413799480982</v>
      </c>
      <c r="F30" s="9">
        <f t="shared" ref="F30:P30" si="5">F27/F26</f>
        <v>1.0862360930835093</v>
      </c>
      <c r="G30" s="9">
        <f t="shared" si="5"/>
        <v>1.0941705408310853</v>
      </c>
      <c r="H30" s="9">
        <f t="shared" si="5"/>
        <v>1.1356224114055178</v>
      </c>
      <c r="I30" s="9">
        <f t="shared" si="5"/>
        <v>1.1037996361608999</v>
      </c>
      <c r="J30" s="9">
        <f t="shared" si="5"/>
        <v>1.0630455912407717</v>
      </c>
      <c r="K30" s="9">
        <f t="shared" si="5"/>
        <v>1.131132097884431</v>
      </c>
      <c r="L30" s="9">
        <f t="shared" si="5"/>
        <v>1.1448361330568757</v>
      </c>
      <c r="M30" s="9">
        <f t="shared" si="5"/>
        <v>1.0183880351590409</v>
      </c>
      <c r="N30" s="9">
        <f t="shared" si="5"/>
        <v>0.91708484033143789</v>
      </c>
      <c r="O30" s="9">
        <f t="shared" si="5"/>
        <v>0.83409958308186705</v>
      </c>
      <c r="P30" s="9">
        <f t="shared" si="5"/>
        <v>0.76487306183999704</v>
      </c>
    </row>
  </sheetData>
  <mergeCells count="2">
    <mergeCell ref="J4:Q8"/>
    <mergeCell ref="J10:Q15"/>
  </mergeCells>
  <conditionalFormatting sqref="C3">
    <cfRule type="expression" dxfId="200" priority="2">
      <formula>S4&lt;S6</formula>
    </cfRule>
  </conditionalFormatting>
  <conditionalFormatting sqref="C5">
    <cfRule type="expression" dxfId="199" priority="3">
      <formula>S4&gt;=S5</formula>
    </cfRule>
  </conditionalFormatting>
  <conditionalFormatting sqref="C4">
    <cfRule type="expression" dxfId="198" priority="1">
      <formula>AND(S4&gt;=S6,S4&lt;S5)</formula>
    </cfRule>
  </conditionalFormatting>
  <hyperlinks>
    <hyperlink ref="L1" location="Dashboard!A1" display="Dashboard"/>
  </hyperlinks>
  <pageMargins left="0.7" right="0.7" top="0.75" bottom="0.75" header="0.3" footer="0.3"/>
  <pageSetup orientation="portrait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40385" r:id="rId4" name="Spinner 1">
              <controlPr defaultSize="0" autoPict="0">
                <anchor moveWithCells="1" sizeWithCells="1">
                  <from>
                    <xdr:col>9</xdr:col>
                    <xdr:colOff>19050</xdr:colOff>
                    <xdr:row>0</xdr:row>
                    <xdr:rowOff>38100</xdr:rowOff>
                  </from>
                  <to>
                    <xdr:col>9</xdr:col>
                    <xdr:colOff>400050</xdr:colOff>
                    <xdr:row>1</xdr:row>
                    <xdr:rowOff>152400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1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FFC000"/>
  </sheetPr>
  <dimension ref="A1:S30"/>
  <sheetViews>
    <sheetView topLeftCell="B1" workbookViewId="0">
      <selection activeCell="L1" sqref="L1"/>
    </sheetView>
  </sheetViews>
  <sheetFormatPr defaultColWidth="9.1796875" defaultRowHeight="14.5" x14ac:dyDescent="0.35"/>
  <cols>
    <col min="1" max="1" width="9.1796875" style="3"/>
    <col min="2" max="2" width="5.7265625" style="3" bestFit="1" customWidth="1"/>
    <col min="3" max="3" width="6.26953125" style="3" customWidth="1"/>
    <col min="4" max="4" width="21.26953125" style="3" bestFit="1" customWidth="1"/>
    <col min="5" max="16" width="11.1796875" style="3" customWidth="1"/>
    <col min="17" max="17" width="12" style="3" bestFit="1" customWidth="1"/>
    <col min="18" max="18" width="9.1796875" style="3" customWidth="1"/>
    <col min="19" max="16384" width="9.1796875" style="3"/>
  </cols>
  <sheetData>
    <row r="1" spans="1:19" ht="21" x14ac:dyDescent="0.5">
      <c r="A1" s="4" t="s">
        <v>4</v>
      </c>
      <c r="B1" s="4">
        <f>Dashboard!A143</f>
        <v>4</v>
      </c>
      <c r="C1" s="4" t="str">
        <f>Dashboard!B143</f>
        <v>LONGONOT - WATER(KES)</v>
      </c>
      <c r="D1" s="4"/>
      <c r="G1" s="3" t="s">
        <v>9</v>
      </c>
      <c r="I1" s="12">
        <f>INDEX($E$18:$P$18,Actual_month)</f>
        <v>46054</v>
      </c>
      <c r="L1" s="16" t="s">
        <v>19</v>
      </c>
      <c r="R1" s="5"/>
    </row>
    <row r="2" spans="1:19" x14ac:dyDescent="0.35">
      <c r="A2" s="3" t="s">
        <v>13</v>
      </c>
      <c r="C2" s="3" t="s">
        <v>27</v>
      </c>
      <c r="R2" s="6"/>
    </row>
    <row r="3" spans="1:19" ht="25.5" customHeight="1" thickBot="1" x14ac:dyDescent="0.4">
      <c r="C3" s="1" t="s">
        <v>5</v>
      </c>
      <c r="E3" s="10"/>
      <c r="F3" s="10"/>
      <c r="G3" s="10"/>
      <c r="H3" s="10"/>
      <c r="I3" s="10"/>
      <c r="J3" s="3" t="s">
        <v>6</v>
      </c>
      <c r="K3" s="10"/>
      <c r="M3" s="10"/>
      <c r="N3" s="10"/>
      <c r="O3" s="10"/>
      <c r="P3" s="10"/>
    </row>
    <row r="4" spans="1:19" ht="25.5" customHeight="1" x14ac:dyDescent="0.35">
      <c r="C4" s="1" t="s">
        <v>5</v>
      </c>
      <c r="E4" s="10"/>
      <c r="F4" s="10"/>
      <c r="G4" s="10"/>
      <c r="H4" s="10"/>
      <c r="I4" s="10"/>
      <c r="J4" s="401"/>
      <c r="K4" s="402"/>
      <c r="L4" s="402"/>
      <c r="M4" s="402"/>
      <c r="N4" s="402"/>
      <c r="O4" s="402"/>
      <c r="P4" s="402"/>
      <c r="Q4" s="403"/>
      <c r="R4" s="3" t="s">
        <v>22</v>
      </c>
      <c r="S4" s="5">
        <f>INDEX(E27:P27,Actual_month)</f>
        <v>4627430</v>
      </c>
    </row>
    <row r="5" spans="1:19" ht="25.5" customHeight="1" x14ac:dyDescent="0.35">
      <c r="C5" s="1" t="s">
        <v>5</v>
      </c>
      <c r="E5" s="10"/>
      <c r="F5" s="10"/>
      <c r="G5" s="10"/>
      <c r="H5" s="10"/>
      <c r="I5" s="10"/>
      <c r="J5" s="404"/>
      <c r="K5" s="405"/>
      <c r="L5" s="405"/>
      <c r="M5" s="405"/>
      <c r="N5" s="405"/>
      <c r="O5" s="405"/>
      <c r="P5" s="405"/>
      <c r="Q5" s="406"/>
      <c r="R5" s="3" t="s">
        <v>23</v>
      </c>
      <c r="S5" s="5">
        <f>INDEX(E26:P26,Actual_month)</f>
        <v>3900411.7727272604</v>
      </c>
    </row>
    <row r="6" spans="1:19" x14ac:dyDescent="0.35">
      <c r="J6" s="404"/>
      <c r="K6" s="405"/>
      <c r="L6" s="405"/>
      <c r="M6" s="405"/>
      <c r="N6" s="405"/>
      <c r="O6" s="405"/>
      <c r="P6" s="405"/>
      <c r="Q6" s="406"/>
      <c r="R6" s="6">
        <v>0.9</v>
      </c>
      <c r="S6" s="5">
        <f>+S5*R6</f>
        <v>3510370.5954545345</v>
      </c>
    </row>
    <row r="7" spans="1:19" x14ac:dyDescent="0.35">
      <c r="J7" s="404"/>
      <c r="K7" s="405"/>
      <c r="L7" s="405"/>
      <c r="M7" s="405"/>
      <c r="N7" s="405"/>
      <c r="O7" s="405"/>
      <c r="P7" s="405"/>
      <c r="Q7" s="406"/>
    </row>
    <row r="8" spans="1:19" ht="15" thickBot="1" x14ac:dyDescent="0.4">
      <c r="J8" s="407"/>
      <c r="K8" s="408"/>
      <c r="L8" s="408"/>
      <c r="M8" s="408"/>
      <c r="N8" s="408"/>
      <c r="O8" s="408"/>
      <c r="P8" s="408"/>
      <c r="Q8" s="409"/>
    </row>
    <row r="9" spans="1:19" ht="15" thickBot="1" x14ac:dyDescent="0.4">
      <c r="J9" s="3" t="s">
        <v>12</v>
      </c>
    </row>
    <row r="10" spans="1:19" x14ac:dyDescent="0.35">
      <c r="J10" s="401"/>
      <c r="K10" s="402"/>
      <c r="L10" s="402"/>
      <c r="M10" s="402"/>
      <c r="N10" s="402"/>
      <c r="O10" s="402"/>
      <c r="P10" s="402"/>
      <c r="Q10" s="403"/>
    </row>
    <row r="11" spans="1:19" x14ac:dyDescent="0.35">
      <c r="J11" s="404"/>
      <c r="K11" s="405"/>
      <c r="L11" s="405"/>
      <c r="M11" s="405"/>
      <c r="N11" s="405"/>
      <c r="O11" s="405"/>
      <c r="P11" s="405"/>
      <c r="Q11" s="406"/>
    </row>
    <row r="12" spans="1:19" x14ac:dyDescent="0.35">
      <c r="J12" s="404"/>
      <c r="K12" s="405"/>
      <c r="L12" s="405"/>
      <c r="M12" s="405"/>
      <c r="N12" s="405"/>
      <c r="O12" s="405"/>
      <c r="P12" s="405"/>
      <c r="Q12" s="406"/>
    </row>
    <row r="13" spans="1:19" x14ac:dyDescent="0.35">
      <c r="J13" s="404"/>
      <c r="K13" s="405"/>
      <c r="L13" s="405"/>
      <c r="M13" s="405"/>
      <c r="N13" s="405"/>
      <c r="O13" s="405"/>
      <c r="P13" s="405"/>
      <c r="Q13" s="406"/>
    </row>
    <row r="14" spans="1:19" x14ac:dyDescent="0.35">
      <c r="J14" s="404"/>
      <c r="K14" s="405"/>
      <c r="L14" s="405"/>
      <c r="M14" s="405"/>
      <c r="N14" s="405"/>
      <c r="O14" s="405"/>
      <c r="P14" s="405"/>
      <c r="Q14" s="406"/>
    </row>
    <row r="15" spans="1:19" ht="15" thickBot="1" x14ac:dyDescent="0.4">
      <c r="J15" s="407"/>
      <c r="K15" s="408"/>
      <c r="L15" s="408"/>
      <c r="M15" s="408"/>
      <c r="N15" s="408"/>
      <c r="O15" s="408"/>
      <c r="P15" s="408"/>
      <c r="Q15" s="409"/>
    </row>
    <row r="18" spans="3:17" x14ac:dyDescent="0.35">
      <c r="C18" s="7" t="s">
        <v>8</v>
      </c>
      <c r="E18" s="11">
        <v>45839</v>
      </c>
      <c r="F18" s="11">
        <v>45870</v>
      </c>
      <c r="G18" s="11">
        <v>45901</v>
      </c>
      <c r="H18" s="11">
        <v>45931</v>
      </c>
      <c r="I18" s="11">
        <v>45962</v>
      </c>
      <c r="J18" s="11">
        <v>45992</v>
      </c>
      <c r="K18" s="11">
        <v>46023</v>
      </c>
      <c r="L18" s="11">
        <v>46054</v>
      </c>
      <c r="M18" s="11">
        <v>46082</v>
      </c>
      <c r="N18" s="11">
        <v>46113</v>
      </c>
      <c r="O18" s="11">
        <v>46143</v>
      </c>
      <c r="P18" s="11">
        <v>46174</v>
      </c>
      <c r="Q18" s="8" t="s">
        <v>0</v>
      </c>
    </row>
    <row r="19" spans="3:17" x14ac:dyDescent="0.35">
      <c r="D19" s="3" t="s">
        <v>501</v>
      </c>
      <c r="E19" s="49">
        <f>'budget 2025-26'!D135</f>
        <v>467998.20347072533</v>
      </c>
      <c r="F19" s="49">
        <f>'budget 2025-26'!E135</f>
        <v>475354.36553089326</v>
      </c>
      <c r="G19" s="49">
        <f>'budget 2025-26'!F135</f>
        <v>482493.6069720643</v>
      </c>
      <c r="H19" s="49">
        <f>'budget 2025-26'!G135</f>
        <v>486418.12732269603</v>
      </c>
      <c r="I19" s="49">
        <f>'budget 2025-26'!H135</f>
        <v>490502.04090128816</v>
      </c>
      <c r="J19" s="49">
        <f>'budget 2025-26'!I135</f>
        <v>494360.94313517597</v>
      </c>
      <c r="K19" s="49">
        <f>'budget 2025-26'!J135</f>
        <v>499326.9905204979</v>
      </c>
      <c r="L19" s="49">
        <f>'budget 2025-26'!K135</f>
        <v>503957.49487391952</v>
      </c>
      <c r="M19" s="49">
        <f>'budget 2025-26'!L135</f>
        <v>508436.82874290773</v>
      </c>
      <c r="N19" s="49">
        <f>'budget 2025-26'!M135</f>
        <v>513721.96407890122</v>
      </c>
      <c r="O19" s="49">
        <f>'budget 2025-26'!N135</f>
        <v>519005.70055690833</v>
      </c>
      <c r="P19" s="49">
        <f>'budget 2025-26'!O135</f>
        <v>524277.36401903688</v>
      </c>
      <c r="Q19" s="5">
        <f>SUM(E19:P19)</f>
        <v>5965853.630125015</v>
      </c>
    </row>
    <row r="20" spans="3:17" x14ac:dyDescent="0.35">
      <c r="D20" s="3" t="s">
        <v>502</v>
      </c>
      <c r="E20" s="49">
        <f>'Input Actual2025-26'!E138</f>
        <v>448260</v>
      </c>
      <c r="F20" s="49">
        <f>'Input Actual2025-26'!F138</f>
        <v>649010</v>
      </c>
      <c r="G20" s="49">
        <f>'Input Actual2025-26'!G138</f>
        <v>373890</v>
      </c>
      <c r="H20" s="49">
        <f>'Input Actual2025-26'!H138</f>
        <v>753270</v>
      </c>
      <c r="I20" s="49">
        <f>'Input Actual2025-26'!I138</f>
        <v>299920</v>
      </c>
      <c r="J20" s="49">
        <f>'Input Actual2025-26'!J138</f>
        <v>526310</v>
      </c>
      <c r="K20" s="49">
        <f>'Input Actual2025-26'!K138</f>
        <v>859870</v>
      </c>
      <c r="L20" s="49">
        <f>'Input Actual2025-26'!L138</f>
        <v>716900</v>
      </c>
      <c r="M20" s="49">
        <f>'Input Actual2025-26'!M138</f>
        <v>0</v>
      </c>
      <c r="N20" s="49">
        <f>'Input Actual2025-26'!N138</f>
        <v>0</v>
      </c>
      <c r="O20" s="49">
        <f>'Input Actual2025-26'!O138</f>
        <v>0</v>
      </c>
      <c r="P20" s="49">
        <f>'Input Actual2025-26'!P138</f>
        <v>0</v>
      </c>
      <c r="Q20" s="5">
        <f t="shared" ref="Q20:Q22" si="0">SUM(E20:P20)</f>
        <v>4627430</v>
      </c>
    </row>
    <row r="21" spans="3:17" x14ac:dyDescent="0.35">
      <c r="D21" s="3" t="s">
        <v>424</v>
      </c>
      <c r="E21" s="49">
        <f>'Input Actual2024-25'!E129</f>
        <v>386652</v>
      </c>
      <c r="F21" s="49">
        <f>'Input Actual2024-25'!F129</f>
        <v>543556</v>
      </c>
      <c r="G21" s="49">
        <f>'Input Actual2024-25'!G129</f>
        <v>471275</v>
      </c>
      <c r="H21" s="49">
        <f>'Input Actual2024-25'!H129</f>
        <v>458411</v>
      </c>
      <c r="I21" s="49">
        <f>'Input Actual2024-25'!I129</f>
        <v>449768</v>
      </c>
      <c r="J21" s="49">
        <f>'Input Actual2024-25'!J129</f>
        <v>274677</v>
      </c>
      <c r="K21" s="49">
        <f>'Input Actual2024-25'!K129</f>
        <v>242389</v>
      </c>
      <c r="L21" s="49">
        <f>'Input Actual2024-25'!L129</f>
        <v>283306</v>
      </c>
      <c r="M21" s="49">
        <f>'Input Actual2024-25'!M129</f>
        <v>354468</v>
      </c>
      <c r="N21" s="49">
        <f>'Input Actual2024-25'!N129</f>
        <v>142426</v>
      </c>
      <c r="O21" s="49">
        <f>'Input Actual2024-25'!O129</f>
        <v>239530</v>
      </c>
      <c r="P21" s="49">
        <f>'Input Actual2024-25'!P129</f>
        <v>405940</v>
      </c>
      <c r="Q21" s="5">
        <f t="shared" si="0"/>
        <v>4252398</v>
      </c>
    </row>
    <row r="22" spans="3:17" x14ac:dyDescent="0.35">
      <c r="D22" s="3" t="s">
        <v>7</v>
      </c>
      <c r="E22" s="5">
        <f t="shared" ref="E22:P22" si="1">IF(E20=0,0,E20-E19)</f>
        <v>-19738.203470725333</v>
      </c>
      <c r="F22" s="5">
        <f t="shared" si="1"/>
        <v>173655.63446910674</v>
      </c>
      <c r="G22" s="5">
        <f t="shared" si="1"/>
        <v>-108603.6069720643</v>
      </c>
      <c r="H22" s="5">
        <f t="shared" si="1"/>
        <v>266851.87267730397</v>
      </c>
      <c r="I22" s="5">
        <f t="shared" si="1"/>
        <v>-190582.04090128816</v>
      </c>
      <c r="J22" s="5">
        <f t="shared" si="1"/>
        <v>31949.05686482403</v>
      </c>
      <c r="K22" s="5">
        <f t="shared" si="1"/>
        <v>360543.0094795021</v>
      </c>
      <c r="L22" s="5">
        <f t="shared" si="1"/>
        <v>212942.50512608048</v>
      </c>
      <c r="M22" s="5">
        <f t="shared" si="1"/>
        <v>0</v>
      </c>
      <c r="N22" s="5">
        <f t="shared" si="1"/>
        <v>0</v>
      </c>
      <c r="O22" s="5">
        <f t="shared" si="1"/>
        <v>0</v>
      </c>
      <c r="P22" s="5">
        <f t="shared" si="1"/>
        <v>0</v>
      </c>
      <c r="Q22" s="5">
        <f t="shared" si="0"/>
        <v>727018.22727273952</v>
      </c>
    </row>
    <row r="23" spans="3:17" x14ac:dyDescent="0.35">
      <c r="D23" s="3" t="s">
        <v>43</v>
      </c>
      <c r="E23" s="9">
        <f>E21/E19</f>
        <v>0.82618265867806095</v>
      </c>
      <c r="F23" s="9">
        <f t="shared" ref="F23:P23" si="2">F20/F19</f>
        <v>1.3653182700345283</v>
      </c>
      <c r="G23" s="9">
        <f t="shared" si="2"/>
        <v>0.77491182182989571</v>
      </c>
      <c r="H23" s="9">
        <f t="shared" si="2"/>
        <v>1.5486059373364409</v>
      </c>
      <c r="I23" s="9">
        <f t="shared" si="2"/>
        <v>0.61145515204972989</v>
      </c>
      <c r="J23" s="9">
        <f t="shared" si="2"/>
        <v>1.0646269842075449</v>
      </c>
      <c r="K23" s="9">
        <f t="shared" si="2"/>
        <v>1.7220579226123396</v>
      </c>
      <c r="L23" s="9">
        <f t="shared" si="2"/>
        <v>1.4225406056900782</v>
      </c>
      <c r="M23" s="9">
        <f t="shared" si="2"/>
        <v>0</v>
      </c>
      <c r="N23" s="9">
        <f t="shared" si="2"/>
        <v>0</v>
      </c>
      <c r="O23" s="9">
        <f t="shared" si="2"/>
        <v>0</v>
      </c>
      <c r="P23" s="9">
        <f t="shared" si="2"/>
        <v>0</v>
      </c>
    </row>
    <row r="25" spans="3:17" x14ac:dyDescent="0.35">
      <c r="C25" s="7" t="s">
        <v>3</v>
      </c>
      <c r="E25" s="11">
        <f>E18</f>
        <v>45839</v>
      </c>
      <c r="F25" s="11">
        <f t="shared" ref="F25:P25" si="3">F18</f>
        <v>45870</v>
      </c>
      <c r="G25" s="11">
        <f t="shared" si="3"/>
        <v>45901</v>
      </c>
      <c r="H25" s="11">
        <f t="shared" si="3"/>
        <v>45931</v>
      </c>
      <c r="I25" s="11">
        <f t="shared" si="3"/>
        <v>45962</v>
      </c>
      <c r="J25" s="11">
        <f t="shared" si="3"/>
        <v>45992</v>
      </c>
      <c r="K25" s="11">
        <f t="shared" si="3"/>
        <v>46023</v>
      </c>
      <c r="L25" s="11">
        <f t="shared" si="3"/>
        <v>46054</v>
      </c>
      <c r="M25" s="11">
        <f t="shared" si="3"/>
        <v>46082</v>
      </c>
      <c r="N25" s="11">
        <f t="shared" si="3"/>
        <v>46113</v>
      </c>
      <c r="O25" s="11">
        <f t="shared" si="3"/>
        <v>46143</v>
      </c>
      <c r="P25" s="11">
        <f t="shared" si="3"/>
        <v>46174</v>
      </c>
    </row>
    <row r="26" spans="3:17" x14ac:dyDescent="0.35">
      <c r="D26" s="3" t="str">
        <f>D19</f>
        <v>Budget 2025-26</v>
      </c>
      <c r="E26" s="5">
        <f>SUM($E19:E19)</f>
        <v>467998.20347072533</v>
      </c>
      <c r="F26" s="5">
        <f>SUM($E19:F19)</f>
        <v>943352.56900161854</v>
      </c>
      <c r="G26" s="5">
        <f>SUM($E19:G19)</f>
        <v>1425846.1759736829</v>
      </c>
      <c r="H26" s="5">
        <f>SUM($E19:H19)</f>
        <v>1912264.3032963788</v>
      </c>
      <c r="I26" s="5">
        <f>SUM($E19:I19)</f>
        <v>2402766.3441976672</v>
      </c>
      <c r="J26" s="5">
        <f>SUM($E19:J19)</f>
        <v>2897127.2873328431</v>
      </c>
      <c r="K26" s="5">
        <f>SUM($E19:K19)</f>
        <v>3396454.2778533408</v>
      </c>
      <c r="L26" s="5">
        <f>SUM($E19:L19)</f>
        <v>3900411.7727272604</v>
      </c>
      <c r="M26" s="5">
        <f>SUM($E19:M19)</f>
        <v>4408848.6014701677</v>
      </c>
      <c r="N26" s="5">
        <f>SUM($E19:N19)</f>
        <v>4922570.5655490691</v>
      </c>
      <c r="O26" s="5">
        <f>SUM($E19:O19)</f>
        <v>5441576.2661059778</v>
      </c>
      <c r="P26" s="5">
        <f>SUM($E19:P19)</f>
        <v>5965853.630125015</v>
      </c>
    </row>
    <row r="27" spans="3:17" x14ac:dyDescent="0.35">
      <c r="D27" s="3" t="str">
        <f t="shared" ref="D27:D30" si="4">D20</f>
        <v>Actual 2025-26</v>
      </c>
      <c r="E27" s="5">
        <f>SUM($E20:E20)</f>
        <v>448260</v>
      </c>
      <c r="F27" s="5">
        <f>SUM($E20:F20)</f>
        <v>1097270</v>
      </c>
      <c r="G27" s="5">
        <f>SUM($E20:G20)</f>
        <v>1471160</v>
      </c>
      <c r="H27" s="5">
        <f>SUM($E20:H20)</f>
        <v>2224430</v>
      </c>
      <c r="I27" s="5">
        <f>SUM($E20:I20)</f>
        <v>2524350</v>
      </c>
      <c r="J27" s="5">
        <f>SUM($E20:J20)</f>
        <v>3050660</v>
      </c>
      <c r="K27" s="5">
        <f>SUM($E20:K20)</f>
        <v>3910530</v>
      </c>
      <c r="L27" s="5">
        <f>SUM($E20:L20)</f>
        <v>4627430</v>
      </c>
      <c r="M27" s="5">
        <f>SUM($E20:M20)</f>
        <v>4627430</v>
      </c>
      <c r="N27" s="5">
        <f>SUM($E20:N20)</f>
        <v>4627430</v>
      </c>
      <c r="O27" s="5">
        <f>SUM($E20:O20)</f>
        <v>4627430</v>
      </c>
      <c r="P27" s="5">
        <f>SUM($E20:P20)</f>
        <v>4627430</v>
      </c>
    </row>
    <row r="28" spans="3:17" x14ac:dyDescent="0.35">
      <c r="D28" s="3" t="str">
        <f t="shared" si="4"/>
        <v>Actual 2024-25</v>
      </c>
      <c r="E28" s="5">
        <f>SUM($E21:E21)</f>
        <v>386652</v>
      </c>
      <c r="F28" s="5">
        <f>SUM($E21:F21)</f>
        <v>930208</v>
      </c>
      <c r="G28" s="5">
        <f>SUM($E21:G21)</f>
        <v>1401483</v>
      </c>
      <c r="H28" s="5">
        <f>SUM($E21:H21)</f>
        <v>1859894</v>
      </c>
      <c r="I28" s="5">
        <f>SUM($E21:I21)</f>
        <v>2309662</v>
      </c>
      <c r="J28" s="5">
        <f>SUM($E21:J21)</f>
        <v>2584339</v>
      </c>
      <c r="K28" s="5">
        <f>SUM($E21:K21)</f>
        <v>2826728</v>
      </c>
      <c r="L28" s="5">
        <f>SUM($E21:L21)</f>
        <v>3110034</v>
      </c>
      <c r="M28" s="5">
        <f>SUM($E21:M21)</f>
        <v>3464502</v>
      </c>
      <c r="N28" s="5">
        <f>SUM($E21:N21)</f>
        <v>3606928</v>
      </c>
      <c r="O28" s="5">
        <f>SUM($E21:O21)</f>
        <v>3846458</v>
      </c>
      <c r="P28" s="5">
        <f>SUM($E21:P21)</f>
        <v>4252398</v>
      </c>
    </row>
    <row r="29" spans="3:17" x14ac:dyDescent="0.35">
      <c r="D29" s="3" t="str">
        <f t="shared" si="4"/>
        <v>Difference</v>
      </c>
      <c r="E29" s="5">
        <f>SUM($E22:E22)</f>
        <v>-19738.203470725333</v>
      </c>
      <c r="F29" s="5">
        <f>SUM($E22:F22)</f>
        <v>153917.4309983814</v>
      </c>
      <c r="G29" s="5">
        <f>SUM($E22:G22)</f>
        <v>45313.824026317103</v>
      </c>
      <c r="H29" s="5">
        <f>SUM($E22:H22)</f>
        <v>312165.69670362107</v>
      </c>
      <c r="I29" s="5">
        <f>SUM($E22:I22)</f>
        <v>121583.65580233291</v>
      </c>
      <c r="J29" s="5">
        <f>SUM($E22:J22)</f>
        <v>153532.71266715694</v>
      </c>
      <c r="K29" s="5">
        <f>SUM($E22:K22)</f>
        <v>514075.72214665904</v>
      </c>
      <c r="L29" s="5">
        <f>SUM($E22:L22)</f>
        <v>727018.22727273952</v>
      </c>
      <c r="M29" s="5">
        <f>SUM($E22:M22)</f>
        <v>727018.22727273952</v>
      </c>
      <c r="N29" s="5">
        <f>SUM($E22:N22)</f>
        <v>727018.22727273952</v>
      </c>
      <c r="O29" s="5">
        <f>SUM($E22:O22)</f>
        <v>727018.22727273952</v>
      </c>
      <c r="P29" s="5">
        <f>SUM($E22:P22)</f>
        <v>727018.22727273952</v>
      </c>
    </row>
    <row r="30" spans="3:17" x14ac:dyDescent="0.35">
      <c r="D30" s="3" t="str">
        <f t="shared" si="4"/>
        <v>Realisation</v>
      </c>
      <c r="E30" s="9">
        <f>E28/E26</f>
        <v>0.82618265867806095</v>
      </c>
      <c r="F30" s="9">
        <f t="shared" ref="F30:P30" si="5">F27/F26</f>
        <v>1.1631600273917497</v>
      </c>
      <c r="G30" s="9">
        <f t="shared" si="5"/>
        <v>1.0317803033664366</v>
      </c>
      <c r="H30" s="9">
        <f t="shared" si="5"/>
        <v>1.163244011910648</v>
      </c>
      <c r="I30" s="9">
        <f t="shared" si="5"/>
        <v>1.0506015310627019</v>
      </c>
      <c r="J30" s="9">
        <f t="shared" si="5"/>
        <v>1.0529948108729812</v>
      </c>
      <c r="K30" s="9">
        <f t="shared" si="5"/>
        <v>1.1513565854540431</v>
      </c>
      <c r="L30" s="9">
        <f t="shared" si="5"/>
        <v>1.1863952499467489</v>
      </c>
      <c r="M30" s="9">
        <f t="shared" si="5"/>
        <v>1.0495778871737498</v>
      </c>
      <c r="N30" s="9">
        <f t="shared" si="5"/>
        <v>0.94004340585493495</v>
      </c>
      <c r="O30" s="9">
        <f t="shared" si="5"/>
        <v>0.85038411182857765</v>
      </c>
      <c r="P30" s="9">
        <f t="shared" si="5"/>
        <v>0.77565262021070269</v>
      </c>
    </row>
  </sheetData>
  <mergeCells count="2">
    <mergeCell ref="J4:Q8"/>
    <mergeCell ref="J10:Q15"/>
  </mergeCells>
  <conditionalFormatting sqref="C3">
    <cfRule type="expression" dxfId="197" priority="2">
      <formula>S4&lt;S6</formula>
    </cfRule>
  </conditionalFormatting>
  <conditionalFormatting sqref="C5">
    <cfRule type="expression" dxfId="196" priority="3">
      <formula>S4&gt;=S5</formula>
    </cfRule>
  </conditionalFormatting>
  <conditionalFormatting sqref="C4">
    <cfRule type="expression" dxfId="195" priority="1">
      <formula>AND(S4&gt;=S6,S4&lt;S5)</formula>
    </cfRule>
  </conditionalFormatting>
  <hyperlinks>
    <hyperlink ref="L1" location="Dashboard!A1" display="Dashboard"/>
  </hyperlinks>
  <pageMargins left="0.7" right="0.7" top="0.75" bottom="0.75" header="0.3" footer="0.3"/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762305" r:id="rId3" name="Spinner 1">
              <controlPr defaultSize="0" autoPict="0">
                <anchor moveWithCells="1" sizeWithCells="1">
                  <from>
                    <xdr:col>9</xdr:col>
                    <xdr:colOff>19050</xdr:colOff>
                    <xdr:row>0</xdr:row>
                    <xdr:rowOff>38100</xdr:rowOff>
                  </from>
                  <to>
                    <xdr:col>9</xdr:col>
                    <xdr:colOff>400050</xdr:colOff>
                    <xdr:row>1</xdr:row>
                    <xdr:rowOff>152400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1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105">
    <tabColor rgb="FFFFC000"/>
  </sheetPr>
  <dimension ref="A1:S30"/>
  <sheetViews>
    <sheetView zoomScale="90" zoomScaleNormal="90" workbookViewId="0">
      <selection activeCell="L1" sqref="L1"/>
    </sheetView>
  </sheetViews>
  <sheetFormatPr defaultColWidth="9.1796875" defaultRowHeight="14.5" x14ac:dyDescent="0.35"/>
  <cols>
    <col min="1" max="1" width="9.1796875" style="3"/>
    <col min="2" max="2" width="5.7265625" style="3" bestFit="1" customWidth="1"/>
    <col min="3" max="3" width="6.26953125" style="3" customWidth="1"/>
    <col min="4" max="4" width="21.26953125" style="3" bestFit="1" customWidth="1"/>
    <col min="5" max="16" width="11.1796875" style="3" customWidth="1"/>
    <col min="17" max="17" width="12" style="3" bestFit="1" customWidth="1"/>
    <col min="18" max="18" width="9.1796875" style="3" customWidth="1"/>
    <col min="19" max="16384" width="9.1796875" style="3"/>
  </cols>
  <sheetData>
    <row r="1" spans="1:19" ht="21" x14ac:dyDescent="0.5">
      <c r="A1" s="4" t="s">
        <v>4</v>
      </c>
      <c r="B1" s="4">
        <f>Dashboard!A142</f>
        <v>3</v>
      </c>
      <c r="C1" s="4" t="str">
        <f>Dashboard!B142</f>
        <v>MAI-MAHIU - WATER(KES)</v>
      </c>
      <c r="D1" s="4"/>
      <c r="G1" s="3" t="s">
        <v>9</v>
      </c>
      <c r="I1" s="12">
        <f>INDEX($E$18:$P$18,Actual_month)</f>
        <v>46054</v>
      </c>
      <c r="L1" s="16" t="s">
        <v>19</v>
      </c>
      <c r="R1" s="5"/>
    </row>
    <row r="2" spans="1:19" x14ac:dyDescent="0.35">
      <c r="A2" s="3" t="s">
        <v>13</v>
      </c>
      <c r="C2" s="3" t="s">
        <v>27</v>
      </c>
      <c r="R2" s="6"/>
    </row>
    <row r="3" spans="1:19" ht="25.5" customHeight="1" thickBot="1" x14ac:dyDescent="0.4">
      <c r="C3" s="1" t="s">
        <v>5</v>
      </c>
      <c r="E3" s="10"/>
      <c r="F3" s="10"/>
      <c r="G3" s="10"/>
      <c r="H3" s="10"/>
      <c r="I3" s="10"/>
      <c r="J3" s="3" t="s">
        <v>6</v>
      </c>
      <c r="K3" s="10"/>
      <c r="M3" s="10"/>
      <c r="N3" s="10"/>
      <c r="O3" s="10"/>
      <c r="P3" s="10"/>
    </row>
    <row r="4" spans="1:19" ht="25.5" customHeight="1" x14ac:dyDescent="0.35">
      <c r="C4" s="1" t="s">
        <v>5</v>
      </c>
      <c r="E4" s="10"/>
      <c r="F4" s="10"/>
      <c r="G4" s="10"/>
      <c r="H4" s="10"/>
      <c r="I4" s="10"/>
      <c r="J4" s="401"/>
      <c r="K4" s="402"/>
      <c r="L4" s="402"/>
      <c r="M4" s="402"/>
      <c r="N4" s="402"/>
      <c r="O4" s="402"/>
      <c r="P4" s="402"/>
      <c r="Q4" s="403"/>
      <c r="R4" s="3" t="s">
        <v>22</v>
      </c>
      <c r="S4" s="5">
        <f>INDEX(E27:P27,Actual_month)</f>
        <v>14017430</v>
      </c>
    </row>
    <row r="5" spans="1:19" ht="25.5" customHeight="1" x14ac:dyDescent="0.35">
      <c r="C5" s="1" t="s">
        <v>5</v>
      </c>
      <c r="E5" s="10"/>
      <c r="F5" s="10"/>
      <c r="G5" s="10"/>
      <c r="H5" s="10"/>
      <c r="I5" s="10"/>
      <c r="J5" s="404"/>
      <c r="K5" s="405"/>
      <c r="L5" s="405"/>
      <c r="M5" s="405"/>
      <c r="N5" s="405"/>
      <c r="O5" s="405"/>
      <c r="P5" s="405"/>
      <c r="Q5" s="406"/>
      <c r="R5" s="3" t="s">
        <v>23</v>
      </c>
      <c r="S5" s="5">
        <f>INDEX(E26:P26,Actual_month)</f>
        <v>12969796.549128205</v>
      </c>
    </row>
    <row r="6" spans="1:19" x14ac:dyDescent="0.35">
      <c r="J6" s="404"/>
      <c r="K6" s="405"/>
      <c r="L6" s="405"/>
      <c r="M6" s="405"/>
      <c r="N6" s="405"/>
      <c r="O6" s="405"/>
      <c r="P6" s="405"/>
      <c r="Q6" s="406"/>
      <c r="R6" s="6">
        <v>0.9</v>
      </c>
      <c r="S6" s="5">
        <f>+S5*R6</f>
        <v>11672816.894215384</v>
      </c>
    </row>
    <row r="7" spans="1:19" x14ac:dyDescent="0.35">
      <c r="J7" s="404"/>
      <c r="K7" s="405"/>
      <c r="L7" s="405"/>
      <c r="M7" s="405"/>
      <c r="N7" s="405"/>
      <c r="O7" s="405"/>
      <c r="P7" s="405"/>
      <c r="Q7" s="406"/>
    </row>
    <row r="8" spans="1:19" ht="15" thickBot="1" x14ac:dyDescent="0.4">
      <c r="J8" s="407"/>
      <c r="K8" s="408"/>
      <c r="L8" s="408"/>
      <c r="M8" s="408"/>
      <c r="N8" s="408"/>
      <c r="O8" s="408"/>
      <c r="P8" s="408"/>
      <c r="Q8" s="409"/>
    </row>
    <row r="9" spans="1:19" ht="15" thickBot="1" x14ac:dyDescent="0.4">
      <c r="J9" s="3" t="s">
        <v>12</v>
      </c>
    </row>
    <row r="10" spans="1:19" x14ac:dyDescent="0.35">
      <c r="J10" s="401"/>
      <c r="K10" s="402"/>
      <c r="L10" s="402"/>
      <c r="M10" s="402"/>
      <c r="N10" s="402"/>
      <c r="O10" s="402"/>
      <c r="P10" s="402"/>
      <c r="Q10" s="403"/>
    </row>
    <row r="11" spans="1:19" x14ac:dyDescent="0.35">
      <c r="J11" s="404"/>
      <c r="K11" s="405"/>
      <c r="L11" s="405"/>
      <c r="M11" s="405"/>
      <c r="N11" s="405"/>
      <c r="O11" s="405"/>
      <c r="P11" s="405"/>
      <c r="Q11" s="406"/>
    </row>
    <row r="12" spans="1:19" x14ac:dyDescent="0.35">
      <c r="J12" s="404"/>
      <c r="K12" s="405"/>
      <c r="L12" s="405"/>
      <c r="M12" s="405"/>
      <c r="N12" s="405"/>
      <c r="O12" s="405"/>
      <c r="P12" s="405"/>
      <c r="Q12" s="406"/>
    </row>
    <row r="13" spans="1:19" x14ac:dyDescent="0.35">
      <c r="J13" s="404"/>
      <c r="K13" s="405"/>
      <c r="L13" s="405"/>
      <c r="M13" s="405"/>
      <c r="N13" s="405"/>
      <c r="O13" s="405"/>
      <c r="P13" s="405"/>
      <c r="Q13" s="406"/>
    </row>
    <row r="14" spans="1:19" x14ac:dyDescent="0.35">
      <c r="J14" s="404"/>
      <c r="K14" s="405"/>
      <c r="L14" s="405"/>
      <c r="M14" s="405"/>
      <c r="N14" s="405"/>
      <c r="O14" s="405"/>
      <c r="P14" s="405"/>
      <c r="Q14" s="406"/>
    </row>
    <row r="15" spans="1:19" ht="15" thickBot="1" x14ac:dyDescent="0.4">
      <c r="J15" s="407"/>
      <c r="K15" s="408"/>
      <c r="L15" s="408"/>
      <c r="M15" s="408"/>
      <c r="N15" s="408"/>
      <c r="O15" s="408"/>
      <c r="P15" s="408"/>
      <c r="Q15" s="409"/>
    </row>
    <row r="18" spans="3:17" x14ac:dyDescent="0.35">
      <c r="C18" s="7" t="s">
        <v>8</v>
      </c>
      <c r="E18" s="11">
        <v>45839</v>
      </c>
      <c r="F18" s="11">
        <v>45870</v>
      </c>
      <c r="G18" s="11">
        <v>45901</v>
      </c>
      <c r="H18" s="11">
        <v>45931</v>
      </c>
      <c r="I18" s="11">
        <v>45962</v>
      </c>
      <c r="J18" s="11">
        <v>45992</v>
      </c>
      <c r="K18" s="11">
        <v>46023</v>
      </c>
      <c r="L18" s="11">
        <v>46054</v>
      </c>
      <c r="M18" s="11">
        <v>46082</v>
      </c>
      <c r="N18" s="11">
        <v>46113</v>
      </c>
      <c r="O18" s="11">
        <v>46143</v>
      </c>
      <c r="P18" s="11">
        <v>46174</v>
      </c>
      <c r="Q18" s="8" t="s">
        <v>0</v>
      </c>
    </row>
    <row r="19" spans="3:17" x14ac:dyDescent="0.35">
      <c r="D19" s="3" t="s">
        <v>501</v>
      </c>
      <c r="E19" s="49">
        <f>'budget 2025-26'!D134</f>
        <v>1188819.1671533906</v>
      </c>
      <c r="F19" s="49">
        <f>'budget 2025-26'!E134</f>
        <v>1287658.6967341241</v>
      </c>
      <c r="G19" s="49">
        <f>'budget 2025-26'!F134</f>
        <v>1381980.8877410155</v>
      </c>
      <c r="H19" s="49">
        <f>'budget 2025-26'!G134</f>
        <v>1537711.06431137</v>
      </c>
      <c r="I19" s="49">
        <f>'budget 2025-26'!H134</f>
        <v>1692052.5525589893</v>
      </c>
      <c r="J19" s="49">
        <f>'budget 2025-26'!I134</f>
        <v>1839950.3643511266</v>
      </c>
      <c r="K19" s="49">
        <f>'budget 2025-26'!J134</f>
        <v>1961276.7905317671</v>
      </c>
      <c r="L19" s="49">
        <f>'budget 2025-26'!K134</f>
        <v>2080347.025746421</v>
      </c>
      <c r="M19" s="49">
        <f>'budget 2025-26'!L134</f>
        <v>2194013.8039731942</v>
      </c>
      <c r="N19" s="49">
        <f>'budget 2025-26'!M134</f>
        <v>2277753.810654202</v>
      </c>
      <c r="O19" s="49">
        <f>'budget 2025-26'!N134</f>
        <v>2361082.3802054571</v>
      </c>
      <c r="P19" s="49">
        <f>'budget 2025-26'!O134</f>
        <v>2443965.4378791125</v>
      </c>
      <c r="Q19" s="5">
        <f>SUM(E19:P19)</f>
        <v>22246611.981840167</v>
      </c>
    </row>
    <row r="20" spans="3:17" x14ac:dyDescent="0.35">
      <c r="D20" s="3" t="s">
        <v>502</v>
      </c>
      <c r="E20" s="49">
        <f>'Input Actual2025-26'!E137</f>
        <v>1547420</v>
      </c>
      <c r="F20" s="49">
        <f>'Input Actual2025-26'!F137</f>
        <v>2391500</v>
      </c>
      <c r="G20" s="49">
        <f>'Input Actual2025-26'!G137</f>
        <v>1468400</v>
      </c>
      <c r="H20" s="49">
        <f>'Input Actual2025-26'!H137</f>
        <v>2056530</v>
      </c>
      <c r="I20" s="49">
        <f>'Input Actual2025-26'!I137</f>
        <v>1434160</v>
      </c>
      <c r="J20" s="49">
        <f>'Input Actual2025-26'!J137</f>
        <v>1107120</v>
      </c>
      <c r="K20" s="49">
        <f>'Input Actual2025-26'!K137</f>
        <v>1974000</v>
      </c>
      <c r="L20" s="49">
        <f>'Input Actual2025-26'!L137</f>
        <v>2038300</v>
      </c>
      <c r="M20" s="49">
        <f>'Input Actual2025-26'!M137</f>
        <v>0</v>
      </c>
      <c r="N20" s="49">
        <f>'Input Actual2025-26'!N137</f>
        <v>0</v>
      </c>
      <c r="O20" s="49">
        <f>'Input Actual2025-26'!O137</f>
        <v>0</v>
      </c>
      <c r="P20" s="49">
        <f>'Input Actual2025-26'!P137</f>
        <v>0</v>
      </c>
      <c r="Q20" s="5">
        <f t="shared" ref="Q20:Q22" si="0">SUM(E20:P20)</f>
        <v>14017430</v>
      </c>
    </row>
    <row r="21" spans="3:17" x14ac:dyDescent="0.35">
      <c r="D21" s="3" t="s">
        <v>424</v>
      </c>
      <c r="E21" s="49">
        <f>'Input Actual2024-25'!E128</f>
        <v>349307</v>
      </c>
      <c r="F21" s="49">
        <f>'Input Actual2024-25'!F128</f>
        <v>683754</v>
      </c>
      <c r="G21" s="49">
        <f>'Input Actual2024-25'!G128</f>
        <v>857267</v>
      </c>
      <c r="H21" s="49">
        <f>'Input Actual2024-25'!H128</f>
        <v>705444</v>
      </c>
      <c r="I21" s="49">
        <f>'Input Actual2024-25'!I128</f>
        <v>1374541</v>
      </c>
      <c r="J21" s="49">
        <f>'Input Actual2024-25'!J128</f>
        <v>607641</v>
      </c>
      <c r="K21" s="49">
        <f>'Input Actual2024-25'!K128</f>
        <v>889264</v>
      </c>
      <c r="L21" s="49">
        <f>'Input Actual2024-25'!L128</f>
        <v>806798</v>
      </c>
      <c r="M21" s="49">
        <f>'Input Actual2024-25'!M128</f>
        <v>1087868</v>
      </c>
      <c r="N21" s="49">
        <f>'Input Actual2024-25'!N128</f>
        <v>586528</v>
      </c>
      <c r="O21" s="49">
        <f>'Input Actual2024-25'!O128</f>
        <v>1385820</v>
      </c>
      <c r="P21" s="49">
        <f>'Input Actual2024-25'!P128</f>
        <v>1266970</v>
      </c>
      <c r="Q21" s="5">
        <f t="shared" si="0"/>
        <v>10601202</v>
      </c>
    </row>
    <row r="22" spans="3:17" x14ac:dyDescent="0.35">
      <c r="D22" s="3" t="s">
        <v>7</v>
      </c>
      <c r="E22" s="5">
        <f t="shared" ref="E22:P22" si="1">IF(E20=0,0,E20-E19)</f>
        <v>358600.83284660941</v>
      </c>
      <c r="F22" s="5">
        <f t="shared" si="1"/>
        <v>1103841.3032658759</v>
      </c>
      <c r="G22" s="5">
        <f t="shared" si="1"/>
        <v>86419.112258984474</v>
      </c>
      <c r="H22" s="5">
        <f t="shared" si="1"/>
        <v>518818.93568862998</v>
      </c>
      <c r="I22" s="5">
        <f t="shared" si="1"/>
        <v>-257892.55255898926</v>
      </c>
      <c r="J22" s="5">
        <f t="shared" si="1"/>
        <v>-732830.3643511266</v>
      </c>
      <c r="K22" s="5">
        <f t="shared" si="1"/>
        <v>12723.209468232933</v>
      </c>
      <c r="L22" s="5">
        <f t="shared" si="1"/>
        <v>-42047.025746420957</v>
      </c>
      <c r="M22" s="5">
        <f t="shared" si="1"/>
        <v>0</v>
      </c>
      <c r="N22" s="5">
        <f t="shared" si="1"/>
        <v>0</v>
      </c>
      <c r="O22" s="5">
        <f t="shared" si="1"/>
        <v>0</v>
      </c>
      <c r="P22" s="5">
        <f t="shared" si="1"/>
        <v>0</v>
      </c>
      <c r="Q22" s="5">
        <f t="shared" si="0"/>
        <v>1047633.4508717959</v>
      </c>
    </row>
    <row r="23" spans="3:17" x14ac:dyDescent="0.35">
      <c r="D23" s="3" t="s">
        <v>43</v>
      </c>
      <c r="E23" s="9">
        <f>E21/E19</f>
        <v>0.29382685748279974</v>
      </c>
      <c r="F23" s="9">
        <f t="shared" ref="F23:P23" si="2">F20/F19</f>
        <v>1.8572468046583599</v>
      </c>
      <c r="G23" s="9">
        <f t="shared" si="2"/>
        <v>1.0625327839375875</v>
      </c>
      <c r="H23" s="9">
        <f t="shared" si="2"/>
        <v>1.3373968931679447</v>
      </c>
      <c r="I23" s="9">
        <f t="shared" si="2"/>
        <v>0.84758596760546034</v>
      </c>
      <c r="J23" s="9">
        <f t="shared" si="2"/>
        <v>0.60171188389119123</v>
      </c>
      <c r="K23" s="9">
        <f t="shared" si="2"/>
        <v>1.0064872074811957</v>
      </c>
      <c r="L23" s="9">
        <f t="shared" si="2"/>
        <v>0.97978845585565966</v>
      </c>
      <c r="M23" s="9">
        <f t="shared" si="2"/>
        <v>0</v>
      </c>
      <c r="N23" s="9">
        <f t="shared" si="2"/>
        <v>0</v>
      </c>
      <c r="O23" s="9">
        <f t="shared" si="2"/>
        <v>0</v>
      </c>
      <c r="P23" s="9">
        <f t="shared" si="2"/>
        <v>0</v>
      </c>
    </row>
    <row r="25" spans="3:17" x14ac:dyDescent="0.35">
      <c r="C25" s="7" t="s">
        <v>3</v>
      </c>
      <c r="E25" s="11">
        <f>E18</f>
        <v>45839</v>
      </c>
      <c r="F25" s="11">
        <f t="shared" ref="F25:P25" si="3">F18</f>
        <v>45870</v>
      </c>
      <c r="G25" s="11">
        <f t="shared" si="3"/>
        <v>45901</v>
      </c>
      <c r="H25" s="11">
        <f t="shared" si="3"/>
        <v>45931</v>
      </c>
      <c r="I25" s="11">
        <f t="shared" si="3"/>
        <v>45962</v>
      </c>
      <c r="J25" s="11">
        <f t="shared" si="3"/>
        <v>45992</v>
      </c>
      <c r="K25" s="11">
        <f t="shared" si="3"/>
        <v>46023</v>
      </c>
      <c r="L25" s="11">
        <f t="shared" si="3"/>
        <v>46054</v>
      </c>
      <c r="M25" s="11">
        <f t="shared" si="3"/>
        <v>46082</v>
      </c>
      <c r="N25" s="11">
        <f t="shared" si="3"/>
        <v>46113</v>
      </c>
      <c r="O25" s="11">
        <f t="shared" si="3"/>
        <v>46143</v>
      </c>
      <c r="P25" s="11">
        <f t="shared" si="3"/>
        <v>46174</v>
      </c>
    </row>
    <row r="26" spans="3:17" x14ac:dyDescent="0.35">
      <c r="D26" s="3" t="str">
        <f>D19</f>
        <v>Budget 2025-26</v>
      </c>
      <c r="E26" s="5">
        <f>SUM($E19:E19)</f>
        <v>1188819.1671533906</v>
      </c>
      <c r="F26" s="5">
        <f>SUM($E19:F19)</f>
        <v>2476477.8638875149</v>
      </c>
      <c r="G26" s="5">
        <f>SUM($E19:G19)</f>
        <v>3858458.7516285302</v>
      </c>
      <c r="H26" s="5">
        <f>SUM($E19:H19)</f>
        <v>5396169.8159399005</v>
      </c>
      <c r="I26" s="5">
        <f>SUM($E19:I19)</f>
        <v>7088222.3684988897</v>
      </c>
      <c r="J26" s="5">
        <f>SUM($E19:J19)</f>
        <v>8928172.732850017</v>
      </c>
      <c r="K26" s="5">
        <f>SUM($E19:K19)</f>
        <v>10889449.523381785</v>
      </c>
      <c r="L26" s="5">
        <f>SUM($E19:L19)</f>
        <v>12969796.549128205</v>
      </c>
      <c r="M26" s="5">
        <f>SUM($E19:M19)</f>
        <v>15163810.353101399</v>
      </c>
      <c r="N26" s="5">
        <f>SUM($E19:N19)</f>
        <v>17441564.163755599</v>
      </c>
      <c r="O26" s="5">
        <f>SUM($E19:O19)</f>
        <v>19802646.543961056</v>
      </c>
      <c r="P26" s="5">
        <f>SUM($E19:P19)</f>
        <v>22246611.981840167</v>
      </c>
    </row>
    <row r="27" spans="3:17" x14ac:dyDescent="0.35">
      <c r="D27" s="3" t="str">
        <f t="shared" ref="D27:D30" si="4">D20</f>
        <v>Actual 2025-26</v>
      </c>
      <c r="E27" s="5">
        <f>SUM($E20:E20)</f>
        <v>1547420</v>
      </c>
      <c r="F27" s="5">
        <f>SUM($E20:F20)</f>
        <v>3938920</v>
      </c>
      <c r="G27" s="5">
        <f>SUM($E20:G20)</f>
        <v>5407320</v>
      </c>
      <c r="H27" s="5">
        <f>SUM($E20:H20)</f>
        <v>7463850</v>
      </c>
      <c r="I27" s="5">
        <f>SUM($E20:I20)</f>
        <v>8898010</v>
      </c>
      <c r="J27" s="5">
        <f>SUM($E20:J20)</f>
        <v>10005130</v>
      </c>
      <c r="K27" s="5">
        <f>SUM($E20:K20)</f>
        <v>11979130</v>
      </c>
      <c r="L27" s="5">
        <f>SUM($E20:L20)</f>
        <v>14017430</v>
      </c>
      <c r="M27" s="5">
        <f>SUM($E20:M20)</f>
        <v>14017430</v>
      </c>
      <c r="N27" s="5">
        <f>SUM($E20:N20)</f>
        <v>14017430</v>
      </c>
      <c r="O27" s="5">
        <f>SUM($E20:O20)</f>
        <v>14017430</v>
      </c>
      <c r="P27" s="5">
        <f>SUM($E20:P20)</f>
        <v>14017430</v>
      </c>
    </row>
    <row r="28" spans="3:17" x14ac:dyDescent="0.35">
      <c r="D28" s="3" t="str">
        <f t="shared" si="4"/>
        <v>Actual 2024-25</v>
      </c>
      <c r="E28" s="5">
        <f>SUM($E21:E21)</f>
        <v>349307</v>
      </c>
      <c r="F28" s="5">
        <f>SUM($E21:F21)</f>
        <v>1033061</v>
      </c>
      <c r="G28" s="5">
        <f>SUM($E21:G21)</f>
        <v>1890328</v>
      </c>
      <c r="H28" s="5">
        <f>SUM($E21:H21)</f>
        <v>2595772</v>
      </c>
      <c r="I28" s="5">
        <f>SUM($E21:I21)</f>
        <v>3970313</v>
      </c>
      <c r="J28" s="5">
        <f>SUM($E21:J21)</f>
        <v>4577954</v>
      </c>
      <c r="K28" s="5">
        <f>SUM($E21:K21)</f>
        <v>5467218</v>
      </c>
      <c r="L28" s="5">
        <f>SUM($E21:L21)</f>
        <v>6274016</v>
      </c>
      <c r="M28" s="5">
        <f>SUM($E21:M21)</f>
        <v>7361884</v>
      </c>
      <c r="N28" s="5">
        <f>SUM($E21:N21)</f>
        <v>7948412</v>
      </c>
      <c r="O28" s="5">
        <f>SUM($E21:O21)</f>
        <v>9334232</v>
      </c>
      <c r="P28" s="5">
        <f>SUM($E21:P21)</f>
        <v>10601202</v>
      </c>
    </row>
    <row r="29" spans="3:17" x14ac:dyDescent="0.35">
      <c r="D29" s="3" t="str">
        <f t="shared" si="4"/>
        <v>Difference</v>
      </c>
      <c r="E29" s="5">
        <f>SUM($E22:E22)</f>
        <v>358600.83284660941</v>
      </c>
      <c r="F29" s="5">
        <f>SUM($E22:F22)</f>
        <v>1462442.1361124853</v>
      </c>
      <c r="G29" s="5">
        <f>SUM($E22:G22)</f>
        <v>1548861.2483714698</v>
      </c>
      <c r="H29" s="5">
        <f>SUM($E22:H22)</f>
        <v>2067680.1840600998</v>
      </c>
      <c r="I29" s="5">
        <f>SUM($E22:I22)</f>
        <v>1809787.6315011105</v>
      </c>
      <c r="J29" s="5">
        <f>SUM($E22:J22)</f>
        <v>1076957.2671499839</v>
      </c>
      <c r="K29" s="5">
        <f>SUM($E22:K22)</f>
        <v>1089680.4766182168</v>
      </c>
      <c r="L29" s="5">
        <f>SUM($E22:L22)</f>
        <v>1047633.4508717959</v>
      </c>
      <c r="M29" s="5">
        <f>SUM($E22:M22)</f>
        <v>1047633.4508717959</v>
      </c>
      <c r="N29" s="5">
        <f>SUM($E22:N22)</f>
        <v>1047633.4508717959</v>
      </c>
      <c r="O29" s="5">
        <f>SUM($E22:O22)</f>
        <v>1047633.4508717959</v>
      </c>
      <c r="P29" s="5">
        <f>SUM($E22:P22)</f>
        <v>1047633.4508717959</v>
      </c>
    </row>
    <row r="30" spans="3:17" x14ac:dyDescent="0.35">
      <c r="D30" s="3" t="str">
        <f t="shared" si="4"/>
        <v>Realisation</v>
      </c>
      <c r="E30" s="9">
        <f>E28/E26</f>
        <v>0.29382685748279974</v>
      </c>
      <c r="F30" s="9">
        <f t="shared" ref="F30:P30" si="5">F27/F26</f>
        <v>1.5905330943749196</v>
      </c>
      <c r="G30" s="9">
        <f t="shared" si="5"/>
        <v>1.4014196724839278</v>
      </c>
      <c r="H30" s="9">
        <f t="shared" si="5"/>
        <v>1.383175521636165</v>
      </c>
      <c r="I30" s="9">
        <f t="shared" si="5"/>
        <v>1.255323201984192</v>
      </c>
      <c r="J30" s="9">
        <f t="shared" si="5"/>
        <v>1.1206246002821454</v>
      </c>
      <c r="K30" s="9">
        <f t="shared" si="5"/>
        <v>1.100067544670505</v>
      </c>
      <c r="L30" s="9">
        <f t="shared" si="5"/>
        <v>1.0807748561747652</v>
      </c>
      <c r="M30" s="9">
        <f t="shared" si="5"/>
        <v>0.92440024463462556</v>
      </c>
      <c r="N30" s="9">
        <f t="shared" si="5"/>
        <v>0.80367963953192267</v>
      </c>
      <c r="O30" s="9">
        <f t="shared" si="5"/>
        <v>0.70785639529958211</v>
      </c>
      <c r="P30" s="9">
        <f t="shared" si="5"/>
        <v>0.63009279846487998</v>
      </c>
    </row>
  </sheetData>
  <mergeCells count="2">
    <mergeCell ref="J4:Q8"/>
    <mergeCell ref="J10:Q15"/>
  </mergeCells>
  <conditionalFormatting sqref="C3">
    <cfRule type="expression" dxfId="194" priority="2">
      <formula>S4&lt;S6</formula>
    </cfRule>
  </conditionalFormatting>
  <conditionalFormatting sqref="C5">
    <cfRule type="expression" dxfId="193" priority="3">
      <formula>S4&gt;=S5</formula>
    </cfRule>
  </conditionalFormatting>
  <conditionalFormatting sqref="C4">
    <cfRule type="expression" dxfId="192" priority="1">
      <formula>AND(S4&gt;=S6,S4&lt;S5)</formula>
    </cfRule>
  </conditionalFormatting>
  <hyperlinks>
    <hyperlink ref="L1" location="Dashboard!A1" display="Dashboard"/>
  </hyperlinks>
  <pageMargins left="0.7" right="0.7" top="0.75" bottom="0.75" header="0.3" footer="0.3"/>
  <pageSetup orientation="portrait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41409" r:id="rId4" name="Spinner 1">
              <controlPr defaultSize="0" autoPict="0">
                <anchor moveWithCells="1" sizeWithCells="1">
                  <from>
                    <xdr:col>9</xdr:col>
                    <xdr:colOff>19050</xdr:colOff>
                    <xdr:row>0</xdr:row>
                    <xdr:rowOff>38100</xdr:rowOff>
                  </from>
                  <to>
                    <xdr:col>9</xdr:col>
                    <xdr:colOff>400050</xdr:colOff>
                    <xdr:row>1</xdr:row>
                    <xdr:rowOff>152400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1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FFC000"/>
  </sheetPr>
  <dimension ref="A1:S30"/>
  <sheetViews>
    <sheetView workbookViewId="0">
      <selection activeCell="L1" sqref="L1"/>
    </sheetView>
  </sheetViews>
  <sheetFormatPr defaultColWidth="9.1796875" defaultRowHeight="14.5" x14ac:dyDescent="0.35"/>
  <cols>
    <col min="1" max="1" width="9.1796875" style="3"/>
    <col min="2" max="2" width="5.7265625" style="3" bestFit="1" customWidth="1"/>
    <col min="3" max="3" width="6.26953125" style="3" customWidth="1"/>
    <col min="4" max="4" width="21.26953125" style="3" bestFit="1" customWidth="1"/>
    <col min="5" max="16" width="11.1796875" style="3" customWidth="1"/>
    <col min="17" max="17" width="12" style="3" bestFit="1" customWidth="1"/>
    <col min="18" max="18" width="9.1796875" style="3" customWidth="1"/>
    <col min="19" max="16384" width="9.1796875" style="3"/>
  </cols>
  <sheetData>
    <row r="1" spans="1:19" ht="21" x14ac:dyDescent="0.5">
      <c r="A1" s="4" t="s">
        <v>4</v>
      </c>
      <c r="B1" s="4">
        <f>Dashboard!A144</f>
        <v>0</v>
      </c>
      <c r="C1" s="4" t="str">
        <f>Dashboard!B148</f>
        <v>TOTAL  - WATER(KES) EASTERN REGION</v>
      </c>
      <c r="D1" s="4"/>
      <c r="G1" s="3" t="s">
        <v>9</v>
      </c>
      <c r="I1" s="12">
        <f>INDEX($E$18:$P$18,Actual_month)</f>
        <v>46054</v>
      </c>
      <c r="L1" s="16" t="s">
        <v>19</v>
      </c>
      <c r="R1" s="5"/>
    </row>
    <row r="2" spans="1:19" x14ac:dyDescent="0.35">
      <c r="A2" s="3" t="s">
        <v>13</v>
      </c>
      <c r="C2" s="3" t="s">
        <v>27</v>
      </c>
      <c r="R2" s="6"/>
    </row>
    <row r="3" spans="1:19" ht="25.5" customHeight="1" thickBot="1" x14ac:dyDescent="0.4">
      <c r="C3" s="1" t="s">
        <v>5</v>
      </c>
      <c r="E3" s="10"/>
      <c r="F3" s="10"/>
      <c r="G3" s="10"/>
      <c r="H3" s="10"/>
      <c r="I3" s="10"/>
      <c r="J3" s="3" t="s">
        <v>6</v>
      </c>
      <c r="K3" s="10"/>
      <c r="M3" s="10"/>
      <c r="N3" s="10"/>
      <c r="O3" s="10"/>
      <c r="P3" s="10"/>
    </row>
    <row r="4" spans="1:19" ht="25.5" customHeight="1" x14ac:dyDescent="0.35">
      <c r="C4" s="1" t="s">
        <v>5</v>
      </c>
      <c r="E4" s="10"/>
      <c r="F4" s="10"/>
      <c r="G4" s="10"/>
      <c r="H4" s="10"/>
      <c r="I4" s="10"/>
      <c r="J4" s="401"/>
      <c r="K4" s="402"/>
      <c r="L4" s="402"/>
      <c r="M4" s="402"/>
      <c r="N4" s="402"/>
      <c r="O4" s="402"/>
      <c r="P4" s="402"/>
      <c r="Q4" s="403"/>
      <c r="R4" s="3" t="s">
        <v>22</v>
      </c>
      <c r="S4" s="5">
        <f>INDEX(E27:P27,Actual_month)</f>
        <v>28619730</v>
      </c>
    </row>
    <row r="5" spans="1:19" ht="25.5" customHeight="1" x14ac:dyDescent="0.35">
      <c r="C5" s="1" t="s">
        <v>5</v>
      </c>
      <c r="E5" s="10"/>
      <c r="F5" s="10"/>
      <c r="G5" s="10"/>
      <c r="H5" s="10"/>
      <c r="I5" s="10"/>
      <c r="J5" s="404"/>
      <c r="K5" s="405"/>
      <c r="L5" s="405"/>
      <c r="M5" s="405"/>
      <c r="N5" s="405"/>
      <c r="O5" s="405"/>
      <c r="P5" s="405"/>
      <c r="Q5" s="406"/>
      <c r="R5" s="3" t="s">
        <v>23</v>
      </c>
      <c r="S5" s="5">
        <f>INDEX(E26:P26,Actual_month)</f>
        <v>24266627.941535853</v>
      </c>
    </row>
    <row r="6" spans="1:19" x14ac:dyDescent="0.35">
      <c r="J6" s="404"/>
      <c r="K6" s="405"/>
      <c r="L6" s="405"/>
      <c r="M6" s="405"/>
      <c r="N6" s="405"/>
      <c r="O6" s="405"/>
      <c r="P6" s="405"/>
      <c r="Q6" s="406"/>
      <c r="R6" s="6">
        <v>0.9</v>
      </c>
      <c r="S6" s="5">
        <f>+S5*R6</f>
        <v>21839965.147382267</v>
      </c>
    </row>
    <row r="7" spans="1:19" x14ac:dyDescent="0.35">
      <c r="J7" s="404"/>
      <c r="K7" s="405"/>
      <c r="L7" s="405"/>
      <c r="M7" s="405"/>
      <c r="N7" s="405"/>
      <c r="O7" s="405"/>
      <c r="P7" s="405"/>
      <c r="Q7" s="406"/>
    </row>
    <row r="8" spans="1:19" ht="15" thickBot="1" x14ac:dyDescent="0.4">
      <c r="J8" s="407"/>
      <c r="K8" s="408"/>
      <c r="L8" s="408"/>
      <c r="M8" s="408"/>
      <c r="N8" s="408"/>
      <c r="O8" s="408"/>
      <c r="P8" s="408"/>
      <c r="Q8" s="409"/>
    </row>
    <row r="9" spans="1:19" ht="15" thickBot="1" x14ac:dyDescent="0.4">
      <c r="J9" s="3" t="s">
        <v>12</v>
      </c>
    </row>
    <row r="10" spans="1:19" x14ac:dyDescent="0.35">
      <c r="J10" s="401"/>
      <c r="K10" s="402"/>
      <c r="L10" s="402"/>
      <c r="M10" s="402"/>
      <c r="N10" s="402"/>
      <c r="O10" s="402"/>
      <c r="P10" s="402"/>
      <c r="Q10" s="403"/>
    </row>
    <row r="11" spans="1:19" x14ac:dyDescent="0.35">
      <c r="J11" s="404"/>
      <c r="K11" s="405"/>
      <c r="L11" s="405"/>
      <c r="M11" s="405"/>
      <c r="N11" s="405"/>
      <c r="O11" s="405"/>
      <c r="P11" s="405"/>
      <c r="Q11" s="406"/>
    </row>
    <row r="12" spans="1:19" x14ac:dyDescent="0.35">
      <c r="J12" s="404"/>
      <c r="K12" s="405"/>
      <c r="L12" s="405"/>
      <c r="M12" s="405"/>
      <c r="N12" s="405"/>
      <c r="O12" s="405"/>
      <c r="P12" s="405"/>
      <c r="Q12" s="406"/>
    </row>
    <row r="13" spans="1:19" x14ac:dyDescent="0.35">
      <c r="J13" s="404"/>
      <c r="K13" s="405"/>
      <c r="L13" s="405"/>
      <c r="M13" s="405"/>
      <c r="N13" s="405"/>
      <c r="O13" s="405"/>
      <c r="P13" s="405"/>
      <c r="Q13" s="406"/>
    </row>
    <row r="14" spans="1:19" x14ac:dyDescent="0.35">
      <c r="J14" s="404"/>
      <c r="K14" s="405"/>
      <c r="L14" s="405"/>
      <c r="M14" s="405"/>
      <c r="N14" s="405"/>
      <c r="O14" s="405"/>
      <c r="P14" s="405"/>
      <c r="Q14" s="406"/>
    </row>
    <row r="15" spans="1:19" ht="15" thickBot="1" x14ac:dyDescent="0.4">
      <c r="J15" s="407"/>
      <c r="K15" s="408"/>
      <c r="L15" s="408"/>
      <c r="M15" s="408"/>
      <c r="N15" s="408"/>
      <c r="O15" s="408"/>
      <c r="P15" s="408"/>
      <c r="Q15" s="409"/>
    </row>
    <row r="18" spans="3:17" x14ac:dyDescent="0.35">
      <c r="C18" s="7" t="s">
        <v>8</v>
      </c>
      <c r="E18" s="11">
        <v>45839</v>
      </c>
      <c r="F18" s="11">
        <v>45870</v>
      </c>
      <c r="G18" s="11">
        <v>45901</v>
      </c>
      <c r="H18" s="11">
        <v>45931</v>
      </c>
      <c r="I18" s="11">
        <v>45962</v>
      </c>
      <c r="J18" s="11">
        <v>45992</v>
      </c>
      <c r="K18" s="11">
        <v>46023</v>
      </c>
      <c r="L18" s="11">
        <v>46054</v>
      </c>
      <c r="M18" s="11">
        <v>46082</v>
      </c>
      <c r="N18" s="11">
        <v>46113</v>
      </c>
      <c r="O18" s="11">
        <v>46143</v>
      </c>
      <c r="P18" s="11">
        <v>46174</v>
      </c>
      <c r="Q18" s="8" t="s">
        <v>0</v>
      </c>
    </row>
    <row r="19" spans="3:17" x14ac:dyDescent="0.35">
      <c r="D19" s="3" t="s">
        <v>501</v>
      </c>
      <c r="E19" s="49">
        <f>'budget 2025-26'!D139</f>
        <v>2936883.6119525721</v>
      </c>
      <c r="F19" s="49">
        <f>'budget 2025-26'!E139</f>
        <v>2978463.0835146657</v>
      </c>
      <c r="G19" s="49">
        <f>'budget 2025-26'!F139</f>
        <v>3015830.7056028978</v>
      </c>
      <c r="H19" s="49">
        <f>'budget 2025-26'!G139</f>
        <v>3030322.8830651944</v>
      </c>
      <c r="I19" s="49">
        <f>'budget 2025-26'!H139</f>
        <v>3045939.5425312831</v>
      </c>
      <c r="J19" s="49">
        <f>'budget 2025-26'!I139</f>
        <v>3057489.0423317845</v>
      </c>
      <c r="K19" s="49">
        <f>'budget 2025-26'!J139</f>
        <v>3090862.2588154608</v>
      </c>
      <c r="L19" s="49">
        <f>'budget 2025-26'!K139</f>
        <v>3110836.8137219953</v>
      </c>
      <c r="M19" s="49">
        <f>'budget 2025-26'!L139</f>
        <v>3129963.9089611997</v>
      </c>
      <c r="N19" s="49">
        <f>'budget 2025-26'!M139</f>
        <v>3149896.0733656478</v>
      </c>
      <c r="O19" s="49">
        <f>'budget 2025-26'!N139</f>
        <v>3169903.4788791663</v>
      </c>
      <c r="P19" s="49">
        <f>'budget 2025-26'!O139</f>
        <v>3189917.9355455334</v>
      </c>
      <c r="Q19" s="5">
        <f>SUM(E19:P19)</f>
        <v>36906309.338287398</v>
      </c>
    </row>
    <row r="20" spans="3:17" x14ac:dyDescent="0.35">
      <c r="D20" s="3" t="s">
        <v>502</v>
      </c>
      <c r="E20" s="49">
        <f>'Input Actual2025-26'!E142</f>
        <v>3905900</v>
      </c>
      <c r="F20" s="49">
        <f>'Input Actual2025-26'!F142</f>
        <v>3733170</v>
      </c>
      <c r="G20" s="49">
        <f>'Input Actual2025-26'!G142</f>
        <v>3208020</v>
      </c>
      <c r="H20" s="49">
        <f>'Input Actual2025-26'!H142</f>
        <v>3548620</v>
      </c>
      <c r="I20" s="49">
        <f>'Input Actual2025-26'!I142</f>
        <v>3057070</v>
      </c>
      <c r="J20" s="49">
        <f>'Input Actual2025-26'!J142</f>
        <v>3217900</v>
      </c>
      <c r="K20" s="49">
        <f>'Input Actual2025-26'!K142</f>
        <v>3825280</v>
      </c>
      <c r="L20" s="49">
        <f>'Input Actual2025-26'!L142</f>
        <v>4123770</v>
      </c>
      <c r="M20" s="49">
        <f>'Input Actual2025-26'!M142</f>
        <v>0</v>
      </c>
      <c r="N20" s="49">
        <f>'Input Actual2025-26'!N142</f>
        <v>0</v>
      </c>
      <c r="O20" s="49">
        <f>'Input Actual2025-26'!O142</f>
        <v>0</v>
      </c>
      <c r="P20" s="49">
        <f>'Input Actual2025-26'!P142</f>
        <v>0</v>
      </c>
      <c r="Q20" s="5">
        <f t="shared" ref="Q20:Q22" si="0">SUM(E20:P20)</f>
        <v>28619730</v>
      </c>
    </row>
    <row r="21" spans="3:17" x14ac:dyDescent="0.35">
      <c r="D21" s="3" t="s">
        <v>424</v>
      </c>
      <c r="E21" s="49">
        <f>'Input Actual2024-25'!E131</f>
        <v>2130898</v>
      </c>
      <c r="F21" s="49">
        <f>'Input Actual2024-25'!F131</f>
        <v>2494851</v>
      </c>
      <c r="G21" s="49">
        <f>'Input Actual2024-25'!G131</f>
        <v>2586627</v>
      </c>
      <c r="H21" s="49">
        <f>'Input Actual2024-25'!H131</f>
        <v>2312515</v>
      </c>
      <c r="I21" s="49">
        <f>'Input Actual2024-25'!I131</f>
        <v>2408145</v>
      </c>
      <c r="J21" s="49">
        <f>'Input Actual2024-25'!J131</f>
        <v>1739352</v>
      </c>
      <c r="K21" s="49">
        <f>'Input Actual2024-25'!K131</f>
        <v>2146405</v>
      </c>
      <c r="L21" s="49">
        <f>'Input Actual2024-25'!L131</f>
        <v>2060613</v>
      </c>
      <c r="M21" s="49">
        <f>'Input Actual2024-25'!M131</f>
        <v>2172698</v>
      </c>
      <c r="N21" s="49">
        <f>'Input Actual2024-25'!N131</f>
        <v>1949510</v>
      </c>
      <c r="O21" s="49">
        <f>'Input Actual2024-25'!O131</f>
        <v>3454620</v>
      </c>
      <c r="P21" s="49">
        <f>'Input Actual2024-25'!P131</f>
        <v>3809030</v>
      </c>
      <c r="Q21" s="5">
        <f t="shared" si="0"/>
        <v>29265264</v>
      </c>
    </row>
    <row r="22" spans="3:17" x14ac:dyDescent="0.35">
      <c r="D22" s="3" t="s">
        <v>7</v>
      </c>
      <c r="E22" s="5">
        <f t="shared" ref="E22:P22" si="1">IF(E20=0,0,E20-E19)</f>
        <v>969016.38804742787</v>
      </c>
      <c r="F22" s="5">
        <f t="shared" si="1"/>
        <v>754706.91648533428</v>
      </c>
      <c r="G22" s="5">
        <f t="shared" si="1"/>
        <v>192189.2943971022</v>
      </c>
      <c r="H22" s="5">
        <f t="shared" si="1"/>
        <v>518297.11693480564</v>
      </c>
      <c r="I22" s="5">
        <f t="shared" si="1"/>
        <v>11130.457468716893</v>
      </c>
      <c r="J22" s="5">
        <f t="shared" si="1"/>
        <v>160410.9576682155</v>
      </c>
      <c r="K22" s="5">
        <f t="shared" si="1"/>
        <v>734417.74118453916</v>
      </c>
      <c r="L22" s="5">
        <f t="shared" si="1"/>
        <v>1012933.1862780047</v>
      </c>
      <c r="M22" s="5">
        <f t="shared" si="1"/>
        <v>0</v>
      </c>
      <c r="N22" s="5">
        <f t="shared" si="1"/>
        <v>0</v>
      </c>
      <c r="O22" s="5">
        <f t="shared" si="1"/>
        <v>0</v>
      </c>
      <c r="P22" s="5">
        <f t="shared" si="1"/>
        <v>0</v>
      </c>
      <c r="Q22" s="5">
        <f t="shared" si="0"/>
        <v>4353102.0584641462</v>
      </c>
    </row>
    <row r="23" spans="3:17" x14ac:dyDescent="0.35">
      <c r="D23" s="3" t="s">
        <v>43</v>
      </c>
      <c r="E23" s="9">
        <f>E21/E19</f>
        <v>0.72556433333879489</v>
      </c>
      <c r="F23" s="9">
        <f t="shared" ref="F23:P23" si="2">F20/F19</f>
        <v>1.2533880378314981</v>
      </c>
      <c r="G23" s="9">
        <f t="shared" si="2"/>
        <v>1.0637268179676158</v>
      </c>
      <c r="H23" s="9">
        <f t="shared" si="2"/>
        <v>1.171036928055186</v>
      </c>
      <c r="I23" s="9">
        <f t="shared" si="2"/>
        <v>1.0036541951385769</v>
      </c>
      <c r="J23" s="9">
        <f t="shared" si="2"/>
        <v>1.0524649329718869</v>
      </c>
      <c r="K23" s="9">
        <f t="shared" si="2"/>
        <v>1.2376093399470984</v>
      </c>
      <c r="L23" s="9">
        <f t="shared" si="2"/>
        <v>1.32561437546641</v>
      </c>
      <c r="M23" s="9">
        <f t="shared" si="2"/>
        <v>0</v>
      </c>
      <c r="N23" s="9">
        <f t="shared" si="2"/>
        <v>0</v>
      </c>
      <c r="O23" s="9">
        <f t="shared" si="2"/>
        <v>0</v>
      </c>
      <c r="P23" s="9">
        <f t="shared" si="2"/>
        <v>0</v>
      </c>
    </row>
    <row r="25" spans="3:17" x14ac:dyDescent="0.35">
      <c r="C25" s="7" t="s">
        <v>3</v>
      </c>
      <c r="E25" s="11">
        <f>E18</f>
        <v>45839</v>
      </c>
      <c r="F25" s="11">
        <f t="shared" ref="F25:P25" si="3">F18</f>
        <v>45870</v>
      </c>
      <c r="G25" s="11">
        <f t="shared" si="3"/>
        <v>45901</v>
      </c>
      <c r="H25" s="11">
        <f t="shared" si="3"/>
        <v>45931</v>
      </c>
      <c r="I25" s="11">
        <f t="shared" si="3"/>
        <v>45962</v>
      </c>
      <c r="J25" s="11">
        <f t="shared" si="3"/>
        <v>45992</v>
      </c>
      <c r="K25" s="11">
        <f t="shared" si="3"/>
        <v>46023</v>
      </c>
      <c r="L25" s="11">
        <f t="shared" si="3"/>
        <v>46054</v>
      </c>
      <c r="M25" s="11">
        <f t="shared" si="3"/>
        <v>46082</v>
      </c>
      <c r="N25" s="11">
        <f t="shared" si="3"/>
        <v>46113</v>
      </c>
      <c r="O25" s="11">
        <f t="shared" si="3"/>
        <v>46143</v>
      </c>
      <c r="P25" s="11">
        <f t="shared" si="3"/>
        <v>46174</v>
      </c>
    </row>
    <row r="26" spans="3:17" x14ac:dyDescent="0.35">
      <c r="D26" s="3" t="str">
        <f>D19</f>
        <v>Budget 2025-26</v>
      </c>
      <c r="E26" s="5">
        <f>SUM($E19:E19)</f>
        <v>2936883.6119525721</v>
      </c>
      <c r="F26" s="5">
        <f>SUM($E19:F19)</f>
        <v>5915346.6954672374</v>
      </c>
      <c r="G26" s="5">
        <f>SUM($E19:G19)</f>
        <v>8931177.4010701347</v>
      </c>
      <c r="H26" s="5">
        <f>SUM($E19:H19)</f>
        <v>11961500.284135329</v>
      </c>
      <c r="I26" s="5">
        <f>SUM($E19:I19)</f>
        <v>15007439.826666612</v>
      </c>
      <c r="J26" s="5">
        <f>SUM($E19:J19)</f>
        <v>18064928.868998397</v>
      </c>
      <c r="K26" s="5">
        <f>SUM($E19:K19)</f>
        <v>21155791.127813857</v>
      </c>
      <c r="L26" s="5">
        <f>SUM($E19:L19)</f>
        <v>24266627.941535853</v>
      </c>
      <c r="M26" s="5">
        <f>SUM($E19:M19)</f>
        <v>27396591.850497052</v>
      </c>
      <c r="N26" s="5">
        <f>SUM($E19:N19)</f>
        <v>30546487.923862699</v>
      </c>
      <c r="O26" s="5">
        <f>SUM($E19:O19)</f>
        <v>33716391.402741864</v>
      </c>
      <c r="P26" s="5">
        <f>SUM($E19:P19)</f>
        <v>36906309.338287398</v>
      </c>
    </row>
    <row r="27" spans="3:17" x14ac:dyDescent="0.35">
      <c r="D27" s="3" t="str">
        <f t="shared" ref="D27:D30" si="4">D20</f>
        <v>Actual 2025-26</v>
      </c>
      <c r="E27" s="5">
        <f>SUM($E20:E20)</f>
        <v>3905900</v>
      </c>
      <c r="F27" s="5">
        <f>SUM($E20:F20)</f>
        <v>7639070</v>
      </c>
      <c r="G27" s="5">
        <f>SUM($E20:G20)</f>
        <v>10847090</v>
      </c>
      <c r="H27" s="5">
        <f>SUM($E20:H20)</f>
        <v>14395710</v>
      </c>
      <c r="I27" s="5">
        <f>SUM($E20:I20)</f>
        <v>17452780</v>
      </c>
      <c r="J27" s="5">
        <f>SUM($E20:J20)</f>
        <v>20670680</v>
      </c>
      <c r="K27" s="5">
        <f>SUM($E20:K20)</f>
        <v>24495960</v>
      </c>
      <c r="L27" s="5">
        <f>SUM($E20:L20)</f>
        <v>28619730</v>
      </c>
      <c r="M27" s="5">
        <f>SUM($E20:M20)</f>
        <v>28619730</v>
      </c>
      <c r="N27" s="5">
        <f>SUM($E20:N20)</f>
        <v>28619730</v>
      </c>
      <c r="O27" s="5">
        <f>SUM($E20:O20)</f>
        <v>28619730</v>
      </c>
      <c r="P27" s="5">
        <f>SUM($E20:P20)</f>
        <v>28619730</v>
      </c>
    </row>
    <row r="28" spans="3:17" x14ac:dyDescent="0.35">
      <c r="D28" s="3" t="str">
        <f t="shared" si="4"/>
        <v>Actual 2024-25</v>
      </c>
      <c r="E28" s="5">
        <f>SUM($E21:E21)</f>
        <v>2130898</v>
      </c>
      <c r="F28" s="5">
        <f>SUM($E21:F21)</f>
        <v>4625749</v>
      </c>
      <c r="G28" s="5">
        <f>SUM($E21:G21)</f>
        <v>7212376</v>
      </c>
      <c r="H28" s="5">
        <f>SUM($E21:H21)</f>
        <v>9524891</v>
      </c>
      <c r="I28" s="5">
        <f>SUM($E21:I21)</f>
        <v>11933036</v>
      </c>
      <c r="J28" s="5">
        <f>SUM($E21:J21)</f>
        <v>13672388</v>
      </c>
      <c r="K28" s="5">
        <f>SUM($E21:K21)</f>
        <v>15818793</v>
      </c>
      <c r="L28" s="5">
        <f>SUM($E21:L21)</f>
        <v>17879406</v>
      </c>
      <c r="M28" s="5">
        <f>SUM($E21:M21)</f>
        <v>20052104</v>
      </c>
      <c r="N28" s="5">
        <f>SUM($E21:N21)</f>
        <v>22001614</v>
      </c>
      <c r="O28" s="5">
        <f>SUM($E21:O21)</f>
        <v>25456234</v>
      </c>
      <c r="P28" s="5">
        <f>SUM($E21:P21)</f>
        <v>29265264</v>
      </c>
    </row>
    <row r="29" spans="3:17" x14ac:dyDescent="0.35">
      <c r="D29" s="3" t="str">
        <f t="shared" si="4"/>
        <v>Difference</v>
      </c>
      <c r="E29" s="5">
        <f>SUM($E22:E22)</f>
        <v>969016.38804742787</v>
      </c>
      <c r="F29" s="5">
        <f>SUM($E22:F22)</f>
        <v>1723723.3045327622</v>
      </c>
      <c r="G29" s="5">
        <f>SUM($E22:G22)</f>
        <v>1915912.5989298644</v>
      </c>
      <c r="H29" s="5">
        <f>SUM($E22:H22)</f>
        <v>2434209.71586467</v>
      </c>
      <c r="I29" s="5">
        <f>SUM($E22:I22)</f>
        <v>2445340.1733333869</v>
      </c>
      <c r="J29" s="5">
        <f>SUM($E22:J22)</f>
        <v>2605751.1310016024</v>
      </c>
      <c r="K29" s="5">
        <f>SUM($E22:K22)</f>
        <v>3340168.8721861416</v>
      </c>
      <c r="L29" s="5">
        <f>SUM($E22:L22)</f>
        <v>4353102.0584641462</v>
      </c>
      <c r="M29" s="5">
        <f>SUM($E22:M22)</f>
        <v>4353102.0584641462</v>
      </c>
      <c r="N29" s="5">
        <f>SUM($E22:N22)</f>
        <v>4353102.0584641462</v>
      </c>
      <c r="O29" s="5">
        <f>SUM($E22:O22)</f>
        <v>4353102.0584641462</v>
      </c>
      <c r="P29" s="5">
        <f>SUM($E22:P22)</f>
        <v>4353102.0584641462</v>
      </c>
    </row>
    <row r="30" spans="3:17" x14ac:dyDescent="0.35">
      <c r="D30" s="3" t="str">
        <f t="shared" si="4"/>
        <v>Realisation</v>
      </c>
      <c r="E30" s="9">
        <f>E28/E26</f>
        <v>0.72556433333879489</v>
      </c>
      <c r="F30" s="9">
        <f t="shared" ref="F30:P30" si="5">F27/F26</f>
        <v>1.2913985254412228</v>
      </c>
      <c r="G30" s="9">
        <f t="shared" si="5"/>
        <v>1.214519599476358</v>
      </c>
      <c r="H30" s="9">
        <f t="shared" si="5"/>
        <v>1.2035037125813717</v>
      </c>
      <c r="I30" s="9">
        <f t="shared" si="5"/>
        <v>1.162941860942083</v>
      </c>
      <c r="J30" s="9">
        <f t="shared" si="5"/>
        <v>1.1442436419151025</v>
      </c>
      <c r="K30" s="9">
        <f t="shared" si="5"/>
        <v>1.1578843755833252</v>
      </c>
      <c r="L30" s="9">
        <f t="shared" si="5"/>
        <v>1.1793863601054015</v>
      </c>
      <c r="M30" s="9">
        <f t="shared" si="5"/>
        <v>1.0446456316967307</v>
      </c>
      <c r="N30" s="9">
        <f t="shared" si="5"/>
        <v>0.93692374951041324</v>
      </c>
      <c r="O30" s="9">
        <f t="shared" si="5"/>
        <v>0.84883728089811539</v>
      </c>
      <c r="P30" s="9">
        <f t="shared" si="5"/>
        <v>0.77546984548545139</v>
      </c>
    </row>
  </sheetData>
  <mergeCells count="2">
    <mergeCell ref="J4:Q8"/>
    <mergeCell ref="J10:Q15"/>
  </mergeCells>
  <conditionalFormatting sqref="C3">
    <cfRule type="expression" dxfId="191" priority="2">
      <formula>S4&lt;S6</formula>
    </cfRule>
  </conditionalFormatting>
  <conditionalFormatting sqref="C5">
    <cfRule type="expression" dxfId="190" priority="3">
      <formula>S4&gt;=S5</formula>
    </cfRule>
  </conditionalFormatting>
  <conditionalFormatting sqref="C4">
    <cfRule type="expression" dxfId="189" priority="1">
      <formula>AND(S4&gt;=S6,S4&lt;S5)</formula>
    </cfRule>
  </conditionalFormatting>
  <hyperlinks>
    <hyperlink ref="L1" location="Dashboard!A1" display="Dashboard"/>
  </hyperlinks>
  <pageMargins left="0.7" right="0.7" top="0.75" bottom="0.75" header="0.3" footer="0.3"/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2126849" r:id="rId3" name="Spinner 1">
              <controlPr defaultSize="0" autoPict="0">
                <anchor moveWithCells="1" sizeWithCells="1">
                  <from>
                    <xdr:col>9</xdr:col>
                    <xdr:colOff>19050</xdr:colOff>
                    <xdr:row>0</xdr:row>
                    <xdr:rowOff>38100</xdr:rowOff>
                  </from>
                  <to>
                    <xdr:col>9</xdr:col>
                    <xdr:colOff>400050</xdr:colOff>
                    <xdr:row>1</xdr:row>
                    <xdr:rowOff>152400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1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106">
    <tabColor rgb="FFFFC000"/>
  </sheetPr>
  <dimension ref="A1:S30"/>
  <sheetViews>
    <sheetView zoomScale="90" zoomScaleNormal="90" workbookViewId="0">
      <selection activeCell="L1" sqref="L1"/>
    </sheetView>
  </sheetViews>
  <sheetFormatPr defaultColWidth="9.1796875" defaultRowHeight="14.5" x14ac:dyDescent="0.35"/>
  <cols>
    <col min="1" max="1" width="9.1796875" style="3"/>
    <col min="2" max="2" width="5.7265625" style="3" bestFit="1" customWidth="1"/>
    <col min="3" max="3" width="6.26953125" style="3" customWidth="1"/>
    <col min="4" max="4" width="21.26953125" style="3" bestFit="1" customWidth="1"/>
    <col min="5" max="16" width="11.1796875" style="3" customWidth="1"/>
    <col min="17" max="17" width="12" style="3" bestFit="1" customWidth="1"/>
    <col min="18" max="18" width="9.1796875" style="3" customWidth="1"/>
    <col min="19" max="16384" width="9.1796875" style="3"/>
  </cols>
  <sheetData>
    <row r="1" spans="1:19" ht="21" x14ac:dyDescent="0.5">
      <c r="A1" s="4" t="s">
        <v>4</v>
      </c>
      <c r="B1" s="4">
        <f>Dashboard!A144</f>
        <v>0</v>
      </c>
      <c r="C1" s="4" t="str">
        <f>Dashboard!B144</f>
        <v>TOTAL  - WATER(KES) SOUTHERN REGION</v>
      </c>
      <c r="D1" s="4"/>
      <c r="G1" s="3" t="s">
        <v>9</v>
      </c>
      <c r="I1" s="12">
        <f>INDEX($E$18:$P$18,Actual_month)</f>
        <v>46054</v>
      </c>
      <c r="L1" s="16" t="s">
        <v>19</v>
      </c>
      <c r="R1" s="5"/>
    </row>
    <row r="2" spans="1:19" x14ac:dyDescent="0.35">
      <c r="A2" s="3" t="s">
        <v>13</v>
      </c>
      <c r="C2" s="3" t="s">
        <v>27</v>
      </c>
      <c r="R2" s="6"/>
    </row>
    <row r="3" spans="1:19" ht="25.5" customHeight="1" thickBot="1" x14ac:dyDescent="0.4">
      <c r="C3" s="1" t="s">
        <v>5</v>
      </c>
      <c r="E3" s="10"/>
      <c r="F3" s="10"/>
      <c r="G3" s="10"/>
      <c r="H3" s="10"/>
      <c r="I3" s="10"/>
      <c r="J3" s="3" t="s">
        <v>6</v>
      </c>
      <c r="K3" s="10"/>
      <c r="M3" s="10"/>
      <c r="N3" s="10"/>
      <c r="O3" s="10"/>
      <c r="P3" s="10"/>
    </row>
    <row r="4" spans="1:19" ht="25.5" customHeight="1" x14ac:dyDescent="0.35">
      <c r="C4" s="1" t="s">
        <v>5</v>
      </c>
      <c r="E4" s="10"/>
      <c r="F4" s="10"/>
      <c r="G4" s="10"/>
      <c r="H4" s="10"/>
      <c r="I4" s="10"/>
      <c r="J4" s="401"/>
      <c r="K4" s="402"/>
      <c r="L4" s="402"/>
      <c r="M4" s="402"/>
      <c r="N4" s="402"/>
      <c r="O4" s="402"/>
      <c r="P4" s="402"/>
      <c r="Q4" s="403"/>
      <c r="R4" s="3" t="s">
        <v>22</v>
      </c>
      <c r="S4" s="5">
        <f>INDEX(E27:P27,Actual_month)</f>
        <v>49856240</v>
      </c>
    </row>
    <row r="5" spans="1:19" ht="25.5" customHeight="1" x14ac:dyDescent="0.35">
      <c r="C5" s="1" t="s">
        <v>5</v>
      </c>
      <c r="E5" s="10"/>
      <c r="F5" s="10"/>
      <c r="G5" s="10"/>
      <c r="H5" s="10"/>
      <c r="I5" s="10"/>
      <c r="J5" s="404"/>
      <c r="K5" s="405"/>
      <c r="L5" s="405"/>
      <c r="M5" s="405"/>
      <c r="N5" s="405"/>
      <c r="O5" s="405"/>
      <c r="P5" s="405"/>
      <c r="Q5" s="406"/>
      <c r="R5" s="3" t="s">
        <v>23</v>
      </c>
      <c r="S5" s="5">
        <f>INDEX(E26:P26,Actual_month)</f>
        <v>45785339.148518257</v>
      </c>
    </row>
    <row r="6" spans="1:19" x14ac:dyDescent="0.35">
      <c r="J6" s="404"/>
      <c r="K6" s="405"/>
      <c r="L6" s="405"/>
      <c r="M6" s="405"/>
      <c r="N6" s="405"/>
      <c r="O6" s="405"/>
      <c r="P6" s="405"/>
      <c r="Q6" s="406"/>
      <c r="R6" s="6">
        <v>0.9</v>
      </c>
      <c r="S6" s="5">
        <f>+S5*R6</f>
        <v>41206805.233666435</v>
      </c>
    </row>
    <row r="7" spans="1:19" x14ac:dyDescent="0.35">
      <c r="J7" s="404"/>
      <c r="K7" s="405"/>
      <c r="L7" s="405"/>
      <c r="M7" s="405"/>
      <c r="N7" s="405"/>
      <c r="O7" s="405"/>
      <c r="P7" s="405"/>
      <c r="Q7" s="406"/>
    </row>
    <row r="8" spans="1:19" ht="15" thickBot="1" x14ac:dyDescent="0.4">
      <c r="J8" s="407"/>
      <c r="K8" s="408"/>
      <c r="L8" s="408"/>
      <c r="M8" s="408"/>
      <c r="N8" s="408"/>
      <c r="O8" s="408"/>
      <c r="P8" s="408"/>
      <c r="Q8" s="409"/>
    </row>
    <row r="9" spans="1:19" ht="15" thickBot="1" x14ac:dyDescent="0.4">
      <c r="J9" s="3" t="s">
        <v>12</v>
      </c>
    </row>
    <row r="10" spans="1:19" x14ac:dyDescent="0.35">
      <c r="J10" s="401"/>
      <c r="K10" s="402"/>
      <c r="L10" s="402"/>
      <c r="M10" s="402"/>
      <c r="N10" s="402"/>
      <c r="O10" s="402"/>
      <c r="P10" s="402"/>
      <c r="Q10" s="403"/>
    </row>
    <row r="11" spans="1:19" x14ac:dyDescent="0.35">
      <c r="J11" s="404"/>
      <c r="K11" s="405"/>
      <c r="L11" s="405"/>
      <c r="M11" s="405"/>
      <c r="N11" s="405"/>
      <c r="O11" s="405"/>
      <c r="P11" s="405"/>
      <c r="Q11" s="406"/>
    </row>
    <row r="12" spans="1:19" x14ac:dyDescent="0.35">
      <c r="J12" s="404"/>
      <c r="K12" s="405"/>
      <c r="L12" s="405"/>
      <c r="M12" s="405"/>
      <c r="N12" s="405"/>
      <c r="O12" s="405"/>
      <c r="P12" s="405"/>
      <c r="Q12" s="406"/>
    </row>
    <row r="13" spans="1:19" x14ac:dyDescent="0.35">
      <c r="J13" s="404"/>
      <c r="K13" s="405"/>
      <c r="L13" s="405"/>
      <c r="M13" s="405"/>
      <c r="N13" s="405"/>
      <c r="O13" s="405"/>
      <c r="P13" s="405"/>
      <c r="Q13" s="406"/>
    </row>
    <row r="14" spans="1:19" x14ac:dyDescent="0.35">
      <c r="J14" s="404"/>
      <c r="K14" s="405"/>
      <c r="L14" s="405"/>
      <c r="M14" s="405"/>
      <c r="N14" s="405"/>
      <c r="O14" s="405"/>
      <c r="P14" s="405"/>
      <c r="Q14" s="406"/>
    </row>
    <row r="15" spans="1:19" ht="15" thickBot="1" x14ac:dyDescent="0.4">
      <c r="J15" s="407"/>
      <c r="K15" s="408"/>
      <c r="L15" s="408"/>
      <c r="M15" s="408"/>
      <c r="N15" s="408"/>
      <c r="O15" s="408"/>
      <c r="P15" s="408"/>
      <c r="Q15" s="409"/>
    </row>
    <row r="18" spans="3:17" x14ac:dyDescent="0.35">
      <c r="C18" s="7" t="s">
        <v>8</v>
      </c>
      <c r="E18" s="11">
        <v>45839</v>
      </c>
      <c r="F18" s="11">
        <v>45870</v>
      </c>
      <c r="G18" s="11">
        <v>45901</v>
      </c>
      <c r="H18" s="11">
        <v>45931</v>
      </c>
      <c r="I18" s="11">
        <v>45962</v>
      </c>
      <c r="J18" s="11">
        <v>45992</v>
      </c>
      <c r="K18" s="11">
        <v>46023</v>
      </c>
      <c r="L18" s="11">
        <v>46054</v>
      </c>
      <c r="M18" s="11">
        <v>46082</v>
      </c>
      <c r="N18" s="11">
        <v>46113</v>
      </c>
      <c r="O18" s="11">
        <v>46143</v>
      </c>
      <c r="P18" s="11">
        <v>46174</v>
      </c>
      <c r="Q18" s="8" t="s">
        <v>0</v>
      </c>
    </row>
    <row r="19" spans="3:17" x14ac:dyDescent="0.35">
      <c r="D19" s="3" t="s">
        <v>501</v>
      </c>
      <c r="E19" s="49">
        <f>'budget 2025-26'!D136</f>
        <v>5065118.2414229233</v>
      </c>
      <c r="F19" s="49">
        <f>'budget 2025-26'!E136</f>
        <v>5186854.0401342409</v>
      </c>
      <c r="G19" s="49">
        <f>'budget 2025-26'!F136</f>
        <v>5320132.9536295589</v>
      </c>
      <c r="H19" s="49">
        <f>'budget 2025-26'!G136</f>
        <v>5584553.7091985717</v>
      </c>
      <c r="I19" s="49">
        <f>'budget 2025-26'!H136</f>
        <v>5827594.1459915433</v>
      </c>
      <c r="J19" s="49">
        <f>'budget 2025-26'!I136</f>
        <v>6061586.3943221532</v>
      </c>
      <c r="K19" s="49">
        <f>'budget 2025-26'!J136</f>
        <v>6268878.0953539293</v>
      </c>
      <c r="L19" s="49">
        <f>'budget 2025-26'!K136</f>
        <v>6470621.56846534</v>
      </c>
      <c r="M19" s="49">
        <f>'budget 2025-26'!L136</f>
        <v>6650863.8502878789</v>
      </c>
      <c r="N19" s="49">
        <f>'budget 2025-26'!M136</f>
        <v>6799132.4271202534</v>
      </c>
      <c r="O19" s="49">
        <f>'budget 2025-26'!N136</f>
        <v>6946856.215867538</v>
      </c>
      <c r="P19" s="49">
        <f>'budget 2025-26'!O136</f>
        <v>7091067.9020263534</v>
      </c>
      <c r="Q19" s="5">
        <f>SUM(E19:P19)</f>
        <v>73273259.543820277</v>
      </c>
    </row>
    <row r="20" spans="3:17" x14ac:dyDescent="0.35">
      <c r="D20" s="3" t="s">
        <v>502</v>
      </c>
      <c r="E20" s="49">
        <f>'Input Actual2025-26'!E139</f>
        <v>5272370</v>
      </c>
      <c r="F20" s="49">
        <f>'Input Actual2025-26'!F139</f>
        <v>7465830</v>
      </c>
      <c r="G20" s="49">
        <f>'Input Actual2025-26'!G139</f>
        <v>5039430</v>
      </c>
      <c r="H20" s="49">
        <f>'Input Actual2025-26'!H139</f>
        <v>7076450</v>
      </c>
      <c r="I20" s="49">
        <f>'Input Actual2025-26'!I139</f>
        <v>4791020</v>
      </c>
      <c r="J20" s="49">
        <f>'Input Actual2025-26'!J139</f>
        <v>5179850</v>
      </c>
      <c r="K20" s="49">
        <f>'Input Actual2025-26'!K139</f>
        <v>8044460</v>
      </c>
      <c r="L20" s="49">
        <f>'Input Actual2025-26'!L139</f>
        <v>6986830</v>
      </c>
      <c r="M20" s="49">
        <f>'Input Actual2025-26'!M139</f>
        <v>0</v>
      </c>
      <c r="N20" s="49">
        <f>'Input Actual2025-26'!N139</f>
        <v>0</v>
      </c>
      <c r="O20" s="49">
        <f>'Input Actual2025-26'!O139</f>
        <v>0</v>
      </c>
      <c r="P20" s="49">
        <f>'Input Actual2025-26'!P139</f>
        <v>0</v>
      </c>
      <c r="Q20" s="5">
        <f t="shared" ref="Q20:Q22" si="0">SUM(E20:P20)</f>
        <v>49856240</v>
      </c>
    </row>
    <row r="21" spans="3:17" x14ac:dyDescent="0.35">
      <c r="D21" s="3" t="s">
        <v>424</v>
      </c>
      <c r="E21" s="49">
        <f>'Input Actual2024-25'!E130</f>
        <v>3209469</v>
      </c>
      <c r="F21" s="49">
        <f>'Input Actual2024-25'!F130</f>
        <v>3501347</v>
      </c>
      <c r="G21" s="49">
        <f>'Input Actual2024-25'!G130</f>
        <v>3857036</v>
      </c>
      <c r="H21" s="49">
        <f>'Input Actual2024-25'!H130</f>
        <v>3641147</v>
      </c>
      <c r="I21" s="49">
        <f>'Input Actual2024-25'!I130</f>
        <v>4692660</v>
      </c>
      <c r="J21" s="49">
        <f>'Input Actual2024-25'!J130</f>
        <v>2552870</v>
      </c>
      <c r="K21" s="49">
        <f>'Input Actual2024-25'!K130</f>
        <v>4084599</v>
      </c>
      <c r="L21" s="49">
        <f>'Input Actual2024-25'!L130</f>
        <v>3854228</v>
      </c>
      <c r="M21" s="49">
        <f>'Input Actual2024-25'!M130</f>
        <v>4053585</v>
      </c>
      <c r="N21" s="49">
        <f>'Input Actual2024-25'!N130</f>
        <v>2884277</v>
      </c>
      <c r="O21" s="49">
        <f>'Input Actual2024-25'!O130</f>
        <v>5352660</v>
      </c>
      <c r="P21" s="49">
        <f>'Input Actual2024-25'!P130</f>
        <v>5996360</v>
      </c>
      <c r="Q21" s="5">
        <f t="shared" si="0"/>
        <v>47680238</v>
      </c>
    </row>
    <row r="22" spans="3:17" x14ac:dyDescent="0.35">
      <c r="D22" s="3" t="s">
        <v>7</v>
      </c>
      <c r="E22" s="5">
        <f t="shared" ref="E22:P22" si="1">IF(E20=0,0,E20-E19)</f>
        <v>207251.75857707672</v>
      </c>
      <c r="F22" s="5">
        <f t="shared" si="1"/>
        <v>2278975.9598657591</v>
      </c>
      <c r="G22" s="5">
        <f t="shared" si="1"/>
        <v>-280702.95362955891</v>
      </c>
      <c r="H22" s="5">
        <f t="shared" si="1"/>
        <v>1491896.2908014283</v>
      </c>
      <c r="I22" s="5">
        <f t="shared" si="1"/>
        <v>-1036574.1459915433</v>
      </c>
      <c r="J22" s="5">
        <f t="shared" si="1"/>
        <v>-881736.39432215318</v>
      </c>
      <c r="K22" s="5">
        <f t="shared" si="1"/>
        <v>1775581.9046460707</v>
      </c>
      <c r="L22" s="5">
        <f t="shared" si="1"/>
        <v>516208.43153466005</v>
      </c>
      <c r="M22" s="5">
        <f t="shared" si="1"/>
        <v>0</v>
      </c>
      <c r="N22" s="5">
        <f t="shared" si="1"/>
        <v>0</v>
      </c>
      <c r="O22" s="5">
        <f t="shared" si="1"/>
        <v>0</v>
      </c>
      <c r="P22" s="5">
        <f t="shared" si="1"/>
        <v>0</v>
      </c>
      <c r="Q22" s="5">
        <f t="shared" si="0"/>
        <v>4070900.8514817394</v>
      </c>
    </row>
    <row r="23" spans="3:17" x14ac:dyDescent="0.35">
      <c r="D23" s="3" t="s">
        <v>43</v>
      </c>
      <c r="E23" s="9">
        <f>E21/E19</f>
        <v>0.6336414762744762</v>
      </c>
      <c r="F23" s="9">
        <f t="shared" ref="F23:P23" si="2">F20/F19</f>
        <v>1.4393753790316368</v>
      </c>
      <c r="G23" s="9">
        <f t="shared" si="2"/>
        <v>0.9472376055117091</v>
      </c>
      <c r="H23" s="9">
        <f t="shared" si="2"/>
        <v>1.2671469142366842</v>
      </c>
      <c r="I23" s="9">
        <f t="shared" si="2"/>
        <v>0.82212657230007324</v>
      </c>
      <c r="J23" s="9">
        <f t="shared" si="2"/>
        <v>0.85453702430966427</v>
      </c>
      <c r="K23" s="9">
        <f t="shared" si="2"/>
        <v>1.2832375869554733</v>
      </c>
      <c r="L23" s="9">
        <f t="shared" si="2"/>
        <v>1.0797772557199774</v>
      </c>
      <c r="M23" s="9">
        <f t="shared" si="2"/>
        <v>0</v>
      </c>
      <c r="N23" s="9">
        <f t="shared" si="2"/>
        <v>0</v>
      </c>
      <c r="O23" s="9">
        <f t="shared" si="2"/>
        <v>0</v>
      </c>
      <c r="P23" s="9">
        <f t="shared" si="2"/>
        <v>0</v>
      </c>
    </row>
    <row r="25" spans="3:17" x14ac:dyDescent="0.35">
      <c r="C25" s="7" t="s">
        <v>3</v>
      </c>
      <c r="E25" s="11">
        <f>E18</f>
        <v>45839</v>
      </c>
      <c r="F25" s="11">
        <f t="shared" ref="F25:P25" si="3">F18</f>
        <v>45870</v>
      </c>
      <c r="G25" s="11">
        <f t="shared" si="3"/>
        <v>45901</v>
      </c>
      <c r="H25" s="11">
        <f t="shared" si="3"/>
        <v>45931</v>
      </c>
      <c r="I25" s="11">
        <f t="shared" si="3"/>
        <v>45962</v>
      </c>
      <c r="J25" s="11">
        <f t="shared" si="3"/>
        <v>45992</v>
      </c>
      <c r="K25" s="11">
        <f t="shared" si="3"/>
        <v>46023</v>
      </c>
      <c r="L25" s="11">
        <f t="shared" si="3"/>
        <v>46054</v>
      </c>
      <c r="M25" s="11">
        <f t="shared" si="3"/>
        <v>46082</v>
      </c>
      <c r="N25" s="11">
        <f t="shared" si="3"/>
        <v>46113</v>
      </c>
      <c r="O25" s="11">
        <f t="shared" si="3"/>
        <v>46143</v>
      </c>
      <c r="P25" s="11">
        <f t="shared" si="3"/>
        <v>46174</v>
      </c>
    </row>
    <row r="26" spans="3:17" x14ac:dyDescent="0.35">
      <c r="D26" s="3" t="str">
        <f>D19</f>
        <v>Budget 2025-26</v>
      </c>
      <c r="E26" s="5">
        <f>SUM($E19:E19)</f>
        <v>5065118.2414229233</v>
      </c>
      <c r="F26" s="5">
        <f>SUM($E19:F19)</f>
        <v>10251972.281557165</v>
      </c>
      <c r="G26" s="5">
        <f>SUM($E19:G19)</f>
        <v>15572105.235186724</v>
      </c>
      <c r="H26" s="5">
        <f>SUM($E19:H19)</f>
        <v>21156658.944385298</v>
      </c>
      <c r="I26" s="5">
        <f>SUM($E19:I19)</f>
        <v>26984253.090376839</v>
      </c>
      <c r="J26" s="5">
        <f>SUM($E19:J19)</f>
        <v>33045839.484698992</v>
      </c>
      <c r="K26" s="5">
        <f>SUM($E19:K19)</f>
        <v>39314717.58005292</v>
      </c>
      <c r="L26" s="5">
        <f>SUM($E19:L19)</f>
        <v>45785339.148518257</v>
      </c>
      <c r="M26" s="5">
        <f>SUM($E19:M19)</f>
        <v>52436202.998806134</v>
      </c>
      <c r="N26" s="5">
        <f>SUM($E19:N19)</f>
        <v>59235335.425926387</v>
      </c>
      <c r="O26" s="5">
        <f>SUM($E19:O19)</f>
        <v>66182191.641793922</v>
      </c>
      <c r="P26" s="5">
        <f>SUM($E19:P19)</f>
        <v>73273259.543820277</v>
      </c>
    </row>
    <row r="27" spans="3:17" x14ac:dyDescent="0.35">
      <c r="D27" s="3" t="str">
        <f t="shared" ref="D27:D30" si="4">D20</f>
        <v>Actual 2025-26</v>
      </c>
      <c r="E27" s="5">
        <f>SUM($E20:E20)</f>
        <v>5272370</v>
      </c>
      <c r="F27" s="5">
        <f>SUM($E20:F20)</f>
        <v>12738200</v>
      </c>
      <c r="G27" s="5">
        <f>SUM($E20:G20)</f>
        <v>17777630</v>
      </c>
      <c r="H27" s="5">
        <f>SUM($E20:H20)</f>
        <v>24854080</v>
      </c>
      <c r="I27" s="5">
        <f>SUM($E20:I20)</f>
        <v>29645100</v>
      </c>
      <c r="J27" s="5">
        <f>SUM($E20:J20)</f>
        <v>34824950</v>
      </c>
      <c r="K27" s="5">
        <f>SUM($E20:K20)</f>
        <v>42869410</v>
      </c>
      <c r="L27" s="5">
        <f>SUM($E20:L20)</f>
        <v>49856240</v>
      </c>
      <c r="M27" s="5">
        <f>SUM($E20:M20)</f>
        <v>49856240</v>
      </c>
      <c r="N27" s="5">
        <f>SUM($E20:N20)</f>
        <v>49856240</v>
      </c>
      <c r="O27" s="5">
        <f>SUM($E20:O20)</f>
        <v>49856240</v>
      </c>
      <c r="P27" s="5">
        <f>SUM($E20:P20)</f>
        <v>49856240</v>
      </c>
    </row>
    <row r="28" spans="3:17" x14ac:dyDescent="0.35">
      <c r="D28" s="3" t="str">
        <f t="shared" si="4"/>
        <v>Actual 2024-25</v>
      </c>
      <c r="E28" s="5">
        <f>SUM($E21:E21)</f>
        <v>3209469</v>
      </c>
      <c r="F28" s="5">
        <f>SUM($E21:F21)</f>
        <v>6710816</v>
      </c>
      <c r="G28" s="5">
        <f>SUM($E21:G21)</f>
        <v>10567852</v>
      </c>
      <c r="H28" s="5">
        <f>SUM($E21:H21)</f>
        <v>14208999</v>
      </c>
      <c r="I28" s="5">
        <f>SUM($E21:I21)</f>
        <v>18901659</v>
      </c>
      <c r="J28" s="5">
        <f>SUM($E21:J21)</f>
        <v>21454529</v>
      </c>
      <c r="K28" s="5">
        <f>SUM($E21:K21)</f>
        <v>25539128</v>
      </c>
      <c r="L28" s="5">
        <f>SUM($E21:L21)</f>
        <v>29393356</v>
      </c>
      <c r="M28" s="5">
        <f>SUM($E21:M21)</f>
        <v>33446941</v>
      </c>
      <c r="N28" s="5">
        <f>SUM($E21:N21)</f>
        <v>36331218</v>
      </c>
      <c r="O28" s="5">
        <f>SUM($E21:O21)</f>
        <v>41683878</v>
      </c>
      <c r="P28" s="5">
        <f>SUM($E21:P21)</f>
        <v>47680238</v>
      </c>
    </row>
    <row r="29" spans="3:17" x14ac:dyDescent="0.35">
      <c r="D29" s="3" t="str">
        <f t="shared" si="4"/>
        <v>Difference</v>
      </c>
      <c r="E29" s="5">
        <f>SUM($E22:E22)</f>
        <v>207251.75857707672</v>
      </c>
      <c r="F29" s="5">
        <f>SUM($E22:F22)</f>
        <v>2486227.7184428358</v>
      </c>
      <c r="G29" s="5">
        <f>SUM($E22:G22)</f>
        <v>2205524.7648132769</v>
      </c>
      <c r="H29" s="5">
        <f>SUM($E22:H22)</f>
        <v>3697421.0556147052</v>
      </c>
      <c r="I29" s="5">
        <f>SUM($E22:I22)</f>
        <v>2660846.9096231619</v>
      </c>
      <c r="J29" s="5">
        <f>SUM($E22:J22)</f>
        <v>1779110.5153010087</v>
      </c>
      <c r="K29" s="5">
        <f>SUM($E22:K22)</f>
        <v>3554692.4199470794</v>
      </c>
      <c r="L29" s="5">
        <f>SUM($E22:L22)</f>
        <v>4070900.8514817394</v>
      </c>
      <c r="M29" s="5">
        <f>SUM($E22:M22)</f>
        <v>4070900.8514817394</v>
      </c>
      <c r="N29" s="5">
        <f>SUM($E22:N22)</f>
        <v>4070900.8514817394</v>
      </c>
      <c r="O29" s="5">
        <f>SUM($E22:O22)</f>
        <v>4070900.8514817394</v>
      </c>
      <c r="P29" s="5">
        <f>SUM($E22:P22)</f>
        <v>4070900.8514817394</v>
      </c>
    </row>
    <row r="30" spans="3:17" x14ac:dyDescent="0.35">
      <c r="D30" s="3" t="str">
        <f t="shared" si="4"/>
        <v>Realisation</v>
      </c>
      <c r="E30" s="9">
        <f>E28/E26</f>
        <v>0.6336414762744762</v>
      </c>
      <c r="F30" s="9">
        <f t="shared" ref="F30:P30" si="5">F27/F26</f>
        <v>1.2425121381683255</v>
      </c>
      <c r="G30" s="9">
        <f t="shared" si="5"/>
        <v>1.1416330503488812</v>
      </c>
      <c r="H30" s="9">
        <f t="shared" si="5"/>
        <v>1.1747639391141176</v>
      </c>
      <c r="I30" s="9">
        <f t="shared" si="5"/>
        <v>1.0986073952357078</v>
      </c>
      <c r="J30" s="9">
        <f t="shared" si="5"/>
        <v>1.053837655300746</v>
      </c>
      <c r="K30" s="9">
        <f t="shared" si="5"/>
        <v>1.0904163285087574</v>
      </c>
      <c r="L30" s="9">
        <f t="shared" si="5"/>
        <v>1.0889127595686596</v>
      </c>
      <c r="M30" s="9">
        <f t="shared" si="5"/>
        <v>0.95079805837839027</v>
      </c>
      <c r="N30" s="9">
        <f t="shared" si="5"/>
        <v>0.84166384205496869</v>
      </c>
      <c r="O30" s="9">
        <f t="shared" si="5"/>
        <v>0.75331805676431973</v>
      </c>
      <c r="P30" s="9">
        <f t="shared" si="5"/>
        <v>0.68041520618014839</v>
      </c>
    </row>
  </sheetData>
  <mergeCells count="2">
    <mergeCell ref="J4:Q8"/>
    <mergeCell ref="J10:Q15"/>
  </mergeCells>
  <conditionalFormatting sqref="C3">
    <cfRule type="expression" dxfId="188" priority="2">
      <formula>S4&lt;S6</formula>
    </cfRule>
  </conditionalFormatting>
  <conditionalFormatting sqref="C5">
    <cfRule type="expression" dxfId="187" priority="3">
      <formula>S4&gt;=S5</formula>
    </cfRule>
  </conditionalFormatting>
  <conditionalFormatting sqref="C4">
    <cfRule type="expression" dxfId="186" priority="1">
      <formula>AND(S4&gt;=S6,S4&lt;S5)</formula>
    </cfRule>
  </conditionalFormatting>
  <hyperlinks>
    <hyperlink ref="L1" location="Dashboard!A1" display="Dashboard"/>
  </hyperlinks>
  <pageMargins left="0.7" right="0.7" top="0.75" bottom="0.75" header="0.3" footer="0.3"/>
  <pageSetup orientation="portrait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42433" r:id="rId4" name="Spinner 1">
              <controlPr defaultSize="0" autoPict="0">
                <anchor moveWithCells="1" sizeWithCells="1">
                  <from>
                    <xdr:col>9</xdr:col>
                    <xdr:colOff>19050</xdr:colOff>
                    <xdr:row>0</xdr:row>
                    <xdr:rowOff>38100</xdr:rowOff>
                  </from>
                  <to>
                    <xdr:col>9</xdr:col>
                    <xdr:colOff>400050</xdr:colOff>
                    <xdr:row>1</xdr:row>
                    <xdr:rowOff>152400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13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107">
    <tabColor rgb="FFFFC000"/>
  </sheetPr>
  <dimension ref="A1:S30"/>
  <sheetViews>
    <sheetView zoomScale="90" zoomScaleNormal="90" workbookViewId="0">
      <selection activeCell="L1" sqref="L1"/>
    </sheetView>
  </sheetViews>
  <sheetFormatPr defaultColWidth="9.1796875" defaultRowHeight="14.5" x14ac:dyDescent="0.35"/>
  <cols>
    <col min="1" max="1" width="9.1796875" style="3"/>
    <col min="2" max="2" width="5.7265625" style="3" bestFit="1" customWidth="1"/>
    <col min="3" max="3" width="6.26953125" style="3" customWidth="1"/>
    <col min="4" max="4" width="21.26953125" style="3" bestFit="1" customWidth="1"/>
    <col min="5" max="16" width="11.1796875" style="3" customWidth="1"/>
    <col min="17" max="17" width="12" style="3" bestFit="1" customWidth="1"/>
    <col min="18" max="18" width="9.1796875" style="3" customWidth="1"/>
    <col min="19" max="16384" width="9.1796875" style="3"/>
  </cols>
  <sheetData>
    <row r="1" spans="1:19" ht="21" x14ac:dyDescent="0.5">
      <c r="A1" s="4" t="s">
        <v>4</v>
      </c>
      <c r="B1" s="4">
        <f>Dashboard!A150</f>
        <v>1</v>
      </c>
      <c r="C1" s="4" t="str">
        <f>Dashboard!B150</f>
        <v>CBD - KSH/M3</v>
      </c>
      <c r="D1" s="4"/>
      <c r="G1" s="3" t="s">
        <v>9</v>
      </c>
      <c r="I1" s="12">
        <f>INDEX($E$18:$P$18,Actual_month)</f>
        <v>46054</v>
      </c>
      <c r="L1" s="16" t="s">
        <v>19</v>
      </c>
      <c r="R1" s="5"/>
    </row>
    <row r="2" spans="1:19" x14ac:dyDescent="0.35">
      <c r="A2" s="3" t="s">
        <v>13</v>
      </c>
      <c r="C2" s="3" t="s">
        <v>27</v>
      </c>
      <c r="R2" s="6"/>
    </row>
    <row r="3" spans="1:19" ht="25.5" customHeight="1" thickBot="1" x14ac:dyDescent="0.4">
      <c r="C3" s="1" t="s">
        <v>5</v>
      </c>
      <c r="E3" s="10"/>
      <c r="F3" s="10"/>
      <c r="G3" s="10"/>
      <c r="H3" s="10"/>
      <c r="I3" s="10"/>
      <c r="J3" s="3" t="s">
        <v>6</v>
      </c>
      <c r="K3" s="10"/>
      <c r="M3" s="10"/>
      <c r="N3" s="10"/>
      <c r="O3" s="10"/>
      <c r="P3" s="10"/>
    </row>
    <row r="4" spans="1:19" ht="25.5" customHeight="1" x14ac:dyDescent="0.35">
      <c r="C4" s="1" t="s">
        <v>5</v>
      </c>
      <c r="E4" s="10"/>
      <c r="F4" s="10"/>
      <c r="G4" s="10"/>
      <c r="H4" s="10"/>
      <c r="I4" s="10"/>
      <c r="J4" s="401"/>
      <c r="K4" s="402"/>
      <c r="L4" s="402"/>
      <c r="M4" s="402"/>
      <c r="N4" s="402"/>
      <c r="O4" s="402"/>
      <c r="P4" s="402"/>
      <c r="Q4" s="403"/>
      <c r="R4" s="3" t="s">
        <v>22</v>
      </c>
      <c r="S4" s="5">
        <f>INDEX(E27:P27,Actual_month)</f>
        <v>132.47044875835726</v>
      </c>
    </row>
    <row r="5" spans="1:19" ht="25.5" customHeight="1" x14ac:dyDescent="0.35">
      <c r="C5" s="1" t="s">
        <v>5</v>
      </c>
      <c r="E5" s="10"/>
      <c r="F5" s="10"/>
      <c r="G5" s="10"/>
      <c r="H5" s="10"/>
      <c r="I5" s="10"/>
      <c r="J5" s="404"/>
      <c r="K5" s="405"/>
      <c r="L5" s="405"/>
      <c r="M5" s="405"/>
      <c r="N5" s="405"/>
      <c r="O5" s="405"/>
      <c r="P5" s="405"/>
      <c r="Q5" s="406"/>
      <c r="R5" s="3" t="s">
        <v>23</v>
      </c>
      <c r="S5" s="5">
        <f>INDEX(E26:P26,Actual_month)</f>
        <v>132.21627718912831</v>
      </c>
    </row>
    <row r="6" spans="1:19" x14ac:dyDescent="0.35">
      <c r="J6" s="404"/>
      <c r="K6" s="405"/>
      <c r="L6" s="405"/>
      <c r="M6" s="405"/>
      <c r="N6" s="405"/>
      <c r="O6" s="405"/>
      <c r="P6" s="405"/>
      <c r="Q6" s="406"/>
      <c r="R6" s="6">
        <v>0.9</v>
      </c>
      <c r="S6" s="5">
        <f>+S5*R6</f>
        <v>118.99464947021548</v>
      </c>
    </row>
    <row r="7" spans="1:19" x14ac:dyDescent="0.35">
      <c r="J7" s="404"/>
      <c r="K7" s="405"/>
      <c r="L7" s="405"/>
      <c r="M7" s="405"/>
      <c r="N7" s="405"/>
      <c r="O7" s="405"/>
      <c r="P7" s="405"/>
      <c r="Q7" s="406"/>
    </row>
    <row r="8" spans="1:19" ht="15" thickBot="1" x14ac:dyDescent="0.4">
      <c r="J8" s="407"/>
      <c r="K8" s="408"/>
      <c r="L8" s="408"/>
      <c r="M8" s="408"/>
      <c r="N8" s="408"/>
      <c r="O8" s="408"/>
      <c r="P8" s="408"/>
      <c r="Q8" s="409"/>
    </row>
    <row r="9" spans="1:19" ht="15" thickBot="1" x14ac:dyDescent="0.4">
      <c r="J9" s="3" t="s">
        <v>12</v>
      </c>
    </row>
    <row r="10" spans="1:19" x14ac:dyDescent="0.35">
      <c r="J10" s="401"/>
      <c r="K10" s="402"/>
      <c r="L10" s="402"/>
      <c r="M10" s="402"/>
      <c r="N10" s="402"/>
      <c r="O10" s="402"/>
      <c r="P10" s="402"/>
      <c r="Q10" s="403"/>
    </row>
    <row r="11" spans="1:19" x14ac:dyDescent="0.35">
      <c r="J11" s="404"/>
      <c r="K11" s="405"/>
      <c r="L11" s="405"/>
      <c r="M11" s="405"/>
      <c r="N11" s="405"/>
      <c r="O11" s="405"/>
      <c r="P11" s="405"/>
      <c r="Q11" s="406"/>
    </row>
    <row r="12" spans="1:19" x14ac:dyDescent="0.35">
      <c r="J12" s="404"/>
      <c r="K12" s="405"/>
      <c r="L12" s="405"/>
      <c r="M12" s="405"/>
      <c r="N12" s="405"/>
      <c r="O12" s="405"/>
      <c r="P12" s="405"/>
      <c r="Q12" s="406"/>
    </row>
    <row r="13" spans="1:19" x14ac:dyDescent="0.35">
      <c r="J13" s="404"/>
      <c r="K13" s="405"/>
      <c r="L13" s="405"/>
      <c r="M13" s="405"/>
      <c r="N13" s="405"/>
      <c r="O13" s="405"/>
      <c r="P13" s="405"/>
      <c r="Q13" s="406"/>
    </row>
    <row r="14" spans="1:19" x14ac:dyDescent="0.35">
      <c r="J14" s="404"/>
      <c r="K14" s="405"/>
      <c r="L14" s="405"/>
      <c r="M14" s="405"/>
      <c r="N14" s="405"/>
      <c r="O14" s="405"/>
      <c r="P14" s="405"/>
      <c r="Q14" s="406"/>
    </row>
    <row r="15" spans="1:19" ht="15" thickBot="1" x14ac:dyDescent="0.4">
      <c r="J15" s="407"/>
      <c r="K15" s="408"/>
      <c r="L15" s="408"/>
      <c r="M15" s="408"/>
      <c r="N15" s="408"/>
      <c r="O15" s="408"/>
      <c r="P15" s="408"/>
      <c r="Q15" s="409"/>
    </row>
    <row r="18" spans="3:17" x14ac:dyDescent="0.35">
      <c r="C18" s="7" t="s">
        <v>8</v>
      </c>
      <c r="E18" s="11">
        <v>45839</v>
      </c>
      <c r="F18" s="11">
        <v>45870</v>
      </c>
      <c r="G18" s="11">
        <v>45901</v>
      </c>
      <c r="H18" s="11">
        <v>45931</v>
      </c>
      <c r="I18" s="11">
        <v>45962</v>
      </c>
      <c r="J18" s="11">
        <v>45992</v>
      </c>
      <c r="K18" s="11">
        <v>46023</v>
      </c>
      <c r="L18" s="11">
        <v>46054</v>
      </c>
      <c r="M18" s="11">
        <v>46082</v>
      </c>
      <c r="N18" s="11">
        <v>46113</v>
      </c>
      <c r="O18" s="11">
        <v>46143</v>
      </c>
      <c r="P18" s="11">
        <v>46174</v>
      </c>
      <c r="Q18" s="8" t="s">
        <v>0</v>
      </c>
    </row>
    <row r="19" spans="3:17" x14ac:dyDescent="0.35">
      <c r="D19" s="3" t="s">
        <v>501</v>
      </c>
      <c r="E19" s="49">
        <f>'budget 2025-26'!D141</f>
        <v>132.21627718912831</v>
      </c>
      <c r="F19" s="49">
        <f>'budget 2025-26'!E141</f>
        <v>132.21627718912831</v>
      </c>
      <c r="G19" s="49">
        <f>'budget 2025-26'!F141</f>
        <v>132.21627718912831</v>
      </c>
      <c r="H19" s="49">
        <f>'budget 2025-26'!G141</f>
        <v>132.21627718912831</v>
      </c>
      <c r="I19" s="49">
        <f>'budget 2025-26'!H141</f>
        <v>132.21627718912831</v>
      </c>
      <c r="J19" s="49">
        <f>'budget 2025-26'!I141</f>
        <v>132.21627718912831</v>
      </c>
      <c r="K19" s="49">
        <f>'budget 2025-26'!J141</f>
        <v>132.21627718912831</v>
      </c>
      <c r="L19" s="49">
        <f>'budget 2025-26'!K141</f>
        <v>132.21627718912831</v>
      </c>
      <c r="M19" s="49">
        <f>'budget 2025-26'!L141</f>
        <v>132.21627718912831</v>
      </c>
      <c r="N19" s="49">
        <f>'budget 2025-26'!M141</f>
        <v>132.21627718912831</v>
      </c>
      <c r="O19" s="49">
        <f>'budget 2025-26'!N141</f>
        <v>132.21627718912831</v>
      </c>
      <c r="P19" s="49">
        <f>'budget 2025-26'!O141</f>
        <v>132.21627718912831</v>
      </c>
      <c r="Q19" s="5">
        <f>SUM(E19:P19)</f>
        <v>1586.5953262695396</v>
      </c>
    </row>
    <row r="20" spans="3:17" x14ac:dyDescent="0.35">
      <c r="D20" s="3" t="s">
        <v>502</v>
      </c>
      <c r="E20" s="49">
        <f>'Input Actual2025-26'!E144</f>
        <v>130.71120689655172</v>
      </c>
      <c r="F20" s="49">
        <f>'Input Actual2025-26'!F144</f>
        <v>133.36856307623117</v>
      </c>
      <c r="G20" s="49">
        <f>'Input Actual2025-26'!G144</f>
        <v>132.23316314125941</v>
      </c>
      <c r="H20" s="49">
        <f>'Input Actual2025-26'!H144</f>
        <v>132.30631409860374</v>
      </c>
      <c r="I20" s="49">
        <f>'Input Actual2025-26'!I144</f>
        <v>131.90297684674752</v>
      </c>
      <c r="J20" s="49">
        <f>'Input Actual2025-26'!J144</f>
        <v>131.57649177375788</v>
      </c>
      <c r="K20" s="49">
        <f>'Input Actual2025-26'!K144</f>
        <v>135.16598105806946</v>
      </c>
      <c r="L20" s="49">
        <f>'Input Actual2025-26'!L144</f>
        <v>132.49889317563722</v>
      </c>
      <c r="M20" s="49" t="e">
        <f>'Input Actual2025-26'!M144</f>
        <v>#DIV/0!</v>
      </c>
      <c r="N20" s="49" t="e">
        <f>'Input Actual2025-26'!N144</f>
        <v>#DIV/0!</v>
      </c>
      <c r="O20" s="49" t="e">
        <f>'Input Actual2025-26'!O144</f>
        <v>#DIV/0!</v>
      </c>
      <c r="P20" s="49" t="e">
        <f>'Input Actual2025-26'!P144</f>
        <v>#DIV/0!</v>
      </c>
      <c r="Q20" s="5" t="e">
        <f t="shared" ref="Q20:Q22" si="0">SUM(E20:P20)</f>
        <v>#DIV/0!</v>
      </c>
    </row>
    <row r="21" spans="3:17" x14ac:dyDescent="0.35">
      <c r="D21" s="3" t="s">
        <v>424</v>
      </c>
      <c r="E21" s="49">
        <f>'Input Actual2024-25'!E133</f>
        <v>87.362160046957541</v>
      </c>
      <c r="F21" s="49">
        <f>'Input Actual2024-25'!F133</f>
        <v>89.31283097969991</v>
      </c>
      <c r="G21" s="49">
        <f>'Input Actual2024-25'!G133</f>
        <v>85.782186604117797</v>
      </c>
      <c r="H21" s="49">
        <f>'Input Actual2024-25'!H133</f>
        <v>87.96234382230449</v>
      </c>
      <c r="I21" s="49">
        <f>'Input Actual2024-25'!I133</f>
        <v>86.86388483965014</v>
      </c>
      <c r="J21" s="49">
        <f>'Input Actual2024-25'!J133</f>
        <v>82.68724785125417</v>
      </c>
      <c r="K21" s="49">
        <f>'Input Actual2024-25'!K133</f>
        <v>90.680391885022416</v>
      </c>
      <c r="L21" s="49">
        <f>'Input Actual2024-25'!L133</f>
        <v>86.422753562697508</v>
      </c>
      <c r="M21" s="49">
        <f>'Input Actual2024-25'!M133</f>
        <v>87.14096342762457</v>
      </c>
      <c r="N21" s="49">
        <f>'Input Actual2024-25'!N133</f>
        <v>132.0766428282283</v>
      </c>
      <c r="O21" s="49">
        <f>'Input Actual2024-25'!O133</f>
        <v>132.0745190771394</v>
      </c>
      <c r="P21" s="49">
        <f>'Input Actual2024-25'!P133</f>
        <v>132.35803530111721</v>
      </c>
      <c r="Q21" s="5">
        <f t="shared" si="0"/>
        <v>1180.7239602258135</v>
      </c>
    </row>
    <row r="22" spans="3:17" x14ac:dyDescent="0.35">
      <c r="D22" s="3" t="s">
        <v>7</v>
      </c>
      <c r="E22" s="5">
        <f t="shared" ref="E22:P22" si="1">IF(E20=0,0,E20-E19)</f>
        <v>-1.5050702925765904</v>
      </c>
      <c r="F22" s="5">
        <f t="shared" si="1"/>
        <v>1.1522858871028632</v>
      </c>
      <c r="G22" s="5">
        <f t="shared" si="1"/>
        <v>1.6885952131104887E-2</v>
      </c>
      <c r="H22" s="5">
        <f t="shared" si="1"/>
        <v>9.0036909475429638E-2</v>
      </c>
      <c r="I22" s="5">
        <f t="shared" si="1"/>
        <v>-0.31330034238078497</v>
      </c>
      <c r="J22" s="5">
        <f t="shared" si="1"/>
        <v>-0.63978541537042588</v>
      </c>
      <c r="K22" s="5">
        <f t="shared" si="1"/>
        <v>2.9497038689411568</v>
      </c>
      <c r="L22" s="5">
        <f t="shared" si="1"/>
        <v>0.28261598650891528</v>
      </c>
      <c r="M22" s="5" t="e">
        <f t="shared" si="1"/>
        <v>#DIV/0!</v>
      </c>
      <c r="N22" s="5" t="e">
        <f t="shared" si="1"/>
        <v>#DIV/0!</v>
      </c>
      <c r="O22" s="5" t="e">
        <f t="shared" si="1"/>
        <v>#DIV/0!</v>
      </c>
      <c r="P22" s="5" t="e">
        <f t="shared" si="1"/>
        <v>#DIV/0!</v>
      </c>
      <c r="Q22" s="5" t="e">
        <f t="shared" si="0"/>
        <v>#DIV/0!</v>
      </c>
    </row>
    <row r="23" spans="3:17" x14ac:dyDescent="0.35">
      <c r="D23" s="3" t="s">
        <v>43</v>
      </c>
      <c r="E23" s="9">
        <f>E21/E19</f>
        <v>0.66075192785825188</v>
      </c>
      <c r="F23" s="9">
        <f t="shared" ref="F23:P23" si="2">F20/F19</f>
        <v>1.0087151590681576</v>
      </c>
      <c r="G23" s="9">
        <f t="shared" si="2"/>
        <v>1.0001277146240244</v>
      </c>
      <c r="H23" s="9">
        <f t="shared" si="2"/>
        <v>1.0006809820348113</v>
      </c>
      <c r="I23" s="9">
        <f t="shared" si="2"/>
        <v>0.99763039506903806</v>
      </c>
      <c r="J23" s="9">
        <f t="shared" si="2"/>
        <v>0.99516106920439718</v>
      </c>
      <c r="K23" s="9">
        <f t="shared" si="2"/>
        <v>1.0223096878209765</v>
      </c>
      <c r="L23" s="9">
        <f t="shared" si="2"/>
        <v>1.0021375279392011</v>
      </c>
      <c r="M23" s="9" t="e">
        <f t="shared" si="2"/>
        <v>#DIV/0!</v>
      </c>
      <c r="N23" s="9" t="e">
        <f t="shared" si="2"/>
        <v>#DIV/0!</v>
      </c>
      <c r="O23" s="9" t="e">
        <f t="shared" si="2"/>
        <v>#DIV/0!</v>
      </c>
      <c r="P23" s="9" t="e">
        <f t="shared" si="2"/>
        <v>#DIV/0!</v>
      </c>
    </row>
    <row r="25" spans="3:17" x14ac:dyDescent="0.35">
      <c r="C25" s="7" t="s">
        <v>3</v>
      </c>
      <c r="E25" s="11">
        <f>E18</f>
        <v>45839</v>
      </c>
      <c r="F25" s="11">
        <f t="shared" ref="F25:P25" si="3">F18</f>
        <v>45870</v>
      </c>
      <c r="G25" s="11">
        <f t="shared" si="3"/>
        <v>45901</v>
      </c>
      <c r="H25" s="11">
        <f t="shared" si="3"/>
        <v>45931</v>
      </c>
      <c r="I25" s="11">
        <f t="shared" si="3"/>
        <v>45962</v>
      </c>
      <c r="J25" s="11">
        <f t="shared" si="3"/>
        <v>45992</v>
      </c>
      <c r="K25" s="11">
        <f t="shared" si="3"/>
        <v>46023</v>
      </c>
      <c r="L25" s="11">
        <f t="shared" si="3"/>
        <v>46054</v>
      </c>
      <c r="M25" s="11">
        <f t="shared" si="3"/>
        <v>46082</v>
      </c>
      <c r="N25" s="11">
        <f t="shared" si="3"/>
        <v>46113</v>
      </c>
      <c r="O25" s="11">
        <f t="shared" si="3"/>
        <v>46143</v>
      </c>
      <c r="P25" s="11">
        <f t="shared" si="3"/>
        <v>46174</v>
      </c>
    </row>
    <row r="26" spans="3:17" x14ac:dyDescent="0.35">
      <c r="D26" s="3" t="str">
        <f>D19</f>
        <v>Budget 2025-26</v>
      </c>
      <c r="E26" s="5">
        <f>AVERAGE($E19:E19)</f>
        <v>132.21627718912831</v>
      </c>
      <c r="F26" s="5">
        <f>AVERAGE($E19:F19)</f>
        <v>132.21627718912831</v>
      </c>
      <c r="G26" s="5">
        <f>AVERAGE($E19:G19)</f>
        <v>132.21627718912831</v>
      </c>
      <c r="H26" s="5">
        <f>AVERAGE($E19:H19)</f>
        <v>132.21627718912831</v>
      </c>
      <c r="I26" s="5">
        <f>AVERAGE($E19:I19)</f>
        <v>132.21627718912831</v>
      </c>
      <c r="J26" s="5">
        <f>AVERAGE($E19:J19)</f>
        <v>132.21627718912831</v>
      </c>
      <c r="K26" s="5">
        <f>AVERAGE($E19:K19)</f>
        <v>132.21627718912831</v>
      </c>
      <c r="L26" s="5">
        <f>AVERAGE($E19:L19)</f>
        <v>132.21627718912831</v>
      </c>
      <c r="M26" s="5">
        <f>AVERAGE($E19:M19)</f>
        <v>132.21627718912831</v>
      </c>
      <c r="N26" s="5">
        <f>AVERAGE($E19:N19)</f>
        <v>132.21627718912831</v>
      </c>
      <c r="O26" s="5">
        <f>AVERAGE($E19:O19)</f>
        <v>132.21627718912831</v>
      </c>
      <c r="P26" s="5">
        <f>AVERAGE($E19:P19)</f>
        <v>132.21627718912831</v>
      </c>
    </row>
    <row r="27" spans="3:17" x14ac:dyDescent="0.35">
      <c r="D27" s="3" t="str">
        <f t="shared" ref="D27:D30" si="4">D20</f>
        <v>Actual 2025-26</v>
      </c>
      <c r="E27" s="5">
        <f>AVERAGE($E20:E20)</f>
        <v>130.71120689655172</v>
      </c>
      <c r="F27" s="5">
        <f>AVERAGE($E20:F20)</f>
        <v>132.03988498639143</v>
      </c>
      <c r="G27" s="5">
        <f>AVERAGE($E20:G20)</f>
        <v>132.10431103801409</v>
      </c>
      <c r="H27" s="5">
        <f>AVERAGE($E20:H20)</f>
        <v>132.15481180316149</v>
      </c>
      <c r="I27" s="5">
        <f>AVERAGE($E20:I20)</f>
        <v>132.10444481187869</v>
      </c>
      <c r="J27" s="5">
        <f>AVERAGE($E20:J20)</f>
        <v>132.01645263885857</v>
      </c>
      <c r="K27" s="5">
        <f>AVERAGE($E20:K20)</f>
        <v>132.46638527017441</v>
      </c>
      <c r="L27" s="5">
        <f>AVERAGE($E20:L20)</f>
        <v>132.47044875835726</v>
      </c>
      <c r="M27" s="5" t="e">
        <f>AVERAGE($E20:M20)</f>
        <v>#DIV/0!</v>
      </c>
      <c r="N27" s="5" t="e">
        <f>AVERAGE($E20:N20)</f>
        <v>#DIV/0!</v>
      </c>
      <c r="O27" s="5" t="e">
        <f>AVERAGE($E20:O20)</f>
        <v>#DIV/0!</v>
      </c>
      <c r="P27" s="5" t="e">
        <f>AVERAGE($E20:P20)</f>
        <v>#DIV/0!</v>
      </c>
    </row>
    <row r="28" spans="3:17" x14ac:dyDescent="0.35">
      <c r="D28" s="3" t="str">
        <f t="shared" si="4"/>
        <v>Actual 2024-25</v>
      </c>
      <c r="E28" s="5">
        <f>AVERAGE($E21:E21)</f>
        <v>87.362160046957541</v>
      </c>
      <c r="F28" s="5">
        <f>AVERAGE($E21:F21)</f>
        <v>88.337495513328719</v>
      </c>
      <c r="G28" s="5">
        <f>AVERAGE($E21:G21)</f>
        <v>87.485725876925073</v>
      </c>
      <c r="H28" s="5">
        <f>AVERAGE($E21:H21)</f>
        <v>87.604880363269928</v>
      </c>
      <c r="I28" s="5">
        <f>AVERAGE($E21:I21)</f>
        <v>87.45668125854597</v>
      </c>
      <c r="J28" s="5">
        <f>AVERAGE($E21:J21)</f>
        <v>86.661775690664001</v>
      </c>
      <c r="K28" s="5">
        <f>AVERAGE($E21:K21)</f>
        <v>87.235863718429499</v>
      </c>
      <c r="L28" s="5">
        <f>AVERAGE($E21:L21)</f>
        <v>87.134224948962995</v>
      </c>
      <c r="M28" s="5">
        <f>AVERAGE($E21:M21)</f>
        <v>87.134973668814283</v>
      </c>
      <c r="N28" s="5">
        <f>AVERAGE($E21:N21)</f>
        <v>91.629140584755675</v>
      </c>
      <c r="O28" s="5">
        <f>AVERAGE($E21:O21)</f>
        <v>95.305993174972386</v>
      </c>
      <c r="P28" s="5">
        <f>AVERAGE($E21:P21)</f>
        <v>98.393663352151123</v>
      </c>
    </row>
    <row r="29" spans="3:17" x14ac:dyDescent="0.35">
      <c r="D29" s="3" t="str">
        <f t="shared" si="4"/>
        <v>Difference</v>
      </c>
      <c r="E29" s="5">
        <f>SUM($E22:E22)</f>
        <v>-1.5050702925765904</v>
      </c>
      <c r="F29" s="5">
        <f>SUM($E22:F22)</f>
        <v>-0.35278440547372725</v>
      </c>
      <c r="G29" s="5">
        <f>SUM($E22:G22)</f>
        <v>-0.33589845334262236</v>
      </c>
      <c r="H29" s="5">
        <f>SUM($E22:H22)</f>
        <v>-0.24586154386719272</v>
      </c>
      <c r="I29" s="5">
        <f>SUM($E22:I22)</f>
        <v>-0.55916188624797769</v>
      </c>
      <c r="J29" s="5">
        <f>SUM($E22:J22)</f>
        <v>-1.1989473016184036</v>
      </c>
      <c r="K29" s="5">
        <f>SUM($E22:K22)</f>
        <v>1.7507565673227532</v>
      </c>
      <c r="L29" s="5">
        <f>SUM($E22:L22)</f>
        <v>2.0333725538316685</v>
      </c>
      <c r="M29" s="5" t="e">
        <f>SUM($E22:M22)</f>
        <v>#DIV/0!</v>
      </c>
      <c r="N29" s="5" t="e">
        <f>SUM($E22:N22)</f>
        <v>#DIV/0!</v>
      </c>
      <c r="O29" s="5" t="e">
        <f>SUM($E22:O22)</f>
        <v>#DIV/0!</v>
      </c>
      <c r="P29" s="5" t="e">
        <f>SUM($E22:P22)</f>
        <v>#DIV/0!</v>
      </c>
    </row>
    <row r="30" spans="3:17" x14ac:dyDescent="0.35">
      <c r="D30" s="3" t="str">
        <f t="shared" si="4"/>
        <v>Realisation</v>
      </c>
      <c r="E30" s="9">
        <f>E28/E26</f>
        <v>0.66075192785825188</v>
      </c>
      <c r="F30" s="9">
        <f t="shared" ref="F30:P30" si="5">F27/F26</f>
        <v>0.99866588133861489</v>
      </c>
      <c r="G30" s="9">
        <f t="shared" si="5"/>
        <v>0.99915315910041802</v>
      </c>
      <c r="H30" s="9">
        <f t="shared" si="5"/>
        <v>0.99953511483401636</v>
      </c>
      <c r="I30" s="9">
        <f t="shared" si="5"/>
        <v>0.99915417088102065</v>
      </c>
      <c r="J30" s="9">
        <f t="shared" si="5"/>
        <v>0.99848865393491681</v>
      </c>
      <c r="K30" s="9">
        <f t="shared" si="5"/>
        <v>1.0018916587757825</v>
      </c>
      <c r="L30" s="9">
        <f t="shared" si="5"/>
        <v>1.0019223924212097</v>
      </c>
      <c r="M30" s="9" t="e">
        <f t="shared" si="5"/>
        <v>#DIV/0!</v>
      </c>
      <c r="N30" s="9" t="e">
        <f t="shared" si="5"/>
        <v>#DIV/0!</v>
      </c>
      <c r="O30" s="9" t="e">
        <f t="shared" si="5"/>
        <v>#DIV/0!</v>
      </c>
      <c r="P30" s="9" t="e">
        <f t="shared" si="5"/>
        <v>#DIV/0!</v>
      </c>
    </row>
  </sheetData>
  <mergeCells count="2">
    <mergeCell ref="J4:Q8"/>
    <mergeCell ref="J10:Q15"/>
  </mergeCells>
  <conditionalFormatting sqref="C3">
    <cfRule type="expression" dxfId="185" priority="2">
      <formula>S4&lt;S6</formula>
    </cfRule>
  </conditionalFormatting>
  <conditionalFormatting sqref="C5">
    <cfRule type="expression" dxfId="184" priority="3">
      <formula>S4&gt;=S5</formula>
    </cfRule>
  </conditionalFormatting>
  <conditionalFormatting sqref="C4">
    <cfRule type="expression" dxfId="183" priority="1">
      <formula>AND(S4&gt;=S6,S4&lt;S5)</formula>
    </cfRule>
  </conditionalFormatting>
  <hyperlinks>
    <hyperlink ref="L1" location="Dashboard!A1" display="Dashboard"/>
  </hyperlinks>
  <pageMargins left="0.7" right="0.7" top="0.75" bottom="0.75" header="0.3" footer="0.3"/>
  <pageSetup orientation="portrait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43457" r:id="rId4" name="Spinner 1">
              <controlPr defaultSize="0" autoPict="0">
                <anchor moveWithCells="1" sizeWithCells="1">
                  <from>
                    <xdr:col>9</xdr:col>
                    <xdr:colOff>19050</xdr:colOff>
                    <xdr:row>0</xdr:row>
                    <xdr:rowOff>38100</xdr:rowOff>
                  </from>
                  <to>
                    <xdr:col>9</xdr:col>
                    <xdr:colOff>400050</xdr:colOff>
                    <xdr:row>1</xdr:row>
                    <xdr:rowOff>152400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13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108">
    <tabColor rgb="FFFFC000"/>
  </sheetPr>
  <dimension ref="A1:S30"/>
  <sheetViews>
    <sheetView zoomScale="90" zoomScaleNormal="90" workbookViewId="0">
      <selection activeCell="L1" sqref="L1"/>
    </sheetView>
  </sheetViews>
  <sheetFormatPr defaultColWidth="9.1796875" defaultRowHeight="14.5" x14ac:dyDescent="0.35"/>
  <cols>
    <col min="1" max="1" width="9.1796875" style="3"/>
    <col min="2" max="2" width="5.7265625" style="3" bestFit="1" customWidth="1"/>
    <col min="3" max="3" width="6.26953125" style="3" customWidth="1"/>
    <col min="4" max="4" width="21.26953125" style="3" bestFit="1" customWidth="1"/>
    <col min="5" max="16" width="11.1796875" style="3" customWidth="1"/>
    <col min="17" max="17" width="12" style="3" bestFit="1" customWidth="1"/>
    <col min="18" max="18" width="9.1796875" style="3" customWidth="1"/>
    <col min="19" max="16384" width="9.1796875" style="3"/>
  </cols>
  <sheetData>
    <row r="1" spans="1:19" ht="21" x14ac:dyDescent="0.5">
      <c r="A1" s="4" t="s">
        <v>4</v>
      </c>
      <c r="B1" s="4">
        <f>Dashboard!A151</f>
        <v>2</v>
      </c>
      <c r="C1" s="4" t="str">
        <f>Dashboard!B151</f>
        <v>CCCR - KSH/M3</v>
      </c>
      <c r="D1" s="4"/>
      <c r="G1" s="3" t="s">
        <v>9</v>
      </c>
      <c r="I1" s="12">
        <f>INDEX($E$18:$P$18,Actual_month)</f>
        <v>46054</v>
      </c>
      <c r="L1" s="16" t="s">
        <v>19</v>
      </c>
      <c r="R1" s="5"/>
    </row>
    <row r="2" spans="1:19" x14ac:dyDescent="0.35">
      <c r="A2" s="3" t="s">
        <v>13</v>
      </c>
      <c r="C2" s="3" t="s">
        <v>27</v>
      </c>
      <c r="R2" s="6"/>
    </row>
    <row r="3" spans="1:19" ht="25.5" customHeight="1" thickBot="1" x14ac:dyDescent="0.4">
      <c r="C3" s="1" t="s">
        <v>5</v>
      </c>
      <c r="E3" s="10"/>
      <c r="F3" s="10"/>
      <c r="G3" s="10"/>
      <c r="H3" s="10"/>
      <c r="I3" s="10"/>
      <c r="J3" s="3" t="s">
        <v>6</v>
      </c>
      <c r="K3" s="10"/>
      <c r="M3" s="10"/>
      <c r="N3" s="10"/>
      <c r="O3" s="10"/>
      <c r="P3" s="10"/>
    </row>
    <row r="4" spans="1:19" ht="25.5" customHeight="1" x14ac:dyDescent="0.35">
      <c r="C4" s="1" t="s">
        <v>5</v>
      </c>
      <c r="E4" s="10"/>
      <c r="F4" s="10"/>
      <c r="G4" s="10"/>
      <c r="H4" s="10"/>
      <c r="I4" s="10"/>
      <c r="J4" s="401"/>
      <c r="K4" s="402"/>
      <c r="L4" s="402"/>
      <c r="M4" s="402"/>
      <c r="N4" s="402"/>
      <c r="O4" s="402"/>
      <c r="P4" s="402"/>
      <c r="Q4" s="403"/>
      <c r="R4" s="3" t="s">
        <v>22</v>
      </c>
      <c r="S4" s="5">
        <f>INDEX(E27:P27,Actual_month)</f>
        <v>131.89016577045197</v>
      </c>
    </row>
    <row r="5" spans="1:19" ht="25.5" customHeight="1" x14ac:dyDescent="0.35">
      <c r="C5" s="1" t="s">
        <v>5</v>
      </c>
      <c r="E5" s="10"/>
      <c r="F5" s="10"/>
      <c r="G5" s="10"/>
      <c r="H5" s="10"/>
      <c r="I5" s="10"/>
      <c r="J5" s="404"/>
      <c r="K5" s="405"/>
      <c r="L5" s="405"/>
      <c r="M5" s="405"/>
      <c r="N5" s="405"/>
      <c r="O5" s="405"/>
      <c r="P5" s="405"/>
      <c r="Q5" s="406"/>
      <c r="R5" s="3" t="s">
        <v>23</v>
      </c>
      <c r="S5" s="5">
        <f>INDEX(E26:P26,Actual_month)</f>
        <v>134.9971969586137</v>
      </c>
    </row>
    <row r="6" spans="1:19" x14ac:dyDescent="0.35">
      <c r="J6" s="404"/>
      <c r="K6" s="405"/>
      <c r="L6" s="405"/>
      <c r="M6" s="405"/>
      <c r="N6" s="405"/>
      <c r="O6" s="405"/>
      <c r="P6" s="405"/>
      <c r="Q6" s="406"/>
      <c r="R6" s="6">
        <v>0.9</v>
      </c>
      <c r="S6" s="5">
        <f>+S5*R6</f>
        <v>121.49747726275233</v>
      </c>
    </row>
    <row r="7" spans="1:19" x14ac:dyDescent="0.35">
      <c r="J7" s="404"/>
      <c r="K7" s="405"/>
      <c r="L7" s="405"/>
      <c r="M7" s="405"/>
      <c r="N7" s="405"/>
      <c r="O7" s="405"/>
      <c r="P7" s="405"/>
      <c r="Q7" s="406"/>
    </row>
    <row r="8" spans="1:19" ht="15" thickBot="1" x14ac:dyDescent="0.4">
      <c r="J8" s="407"/>
      <c r="K8" s="408"/>
      <c r="L8" s="408"/>
      <c r="M8" s="408"/>
      <c r="N8" s="408"/>
      <c r="O8" s="408"/>
      <c r="P8" s="408"/>
      <c r="Q8" s="409"/>
    </row>
    <row r="9" spans="1:19" ht="15" thickBot="1" x14ac:dyDescent="0.4">
      <c r="J9" s="3" t="s">
        <v>12</v>
      </c>
    </row>
    <row r="10" spans="1:19" x14ac:dyDescent="0.35">
      <c r="J10" s="401"/>
      <c r="K10" s="402"/>
      <c r="L10" s="402"/>
      <c r="M10" s="402"/>
      <c r="N10" s="402"/>
      <c r="O10" s="402"/>
      <c r="P10" s="402"/>
      <c r="Q10" s="403"/>
    </row>
    <row r="11" spans="1:19" x14ac:dyDescent="0.35">
      <c r="J11" s="404"/>
      <c r="K11" s="405"/>
      <c r="L11" s="405"/>
      <c r="M11" s="405"/>
      <c r="N11" s="405"/>
      <c r="O11" s="405"/>
      <c r="P11" s="405"/>
      <c r="Q11" s="406"/>
    </row>
    <row r="12" spans="1:19" x14ac:dyDescent="0.35">
      <c r="J12" s="404"/>
      <c r="K12" s="405"/>
      <c r="L12" s="405"/>
      <c r="M12" s="405"/>
      <c r="N12" s="405"/>
      <c r="O12" s="405"/>
      <c r="P12" s="405"/>
      <c r="Q12" s="406"/>
    </row>
    <row r="13" spans="1:19" x14ac:dyDescent="0.35">
      <c r="J13" s="404"/>
      <c r="K13" s="405"/>
      <c r="L13" s="405"/>
      <c r="M13" s="405"/>
      <c r="N13" s="405"/>
      <c r="O13" s="405"/>
      <c r="P13" s="405"/>
      <c r="Q13" s="406"/>
    </row>
    <row r="14" spans="1:19" x14ac:dyDescent="0.35">
      <c r="J14" s="404"/>
      <c r="K14" s="405"/>
      <c r="L14" s="405"/>
      <c r="M14" s="405"/>
      <c r="N14" s="405"/>
      <c r="O14" s="405"/>
      <c r="P14" s="405"/>
      <c r="Q14" s="406"/>
    </row>
    <row r="15" spans="1:19" ht="15" thickBot="1" x14ac:dyDescent="0.4">
      <c r="J15" s="407"/>
      <c r="K15" s="408"/>
      <c r="L15" s="408"/>
      <c r="M15" s="408"/>
      <c r="N15" s="408"/>
      <c r="O15" s="408"/>
      <c r="P15" s="408"/>
      <c r="Q15" s="409"/>
    </row>
    <row r="18" spans="3:17" x14ac:dyDescent="0.35">
      <c r="C18" s="7" t="s">
        <v>8</v>
      </c>
      <c r="E18" s="11">
        <v>45839</v>
      </c>
      <c r="F18" s="11">
        <v>45870</v>
      </c>
      <c r="G18" s="11">
        <v>45901</v>
      </c>
      <c r="H18" s="11">
        <v>45931</v>
      </c>
      <c r="I18" s="11">
        <v>45962</v>
      </c>
      <c r="J18" s="11">
        <v>45992</v>
      </c>
      <c r="K18" s="11">
        <v>46023</v>
      </c>
      <c r="L18" s="11">
        <v>46054</v>
      </c>
      <c r="M18" s="11">
        <v>46082</v>
      </c>
      <c r="N18" s="11">
        <v>46113</v>
      </c>
      <c r="O18" s="11">
        <v>46143</v>
      </c>
      <c r="P18" s="11">
        <v>46174</v>
      </c>
      <c r="Q18" s="8" t="s">
        <v>0</v>
      </c>
    </row>
    <row r="19" spans="3:17" x14ac:dyDescent="0.35">
      <c r="D19" s="3" t="s">
        <v>501</v>
      </c>
      <c r="E19" s="49">
        <f>'budget 2025-26'!D142</f>
        <v>134.9971969586137</v>
      </c>
      <c r="F19" s="49">
        <f>'budget 2025-26'!E142</f>
        <v>134.9971969586137</v>
      </c>
      <c r="G19" s="49">
        <f>'budget 2025-26'!F142</f>
        <v>134.9971969586137</v>
      </c>
      <c r="H19" s="49">
        <f>'budget 2025-26'!G142</f>
        <v>134.9971969586137</v>
      </c>
      <c r="I19" s="49">
        <f>'budget 2025-26'!H142</f>
        <v>134.9971969586137</v>
      </c>
      <c r="J19" s="49">
        <f>'budget 2025-26'!I142</f>
        <v>134.9971969586137</v>
      </c>
      <c r="K19" s="49">
        <f>'budget 2025-26'!J142</f>
        <v>134.9971969586137</v>
      </c>
      <c r="L19" s="49">
        <f>'budget 2025-26'!K142</f>
        <v>134.9971969586137</v>
      </c>
      <c r="M19" s="49">
        <f>'budget 2025-26'!L142</f>
        <v>134.9971969586137</v>
      </c>
      <c r="N19" s="49">
        <f>'budget 2025-26'!M142</f>
        <v>134.9971969586137</v>
      </c>
      <c r="O19" s="49">
        <f>'budget 2025-26'!N142</f>
        <v>134.9971969586137</v>
      </c>
      <c r="P19" s="49">
        <f>'budget 2025-26'!O142</f>
        <v>134.9971969586137</v>
      </c>
      <c r="Q19" s="5">
        <f>SUM(E19:P19)</f>
        <v>1619.9663635033639</v>
      </c>
    </row>
    <row r="20" spans="3:17" x14ac:dyDescent="0.35">
      <c r="D20" s="3" t="s">
        <v>502</v>
      </c>
      <c r="E20" s="49">
        <f>'Input Actual2025-26'!E145</f>
        <v>133.19867425426801</v>
      </c>
      <c r="F20" s="49">
        <f>'Input Actual2025-26'!F145</f>
        <v>132.5165476963011</v>
      </c>
      <c r="G20" s="49">
        <f>'Input Actual2025-26'!G145</f>
        <v>128.61847922192749</v>
      </c>
      <c r="H20" s="49">
        <f>'Input Actual2025-26'!H145</f>
        <v>131.55810443706611</v>
      </c>
      <c r="I20" s="49">
        <f>'Input Actual2025-26'!I145</f>
        <v>131.92047321721984</v>
      </c>
      <c r="J20" s="49">
        <f>'Input Actual2025-26'!J145</f>
        <v>131.31672317275093</v>
      </c>
      <c r="K20" s="49">
        <f>'Input Actual2025-26'!K145</f>
        <v>133.36886382104106</v>
      </c>
      <c r="L20" s="49">
        <f>'Input Actual2025-26'!L145</f>
        <v>132.62346034304133</v>
      </c>
      <c r="M20" s="49" t="e">
        <f>'Input Actual2025-26'!M145</f>
        <v>#DIV/0!</v>
      </c>
      <c r="N20" s="49" t="e">
        <f>'Input Actual2025-26'!N145</f>
        <v>#DIV/0!</v>
      </c>
      <c r="O20" s="49" t="e">
        <f>'Input Actual2025-26'!O145</f>
        <v>#DIV/0!</v>
      </c>
      <c r="P20" s="49" t="e">
        <f>'Input Actual2025-26'!P145</f>
        <v>#DIV/0!</v>
      </c>
      <c r="Q20" s="5" t="e">
        <f t="shared" ref="Q20:Q22" si="0">SUM(E20:P20)</f>
        <v>#DIV/0!</v>
      </c>
    </row>
    <row r="21" spans="3:17" x14ac:dyDescent="0.35">
      <c r="D21" s="3" t="s">
        <v>424</v>
      </c>
      <c r="E21" s="49">
        <f>'Input Actual2024-25'!E134</f>
        <v>84.485326457875175</v>
      </c>
      <c r="F21" s="49">
        <f>'Input Actual2024-25'!F134</f>
        <v>98.325497002208905</v>
      </c>
      <c r="G21" s="49">
        <f>'Input Actual2024-25'!G134</f>
        <v>89.44710015153602</v>
      </c>
      <c r="H21" s="49">
        <f>'Input Actual2024-25'!H134</f>
        <v>83.898683867604902</v>
      </c>
      <c r="I21" s="49">
        <f>'Input Actual2024-25'!I134</f>
        <v>85.673701731025304</v>
      </c>
      <c r="J21" s="49">
        <f>'Input Actual2024-25'!J134</f>
        <v>90.990223338416001</v>
      </c>
      <c r="K21" s="49">
        <f>'Input Actual2024-25'!K134</f>
        <v>91.222859593631057</v>
      </c>
      <c r="L21" s="49">
        <f>'Input Actual2024-25'!L134</f>
        <v>88.18380571705427</v>
      </c>
      <c r="M21" s="49">
        <f>'Input Actual2024-25'!M134</f>
        <v>91.293775984348258</v>
      </c>
      <c r="N21" s="49">
        <f>'Input Actual2024-25'!N134</f>
        <v>132.15471147836956</v>
      </c>
      <c r="O21" s="49">
        <f>'Input Actual2024-25'!O134</f>
        <v>135.33896909480157</v>
      </c>
      <c r="P21" s="49">
        <f>'Input Actual2024-25'!P134</f>
        <v>134.65542482242586</v>
      </c>
      <c r="Q21" s="5">
        <f t="shared" si="0"/>
        <v>1205.6700792392969</v>
      </c>
    </row>
    <row r="22" spans="3:17" x14ac:dyDescent="0.35">
      <c r="D22" s="3" t="s">
        <v>7</v>
      </c>
      <c r="E22" s="5">
        <f t="shared" ref="E22:P22" si="1">IF(E20=0,0,E20-E19)</f>
        <v>-1.798522704345686</v>
      </c>
      <c r="F22" s="5">
        <f t="shared" si="1"/>
        <v>-2.4806492623125962</v>
      </c>
      <c r="G22" s="5">
        <f t="shared" si="1"/>
        <v>-6.3787177366862124</v>
      </c>
      <c r="H22" s="5">
        <f t="shared" si="1"/>
        <v>-3.4390925215475932</v>
      </c>
      <c r="I22" s="5">
        <f t="shared" si="1"/>
        <v>-3.0767237413938631</v>
      </c>
      <c r="J22" s="5">
        <f t="shared" si="1"/>
        <v>-3.6804737858627732</v>
      </c>
      <c r="K22" s="5">
        <f t="shared" si="1"/>
        <v>-1.6283331375726391</v>
      </c>
      <c r="L22" s="5">
        <f t="shared" si="1"/>
        <v>-2.3737366155723691</v>
      </c>
      <c r="M22" s="5" t="e">
        <f t="shared" si="1"/>
        <v>#DIV/0!</v>
      </c>
      <c r="N22" s="5" t="e">
        <f t="shared" si="1"/>
        <v>#DIV/0!</v>
      </c>
      <c r="O22" s="5" t="e">
        <f t="shared" si="1"/>
        <v>#DIV/0!</v>
      </c>
      <c r="P22" s="5" t="e">
        <f t="shared" si="1"/>
        <v>#DIV/0!</v>
      </c>
      <c r="Q22" s="5" t="e">
        <f t="shared" si="0"/>
        <v>#DIV/0!</v>
      </c>
    </row>
    <row r="23" spans="3:17" x14ac:dyDescent="0.35">
      <c r="D23" s="3" t="s">
        <v>43</v>
      </c>
      <c r="E23" s="9">
        <f>E21/E19</f>
        <v>0.62583022730298599</v>
      </c>
      <c r="F23" s="9">
        <f t="shared" ref="F23:P23" si="2">F20/F19</f>
        <v>0.98162443874243488</v>
      </c>
      <c r="G23" s="9">
        <f t="shared" si="2"/>
        <v>0.95274925790761611</v>
      </c>
      <c r="H23" s="9">
        <f t="shared" si="2"/>
        <v>0.97452471163085019</v>
      </c>
      <c r="I23" s="9">
        <f t="shared" si="2"/>
        <v>0.97720898055137329</v>
      </c>
      <c r="J23" s="9">
        <f t="shared" si="2"/>
        <v>0.97273666513986135</v>
      </c>
      <c r="K23" s="9">
        <f t="shared" si="2"/>
        <v>0.98793802260892982</v>
      </c>
      <c r="L23" s="9">
        <f t="shared" si="2"/>
        <v>0.98241640071756386</v>
      </c>
      <c r="M23" s="9" t="e">
        <f t="shared" si="2"/>
        <v>#DIV/0!</v>
      </c>
      <c r="N23" s="9" t="e">
        <f t="shared" si="2"/>
        <v>#DIV/0!</v>
      </c>
      <c r="O23" s="9" t="e">
        <f t="shared" si="2"/>
        <v>#DIV/0!</v>
      </c>
      <c r="P23" s="9" t="e">
        <f t="shared" si="2"/>
        <v>#DIV/0!</v>
      </c>
    </row>
    <row r="25" spans="3:17" x14ac:dyDescent="0.35">
      <c r="C25" s="7" t="s">
        <v>3</v>
      </c>
      <c r="E25" s="11">
        <f>E18</f>
        <v>45839</v>
      </c>
      <c r="F25" s="11">
        <f t="shared" ref="F25:P25" si="3">F18</f>
        <v>45870</v>
      </c>
      <c r="G25" s="11">
        <f t="shared" si="3"/>
        <v>45901</v>
      </c>
      <c r="H25" s="11">
        <f t="shared" si="3"/>
        <v>45931</v>
      </c>
      <c r="I25" s="11">
        <f t="shared" si="3"/>
        <v>45962</v>
      </c>
      <c r="J25" s="11">
        <f t="shared" si="3"/>
        <v>45992</v>
      </c>
      <c r="K25" s="11">
        <f t="shared" si="3"/>
        <v>46023</v>
      </c>
      <c r="L25" s="11">
        <f t="shared" si="3"/>
        <v>46054</v>
      </c>
      <c r="M25" s="11">
        <f t="shared" si="3"/>
        <v>46082</v>
      </c>
      <c r="N25" s="11">
        <f t="shared" si="3"/>
        <v>46113</v>
      </c>
      <c r="O25" s="11">
        <f t="shared" si="3"/>
        <v>46143</v>
      </c>
      <c r="P25" s="11">
        <f t="shared" si="3"/>
        <v>46174</v>
      </c>
    </row>
    <row r="26" spans="3:17" x14ac:dyDescent="0.35">
      <c r="D26" s="3" t="str">
        <f>D19</f>
        <v>Budget 2025-26</v>
      </c>
      <c r="E26" s="5">
        <f>AVERAGE($E19:E19)</f>
        <v>134.9971969586137</v>
      </c>
      <c r="F26" s="5">
        <f>AVERAGE($E19:F19)</f>
        <v>134.9971969586137</v>
      </c>
      <c r="G26" s="5">
        <f>AVERAGE($E19:G19)</f>
        <v>134.9971969586137</v>
      </c>
      <c r="H26" s="5">
        <f>AVERAGE($E19:H19)</f>
        <v>134.9971969586137</v>
      </c>
      <c r="I26" s="5">
        <f>AVERAGE($E19:I19)</f>
        <v>134.9971969586137</v>
      </c>
      <c r="J26" s="5">
        <f>AVERAGE($E19:J19)</f>
        <v>134.9971969586137</v>
      </c>
      <c r="K26" s="5">
        <f>AVERAGE($E19:K19)</f>
        <v>134.9971969586137</v>
      </c>
      <c r="L26" s="5">
        <f>AVERAGE($E19:L19)</f>
        <v>134.9971969586137</v>
      </c>
      <c r="M26" s="5">
        <f>AVERAGE($E19:M19)</f>
        <v>134.9971969586137</v>
      </c>
      <c r="N26" s="5">
        <f>AVERAGE($E19:N19)</f>
        <v>134.99719695861367</v>
      </c>
      <c r="O26" s="5">
        <f>AVERAGE($E19:O19)</f>
        <v>134.99719695861367</v>
      </c>
      <c r="P26" s="5">
        <f>AVERAGE($E19:P19)</f>
        <v>134.99719695861367</v>
      </c>
    </row>
    <row r="27" spans="3:17" x14ac:dyDescent="0.35">
      <c r="D27" s="3" t="str">
        <f t="shared" ref="D27:D30" si="4">D20</f>
        <v>Actual 2025-26</v>
      </c>
      <c r="E27" s="5">
        <f>AVERAGE($E20:E20)</f>
        <v>133.19867425426801</v>
      </c>
      <c r="F27" s="5">
        <f>AVERAGE($E20:F20)</f>
        <v>132.85761097528456</v>
      </c>
      <c r="G27" s="5">
        <f>AVERAGE($E20:G20)</f>
        <v>131.44456705749886</v>
      </c>
      <c r="H27" s="5">
        <f>AVERAGE($E20:H20)</f>
        <v>131.47295140239066</v>
      </c>
      <c r="I27" s="5">
        <f>AVERAGE($E20:I20)</f>
        <v>131.5624557653565</v>
      </c>
      <c r="J27" s="5">
        <f>AVERAGE($E20:J20)</f>
        <v>131.52150033325557</v>
      </c>
      <c r="K27" s="5">
        <f>AVERAGE($E20:K20)</f>
        <v>131.78540940293922</v>
      </c>
      <c r="L27" s="5">
        <f>AVERAGE($E20:L20)</f>
        <v>131.89016577045197</v>
      </c>
      <c r="M27" s="5" t="e">
        <f>AVERAGE($E20:M20)</f>
        <v>#DIV/0!</v>
      </c>
      <c r="N27" s="5" t="e">
        <f>AVERAGE($E20:N20)</f>
        <v>#DIV/0!</v>
      </c>
      <c r="O27" s="5" t="e">
        <f>AVERAGE($E20:O20)</f>
        <v>#DIV/0!</v>
      </c>
      <c r="P27" s="5" t="e">
        <f>AVERAGE($E20:P20)</f>
        <v>#DIV/0!</v>
      </c>
    </row>
    <row r="28" spans="3:17" x14ac:dyDescent="0.35">
      <c r="D28" s="3" t="str">
        <f t="shared" si="4"/>
        <v>Actual 2024-25</v>
      </c>
      <c r="E28" s="5">
        <f>AVERAGE($E21:E21)</f>
        <v>84.485326457875175</v>
      </c>
      <c r="F28" s="5">
        <f>AVERAGE($E21:F21)</f>
        <v>91.405411730042033</v>
      </c>
      <c r="G28" s="5">
        <f>AVERAGE($E21:G21)</f>
        <v>90.752641203873353</v>
      </c>
      <c r="H28" s="5">
        <f>AVERAGE($E21:H21)</f>
        <v>89.039151869806247</v>
      </c>
      <c r="I28" s="5">
        <f>AVERAGE($E21:I21)</f>
        <v>88.366061842050058</v>
      </c>
      <c r="J28" s="5">
        <f>AVERAGE($E21:J21)</f>
        <v>88.803422091444375</v>
      </c>
      <c r="K28" s="5">
        <f>AVERAGE($E21:K21)</f>
        <v>89.149056020328189</v>
      </c>
      <c r="L28" s="5">
        <f>AVERAGE($E21:L21)</f>
        <v>89.028399732418947</v>
      </c>
      <c r="M28" s="5">
        <f>AVERAGE($E21:M21)</f>
        <v>89.280108204855537</v>
      </c>
      <c r="N28" s="5">
        <f>AVERAGE($E21:N21)</f>
        <v>93.567568532206934</v>
      </c>
      <c r="O28" s="5">
        <f>AVERAGE($E21:O21)</f>
        <v>97.36496858335191</v>
      </c>
      <c r="P28" s="5">
        <f>AVERAGE($E21:P21)</f>
        <v>100.47250660327474</v>
      </c>
    </row>
    <row r="29" spans="3:17" x14ac:dyDescent="0.35">
      <c r="D29" s="3" t="str">
        <f t="shared" si="4"/>
        <v>Difference</v>
      </c>
      <c r="E29" s="5">
        <f>SUM($E22:E22)</f>
        <v>-1.798522704345686</v>
      </c>
      <c r="F29" s="5">
        <f>SUM($E22:F22)</f>
        <v>-4.2791719666582821</v>
      </c>
      <c r="G29" s="5">
        <f>SUM($E22:G22)</f>
        <v>-10.657889703344495</v>
      </c>
      <c r="H29" s="5">
        <f>SUM($E22:H22)</f>
        <v>-14.096982224892088</v>
      </c>
      <c r="I29" s="5">
        <f>SUM($E22:I22)</f>
        <v>-17.173705966285951</v>
      </c>
      <c r="J29" s="5">
        <f>SUM($E22:J22)</f>
        <v>-20.854179752148724</v>
      </c>
      <c r="K29" s="5">
        <f>SUM($E22:K22)</f>
        <v>-22.482512889721363</v>
      </c>
      <c r="L29" s="5">
        <f>SUM($E22:L22)</f>
        <v>-24.856249505293732</v>
      </c>
      <c r="M29" s="5" t="e">
        <f>SUM($E22:M22)</f>
        <v>#DIV/0!</v>
      </c>
      <c r="N29" s="5" t="e">
        <f>SUM($E22:N22)</f>
        <v>#DIV/0!</v>
      </c>
      <c r="O29" s="5" t="e">
        <f>SUM($E22:O22)</f>
        <v>#DIV/0!</v>
      </c>
      <c r="P29" s="5" t="e">
        <f>SUM($E22:P22)</f>
        <v>#DIV/0!</v>
      </c>
    </row>
    <row r="30" spans="3:17" x14ac:dyDescent="0.35">
      <c r="D30" s="3" t="str">
        <f t="shared" si="4"/>
        <v>Realisation</v>
      </c>
      <c r="E30" s="9">
        <f>E28/E26</f>
        <v>0.62583022730298599</v>
      </c>
      <c r="F30" s="9">
        <f t="shared" ref="F30:P30" si="5">F27/F26</f>
        <v>0.984150885858874</v>
      </c>
      <c r="G30" s="9">
        <f t="shared" si="5"/>
        <v>0.97368367654178789</v>
      </c>
      <c r="H30" s="9">
        <f t="shared" si="5"/>
        <v>0.97389393531405344</v>
      </c>
      <c r="I30" s="9">
        <f t="shared" si="5"/>
        <v>0.97455694436151741</v>
      </c>
      <c r="J30" s="9">
        <f t="shared" si="5"/>
        <v>0.97425356449124145</v>
      </c>
      <c r="K30" s="9">
        <f t="shared" si="5"/>
        <v>0.97620848707948271</v>
      </c>
      <c r="L30" s="9">
        <f t="shared" si="5"/>
        <v>0.97698447628424279</v>
      </c>
      <c r="M30" s="9" t="e">
        <f t="shared" si="5"/>
        <v>#DIV/0!</v>
      </c>
      <c r="N30" s="9" t="e">
        <f t="shared" si="5"/>
        <v>#DIV/0!</v>
      </c>
      <c r="O30" s="9" t="e">
        <f t="shared" si="5"/>
        <v>#DIV/0!</v>
      </c>
      <c r="P30" s="9" t="e">
        <f t="shared" si="5"/>
        <v>#DIV/0!</v>
      </c>
    </row>
  </sheetData>
  <mergeCells count="2">
    <mergeCell ref="J4:Q8"/>
    <mergeCell ref="J10:Q15"/>
  </mergeCells>
  <conditionalFormatting sqref="C3">
    <cfRule type="expression" dxfId="182" priority="2">
      <formula>S4&lt;S6</formula>
    </cfRule>
  </conditionalFormatting>
  <conditionalFormatting sqref="C5">
    <cfRule type="expression" dxfId="181" priority="3">
      <formula>S4&gt;=S5</formula>
    </cfRule>
  </conditionalFormatting>
  <conditionalFormatting sqref="C4">
    <cfRule type="expression" dxfId="180" priority="1">
      <formula>AND(S4&gt;=S6,S4&lt;S5)</formula>
    </cfRule>
  </conditionalFormatting>
  <hyperlinks>
    <hyperlink ref="L1" location="Dashboard!A1" display="Dashboard"/>
  </hyperlinks>
  <pageMargins left="0.7" right="0.7" top="0.75" bottom="0.75" header="0.3" footer="0.3"/>
  <pageSetup orientation="portrait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44481" r:id="rId4" name="Spinner 1">
              <controlPr defaultSize="0" autoPict="0">
                <anchor moveWithCells="1" sizeWithCells="1">
                  <from>
                    <xdr:col>9</xdr:col>
                    <xdr:colOff>19050</xdr:colOff>
                    <xdr:row>0</xdr:row>
                    <xdr:rowOff>38100</xdr:rowOff>
                  </from>
                  <to>
                    <xdr:col>9</xdr:col>
                    <xdr:colOff>400050</xdr:colOff>
                    <xdr:row>1</xdr:row>
                    <xdr:rowOff>152400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13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109">
    <tabColor rgb="FFFFC000"/>
  </sheetPr>
  <dimension ref="A1:S30"/>
  <sheetViews>
    <sheetView zoomScale="90" zoomScaleNormal="90" workbookViewId="0">
      <selection activeCell="L1" sqref="L1"/>
    </sheetView>
  </sheetViews>
  <sheetFormatPr defaultColWidth="9.1796875" defaultRowHeight="14.5" x14ac:dyDescent="0.35"/>
  <cols>
    <col min="1" max="1" width="9.1796875" style="3"/>
    <col min="2" max="2" width="5.7265625" style="3" bestFit="1" customWidth="1"/>
    <col min="3" max="3" width="6.26953125" style="3" customWidth="1"/>
    <col min="4" max="4" width="21.26953125" style="3" bestFit="1" customWidth="1"/>
    <col min="5" max="16" width="11.1796875" style="3" customWidth="1"/>
    <col min="17" max="17" width="12" style="3" bestFit="1" customWidth="1"/>
    <col min="18" max="18" width="9.1796875" style="3" customWidth="1"/>
    <col min="19" max="16384" width="9.1796875" style="3"/>
  </cols>
  <sheetData>
    <row r="1" spans="1:19" ht="21" x14ac:dyDescent="0.5">
      <c r="A1" s="4" t="s">
        <v>4</v>
      </c>
      <c r="B1" s="4">
        <f>Dashboard!A152</f>
        <v>3</v>
      </c>
      <c r="C1" s="4" t="str">
        <f>Dashboard!B152</f>
        <v>KABATI - KSH/M3</v>
      </c>
      <c r="D1" s="4"/>
      <c r="G1" s="3" t="s">
        <v>9</v>
      </c>
      <c r="I1" s="12">
        <f>INDEX($E$18:$P$18,Actual_month)</f>
        <v>46054</v>
      </c>
      <c r="L1" s="16" t="s">
        <v>19</v>
      </c>
      <c r="R1" s="5"/>
    </row>
    <row r="2" spans="1:19" x14ac:dyDescent="0.35">
      <c r="A2" s="3" t="s">
        <v>13</v>
      </c>
      <c r="C2" s="3" t="s">
        <v>27</v>
      </c>
      <c r="R2" s="6"/>
    </row>
    <row r="3" spans="1:19" ht="25.5" customHeight="1" thickBot="1" x14ac:dyDescent="0.4">
      <c r="C3" s="1" t="s">
        <v>5</v>
      </c>
      <c r="E3" s="10"/>
      <c r="F3" s="10"/>
      <c r="G3" s="10"/>
      <c r="H3" s="10"/>
      <c r="I3" s="10"/>
      <c r="J3" s="3" t="s">
        <v>6</v>
      </c>
      <c r="K3" s="10"/>
      <c r="M3" s="10"/>
      <c r="N3" s="10"/>
      <c r="O3" s="10"/>
      <c r="P3" s="10"/>
    </row>
    <row r="4" spans="1:19" ht="25.5" customHeight="1" x14ac:dyDescent="0.35">
      <c r="C4" s="1" t="s">
        <v>5</v>
      </c>
      <c r="E4" s="10"/>
      <c r="F4" s="10"/>
      <c r="G4" s="10"/>
      <c r="H4" s="10"/>
      <c r="I4" s="10"/>
      <c r="J4" s="401"/>
      <c r="K4" s="402"/>
      <c r="L4" s="402"/>
      <c r="M4" s="402"/>
      <c r="N4" s="402"/>
      <c r="O4" s="402"/>
      <c r="P4" s="402"/>
      <c r="Q4" s="403"/>
      <c r="R4" s="3" t="s">
        <v>22</v>
      </c>
      <c r="S4" s="5">
        <f>INDEX(E27:P27,Actual_month)</f>
        <v>124.84512663037863</v>
      </c>
    </row>
    <row r="5" spans="1:19" ht="25.5" customHeight="1" x14ac:dyDescent="0.35">
      <c r="C5" s="1" t="s">
        <v>5</v>
      </c>
      <c r="E5" s="10"/>
      <c r="F5" s="10"/>
      <c r="G5" s="10"/>
      <c r="H5" s="10"/>
      <c r="I5" s="10"/>
      <c r="J5" s="404"/>
      <c r="K5" s="405"/>
      <c r="L5" s="405"/>
      <c r="M5" s="405"/>
      <c r="N5" s="405"/>
      <c r="O5" s="405"/>
      <c r="P5" s="405"/>
      <c r="Q5" s="406"/>
      <c r="R5" s="3" t="s">
        <v>23</v>
      </c>
      <c r="S5" s="5">
        <f>INDEX(E26:P26,Actual_month)</f>
        <v>124.89599264752223</v>
      </c>
    </row>
    <row r="6" spans="1:19" x14ac:dyDescent="0.35">
      <c r="J6" s="404"/>
      <c r="K6" s="405"/>
      <c r="L6" s="405"/>
      <c r="M6" s="405"/>
      <c r="N6" s="405"/>
      <c r="O6" s="405"/>
      <c r="P6" s="405"/>
      <c r="Q6" s="406"/>
      <c r="R6" s="6">
        <v>0.9</v>
      </c>
      <c r="S6" s="5">
        <f>+S5*R6</f>
        <v>112.40639338277002</v>
      </c>
    </row>
    <row r="7" spans="1:19" x14ac:dyDescent="0.35">
      <c r="J7" s="404"/>
      <c r="K7" s="405"/>
      <c r="L7" s="405"/>
      <c r="M7" s="405"/>
      <c r="N7" s="405"/>
      <c r="O7" s="405"/>
      <c r="P7" s="405"/>
      <c r="Q7" s="406"/>
    </row>
    <row r="8" spans="1:19" ht="15" thickBot="1" x14ac:dyDescent="0.4">
      <c r="J8" s="407"/>
      <c r="K8" s="408"/>
      <c r="L8" s="408"/>
      <c r="M8" s="408"/>
      <c r="N8" s="408"/>
      <c r="O8" s="408"/>
      <c r="P8" s="408"/>
      <c r="Q8" s="409"/>
    </row>
    <row r="9" spans="1:19" ht="15" thickBot="1" x14ac:dyDescent="0.4">
      <c r="J9" s="3" t="s">
        <v>12</v>
      </c>
    </row>
    <row r="10" spans="1:19" x14ac:dyDescent="0.35">
      <c r="J10" s="401"/>
      <c r="K10" s="402"/>
      <c r="L10" s="402"/>
      <c r="M10" s="402"/>
      <c r="N10" s="402"/>
      <c r="O10" s="402"/>
      <c r="P10" s="402"/>
      <c r="Q10" s="403"/>
    </row>
    <row r="11" spans="1:19" x14ac:dyDescent="0.35">
      <c r="J11" s="404"/>
      <c r="K11" s="405"/>
      <c r="L11" s="405"/>
      <c r="M11" s="405"/>
      <c r="N11" s="405"/>
      <c r="O11" s="405"/>
      <c r="P11" s="405"/>
      <c r="Q11" s="406"/>
    </row>
    <row r="12" spans="1:19" x14ac:dyDescent="0.35">
      <c r="J12" s="404"/>
      <c r="K12" s="405"/>
      <c r="L12" s="405"/>
      <c r="M12" s="405"/>
      <c r="N12" s="405"/>
      <c r="O12" s="405"/>
      <c r="P12" s="405"/>
      <c r="Q12" s="406"/>
    </row>
    <row r="13" spans="1:19" x14ac:dyDescent="0.35">
      <c r="J13" s="404"/>
      <c r="K13" s="405"/>
      <c r="L13" s="405"/>
      <c r="M13" s="405"/>
      <c r="N13" s="405"/>
      <c r="O13" s="405"/>
      <c r="P13" s="405"/>
      <c r="Q13" s="406"/>
    </row>
    <row r="14" spans="1:19" x14ac:dyDescent="0.35">
      <c r="J14" s="404"/>
      <c r="K14" s="405"/>
      <c r="L14" s="405"/>
      <c r="M14" s="405"/>
      <c r="N14" s="405"/>
      <c r="O14" s="405"/>
      <c r="P14" s="405"/>
      <c r="Q14" s="406"/>
    </row>
    <row r="15" spans="1:19" ht="15" thickBot="1" x14ac:dyDescent="0.4">
      <c r="J15" s="407"/>
      <c r="K15" s="408"/>
      <c r="L15" s="408"/>
      <c r="M15" s="408"/>
      <c r="N15" s="408"/>
      <c r="O15" s="408"/>
      <c r="P15" s="408"/>
      <c r="Q15" s="409"/>
    </row>
    <row r="18" spans="3:17" x14ac:dyDescent="0.35">
      <c r="C18" s="7" t="s">
        <v>8</v>
      </c>
      <c r="E18" s="11">
        <v>45839</v>
      </c>
      <c r="F18" s="11">
        <v>45870</v>
      </c>
      <c r="G18" s="11">
        <v>45901</v>
      </c>
      <c r="H18" s="11">
        <v>45931</v>
      </c>
      <c r="I18" s="11">
        <v>45962</v>
      </c>
      <c r="J18" s="11">
        <v>45992</v>
      </c>
      <c r="K18" s="11">
        <v>46023</v>
      </c>
      <c r="L18" s="11">
        <v>46054</v>
      </c>
      <c r="M18" s="11">
        <v>46082</v>
      </c>
      <c r="N18" s="11">
        <v>46113</v>
      </c>
      <c r="O18" s="11">
        <v>46143</v>
      </c>
      <c r="P18" s="11">
        <v>46174</v>
      </c>
      <c r="Q18" s="8" t="s">
        <v>0</v>
      </c>
    </row>
    <row r="19" spans="3:17" x14ac:dyDescent="0.35">
      <c r="D19" s="3" t="s">
        <v>501</v>
      </c>
      <c r="E19" s="49">
        <f>'budget 2025-26'!D143</f>
        <v>124.89599264752223</v>
      </c>
      <c r="F19" s="49">
        <f>'budget 2025-26'!E143</f>
        <v>124.89599264752223</v>
      </c>
      <c r="G19" s="49">
        <f>'budget 2025-26'!F143</f>
        <v>124.89599264752223</v>
      </c>
      <c r="H19" s="49">
        <f>'budget 2025-26'!G143</f>
        <v>124.89599264752223</v>
      </c>
      <c r="I19" s="49">
        <f>'budget 2025-26'!H143</f>
        <v>124.89599264752223</v>
      </c>
      <c r="J19" s="49">
        <f>'budget 2025-26'!I143</f>
        <v>124.89599264752223</v>
      </c>
      <c r="K19" s="49">
        <f>'budget 2025-26'!J143</f>
        <v>124.89599264752223</v>
      </c>
      <c r="L19" s="49">
        <f>'budget 2025-26'!K143</f>
        <v>124.89599264752223</v>
      </c>
      <c r="M19" s="49">
        <f>'budget 2025-26'!L143</f>
        <v>124.89599264752223</v>
      </c>
      <c r="N19" s="49">
        <f>'budget 2025-26'!M143</f>
        <v>124.89599264752223</v>
      </c>
      <c r="O19" s="49">
        <f>'budget 2025-26'!N143</f>
        <v>124.89599264752223</v>
      </c>
      <c r="P19" s="49">
        <f>'budget 2025-26'!O143</f>
        <v>124.89599264752223</v>
      </c>
      <c r="Q19" s="5">
        <f>SUM(E19:P19)</f>
        <v>1498.7519117702668</v>
      </c>
    </row>
    <row r="20" spans="3:17" x14ac:dyDescent="0.35">
      <c r="D20" s="3" t="s">
        <v>502</v>
      </c>
      <c r="E20" s="49">
        <f>'Input Actual2025-26'!E146</f>
        <v>123.78673627223512</v>
      </c>
      <c r="F20" s="49">
        <f>'Input Actual2025-26'!F146</f>
        <v>124.75448807279285</v>
      </c>
      <c r="G20" s="49">
        <f>'Input Actual2025-26'!G146</f>
        <v>125.14577027242314</v>
      </c>
      <c r="H20" s="49">
        <f>'Input Actual2025-26'!H146</f>
        <v>124.95912170053725</v>
      </c>
      <c r="I20" s="49">
        <f>'Input Actual2025-26'!I146</f>
        <v>124.548032936871</v>
      </c>
      <c r="J20" s="49">
        <f>'Input Actual2025-26'!J146</f>
        <v>124.15502294747577</v>
      </c>
      <c r="K20" s="49">
        <f>'Input Actual2025-26'!K146</f>
        <v>126.42966689160174</v>
      </c>
      <c r="L20" s="49">
        <f>'Input Actual2025-26'!L146</f>
        <v>124.98217394909211</v>
      </c>
      <c r="M20" s="49" t="e">
        <f>'Input Actual2025-26'!M146</f>
        <v>#DIV/0!</v>
      </c>
      <c r="N20" s="49" t="e">
        <f>'Input Actual2025-26'!N146</f>
        <v>#DIV/0!</v>
      </c>
      <c r="O20" s="49" t="e">
        <f>'Input Actual2025-26'!O146</f>
        <v>#DIV/0!</v>
      </c>
      <c r="P20" s="49" t="e">
        <f>'Input Actual2025-26'!P146</f>
        <v>#DIV/0!</v>
      </c>
      <c r="Q20" s="5" t="e">
        <f t="shared" ref="Q20:Q22" si="0">SUM(E20:P20)</f>
        <v>#DIV/0!</v>
      </c>
    </row>
    <row r="21" spans="3:17" x14ac:dyDescent="0.35">
      <c r="D21" s="3" t="s">
        <v>424</v>
      </c>
      <c r="E21" s="49">
        <f>'Input Actual2024-25'!E135</f>
        <v>73.766498855835238</v>
      </c>
      <c r="F21" s="49">
        <f>'Input Actual2024-25'!F135</f>
        <v>75.966155724362451</v>
      </c>
      <c r="G21" s="49">
        <f>'Input Actual2024-25'!G135</f>
        <v>74.166001096233657</v>
      </c>
      <c r="H21" s="49">
        <f>'Input Actual2024-25'!H135</f>
        <v>73.892213716848374</v>
      </c>
      <c r="I21" s="49">
        <f>'Input Actual2024-25'!I135</f>
        <v>74.697808373138528</v>
      </c>
      <c r="J21" s="49">
        <f>'Input Actual2024-25'!J135</f>
        <v>72.23133867982726</v>
      </c>
      <c r="K21" s="49">
        <f>'Input Actual2024-25'!K135</f>
        <v>75.743215410709965</v>
      </c>
      <c r="L21" s="49">
        <f>'Input Actual2024-25'!L135</f>
        <v>75.182825894176773</v>
      </c>
      <c r="M21" s="49">
        <f>'Input Actual2024-25'!M135</f>
        <v>76.661656083970456</v>
      </c>
      <c r="N21" s="49">
        <f>'Input Actual2024-25'!N135</f>
        <v>125.25783090480761</v>
      </c>
      <c r="O21" s="49">
        <f>'Input Actual2024-25'!O135</f>
        <v>125.00550574170207</v>
      </c>
      <c r="P21" s="49">
        <f>'Input Actual2024-25'!P135</f>
        <v>124.78647955334239</v>
      </c>
      <c r="Q21" s="5">
        <f t="shared" si="0"/>
        <v>1047.3575300349548</v>
      </c>
    </row>
    <row r="22" spans="3:17" x14ac:dyDescent="0.35">
      <c r="D22" s="3" t="s">
        <v>7</v>
      </c>
      <c r="E22" s="5">
        <f t="shared" ref="E22:P22" si="1">IF(E20=0,0,E20-E19)</f>
        <v>-1.1092563752871172</v>
      </c>
      <c r="F22" s="5">
        <f t="shared" si="1"/>
        <v>-0.14150457472938172</v>
      </c>
      <c r="G22" s="5">
        <f t="shared" si="1"/>
        <v>0.24977762490090072</v>
      </c>
      <c r="H22" s="5">
        <f t="shared" si="1"/>
        <v>6.3129053015018144E-2</v>
      </c>
      <c r="I22" s="5">
        <f t="shared" si="1"/>
        <v>-0.34795971065123865</v>
      </c>
      <c r="J22" s="5">
        <f t="shared" si="1"/>
        <v>-0.74096970004646323</v>
      </c>
      <c r="K22" s="5">
        <f t="shared" si="1"/>
        <v>1.5336742440795064</v>
      </c>
      <c r="L22" s="5">
        <f t="shared" si="1"/>
        <v>8.618130156988002E-2</v>
      </c>
      <c r="M22" s="5" t="e">
        <f t="shared" si="1"/>
        <v>#DIV/0!</v>
      </c>
      <c r="N22" s="5" t="e">
        <f t="shared" si="1"/>
        <v>#DIV/0!</v>
      </c>
      <c r="O22" s="5" t="e">
        <f t="shared" si="1"/>
        <v>#DIV/0!</v>
      </c>
      <c r="P22" s="5" t="e">
        <f t="shared" si="1"/>
        <v>#DIV/0!</v>
      </c>
      <c r="Q22" s="5" t="e">
        <f t="shared" si="0"/>
        <v>#DIV/0!</v>
      </c>
    </row>
    <row r="23" spans="3:17" x14ac:dyDescent="0.35">
      <c r="D23" s="3" t="s">
        <v>43</v>
      </c>
      <c r="E23" s="9">
        <f>E21/E19</f>
        <v>0.59062342427604431</v>
      </c>
      <c r="F23" s="9">
        <f t="shared" ref="F23:P23" si="2">F20/F19</f>
        <v>0.99886702069674305</v>
      </c>
      <c r="G23" s="9">
        <f t="shared" si="2"/>
        <v>1.0019998850211778</v>
      </c>
      <c r="H23" s="9">
        <f t="shared" si="2"/>
        <v>1.0005054529907391</v>
      </c>
      <c r="I23" s="9">
        <f t="shared" si="2"/>
        <v>0.99721400420241468</v>
      </c>
      <c r="J23" s="9">
        <f t="shared" si="2"/>
        <v>0.99406730604930127</v>
      </c>
      <c r="K23" s="9">
        <f t="shared" si="2"/>
        <v>1.0122796113115318</v>
      </c>
      <c r="L23" s="9">
        <f t="shared" si="2"/>
        <v>1.0006900245535748</v>
      </c>
      <c r="M23" s="9" t="e">
        <f t="shared" si="2"/>
        <v>#DIV/0!</v>
      </c>
      <c r="N23" s="9" t="e">
        <f t="shared" si="2"/>
        <v>#DIV/0!</v>
      </c>
      <c r="O23" s="9" t="e">
        <f t="shared" si="2"/>
        <v>#DIV/0!</v>
      </c>
      <c r="P23" s="9" t="e">
        <f t="shared" si="2"/>
        <v>#DIV/0!</v>
      </c>
    </row>
    <row r="25" spans="3:17" x14ac:dyDescent="0.35">
      <c r="C25" s="7" t="s">
        <v>3</v>
      </c>
      <c r="E25" s="11">
        <f>E18</f>
        <v>45839</v>
      </c>
      <c r="F25" s="11">
        <f t="shared" ref="F25:P25" si="3">F18</f>
        <v>45870</v>
      </c>
      <c r="G25" s="11">
        <f t="shared" si="3"/>
        <v>45901</v>
      </c>
      <c r="H25" s="11">
        <f t="shared" si="3"/>
        <v>45931</v>
      </c>
      <c r="I25" s="11">
        <f t="shared" si="3"/>
        <v>45962</v>
      </c>
      <c r="J25" s="11">
        <f t="shared" si="3"/>
        <v>45992</v>
      </c>
      <c r="K25" s="11">
        <f t="shared" si="3"/>
        <v>46023</v>
      </c>
      <c r="L25" s="11">
        <f t="shared" si="3"/>
        <v>46054</v>
      </c>
      <c r="M25" s="11">
        <f t="shared" si="3"/>
        <v>46082</v>
      </c>
      <c r="N25" s="11">
        <f t="shared" si="3"/>
        <v>46113</v>
      </c>
      <c r="O25" s="11">
        <f t="shared" si="3"/>
        <v>46143</v>
      </c>
      <c r="P25" s="11">
        <f t="shared" si="3"/>
        <v>46174</v>
      </c>
    </row>
    <row r="26" spans="3:17" x14ac:dyDescent="0.35">
      <c r="D26" s="3" t="str">
        <f>D19</f>
        <v>Budget 2025-26</v>
      </c>
      <c r="E26" s="5">
        <f>AVERAGE($E19:E19)</f>
        <v>124.89599264752223</v>
      </c>
      <c r="F26" s="5">
        <f>AVERAGE($E19:F19)</f>
        <v>124.89599264752223</v>
      </c>
      <c r="G26" s="5">
        <f>AVERAGE($E19:G19)</f>
        <v>124.89599264752223</v>
      </c>
      <c r="H26" s="5">
        <f>AVERAGE($E19:H19)</f>
        <v>124.89599264752223</v>
      </c>
      <c r="I26" s="5">
        <f>AVERAGE($E19:I19)</f>
        <v>124.89599264752223</v>
      </c>
      <c r="J26" s="5">
        <f>AVERAGE($E19:J19)</f>
        <v>124.89599264752223</v>
      </c>
      <c r="K26" s="5">
        <f>AVERAGE($E19:K19)</f>
        <v>124.89599264752223</v>
      </c>
      <c r="L26" s="5">
        <f>AVERAGE($E19:L19)</f>
        <v>124.89599264752223</v>
      </c>
      <c r="M26" s="5">
        <f>AVERAGE($E19:M19)</f>
        <v>124.89599264752223</v>
      </c>
      <c r="N26" s="5">
        <f>AVERAGE($E19:N19)</f>
        <v>124.89599264752223</v>
      </c>
      <c r="O26" s="5">
        <f>AVERAGE($E19:O19)</f>
        <v>124.89599264752223</v>
      </c>
      <c r="P26" s="5">
        <f>AVERAGE($E19:P19)</f>
        <v>124.89599264752223</v>
      </c>
    </row>
    <row r="27" spans="3:17" x14ac:dyDescent="0.35">
      <c r="D27" s="3" t="str">
        <f t="shared" ref="D27:D30" si="4">D20</f>
        <v>Actual 2025-26</v>
      </c>
      <c r="E27" s="5">
        <f>AVERAGE($E20:E20)</f>
        <v>123.78673627223512</v>
      </c>
      <c r="F27" s="5">
        <f>AVERAGE($E20:F20)</f>
        <v>124.27061217251398</v>
      </c>
      <c r="G27" s="5">
        <f>AVERAGE($E20:G20)</f>
        <v>124.56233153915036</v>
      </c>
      <c r="H27" s="5">
        <f>AVERAGE($E20:H20)</f>
        <v>124.66152907949709</v>
      </c>
      <c r="I27" s="5">
        <f>AVERAGE($E20:I20)</f>
        <v>124.63882985097186</v>
      </c>
      <c r="J27" s="5">
        <f>AVERAGE($E20:J20)</f>
        <v>124.55819536705586</v>
      </c>
      <c r="K27" s="5">
        <f>AVERAGE($E20:K20)</f>
        <v>124.82554844199099</v>
      </c>
      <c r="L27" s="5">
        <f>AVERAGE($E20:L20)</f>
        <v>124.84512663037863</v>
      </c>
      <c r="M27" s="5" t="e">
        <f>AVERAGE($E20:M20)</f>
        <v>#DIV/0!</v>
      </c>
      <c r="N27" s="5" t="e">
        <f>AVERAGE($E20:N20)</f>
        <v>#DIV/0!</v>
      </c>
      <c r="O27" s="5" t="e">
        <f>AVERAGE($E20:O20)</f>
        <v>#DIV/0!</v>
      </c>
      <c r="P27" s="5" t="e">
        <f>AVERAGE($E20:P20)</f>
        <v>#DIV/0!</v>
      </c>
    </row>
    <row r="28" spans="3:17" x14ac:dyDescent="0.35">
      <c r="D28" s="3" t="str">
        <f t="shared" si="4"/>
        <v>Actual 2024-25</v>
      </c>
      <c r="E28" s="5">
        <f>AVERAGE($E21:E21)</f>
        <v>73.766498855835238</v>
      </c>
      <c r="F28" s="5">
        <f>AVERAGE($E21:F21)</f>
        <v>74.866327290098837</v>
      </c>
      <c r="G28" s="5">
        <f>AVERAGE($E21:G21)</f>
        <v>74.632885225477111</v>
      </c>
      <c r="H28" s="5">
        <f>AVERAGE($E21:H21)</f>
        <v>74.447717348319927</v>
      </c>
      <c r="I28" s="5">
        <f>AVERAGE($E21:I21)</f>
        <v>74.497735553283647</v>
      </c>
      <c r="J28" s="5">
        <f>AVERAGE($E21:J21)</f>
        <v>74.120002741040921</v>
      </c>
      <c r="K28" s="5">
        <f>AVERAGE($E21:K21)</f>
        <v>74.351890265279351</v>
      </c>
      <c r="L28" s="5">
        <f>AVERAGE($E21:L21)</f>
        <v>74.45575721889152</v>
      </c>
      <c r="M28" s="5">
        <f>AVERAGE($E21:M21)</f>
        <v>74.700857092789178</v>
      </c>
      <c r="N28" s="5">
        <f>AVERAGE($E21:N21)</f>
        <v>79.756554473991031</v>
      </c>
      <c r="O28" s="5">
        <f>AVERAGE($E21:O21)</f>
        <v>83.870095498328396</v>
      </c>
      <c r="P28" s="5">
        <f>AVERAGE($E21:P21)</f>
        <v>87.279794169579574</v>
      </c>
    </row>
    <row r="29" spans="3:17" x14ac:dyDescent="0.35">
      <c r="D29" s="3" t="str">
        <f t="shared" si="4"/>
        <v>Difference</v>
      </c>
      <c r="E29" s="5">
        <f>SUM($E22:E22)</f>
        <v>-1.1092563752871172</v>
      </c>
      <c r="F29" s="5">
        <f>SUM($E22:F22)</f>
        <v>-1.2507609500164989</v>
      </c>
      <c r="G29" s="5">
        <f>SUM($E22:G22)</f>
        <v>-1.0009833251155982</v>
      </c>
      <c r="H29" s="5">
        <f>SUM($E22:H22)</f>
        <v>-0.93785427210058003</v>
      </c>
      <c r="I29" s="5">
        <f>SUM($E22:I22)</f>
        <v>-1.2858139827518187</v>
      </c>
      <c r="J29" s="5">
        <f>SUM($E22:J22)</f>
        <v>-2.0267836827982819</v>
      </c>
      <c r="K29" s="5">
        <f>SUM($E22:K22)</f>
        <v>-0.49310943871877555</v>
      </c>
      <c r="L29" s="5">
        <f>SUM($E22:L22)</f>
        <v>-0.40692813714889553</v>
      </c>
      <c r="M29" s="5" t="e">
        <f>SUM($E22:M22)</f>
        <v>#DIV/0!</v>
      </c>
      <c r="N29" s="5" t="e">
        <f>SUM($E22:N22)</f>
        <v>#DIV/0!</v>
      </c>
      <c r="O29" s="5" t="e">
        <f>SUM($E22:O22)</f>
        <v>#DIV/0!</v>
      </c>
      <c r="P29" s="5" t="e">
        <f>SUM($E22:P22)</f>
        <v>#DIV/0!</v>
      </c>
    </row>
    <row r="30" spans="3:17" x14ac:dyDescent="0.35">
      <c r="D30" s="3" t="str">
        <f t="shared" si="4"/>
        <v>Realisation</v>
      </c>
      <c r="E30" s="9">
        <f>E28/E26</f>
        <v>0.59062342427604431</v>
      </c>
      <c r="F30" s="9">
        <f t="shared" ref="F30:P30" si="5">F27/F26</f>
        <v>0.994992789906613</v>
      </c>
      <c r="G30" s="9">
        <f t="shared" si="5"/>
        <v>0.99732848827813458</v>
      </c>
      <c r="H30" s="9">
        <f t="shared" si="5"/>
        <v>0.99812272945628577</v>
      </c>
      <c r="I30" s="9">
        <f t="shared" si="5"/>
        <v>0.99794098440551149</v>
      </c>
      <c r="J30" s="9">
        <f t="shared" si="5"/>
        <v>0.99729537134614321</v>
      </c>
      <c r="K30" s="9">
        <f t="shared" si="5"/>
        <v>0.99943597705548448</v>
      </c>
      <c r="L30" s="9">
        <f t="shared" si="5"/>
        <v>0.99959273299274576</v>
      </c>
      <c r="M30" s="9" t="e">
        <f t="shared" si="5"/>
        <v>#DIV/0!</v>
      </c>
      <c r="N30" s="9" t="e">
        <f t="shared" si="5"/>
        <v>#DIV/0!</v>
      </c>
      <c r="O30" s="9" t="e">
        <f t="shared" si="5"/>
        <v>#DIV/0!</v>
      </c>
      <c r="P30" s="9" t="e">
        <f t="shared" si="5"/>
        <v>#DIV/0!</v>
      </c>
    </row>
  </sheetData>
  <mergeCells count="2">
    <mergeCell ref="J4:Q8"/>
    <mergeCell ref="J10:Q15"/>
  </mergeCells>
  <conditionalFormatting sqref="C3">
    <cfRule type="expression" dxfId="179" priority="2">
      <formula>S4&lt;S6</formula>
    </cfRule>
  </conditionalFormatting>
  <conditionalFormatting sqref="C5">
    <cfRule type="expression" dxfId="178" priority="3">
      <formula>S4&gt;=S5</formula>
    </cfRule>
  </conditionalFormatting>
  <conditionalFormatting sqref="C4">
    <cfRule type="expression" dxfId="177" priority="1">
      <formula>AND(S4&gt;=S6,S4&lt;S5)</formula>
    </cfRule>
  </conditionalFormatting>
  <hyperlinks>
    <hyperlink ref="L1" location="Dashboard!A1" display="Dashboard"/>
  </hyperlinks>
  <pageMargins left="0.7" right="0.7" top="0.75" bottom="0.75" header="0.3" footer="0.3"/>
  <pageSetup orientation="portrait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45505" r:id="rId4" name="Spinner 1">
              <controlPr defaultSize="0" autoPict="0">
                <anchor moveWithCells="1" sizeWithCells="1">
                  <from>
                    <xdr:col>9</xdr:col>
                    <xdr:colOff>19050</xdr:colOff>
                    <xdr:row>0</xdr:row>
                    <xdr:rowOff>38100</xdr:rowOff>
                  </from>
                  <to>
                    <xdr:col>9</xdr:col>
                    <xdr:colOff>400050</xdr:colOff>
                    <xdr:row>1</xdr:row>
                    <xdr:rowOff>152400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14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110">
    <tabColor rgb="FFFFC000"/>
  </sheetPr>
  <dimension ref="A1:S30"/>
  <sheetViews>
    <sheetView zoomScale="90" zoomScaleNormal="90" workbookViewId="0">
      <selection activeCell="L1" sqref="L1"/>
    </sheetView>
  </sheetViews>
  <sheetFormatPr defaultColWidth="9.1796875" defaultRowHeight="14.5" x14ac:dyDescent="0.35"/>
  <cols>
    <col min="1" max="1" width="9.1796875" style="3"/>
    <col min="2" max="2" width="5.7265625" style="3" bestFit="1" customWidth="1"/>
    <col min="3" max="3" width="6.26953125" style="3" customWidth="1"/>
    <col min="4" max="4" width="21.26953125" style="3" bestFit="1" customWidth="1"/>
    <col min="5" max="16" width="11.1796875" style="3" customWidth="1"/>
    <col min="17" max="17" width="12" style="3" bestFit="1" customWidth="1"/>
    <col min="18" max="18" width="9.1796875" style="3" customWidth="1"/>
    <col min="19" max="16384" width="9.1796875" style="3"/>
  </cols>
  <sheetData>
    <row r="1" spans="1:19" ht="21" x14ac:dyDescent="0.5">
      <c r="A1" s="4" t="s">
        <v>4</v>
      </c>
      <c r="B1" s="4">
        <f>Dashboard!A153</f>
        <v>4</v>
      </c>
      <c r="C1" s="4" t="str">
        <f>Dashboard!B153</f>
        <v>SITE - KSH/M3</v>
      </c>
      <c r="D1" s="4"/>
      <c r="G1" s="3" t="s">
        <v>9</v>
      </c>
      <c r="I1" s="12">
        <f>INDEX($E$18:$P$18,Actual_month)</f>
        <v>46054</v>
      </c>
      <c r="L1" s="16" t="s">
        <v>19</v>
      </c>
      <c r="R1" s="5"/>
    </row>
    <row r="2" spans="1:19" x14ac:dyDescent="0.35">
      <c r="A2" s="3" t="s">
        <v>13</v>
      </c>
      <c r="C2" s="3" t="s">
        <v>27</v>
      </c>
      <c r="R2" s="6"/>
    </row>
    <row r="3" spans="1:19" ht="25.5" customHeight="1" thickBot="1" x14ac:dyDescent="0.4">
      <c r="C3" s="1" t="s">
        <v>5</v>
      </c>
      <c r="E3" s="10"/>
      <c r="F3" s="10"/>
      <c r="G3" s="10"/>
      <c r="H3" s="10"/>
      <c r="I3" s="10"/>
      <c r="J3" s="3" t="s">
        <v>6</v>
      </c>
      <c r="K3" s="10"/>
      <c r="M3" s="10"/>
      <c r="N3" s="10"/>
      <c r="O3" s="10"/>
      <c r="P3" s="10"/>
    </row>
    <row r="4" spans="1:19" ht="25.5" customHeight="1" x14ac:dyDescent="0.35">
      <c r="C4" s="1" t="s">
        <v>5</v>
      </c>
      <c r="E4" s="10"/>
      <c r="F4" s="10"/>
      <c r="G4" s="10"/>
      <c r="H4" s="10"/>
      <c r="I4" s="10"/>
      <c r="J4" s="401"/>
      <c r="K4" s="402"/>
      <c r="L4" s="402"/>
      <c r="M4" s="402"/>
      <c r="N4" s="402"/>
      <c r="O4" s="402"/>
      <c r="P4" s="402"/>
      <c r="Q4" s="403"/>
      <c r="R4" s="3" t="s">
        <v>22</v>
      </c>
      <c r="S4" s="5">
        <f>INDEX(E27:P27,Actual_month)</f>
        <v>122.48854975148161</v>
      </c>
    </row>
    <row r="5" spans="1:19" ht="25.5" customHeight="1" x14ac:dyDescent="0.35">
      <c r="C5" s="1" t="s">
        <v>5</v>
      </c>
      <c r="E5" s="10"/>
      <c r="F5" s="10"/>
      <c r="G5" s="10"/>
      <c r="H5" s="10"/>
      <c r="I5" s="10"/>
      <c r="J5" s="404"/>
      <c r="K5" s="405"/>
      <c r="L5" s="405"/>
      <c r="M5" s="405"/>
      <c r="N5" s="405"/>
      <c r="O5" s="405"/>
      <c r="P5" s="405"/>
      <c r="Q5" s="406"/>
      <c r="R5" s="3" t="s">
        <v>23</v>
      </c>
      <c r="S5" s="5">
        <f>INDEX(E26:P26,Actual_month)</f>
        <v>122.27031588521109</v>
      </c>
    </row>
    <row r="6" spans="1:19" x14ac:dyDescent="0.35">
      <c r="J6" s="404"/>
      <c r="K6" s="405"/>
      <c r="L6" s="405"/>
      <c r="M6" s="405"/>
      <c r="N6" s="405"/>
      <c r="O6" s="405"/>
      <c r="P6" s="405"/>
      <c r="Q6" s="406"/>
      <c r="R6" s="6">
        <v>0.9</v>
      </c>
      <c r="S6" s="5">
        <f>+S5*R6</f>
        <v>110.04328429668999</v>
      </c>
    </row>
    <row r="7" spans="1:19" x14ac:dyDescent="0.35">
      <c r="J7" s="404"/>
      <c r="K7" s="405"/>
      <c r="L7" s="405"/>
      <c r="M7" s="405"/>
      <c r="N7" s="405"/>
      <c r="O7" s="405"/>
      <c r="P7" s="405"/>
      <c r="Q7" s="406"/>
    </row>
    <row r="8" spans="1:19" ht="15" thickBot="1" x14ac:dyDescent="0.4">
      <c r="J8" s="407"/>
      <c r="K8" s="408"/>
      <c r="L8" s="408"/>
      <c r="M8" s="408"/>
      <c r="N8" s="408"/>
      <c r="O8" s="408"/>
      <c r="P8" s="408"/>
      <c r="Q8" s="409"/>
    </row>
    <row r="9" spans="1:19" ht="15" thickBot="1" x14ac:dyDescent="0.4">
      <c r="J9" s="3" t="s">
        <v>12</v>
      </c>
    </row>
    <row r="10" spans="1:19" x14ac:dyDescent="0.35">
      <c r="J10" s="401"/>
      <c r="K10" s="402"/>
      <c r="L10" s="402"/>
      <c r="M10" s="402"/>
      <c r="N10" s="402"/>
      <c r="O10" s="402"/>
      <c r="P10" s="402"/>
      <c r="Q10" s="403"/>
    </row>
    <row r="11" spans="1:19" x14ac:dyDescent="0.35">
      <c r="J11" s="404"/>
      <c r="K11" s="405"/>
      <c r="L11" s="405"/>
      <c r="M11" s="405"/>
      <c r="N11" s="405"/>
      <c r="O11" s="405"/>
      <c r="P11" s="405"/>
      <c r="Q11" s="406"/>
    </row>
    <row r="12" spans="1:19" x14ac:dyDescent="0.35">
      <c r="J12" s="404"/>
      <c r="K12" s="405"/>
      <c r="L12" s="405"/>
      <c r="M12" s="405"/>
      <c r="N12" s="405"/>
      <c r="O12" s="405"/>
      <c r="P12" s="405"/>
      <c r="Q12" s="406"/>
    </row>
    <row r="13" spans="1:19" x14ac:dyDescent="0.35">
      <c r="J13" s="404"/>
      <c r="K13" s="405"/>
      <c r="L13" s="405"/>
      <c r="M13" s="405"/>
      <c r="N13" s="405"/>
      <c r="O13" s="405"/>
      <c r="P13" s="405"/>
      <c r="Q13" s="406"/>
    </row>
    <row r="14" spans="1:19" x14ac:dyDescent="0.35">
      <c r="J14" s="404"/>
      <c r="K14" s="405"/>
      <c r="L14" s="405"/>
      <c r="M14" s="405"/>
      <c r="N14" s="405"/>
      <c r="O14" s="405"/>
      <c r="P14" s="405"/>
      <c r="Q14" s="406"/>
    </row>
    <row r="15" spans="1:19" ht="15" thickBot="1" x14ac:dyDescent="0.4">
      <c r="J15" s="407"/>
      <c r="K15" s="408"/>
      <c r="L15" s="408"/>
      <c r="M15" s="408"/>
      <c r="N15" s="408"/>
      <c r="O15" s="408"/>
      <c r="P15" s="408"/>
      <c r="Q15" s="409"/>
    </row>
    <row r="18" spans="3:17" x14ac:dyDescent="0.35">
      <c r="C18" s="7" t="s">
        <v>8</v>
      </c>
      <c r="E18" s="11">
        <v>45839</v>
      </c>
      <c r="F18" s="11">
        <v>45870</v>
      </c>
      <c r="G18" s="11">
        <v>45901</v>
      </c>
      <c r="H18" s="11">
        <v>45931</v>
      </c>
      <c r="I18" s="11">
        <v>45962</v>
      </c>
      <c r="J18" s="11">
        <v>45992</v>
      </c>
      <c r="K18" s="11">
        <v>46023</v>
      </c>
      <c r="L18" s="11">
        <v>46054</v>
      </c>
      <c r="M18" s="11">
        <v>46082</v>
      </c>
      <c r="N18" s="11">
        <v>46113</v>
      </c>
      <c r="O18" s="11">
        <v>46143</v>
      </c>
      <c r="P18" s="11">
        <v>46174</v>
      </c>
      <c r="Q18" s="8" t="s">
        <v>0</v>
      </c>
    </row>
    <row r="19" spans="3:17" x14ac:dyDescent="0.35">
      <c r="D19" s="3" t="s">
        <v>501</v>
      </c>
      <c r="E19" s="49">
        <f>'budget 2025-26'!D144</f>
        <v>122.2703158852111</v>
      </c>
      <c r="F19" s="49">
        <f>'budget 2025-26'!E144</f>
        <v>122.2703158852111</v>
      </c>
      <c r="G19" s="49">
        <f>'budget 2025-26'!F144</f>
        <v>122.2703158852111</v>
      </c>
      <c r="H19" s="49">
        <f>'budget 2025-26'!G144</f>
        <v>122.2703158852111</v>
      </c>
      <c r="I19" s="49">
        <f>'budget 2025-26'!H144</f>
        <v>122.2703158852111</v>
      </c>
      <c r="J19" s="49">
        <f>'budget 2025-26'!I144</f>
        <v>122.2703158852111</v>
      </c>
      <c r="K19" s="49">
        <f>'budget 2025-26'!J144</f>
        <v>122.2703158852111</v>
      </c>
      <c r="L19" s="49">
        <f>'budget 2025-26'!K144</f>
        <v>122.2703158852111</v>
      </c>
      <c r="M19" s="49">
        <f>'budget 2025-26'!L144</f>
        <v>122.2703158852111</v>
      </c>
      <c r="N19" s="49">
        <f>'budget 2025-26'!M144</f>
        <v>122.2703158852111</v>
      </c>
      <c r="O19" s="49">
        <f>'budget 2025-26'!N144</f>
        <v>122.2703158852111</v>
      </c>
      <c r="P19" s="49">
        <f>'budget 2025-26'!O144</f>
        <v>122.2703158852111</v>
      </c>
      <c r="Q19" s="5">
        <f>SUM(E19:P19)</f>
        <v>1467.2437906225334</v>
      </c>
    </row>
    <row r="20" spans="3:17" x14ac:dyDescent="0.35">
      <c r="D20" s="3" t="s">
        <v>502</v>
      </c>
      <c r="E20" s="49">
        <f>'Input Actual2025-26'!E147</f>
        <v>121.84137854854744</v>
      </c>
      <c r="F20" s="49">
        <f>'Input Actual2025-26'!F147</f>
        <v>123.25241353453931</v>
      </c>
      <c r="G20" s="49">
        <f>'Input Actual2025-26'!G147</f>
        <v>122.85221766679091</v>
      </c>
      <c r="H20" s="49">
        <f>'Input Actual2025-26'!H147</f>
        <v>122.81488203266788</v>
      </c>
      <c r="I20" s="49">
        <f>'Input Actual2025-26'!I147</f>
        <v>122.69809949112057</v>
      </c>
      <c r="J20" s="49">
        <f>'Input Actual2025-26'!J147</f>
        <v>121.9932476301779</v>
      </c>
      <c r="K20" s="49">
        <f>'Input Actual2025-26'!K147</f>
        <v>123.13724018908982</v>
      </c>
      <c r="L20" s="49">
        <f>'Input Actual2025-26'!L147</f>
        <v>121.31891891891892</v>
      </c>
      <c r="M20" s="49" t="e">
        <f>'Input Actual2025-26'!M147</f>
        <v>#DIV/0!</v>
      </c>
      <c r="N20" s="49" t="e">
        <f>'Input Actual2025-26'!N147</f>
        <v>#DIV/0!</v>
      </c>
      <c r="O20" s="49" t="e">
        <f>'Input Actual2025-26'!O147</f>
        <v>#DIV/0!</v>
      </c>
      <c r="P20" s="49" t="e">
        <f>'Input Actual2025-26'!P147</f>
        <v>#DIV/0!</v>
      </c>
      <c r="Q20" s="5" t="e">
        <f t="shared" ref="Q20:Q22" si="0">SUM(E20:P20)</f>
        <v>#DIV/0!</v>
      </c>
    </row>
    <row r="21" spans="3:17" x14ac:dyDescent="0.35">
      <c r="D21" s="3" t="s">
        <v>424</v>
      </c>
      <c r="E21" s="49">
        <f>'Input Actual2024-25'!E136</f>
        <v>71.240547389761787</v>
      </c>
      <c r="F21" s="49">
        <f>'Input Actual2024-25'!F136</f>
        <v>71.880253979610089</v>
      </c>
      <c r="G21" s="49">
        <f>'Input Actual2024-25'!G136</f>
        <v>71.917313703741044</v>
      </c>
      <c r="H21" s="49">
        <f>'Input Actual2024-25'!H136</f>
        <v>72.363903424217384</v>
      </c>
      <c r="I21" s="49">
        <f>'Input Actual2024-25'!I136</f>
        <v>71.674899804268804</v>
      </c>
      <c r="J21" s="49">
        <f>'Input Actual2024-25'!J136</f>
        <v>70.232913325696828</v>
      </c>
      <c r="K21" s="49">
        <f>'Input Actual2024-25'!K136</f>
        <v>72.590902355904575</v>
      </c>
      <c r="L21" s="49">
        <f>'Input Actual2024-25'!L136</f>
        <v>72.320299740609087</v>
      </c>
      <c r="M21" s="49">
        <f>'Input Actual2024-25'!M136</f>
        <v>73.02063530749858</v>
      </c>
      <c r="N21" s="49">
        <f>'Input Actual2024-25'!N136</f>
        <v>120.53430353430353</v>
      </c>
      <c r="O21" s="49">
        <f>'Input Actual2024-25'!O136</f>
        <v>122.11532745467156</v>
      </c>
      <c r="P21" s="49">
        <f>'Input Actual2024-25'!P136</f>
        <v>122.42530431575065</v>
      </c>
      <c r="Q21" s="5">
        <f t="shared" si="0"/>
        <v>1012.3166043360337</v>
      </c>
    </row>
    <row r="22" spans="3:17" x14ac:dyDescent="0.35">
      <c r="D22" s="3" t="s">
        <v>7</v>
      </c>
      <c r="E22" s="5">
        <f t="shared" ref="E22:P22" si="1">IF(E20=0,0,E20-E19)</f>
        <v>-0.42893733666366529</v>
      </c>
      <c r="F22" s="5">
        <f t="shared" si="1"/>
        <v>0.98209764932821031</v>
      </c>
      <c r="G22" s="5">
        <f t="shared" si="1"/>
        <v>0.58190178157980199</v>
      </c>
      <c r="H22" s="5">
        <f t="shared" si="1"/>
        <v>0.54456614745677712</v>
      </c>
      <c r="I22" s="5">
        <f t="shared" si="1"/>
        <v>0.42778360590946818</v>
      </c>
      <c r="J22" s="5">
        <f t="shared" si="1"/>
        <v>-0.27706825503319976</v>
      </c>
      <c r="K22" s="5">
        <f t="shared" si="1"/>
        <v>0.86692430387871866</v>
      </c>
      <c r="L22" s="5">
        <f t="shared" si="1"/>
        <v>-0.95139696629217951</v>
      </c>
      <c r="M22" s="5" t="e">
        <f t="shared" si="1"/>
        <v>#DIV/0!</v>
      </c>
      <c r="N22" s="5" t="e">
        <f t="shared" si="1"/>
        <v>#DIV/0!</v>
      </c>
      <c r="O22" s="5" t="e">
        <f t="shared" si="1"/>
        <v>#DIV/0!</v>
      </c>
      <c r="P22" s="5" t="e">
        <f t="shared" si="1"/>
        <v>#DIV/0!</v>
      </c>
      <c r="Q22" s="5" t="e">
        <f t="shared" si="0"/>
        <v>#DIV/0!</v>
      </c>
    </row>
    <row r="23" spans="3:17" x14ac:dyDescent="0.35">
      <c r="D23" s="3" t="s">
        <v>43</v>
      </c>
      <c r="E23" s="9">
        <f>E21/E19</f>
        <v>0.58264793767804857</v>
      </c>
      <c r="F23" s="9">
        <f t="shared" ref="F23:P23" si="2">F20/F19</f>
        <v>1.0080321837906285</v>
      </c>
      <c r="G23" s="9">
        <f t="shared" si="2"/>
        <v>1.0047591418846591</v>
      </c>
      <c r="H23" s="9">
        <f t="shared" si="2"/>
        <v>1.0044537886690996</v>
      </c>
      <c r="I23" s="9">
        <f t="shared" si="2"/>
        <v>1.0034986709800526</v>
      </c>
      <c r="J23" s="9">
        <f t="shared" si="2"/>
        <v>0.9977339695818459</v>
      </c>
      <c r="K23" s="9">
        <f t="shared" si="2"/>
        <v>1.0070902270727149</v>
      </c>
      <c r="L23" s="9">
        <f t="shared" si="2"/>
        <v>0.99221890481426933</v>
      </c>
      <c r="M23" s="9" t="e">
        <f t="shared" si="2"/>
        <v>#DIV/0!</v>
      </c>
      <c r="N23" s="9" t="e">
        <f t="shared" si="2"/>
        <v>#DIV/0!</v>
      </c>
      <c r="O23" s="9" t="e">
        <f t="shared" si="2"/>
        <v>#DIV/0!</v>
      </c>
      <c r="P23" s="9" t="e">
        <f t="shared" si="2"/>
        <v>#DIV/0!</v>
      </c>
    </row>
    <row r="25" spans="3:17" x14ac:dyDescent="0.35">
      <c r="C25" s="7" t="s">
        <v>3</v>
      </c>
      <c r="E25" s="11">
        <f>E18</f>
        <v>45839</v>
      </c>
      <c r="F25" s="11">
        <f t="shared" ref="F25:P25" si="3">F18</f>
        <v>45870</v>
      </c>
      <c r="G25" s="11">
        <f t="shared" si="3"/>
        <v>45901</v>
      </c>
      <c r="H25" s="11">
        <f t="shared" si="3"/>
        <v>45931</v>
      </c>
      <c r="I25" s="11">
        <f t="shared" si="3"/>
        <v>45962</v>
      </c>
      <c r="J25" s="11">
        <f t="shared" si="3"/>
        <v>45992</v>
      </c>
      <c r="K25" s="11">
        <f t="shared" si="3"/>
        <v>46023</v>
      </c>
      <c r="L25" s="11">
        <f t="shared" si="3"/>
        <v>46054</v>
      </c>
      <c r="M25" s="11">
        <f t="shared" si="3"/>
        <v>46082</v>
      </c>
      <c r="N25" s="11">
        <f t="shared" si="3"/>
        <v>46113</v>
      </c>
      <c r="O25" s="11">
        <f t="shared" si="3"/>
        <v>46143</v>
      </c>
      <c r="P25" s="11">
        <f t="shared" si="3"/>
        <v>46174</v>
      </c>
    </row>
    <row r="26" spans="3:17" x14ac:dyDescent="0.35">
      <c r="D26" s="3" t="str">
        <f>D19</f>
        <v>Budget 2025-26</v>
      </c>
      <c r="E26" s="5">
        <f>AVERAGE($E19:E19)</f>
        <v>122.2703158852111</v>
      </c>
      <c r="F26" s="5">
        <f>AVERAGE($E19:F19)</f>
        <v>122.2703158852111</v>
      </c>
      <c r="G26" s="5">
        <f>AVERAGE($E19:G19)</f>
        <v>122.2703158852111</v>
      </c>
      <c r="H26" s="5">
        <f>AVERAGE($E19:H19)</f>
        <v>122.2703158852111</v>
      </c>
      <c r="I26" s="5">
        <f>AVERAGE($E19:I19)</f>
        <v>122.2703158852111</v>
      </c>
      <c r="J26" s="5">
        <f>AVERAGE($E19:J19)</f>
        <v>122.2703158852111</v>
      </c>
      <c r="K26" s="5">
        <f>AVERAGE($E19:K19)</f>
        <v>122.27031588521109</v>
      </c>
      <c r="L26" s="5">
        <f>AVERAGE($E19:L19)</f>
        <v>122.27031588521109</v>
      </c>
      <c r="M26" s="5">
        <f>AVERAGE($E19:M19)</f>
        <v>122.2703158852111</v>
      </c>
      <c r="N26" s="5">
        <f>AVERAGE($E19:N19)</f>
        <v>122.2703158852111</v>
      </c>
      <c r="O26" s="5">
        <f>AVERAGE($E19:O19)</f>
        <v>122.27031588521112</v>
      </c>
      <c r="P26" s="5">
        <f>AVERAGE($E19:P19)</f>
        <v>122.27031588521112</v>
      </c>
    </row>
    <row r="27" spans="3:17" x14ac:dyDescent="0.35">
      <c r="D27" s="3" t="str">
        <f t="shared" ref="D27:D30" si="4">D20</f>
        <v>Actual 2025-26</v>
      </c>
      <c r="E27" s="5">
        <f>AVERAGE($E20:E20)</f>
        <v>121.84137854854744</v>
      </c>
      <c r="F27" s="5">
        <f>AVERAGE($E20:F20)</f>
        <v>122.54689604154338</v>
      </c>
      <c r="G27" s="5">
        <f>AVERAGE($E20:G20)</f>
        <v>122.64866991662588</v>
      </c>
      <c r="H27" s="5">
        <f>AVERAGE($E20:H20)</f>
        <v>122.69022294563638</v>
      </c>
      <c r="I27" s="5">
        <f>AVERAGE($E20:I20)</f>
        <v>122.69179825473323</v>
      </c>
      <c r="J27" s="5">
        <f>AVERAGE($E20:J20)</f>
        <v>122.57537315064069</v>
      </c>
      <c r="K27" s="5">
        <f>AVERAGE($E20:K20)</f>
        <v>122.65563987041914</v>
      </c>
      <c r="L27" s="5">
        <f>AVERAGE($E20:L20)</f>
        <v>122.48854975148161</v>
      </c>
      <c r="M27" s="5" t="e">
        <f>AVERAGE($E20:M20)</f>
        <v>#DIV/0!</v>
      </c>
      <c r="N27" s="5" t="e">
        <f>AVERAGE($E20:N20)</f>
        <v>#DIV/0!</v>
      </c>
      <c r="O27" s="5" t="e">
        <f>AVERAGE($E20:O20)</f>
        <v>#DIV/0!</v>
      </c>
      <c r="P27" s="5" t="e">
        <f>AVERAGE($E20:P20)</f>
        <v>#DIV/0!</v>
      </c>
    </row>
    <row r="28" spans="3:17" x14ac:dyDescent="0.35">
      <c r="D28" s="3" t="str">
        <f t="shared" si="4"/>
        <v>Actual 2024-25</v>
      </c>
      <c r="E28" s="5">
        <f>AVERAGE($E21:E21)</f>
        <v>71.240547389761787</v>
      </c>
      <c r="F28" s="5">
        <f>AVERAGE($E21:F21)</f>
        <v>71.560400684685931</v>
      </c>
      <c r="G28" s="5">
        <f>AVERAGE($E21:G21)</f>
        <v>71.679371691037645</v>
      </c>
      <c r="H28" s="5">
        <f>AVERAGE($E21:H21)</f>
        <v>71.850504624332572</v>
      </c>
      <c r="I28" s="5">
        <f>AVERAGE($E21:I21)</f>
        <v>71.815383660319824</v>
      </c>
      <c r="J28" s="5">
        <f>AVERAGE($E21:J21)</f>
        <v>71.551638604549325</v>
      </c>
      <c r="K28" s="5">
        <f>AVERAGE($E21:K21)</f>
        <v>71.700104854742932</v>
      </c>
      <c r="L28" s="5">
        <f>AVERAGE($E21:L21)</f>
        <v>71.777629215476196</v>
      </c>
      <c r="M28" s="5">
        <f>AVERAGE($E21:M21)</f>
        <v>71.915741003478672</v>
      </c>
      <c r="N28" s="5">
        <f>AVERAGE($E21:N21)</f>
        <v>76.777597256561165</v>
      </c>
      <c r="O28" s="5">
        <f>AVERAGE($E21:O21)</f>
        <v>80.899209092753011</v>
      </c>
      <c r="P28" s="5">
        <f>AVERAGE($E21:P21)</f>
        <v>84.359717028002805</v>
      </c>
    </row>
    <row r="29" spans="3:17" x14ac:dyDescent="0.35">
      <c r="D29" s="3" t="str">
        <f t="shared" si="4"/>
        <v>Difference</v>
      </c>
      <c r="E29" s="5">
        <f>SUM($E22:E22)</f>
        <v>-0.42893733666366529</v>
      </c>
      <c r="F29" s="5">
        <f>SUM($E22:F22)</f>
        <v>0.55316031266454502</v>
      </c>
      <c r="G29" s="5">
        <f>SUM($E22:G22)</f>
        <v>1.135062094244347</v>
      </c>
      <c r="H29" s="5">
        <f>SUM($E22:H22)</f>
        <v>1.6796282417011241</v>
      </c>
      <c r="I29" s="5">
        <f>SUM($E22:I22)</f>
        <v>2.1074118476105923</v>
      </c>
      <c r="J29" s="5">
        <f>SUM($E22:J22)</f>
        <v>1.8303435925773925</v>
      </c>
      <c r="K29" s="5">
        <f>SUM($E22:K22)</f>
        <v>2.6972678964561112</v>
      </c>
      <c r="L29" s="5">
        <f>SUM($E22:L22)</f>
        <v>1.7458709301639317</v>
      </c>
      <c r="M29" s="5" t="e">
        <f>SUM($E22:M22)</f>
        <v>#DIV/0!</v>
      </c>
      <c r="N29" s="5" t="e">
        <f>SUM($E22:N22)</f>
        <v>#DIV/0!</v>
      </c>
      <c r="O29" s="5" t="e">
        <f>SUM($E22:O22)</f>
        <v>#DIV/0!</v>
      </c>
      <c r="P29" s="5" t="e">
        <f>SUM($E22:P22)</f>
        <v>#DIV/0!</v>
      </c>
    </row>
    <row r="30" spans="3:17" x14ac:dyDescent="0.35">
      <c r="D30" s="3" t="str">
        <f t="shared" si="4"/>
        <v>Realisation</v>
      </c>
      <c r="E30" s="9">
        <f>E28/E26</f>
        <v>0.58264793767804857</v>
      </c>
      <c r="F30" s="9">
        <f t="shared" ref="F30:P30" si="5">F27/F26</f>
        <v>1.0022620384541407</v>
      </c>
      <c r="G30" s="9">
        <f t="shared" si="5"/>
        <v>1.0030944062643135</v>
      </c>
      <c r="H30" s="9">
        <f t="shared" si="5"/>
        <v>1.0034342518655099</v>
      </c>
      <c r="I30" s="9">
        <f t="shared" si="5"/>
        <v>1.0034471356884185</v>
      </c>
      <c r="J30" s="9">
        <f t="shared" si="5"/>
        <v>1.0024949413373232</v>
      </c>
      <c r="K30" s="9">
        <f t="shared" si="5"/>
        <v>1.0031514107280937</v>
      </c>
      <c r="L30" s="9">
        <f t="shared" si="5"/>
        <v>1.0017848474888655</v>
      </c>
      <c r="M30" s="9" t="e">
        <f t="shared" si="5"/>
        <v>#DIV/0!</v>
      </c>
      <c r="N30" s="9" t="e">
        <f t="shared" si="5"/>
        <v>#DIV/0!</v>
      </c>
      <c r="O30" s="9" t="e">
        <f t="shared" si="5"/>
        <v>#DIV/0!</v>
      </c>
      <c r="P30" s="9" t="e">
        <f t="shared" si="5"/>
        <v>#DIV/0!</v>
      </c>
    </row>
  </sheetData>
  <mergeCells count="2">
    <mergeCell ref="J4:Q8"/>
    <mergeCell ref="J10:Q15"/>
  </mergeCells>
  <conditionalFormatting sqref="C3">
    <cfRule type="expression" dxfId="176" priority="2">
      <formula>S4&lt;S6</formula>
    </cfRule>
  </conditionalFormatting>
  <conditionalFormatting sqref="C5">
    <cfRule type="expression" dxfId="175" priority="3">
      <formula>S4&gt;=S5</formula>
    </cfRule>
  </conditionalFormatting>
  <conditionalFormatting sqref="C4">
    <cfRule type="expression" dxfId="174" priority="1">
      <formula>AND(S4&gt;=S6,S4&lt;S5)</formula>
    </cfRule>
  </conditionalFormatting>
  <hyperlinks>
    <hyperlink ref="L1" location="Dashboard!A1" display="Dashboard"/>
  </hyperlinks>
  <pageMargins left="0.7" right="0.7" top="0.75" bottom="0.75" header="0.3" footer="0.3"/>
  <pageSetup orientation="portrait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46529" r:id="rId4" name="Spinner 1">
              <controlPr defaultSize="0" autoPict="0">
                <anchor moveWithCells="1" sizeWithCells="1">
                  <from>
                    <xdr:col>9</xdr:col>
                    <xdr:colOff>19050</xdr:colOff>
                    <xdr:row>0</xdr:row>
                    <xdr:rowOff>38100</xdr:rowOff>
                  </from>
                  <to>
                    <xdr:col>9</xdr:col>
                    <xdr:colOff>400050</xdr:colOff>
                    <xdr:row>1</xdr:row>
                    <xdr:rowOff>152400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14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111">
    <tabColor rgb="FFFFC000"/>
  </sheetPr>
  <dimension ref="A1:S30"/>
  <sheetViews>
    <sheetView zoomScale="90" zoomScaleNormal="90" workbookViewId="0">
      <selection activeCell="L1" sqref="L1"/>
    </sheetView>
  </sheetViews>
  <sheetFormatPr defaultColWidth="9.1796875" defaultRowHeight="14.5" x14ac:dyDescent="0.35"/>
  <cols>
    <col min="1" max="1" width="9.1796875" style="3"/>
    <col min="2" max="2" width="5.7265625" style="3" bestFit="1" customWidth="1"/>
    <col min="3" max="3" width="6.26953125" style="3" customWidth="1"/>
    <col min="4" max="4" width="21.26953125" style="3" bestFit="1" customWidth="1"/>
    <col min="5" max="16" width="11.1796875" style="3" customWidth="1"/>
    <col min="17" max="17" width="12" style="3" bestFit="1" customWidth="1"/>
    <col min="18" max="18" width="9.1796875" style="3" customWidth="1"/>
    <col min="19" max="16384" width="9.1796875" style="3"/>
  </cols>
  <sheetData>
    <row r="1" spans="1:19" ht="21" x14ac:dyDescent="0.5">
      <c r="A1" s="4" t="s">
        <v>4</v>
      </c>
      <c r="B1" s="4">
        <f>Dashboard!A154</f>
        <v>5</v>
      </c>
      <c r="C1" s="4" t="str">
        <f>Dashboard!B154</f>
        <v>KIHOTO - KSH/M3</v>
      </c>
      <c r="D1" s="4"/>
      <c r="G1" s="3" t="s">
        <v>9</v>
      </c>
      <c r="I1" s="12">
        <f>INDEX($E$18:$P$18,Actual_month)</f>
        <v>46054</v>
      </c>
      <c r="L1" s="16" t="s">
        <v>19</v>
      </c>
      <c r="R1" s="5"/>
    </row>
    <row r="2" spans="1:19" x14ac:dyDescent="0.35">
      <c r="A2" s="3" t="s">
        <v>13</v>
      </c>
      <c r="C2" s="3" t="s">
        <v>27</v>
      </c>
      <c r="R2" s="6"/>
    </row>
    <row r="3" spans="1:19" ht="25.5" customHeight="1" thickBot="1" x14ac:dyDescent="0.4">
      <c r="C3" s="1" t="s">
        <v>5</v>
      </c>
      <c r="E3" s="10"/>
      <c r="F3" s="10"/>
      <c r="G3" s="10"/>
      <c r="H3" s="10"/>
      <c r="I3" s="10"/>
      <c r="J3" s="3" t="s">
        <v>6</v>
      </c>
      <c r="K3" s="10"/>
      <c r="M3" s="10"/>
      <c r="N3" s="10"/>
      <c r="O3" s="10"/>
      <c r="P3" s="10"/>
    </row>
    <row r="4" spans="1:19" ht="25.5" customHeight="1" x14ac:dyDescent="0.35">
      <c r="C4" s="1" t="s">
        <v>5</v>
      </c>
      <c r="E4" s="10"/>
      <c r="F4" s="10"/>
      <c r="G4" s="10"/>
      <c r="H4" s="10"/>
      <c r="I4" s="10"/>
      <c r="J4" s="401"/>
      <c r="K4" s="402"/>
      <c r="L4" s="402"/>
      <c r="M4" s="402"/>
      <c r="N4" s="402"/>
      <c r="O4" s="402"/>
      <c r="P4" s="402"/>
      <c r="Q4" s="403"/>
      <c r="R4" s="3" t="s">
        <v>22</v>
      </c>
      <c r="S4" s="5">
        <f>INDEX(E27:P27,Actual_month)</f>
        <v>123.40680511305921</v>
      </c>
    </row>
    <row r="5" spans="1:19" ht="25.5" customHeight="1" x14ac:dyDescent="0.35">
      <c r="C5" s="1" t="s">
        <v>5</v>
      </c>
      <c r="E5" s="10"/>
      <c r="F5" s="10"/>
      <c r="G5" s="10"/>
      <c r="H5" s="10"/>
      <c r="I5" s="10"/>
      <c r="J5" s="404"/>
      <c r="K5" s="405"/>
      <c r="L5" s="405"/>
      <c r="M5" s="405"/>
      <c r="N5" s="405"/>
      <c r="O5" s="405"/>
      <c r="P5" s="405"/>
      <c r="Q5" s="406"/>
      <c r="R5" s="3" t="s">
        <v>23</v>
      </c>
      <c r="S5" s="5">
        <f>INDEX(E26:P26,Actual_month)</f>
        <v>123.39817473589821</v>
      </c>
    </row>
    <row r="6" spans="1:19" x14ac:dyDescent="0.35">
      <c r="J6" s="404"/>
      <c r="K6" s="405"/>
      <c r="L6" s="405"/>
      <c r="M6" s="405"/>
      <c r="N6" s="405"/>
      <c r="O6" s="405"/>
      <c r="P6" s="405"/>
      <c r="Q6" s="406"/>
      <c r="R6" s="6">
        <v>0.9</v>
      </c>
      <c r="S6" s="5">
        <f>+S5*R6</f>
        <v>111.05835726230839</v>
      </c>
    </row>
    <row r="7" spans="1:19" x14ac:dyDescent="0.35">
      <c r="J7" s="404"/>
      <c r="K7" s="405"/>
      <c r="L7" s="405"/>
      <c r="M7" s="405"/>
      <c r="N7" s="405"/>
      <c r="O7" s="405"/>
      <c r="P7" s="405"/>
      <c r="Q7" s="406"/>
    </row>
    <row r="8" spans="1:19" ht="15" thickBot="1" x14ac:dyDescent="0.4">
      <c r="J8" s="407"/>
      <c r="K8" s="408"/>
      <c r="L8" s="408"/>
      <c r="M8" s="408"/>
      <c r="N8" s="408"/>
      <c r="O8" s="408"/>
      <c r="P8" s="408"/>
      <c r="Q8" s="409"/>
    </row>
    <row r="9" spans="1:19" ht="15" thickBot="1" x14ac:dyDescent="0.4">
      <c r="J9" s="3" t="s">
        <v>12</v>
      </c>
    </row>
    <row r="10" spans="1:19" x14ac:dyDescent="0.35">
      <c r="J10" s="401"/>
      <c r="K10" s="402"/>
      <c r="L10" s="402"/>
      <c r="M10" s="402"/>
      <c r="N10" s="402"/>
      <c r="O10" s="402"/>
      <c r="P10" s="402"/>
      <c r="Q10" s="403"/>
    </row>
    <row r="11" spans="1:19" x14ac:dyDescent="0.35">
      <c r="J11" s="404"/>
      <c r="K11" s="405"/>
      <c r="L11" s="405"/>
      <c r="M11" s="405"/>
      <c r="N11" s="405"/>
      <c r="O11" s="405"/>
      <c r="P11" s="405"/>
      <c r="Q11" s="406"/>
    </row>
    <row r="12" spans="1:19" x14ac:dyDescent="0.35">
      <c r="J12" s="404"/>
      <c r="K12" s="405"/>
      <c r="L12" s="405"/>
      <c r="M12" s="405"/>
      <c r="N12" s="405"/>
      <c r="O12" s="405"/>
      <c r="P12" s="405"/>
      <c r="Q12" s="406"/>
    </row>
    <row r="13" spans="1:19" x14ac:dyDescent="0.35">
      <c r="J13" s="404"/>
      <c r="K13" s="405"/>
      <c r="L13" s="405"/>
      <c r="M13" s="405"/>
      <c r="N13" s="405"/>
      <c r="O13" s="405"/>
      <c r="P13" s="405"/>
      <c r="Q13" s="406"/>
    </row>
    <row r="14" spans="1:19" x14ac:dyDescent="0.35">
      <c r="J14" s="404"/>
      <c r="K14" s="405"/>
      <c r="L14" s="405"/>
      <c r="M14" s="405"/>
      <c r="N14" s="405"/>
      <c r="O14" s="405"/>
      <c r="P14" s="405"/>
      <c r="Q14" s="406"/>
    </row>
    <row r="15" spans="1:19" ht="15" thickBot="1" x14ac:dyDescent="0.4">
      <c r="J15" s="407"/>
      <c r="K15" s="408"/>
      <c r="L15" s="408"/>
      <c r="M15" s="408"/>
      <c r="N15" s="408"/>
      <c r="O15" s="408"/>
      <c r="P15" s="408"/>
      <c r="Q15" s="409"/>
    </row>
    <row r="18" spans="3:17" x14ac:dyDescent="0.35">
      <c r="C18" s="7" t="s">
        <v>8</v>
      </c>
      <c r="E18" s="11">
        <v>45839</v>
      </c>
      <c r="F18" s="11">
        <v>45870</v>
      </c>
      <c r="G18" s="11">
        <v>45901</v>
      </c>
      <c r="H18" s="11">
        <v>45931</v>
      </c>
      <c r="I18" s="11">
        <v>45962</v>
      </c>
      <c r="J18" s="11">
        <v>45992</v>
      </c>
      <c r="K18" s="11">
        <v>46023</v>
      </c>
      <c r="L18" s="11">
        <v>46054</v>
      </c>
      <c r="M18" s="11">
        <v>46082</v>
      </c>
      <c r="N18" s="11">
        <v>46113</v>
      </c>
      <c r="O18" s="11">
        <v>46143</v>
      </c>
      <c r="P18" s="11">
        <v>46174</v>
      </c>
      <c r="Q18" s="8" t="s">
        <v>0</v>
      </c>
    </row>
    <row r="19" spans="3:17" x14ac:dyDescent="0.35">
      <c r="D19" s="3" t="s">
        <v>501</v>
      </c>
      <c r="E19" s="49">
        <f>'budget 2025-26'!D145</f>
        <v>123.39817473589818</v>
      </c>
      <c r="F19" s="49">
        <f>'budget 2025-26'!E145</f>
        <v>123.39817473589818</v>
      </c>
      <c r="G19" s="49">
        <f>'budget 2025-26'!F145</f>
        <v>123.39817473589818</v>
      </c>
      <c r="H19" s="49">
        <f>'budget 2025-26'!G145</f>
        <v>123.39817473589818</v>
      </c>
      <c r="I19" s="49">
        <f>'budget 2025-26'!H145</f>
        <v>123.39817473589818</v>
      </c>
      <c r="J19" s="49">
        <f>'budget 2025-26'!I145</f>
        <v>123.39817473589818</v>
      </c>
      <c r="K19" s="49">
        <f>'budget 2025-26'!J145</f>
        <v>123.39817473589818</v>
      </c>
      <c r="L19" s="49">
        <f>'budget 2025-26'!K145</f>
        <v>123.39817473589818</v>
      </c>
      <c r="M19" s="49">
        <f>'budget 2025-26'!L145</f>
        <v>123.39817473589818</v>
      </c>
      <c r="N19" s="49">
        <f>'budget 2025-26'!M145</f>
        <v>123.39817473589818</v>
      </c>
      <c r="O19" s="49">
        <f>'budget 2025-26'!N145</f>
        <v>123.39817473589818</v>
      </c>
      <c r="P19" s="49">
        <f>'budget 2025-26'!O145</f>
        <v>123.39817473589818</v>
      </c>
      <c r="Q19" s="5">
        <f>SUM(E19:P19)</f>
        <v>1480.7780968307786</v>
      </c>
    </row>
    <row r="20" spans="3:17" x14ac:dyDescent="0.35">
      <c r="D20" s="3" t="s">
        <v>502</v>
      </c>
      <c r="E20" s="49">
        <f>'Input Actual2025-26'!E148</f>
        <v>121.6410537870472</v>
      </c>
      <c r="F20" s="49">
        <f>'Input Actual2025-26'!F148</f>
        <v>122.40286909742977</v>
      </c>
      <c r="G20" s="49">
        <f>'Input Actual2025-26'!G148</f>
        <v>122.81057810578106</v>
      </c>
      <c r="H20" s="49">
        <f>'Input Actual2025-26'!H148</f>
        <v>124.03105232892467</v>
      </c>
      <c r="I20" s="49">
        <f>'Input Actual2025-26'!I148</f>
        <v>121.30368098159509</v>
      </c>
      <c r="J20" s="49">
        <f>'Input Actual2025-26'!J148</f>
        <v>123.90784982935153</v>
      </c>
      <c r="K20" s="49">
        <f>'Input Actual2025-26'!K148</f>
        <v>125.01132502831257</v>
      </c>
      <c r="L20" s="49">
        <f>'Input Actual2025-26'!L148</f>
        <v>126.14603174603175</v>
      </c>
      <c r="M20" s="49" t="e">
        <f>'Input Actual2025-26'!M148</f>
        <v>#DIV/0!</v>
      </c>
      <c r="N20" s="49" t="e">
        <f>'Input Actual2025-26'!N148</f>
        <v>#DIV/0!</v>
      </c>
      <c r="O20" s="49" t="e">
        <f>'Input Actual2025-26'!O148</f>
        <v>#DIV/0!</v>
      </c>
      <c r="P20" s="49" t="e">
        <f>'Input Actual2025-26'!P148</f>
        <v>#DIV/0!</v>
      </c>
      <c r="Q20" s="5" t="e">
        <f t="shared" ref="Q20:Q22" si="0">SUM(E20:P20)</f>
        <v>#DIV/0!</v>
      </c>
    </row>
    <row r="21" spans="3:17" x14ac:dyDescent="0.35">
      <c r="D21" s="3" t="s">
        <v>424</v>
      </c>
      <c r="E21" s="49">
        <f>'Input Actual2024-25'!E137</f>
        <v>71.186339125224691</v>
      </c>
      <c r="F21" s="49">
        <f>'Input Actual2024-25'!F137</f>
        <v>72.093023255813947</v>
      </c>
      <c r="G21" s="49">
        <f>'Input Actual2024-25'!G137</f>
        <v>70.966721222040377</v>
      </c>
      <c r="H21" s="49">
        <f>'Input Actual2024-25'!H137</f>
        <v>71.170878459687117</v>
      </c>
      <c r="I21" s="49">
        <f>'Input Actual2024-25'!I137</f>
        <v>71.705292479108635</v>
      </c>
      <c r="J21" s="49">
        <f>'Input Actual2024-25'!J137</f>
        <v>67.655913978494624</v>
      </c>
      <c r="K21" s="49">
        <f>'Input Actual2024-25'!K137</f>
        <v>76.09659540775931</v>
      </c>
      <c r="L21" s="49">
        <f>'Input Actual2024-25'!L137</f>
        <v>71.958517699115049</v>
      </c>
      <c r="M21" s="49">
        <f>'Input Actual2024-25'!M137</f>
        <v>74.655807365439088</v>
      </c>
      <c r="N21" s="49">
        <f>'Input Actual2024-25'!N137</f>
        <v>124.14535666218035</v>
      </c>
      <c r="O21" s="49">
        <f>'Input Actual2024-25'!O137</f>
        <v>122.81308999370674</v>
      </c>
      <c r="P21" s="49">
        <f>'Input Actual2024-25'!P137</f>
        <v>123.98325947808961</v>
      </c>
      <c r="Q21" s="5">
        <f t="shared" si="0"/>
        <v>1018.4307951266595</v>
      </c>
    </row>
    <row r="22" spans="3:17" x14ac:dyDescent="0.35">
      <c r="D22" s="3" t="s">
        <v>7</v>
      </c>
      <c r="E22" s="5">
        <f t="shared" ref="E22:P22" si="1">IF(E20=0,0,E20-E19)</f>
        <v>-1.7571209488509822</v>
      </c>
      <c r="F22" s="5">
        <f t="shared" si="1"/>
        <v>-0.99530563846840892</v>
      </c>
      <c r="G22" s="5">
        <f t="shared" si="1"/>
        <v>-0.58759663011711893</v>
      </c>
      <c r="H22" s="5">
        <f t="shared" si="1"/>
        <v>0.63287759302649249</v>
      </c>
      <c r="I22" s="5">
        <f t="shared" si="1"/>
        <v>-2.0944937543030875</v>
      </c>
      <c r="J22" s="5">
        <f t="shared" si="1"/>
        <v>0.50967509345335316</v>
      </c>
      <c r="K22" s="5">
        <f t="shared" si="1"/>
        <v>1.6131502924143888</v>
      </c>
      <c r="L22" s="5">
        <f t="shared" si="1"/>
        <v>2.747857010133572</v>
      </c>
      <c r="M22" s="5" t="e">
        <f t="shared" si="1"/>
        <v>#DIV/0!</v>
      </c>
      <c r="N22" s="5" t="e">
        <f t="shared" si="1"/>
        <v>#DIV/0!</v>
      </c>
      <c r="O22" s="5" t="e">
        <f t="shared" si="1"/>
        <v>#DIV/0!</v>
      </c>
      <c r="P22" s="5" t="e">
        <f t="shared" si="1"/>
        <v>#DIV/0!</v>
      </c>
      <c r="Q22" s="5" t="e">
        <f t="shared" si="0"/>
        <v>#DIV/0!</v>
      </c>
    </row>
    <row r="23" spans="3:17" x14ac:dyDescent="0.35">
      <c r="D23" s="3" t="s">
        <v>43</v>
      </c>
      <c r="E23" s="9">
        <f>E21/E19</f>
        <v>0.57688324221635046</v>
      </c>
      <c r="F23" s="9">
        <f t="shared" ref="F23:P23" si="2">F20/F19</f>
        <v>0.99193419480799772</v>
      </c>
      <c r="G23" s="9">
        <f t="shared" si="2"/>
        <v>0.99523820646962791</v>
      </c>
      <c r="H23" s="9">
        <f t="shared" si="2"/>
        <v>1.0051287435521716</v>
      </c>
      <c r="I23" s="9">
        <f t="shared" si="2"/>
        <v>0.98302654185294225</v>
      </c>
      <c r="J23" s="9">
        <f t="shared" si="2"/>
        <v>1.0041303292738664</v>
      </c>
      <c r="K23" s="9">
        <f t="shared" si="2"/>
        <v>1.0130727240971507</v>
      </c>
      <c r="L23" s="9">
        <f t="shared" si="2"/>
        <v>1.0222682143882165</v>
      </c>
      <c r="M23" s="9" t="e">
        <f t="shared" si="2"/>
        <v>#DIV/0!</v>
      </c>
      <c r="N23" s="9" t="e">
        <f t="shared" si="2"/>
        <v>#DIV/0!</v>
      </c>
      <c r="O23" s="9" t="e">
        <f t="shared" si="2"/>
        <v>#DIV/0!</v>
      </c>
      <c r="P23" s="9" t="e">
        <f t="shared" si="2"/>
        <v>#DIV/0!</v>
      </c>
    </row>
    <row r="25" spans="3:17" x14ac:dyDescent="0.35">
      <c r="C25" s="7" t="s">
        <v>3</v>
      </c>
      <c r="E25" s="11">
        <f>E18</f>
        <v>45839</v>
      </c>
      <c r="F25" s="11">
        <f t="shared" ref="F25:P25" si="3">F18</f>
        <v>45870</v>
      </c>
      <c r="G25" s="11">
        <f t="shared" si="3"/>
        <v>45901</v>
      </c>
      <c r="H25" s="11">
        <f t="shared" si="3"/>
        <v>45931</v>
      </c>
      <c r="I25" s="11">
        <f t="shared" si="3"/>
        <v>45962</v>
      </c>
      <c r="J25" s="11">
        <f t="shared" si="3"/>
        <v>45992</v>
      </c>
      <c r="K25" s="11">
        <f t="shared" si="3"/>
        <v>46023</v>
      </c>
      <c r="L25" s="11">
        <f t="shared" si="3"/>
        <v>46054</v>
      </c>
      <c r="M25" s="11">
        <f t="shared" si="3"/>
        <v>46082</v>
      </c>
      <c r="N25" s="11">
        <f t="shared" si="3"/>
        <v>46113</v>
      </c>
      <c r="O25" s="11">
        <f t="shared" si="3"/>
        <v>46143</v>
      </c>
      <c r="P25" s="11">
        <f t="shared" si="3"/>
        <v>46174</v>
      </c>
    </row>
    <row r="26" spans="3:17" x14ac:dyDescent="0.35">
      <c r="D26" s="3" t="str">
        <f>D19</f>
        <v>Budget 2025-26</v>
      </c>
      <c r="E26" s="5">
        <f>AVERAGE($E19:E19)</f>
        <v>123.39817473589818</v>
      </c>
      <c r="F26" s="5">
        <f>AVERAGE($E19:F19)</f>
        <v>123.39817473589818</v>
      </c>
      <c r="G26" s="5">
        <f>AVERAGE($E19:G19)</f>
        <v>123.39817473589818</v>
      </c>
      <c r="H26" s="5">
        <f>AVERAGE($E19:H19)</f>
        <v>123.39817473589818</v>
      </c>
      <c r="I26" s="5">
        <f>AVERAGE($E19:I19)</f>
        <v>123.39817473589819</v>
      </c>
      <c r="J26" s="5">
        <f>AVERAGE($E19:J19)</f>
        <v>123.39817473589819</v>
      </c>
      <c r="K26" s="5">
        <f>AVERAGE($E19:K19)</f>
        <v>123.39817473589821</v>
      </c>
      <c r="L26" s="5">
        <f>AVERAGE($E19:L19)</f>
        <v>123.39817473589821</v>
      </c>
      <c r="M26" s="5">
        <f>AVERAGE($E19:M19)</f>
        <v>123.39817473589821</v>
      </c>
      <c r="N26" s="5">
        <f>AVERAGE($E19:N19)</f>
        <v>123.39817473589821</v>
      </c>
      <c r="O26" s="5">
        <f>AVERAGE($E19:O19)</f>
        <v>123.39817473589822</v>
      </c>
      <c r="P26" s="5">
        <f>AVERAGE($E19:P19)</f>
        <v>123.39817473589822</v>
      </c>
    </row>
    <row r="27" spans="3:17" x14ac:dyDescent="0.35">
      <c r="D27" s="3" t="str">
        <f t="shared" ref="D27:D30" si="4">D20</f>
        <v>Actual 2025-26</v>
      </c>
      <c r="E27" s="5">
        <f>AVERAGE($E20:E20)</f>
        <v>121.6410537870472</v>
      </c>
      <c r="F27" s="5">
        <f>AVERAGE($E20:F20)</f>
        <v>122.02196144223848</v>
      </c>
      <c r="G27" s="5">
        <f>AVERAGE($E20:G20)</f>
        <v>122.28483366341935</v>
      </c>
      <c r="H27" s="5">
        <f>AVERAGE($E20:H20)</f>
        <v>122.72138832979567</v>
      </c>
      <c r="I27" s="5">
        <f>AVERAGE($E20:I20)</f>
        <v>122.43784686015556</v>
      </c>
      <c r="J27" s="5">
        <f>AVERAGE($E20:J20)</f>
        <v>122.68284735502156</v>
      </c>
      <c r="K27" s="5">
        <f>AVERAGE($E20:K20)</f>
        <v>123.01548702263456</v>
      </c>
      <c r="L27" s="5">
        <f>AVERAGE($E20:L20)</f>
        <v>123.40680511305921</v>
      </c>
      <c r="M27" s="5" t="e">
        <f>AVERAGE($E20:M20)</f>
        <v>#DIV/0!</v>
      </c>
      <c r="N27" s="5" t="e">
        <f>AVERAGE($E20:N20)</f>
        <v>#DIV/0!</v>
      </c>
      <c r="O27" s="5" t="e">
        <f>AVERAGE($E20:O20)</f>
        <v>#DIV/0!</v>
      </c>
      <c r="P27" s="5" t="e">
        <f>AVERAGE($E20:P20)</f>
        <v>#DIV/0!</v>
      </c>
    </row>
    <row r="28" spans="3:17" x14ac:dyDescent="0.35">
      <c r="D28" s="3" t="str">
        <f t="shared" si="4"/>
        <v>Actual 2024-25</v>
      </c>
      <c r="E28" s="5">
        <f>AVERAGE($E21:E21)</f>
        <v>71.186339125224691</v>
      </c>
      <c r="F28" s="5">
        <f>AVERAGE($E21:F21)</f>
        <v>71.639681190519326</v>
      </c>
      <c r="G28" s="5">
        <f>AVERAGE($E21:G21)</f>
        <v>71.415361201026343</v>
      </c>
      <c r="H28" s="5">
        <f>AVERAGE($E21:H21)</f>
        <v>71.354240515691544</v>
      </c>
      <c r="I28" s="5">
        <f>AVERAGE($E21:I21)</f>
        <v>71.424450908374951</v>
      </c>
      <c r="J28" s="5">
        <f>AVERAGE($E21:J21)</f>
        <v>70.796361420061558</v>
      </c>
      <c r="K28" s="5">
        <f>AVERAGE($E21:K21)</f>
        <v>71.553537704018382</v>
      </c>
      <c r="L28" s="5">
        <f>AVERAGE($E21:L21)</f>
        <v>71.60416020340547</v>
      </c>
      <c r="M28" s="5">
        <f>AVERAGE($E21:M21)</f>
        <v>71.943232110298084</v>
      </c>
      <c r="N28" s="5">
        <f>AVERAGE($E21:N21)</f>
        <v>77.163444565486316</v>
      </c>
      <c r="O28" s="5">
        <f>AVERAGE($E21:O21)</f>
        <v>81.31341233168817</v>
      </c>
      <c r="P28" s="5">
        <f>AVERAGE($E21:P21)</f>
        <v>84.869232927221631</v>
      </c>
    </row>
    <row r="29" spans="3:17" x14ac:dyDescent="0.35">
      <c r="D29" s="3" t="str">
        <f t="shared" si="4"/>
        <v>Difference</v>
      </c>
      <c r="E29" s="5">
        <f>SUM($E22:E22)</f>
        <v>-1.7571209488509822</v>
      </c>
      <c r="F29" s="5">
        <f>SUM($E22:F22)</f>
        <v>-2.7524265873193912</v>
      </c>
      <c r="G29" s="5">
        <f>SUM($E22:G22)</f>
        <v>-3.3400232174365101</v>
      </c>
      <c r="H29" s="5">
        <f>SUM($E22:H22)</f>
        <v>-2.7071456244100176</v>
      </c>
      <c r="I29" s="5">
        <f>SUM($E22:I22)</f>
        <v>-4.8016393787131051</v>
      </c>
      <c r="J29" s="5">
        <f>SUM($E22:J22)</f>
        <v>-4.2919642852597519</v>
      </c>
      <c r="K29" s="5">
        <f>SUM($E22:K22)</f>
        <v>-2.6788139928453631</v>
      </c>
      <c r="L29" s="5">
        <f>SUM($E22:L22)</f>
        <v>6.904301728820883E-2</v>
      </c>
      <c r="M29" s="5" t="e">
        <f>SUM($E22:M22)</f>
        <v>#DIV/0!</v>
      </c>
      <c r="N29" s="5" t="e">
        <f>SUM($E22:N22)</f>
        <v>#DIV/0!</v>
      </c>
      <c r="O29" s="5" t="e">
        <f>SUM($E22:O22)</f>
        <v>#DIV/0!</v>
      </c>
      <c r="P29" s="5" t="e">
        <f>SUM($E22:P22)</f>
        <v>#DIV/0!</v>
      </c>
    </row>
    <row r="30" spans="3:17" x14ac:dyDescent="0.35">
      <c r="D30" s="3" t="str">
        <f t="shared" si="4"/>
        <v>Realisation</v>
      </c>
      <c r="E30" s="9">
        <f>E28/E26</f>
        <v>0.57688324221635046</v>
      </c>
      <c r="F30" s="9">
        <f t="shared" ref="F30:P30" si="5">F27/F26</f>
        <v>0.98884737722737692</v>
      </c>
      <c r="G30" s="9">
        <f t="shared" si="5"/>
        <v>0.99097765364146062</v>
      </c>
      <c r="H30" s="9">
        <f t="shared" si="5"/>
        <v>0.99451542611913835</v>
      </c>
      <c r="I30" s="9">
        <f t="shared" si="5"/>
        <v>0.99221764926589906</v>
      </c>
      <c r="J30" s="9">
        <f t="shared" si="5"/>
        <v>0.99420309593389367</v>
      </c>
      <c r="K30" s="9">
        <f t="shared" si="5"/>
        <v>0.99689875710007303</v>
      </c>
      <c r="L30" s="9">
        <f t="shared" si="5"/>
        <v>1.000069939261091</v>
      </c>
      <c r="M30" s="9" t="e">
        <f t="shared" si="5"/>
        <v>#DIV/0!</v>
      </c>
      <c r="N30" s="9" t="e">
        <f t="shared" si="5"/>
        <v>#DIV/0!</v>
      </c>
      <c r="O30" s="9" t="e">
        <f t="shared" si="5"/>
        <v>#DIV/0!</v>
      </c>
      <c r="P30" s="9" t="e">
        <f t="shared" si="5"/>
        <v>#DIV/0!</v>
      </c>
    </row>
  </sheetData>
  <mergeCells count="2">
    <mergeCell ref="J4:Q8"/>
    <mergeCell ref="J10:Q15"/>
  </mergeCells>
  <conditionalFormatting sqref="C3">
    <cfRule type="expression" dxfId="173" priority="2">
      <formula>S4&lt;S6</formula>
    </cfRule>
  </conditionalFormatting>
  <conditionalFormatting sqref="C5">
    <cfRule type="expression" dxfId="172" priority="3">
      <formula>S4&gt;=S5</formula>
    </cfRule>
  </conditionalFormatting>
  <conditionalFormatting sqref="C4">
    <cfRule type="expression" dxfId="171" priority="1">
      <formula>AND(S4&gt;=S6,S4&lt;S5)</formula>
    </cfRule>
  </conditionalFormatting>
  <hyperlinks>
    <hyperlink ref="L1" location="Dashboard!A1" display="Dashboard"/>
  </hyperlinks>
  <pageMargins left="0.7" right="0.7" top="0.75" bottom="0.75" header="0.3" footer="0.3"/>
  <pageSetup orientation="portrait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47553" r:id="rId4" name="Spinner 1">
              <controlPr defaultSize="0" autoPict="0">
                <anchor moveWithCells="1" sizeWithCells="1">
                  <from>
                    <xdr:col>9</xdr:col>
                    <xdr:colOff>19050</xdr:colOff>
                    <xdr:row>0</xdr:row>
                    <xdr:rowOff>38100</xdr:rowOff>
                  </from>
                  <to>
                    <xdr:col>9</xdr:col>
                    <xdr:colOff>400050</xdr:colOff>
                    <xdr:row>1</xdr:row>
                    <xdr:rowOff>152400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14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112">
    <tabColor rgb="FFFFC000"/>
  </sheetPr>
  <dimension ref="A1:S30"/>
  <sheetViews>
    <sheetView zoomScale="90" zoomScaleNormal="90" workbookViewId="0">
      <selection activeCell="L1" sqref="L1"/>
    </sheetView>
  </sheetViews>
  <sheetFormatPr defaultColWidth="9.1796875" defaultRowHeight="14.5" x14ac:dyDescent="0.35"/>
  <cols>
    <col min="1" max="1" width="9.1796875" style="3"/>
    <col min="2" max="2" width="5.7265625" style="3" bestFit="1" customWidth="1"/>
    <col min="3" max="3" width="6.26953125" style="3" customWidth="1"/>
    <col min="4" max="4" width="21.26953125" style="3" bestFit="1" customWidth="1"/>
    <col min="5" max="16" width="11.1796875" style="3" customWidth="1"/>
    <col min="17" max="17" width="12" style="3" bestFit="1" customWidth="1"/>
    <col min="18" max="18" width="9.1796875" style="3" customWidth="1"/>
    <col min="19" max="16384" width="9.1796875" style="3"/>
  </cols>
  <sheetData>
    <row r="1" spans="1:19" ht="21" x14ac:dyDescent="0.5">
      <c r="A1" s="4" t="s">
        <v>4</v>
      </c>
      <c r="B1" s="4">
        <f>Dashboard!A157</f>
        <v>0</v>
      </c>
      <c r="C1" s="4" t="str">
        <f>Dashboard!B157</f>
        <v xml:space="preserve"> - KSH/M3 CENTRAL REGION</v>
      </c>
      <c r="D1" s="4"/>
      <c r="G1" s="3" t="s">
        <v>9</v>
      </c>
      <c r="I1" s="12">
        <f>INDEX($E$18:$P$18,Actual_month)</f>
        <v>46054</v>
      </c>
      <c r="L1" s="16" t="s">
        <v>19</v>
      </c>
      <c r="R1" s="5"/>
    </row>
    <row r="2" spans="1:19" x14ac:dyDescent="0.35">
      <c r="A2" s="3" t="s">
        <v>13</v>
      </c>
      <c r="C2" s="3" t="s">
        <v>27</v>
      </c>
      <c r="R2" s="6"/>
    </row>
    <row r="3" spans="1:19" ht="25.5" customHeight="1" thickBot="1" x14ac:dyDescent="0.4">
      <c r="C3" s="1" t="s">
        <v>5</v>
      </c>
      <c r="E3" s="10"/>
      <c r="F3" s="10"/>
      <c r="G3" s="10"/>
      <c r="H3" s="10"/>
      <c r="I3" s="10"/>
      <c r="J3" s="3" t="s">
        <v>6</v>
      </c>
      <c r="K3" s="10"/>
      <c r="M3" s="10"/>
      <c r="N3" s="10"/>
      <c r="O3" s="10"/>
      <c r="P3" s="10"/>
    </row>
    <row r="4" spans="1:19" ht="25.5" customHeight="1" x14ac:dyDescent="0.35">
      <c r="C4" s="1" t="s">
        <v>5</v>
      </c>
      <c r="E4" s="10"/>
      <c r="F4" s="10"/>
      <c r="G4" s="10"/>
      <c r="H4" s="10"/>
      <c r="I4" s="10"/>
      <c r="J4" s="401"/>
      <c r="K4" s="402"/>
      <c r="L4" s="402"/>
      <c r="M4" s="402"/>
      <c r="N4" s="402"/>
      <c r="O4" s="402"/>
      <c r="P4" s="402"/>
      <c r="Q4" s="403"/>
      <c r="R4" s="3" t="s">
        <v>22</v>
      </c>
      <c r="S4" s="5">
        <f>INDEX(E27:P27,Actual_month)</f>
        <v>128.04620431216588</v>
      </c>
    </row>
    <row r="5" spans="1:19" ht="25.5" customHeight="1" x14ac:dyDescent="0.35">
      <c r="C5" s="1" t="s">
        <v>5</v>
      </c>
      <c r="E5" s="10"/>
      <c r="F5" s="10"/>
      <c r="G5" s="10"/>
      <c r="H5" s="10"/>
      <c r="I5" s="10"/>
      <c r="J5" s="404"/>
      <c r="K5" s="405"/>
      <c r="L5" s="405"/>
      <c r="M5" s="405"/>
      <c r="N5" s="405"/>
      <c r="O5" s="405"/>
      <c r="P5" s="405"/>
      <c r="Q5" s="406"/>
      <c r="R5" s="3" t="s">
        <v>23</v>
      </c>
      <c r="S5" s="5">
        <f>INDEX(E26:P26,Actual_month)</f>
        <v>127.53089643746526</v>
      </c>
    </row>
    <row r="6" spans="1:19" x14ac:dyDescent="0.35">
      <c r="J6" s="404"/>
      <c r="K6" s="405"/>
      <c r="L6" s="405"/>
      <c r="M6" s="405"/>
      <c r="N6" s="405"/>
      <c r="O6" s="405"/>
      <c r="P6" s="405"/>
      <c r="Q6" s="406"/>
      <c r="R6" s="6">
        <v>0.9</v>
      </c>
      <c r="S6" s="5">
        <f>+S5*R6</f>
        <v>114.77780679371874</v>
      </c>
    </row>
    <row r="7" spans="1:19" x14ac:dyDescent="0.35">
      <c r="J7" s="404"/>
      <c r="K7" s="405"/>
      <c r="L7" s="405"/>
      <c r="M7" s="405"/>
      <c r="N7" s="405"/>
      <c r="O7" s="405"/>
      <c r="P7" s="405"/>
      <c r="Q7" s="406"/>
    </row>
    <row r="8" spans="1:19" ht="15" thickBot="1" x14ac:dyDescent="0.4">
      <c r="J8" s="407"/>
      <c r="K8" s="408"/>
      <c r="L8" s="408"/>
      <c r="M8" s="408"/>
      <c r="N8" s="408"/>
      <c r="O8" s="408"/>
      <c r="P8" s="408"/>
      <c r="Q8" s="409"/>
    </row>
    <row r="9" spans="1:19" ht="15" thickBot="1" x14ac:dyDescent="0.4">
      <c r="J9" s="3" t="s">
        <v>12</v>
      </c>
    </row>
    <row r="10" spans="1:19" x14ac:dyDescent="0.35">
      <c r="J10" s="401"/>
      <c r="K10" s="402"/>
      <c r="L10" s="402"/>
      <c r="M10" s="402"/>
      <c r="N10" s="402"/>
      <c r="O10" s="402"/>
      <c r="P10" s="402"/>
      <c r="Q10" s="403"/>
    </row>
    <row r="11" spans="1:19" x14ac:dyDescent="0.35">
      <c r="J11" s="404"/>
      <c r="K11" s="405"/>
      <c r="L11" s="405"/>
      <c r="M11" s="405"/>
      <c r="N11" s="405"/>
      <c r="O11" s="405"/>
      <c r="P11" s="405"/>
      <c r="Q11" s="406"/>
    </row>
    <row r="12" spans="1:19" x14ac:dyDescent="0.35">
      <c r="J12" s="404"/>
      <c r="K12" s="405"/>
      <c r="L12" s="405"/>
      <c r="M12" s="405"/>
      <c r="N12" s="405"/>
      <c r="O12" s="405"/>
      <c r="P12" s="405"/>
      <c r="Q12" s="406"/>
    </row>
    <row r="13" spans="1:19" x14ac:dyDescent="0.35">
      <c r="J13" s="404"/>
      <c r="K13" s="405"/>
      <c r="L13" s="405"/>
      <c r="M13" s="405"/>
      <c r="N13" s="405"/>
      <c r="O13" s="405"/>
      <c r="P13" s="405"/>
      <c r="Q13" s="406"/>
    </row>
    <row r="14" spans="1:19" x14ac:dyDescent="0.35">
      <c r="J14" s="404"/>
      <c r="K14" s="405"/>
      <c r="L14" s="405"/>
      <c r="M14" s="405"/>
      <c r="N14" s="405"/>
      <c r="O14" s="405"/>
      <c r="P14" s="405"/>
      <c r="Q14" s="406"/>
    </row>
    <row r="15" spans="1:19" ht="15" thickBot="1" x14ac:dyDescent="0.4">
      <c r="J15" s="407"/>
      <c r="K15" s="408"/>
      <c r="L15" s="408"/>
      <c r="M15" s="408"/>
      <c r="N15" s="408"/>
      <c r="O15" s="408"/>
      <c r="P15" s="408"/>
      <c r="Q15" s="409"/>
    </row>
    <row r="18" spans="3:17" x14ac:dyDescent="0.35">
      <c r="C18" s="7" t="s">
        <v>8</v>
      </c>
      <c r="E18" s="11">
        <v>45839</v>
      </c>
      <c r="F18" s="11">
        <v>45870</v>
      </c>
      <c r="G18" s="11">
        <v>45901</v>
      </c>
      <c r="H18" s="11">
        <v>45931</v>
      </c>
      <c r="I18" s="11">
        <v>45962</v>
      </c>
      <c r="J18" s="11">
        <v>45992</v>
      </c>
      <c r="K18" s="11">
        <v>46023</v>
      </c>
      <c r="L18" s="11">
        <v>46054</v>
      </c>
      <c r="M18" s="11">
        <v>46082</v>
      </c>
      <c r="N18" s="11">
        <v>46113</v>
      </c>
      <c r="O18" s="11">
        <v>46143</v>
      </c>
      <c r="P18" s="11">
        <v>46174</v>
      </c>
      <c r="Q18" s="8" t="s">
        <v>0</v>
      </c>
    </row>
    <row r="19" spans="3:17" x14ac:dyDescent="0.35">
      <c r="D19" s="3" t="s">
        <v>501</v>
      </c>
      <c r="E19" s="49">
        <f>'budget 2025-26'!D148</f>
        <v>127.53089643746527</v>
      </c>
      <c r="F19" s="49">
        <f>'budget 2025-26'!E148</f>
        <v>127.53089643746527</v>
      </c>
      <c r="G19" s="49">
        <f>'budget 2025-26'!F148</f>
        <v>127.53089643746527</v>
      </c>
      <c r="H19" s="49">
        <f>'budget 2025-26'!G148</f>
        <v>127.53089643746527</v>
      </c>
      <c r="I19" s="49">
        <f>'budget 2025-26'!H148</f>
        <v>127.53089643746527</v>
      </c>
      <c r="J19" s="49">
        <f>'budget 2025-26'!I148</f>
        <v>127.53089643746527</v>
      </c>
      <c r="K19" s="49">
        <f>'budget 2025-26'!J148</f>
        <v>127.53089643746527</v>
      </c>
      <c r="L19" s="49">
        <f>'budget 2025-26'!K148</f>
        <v>127.53089643746527</v>
      </c>
      <c r="M19" s="49">
        <f>'budget 2025-26'!L148</f>
        <v>127.53089643746527</v>
      </c>
      <c r="N19" s="49">
        <f>'budget 2025-26'!M148</f>
        <v>127.53089643746527</v>
      </c>
      <c r="O19" s="49">
        <f>'budget 2025-26'!N148</f>
        <v>127.53089643746527</v>
      </c>
      <c r="P19" s="49">
        <f>'budget 2025-26'!O148</f>
        <v>127.53089643746527</v>
      </c>
      <c r="Q19" s="5">
        <f>SUM(E19:P19)</f>
        <v>1530.3707572495834</v>
      </c>
    </row>
    <row r="20" spans="3:17" x14ac:dyDescent="0.35">
      <c r="D20" s="3" t="s">
        <v>502</v>
      </c>
      <c r="E20" s="49">
        <f>'Input Actual2025-26'!E151</f>
        <v>127.28780299051989</v>
      </c>
      <c r="F20" s="49">
        <f>'Input Actual2025-26'!F151</f>
        <v>128.5162373358238</v>
      </c>
      <c r="G20" s="49">
        <f>'Input Actual2025-26'!G151</f>
        <v>127.52958914436488</v>
      </c>
      <c r="H20" s="49">
        <f>'Input Actual2025-26'!H151</f>
        <v>128.14314847859842</v>
      </c>
      <c r="I20" s="49">
        <f>'Input Actual2025-26'!I151</f>
        <v>127.71825700187644</v>
      </c>
      <c r="J20" s="49">
        <f>'Input Actual2025-26'!J151</f>
        <v>127.20509860357724</v>
      </c>
      <c r="K20" s="49">
        <f>'Input Actual2025-26'!K151</f>
        <v>129.73172297871537</v>
      </c>
      <c r="L20" s="49">
        <f>'Input Actual2025-26'!L151</f>
        <v>128.23777796385124</v>
      </c>
      <c r="M20" s="49" t="e">
        <f>'Input Actual2025-26'!M151</f>
        <v>#DIV/0!</v>
      </c>
      <c r="N20" s="49" t="e">
        <f>'Input Actual2025-26'!N151</f>
        <v>#DIV/0!</v>
      </c>
      <c r="O20" s="49" t="e">
        <f>'Input Actual2025-26'!O151</f>
        <v>#DIV/0!</v>
      </c>
      <c r="P20" s="49" t="e">
        <f>'Input Actual2025-26'!P151</f>
        <v>#DIV/0!</v>
      </c>
      <c r="Q20" s="5" t="e">
        <f t="shared" ref="Q20:Q22" si="0">SUM(E20:P20)</f>
        <v>#DIV/0!</v>
      </c>
    </row>
    <row r="21" spans="3:17" x14ac:dyDescent="0.35">
      <c r="D21" s="3" t="s">
        <v>424</v>
      </c>
      <c r="E21" s="49">
        <f>'Input Actual2024-25'!E140</f>
        <v>79.713141703387407</v>
      </c>
      <c r="F21" s="49">
        <f>'Input Actual2024-25'!F140</f>
        <v>84.603704494501969</v>
      </c>
      <c r="G21" s="49">
        <f>'Input Actual2024-25'!G140</f>
        <v>80.951856776989757</v>
      </c>
      <c r="H21" s="49">
        <f>'Input Actual2024-25'!H140</f>
        <v>80.450398936170217</v>
      </c>
      <c r="I21" s="49">
        <f>'Input Actual2024-25'!I140</f>
        <v>81.030308236830351</v>
      </c>
      <c r="J21" s="49">
        <f>'Input Actual2024-25'!J140</f>
        <v>79.360721544715446</v>
      </c>
      <c r="K21" s="49">
        <f>'Input Actual2024-25'!K140</f>
        <v>83.552180083190606</v>
      </c>
      <c r="L21" s="49">
        <f>'Input Actual2024-25'!L140</f>
        <v>81.684250834438302</v>
      </c>
      <c r="M21" s="49">
        <f>'Input Actual2024-25'!M140</f>
        <v>82.587420886075947</v>
      </c>
      <c r="N21" s="49">
        <f>'Input Actual2024-25'!N140</f>
        <v>127.42607724003072</v>
      </c>
      <c r="O21" s="49">
        <f>'Input Actual2024-25'!O140</f>
        <v>128.75514032176611</v>
      </c>
      <c r="P21" s="49">
        <f>'Input Actual2024-25'!P140</f>
        <v>128.69205605308338</v>
      </c>
      <c r="Q21" s="5">
        <f t="shared" si="0"/>
        <v>1118.8072571111804</v>
      </c>
    </row>
    <row r="22" spans="3:17" x14ac:dyDescent="0.35">
      <c r="D22" s="3" t="s">
        <v>7</v>
      </c>
      <c r="E22" s="5">
        <f t="shared" ref="E22:P22" si="1">IF(E20=0,0,E20-E19)</f>
        <v>-0.24309344694538026</v>
      </c>
      <c r="F22" s="5">
        <f t="shared" si="1"/>
        <v>0.98534089835852967</v>
      </c>
      <c r="G22" s="5">
        <f t="shared" si="1"/>
        <v>-1.307293100396123E-3</v>
      </c>
      <c r="H22" s="5">
        <f t="shared" si="1"/>
        <v>0.61225204113314646</v>
      </c>
      <c r="I22" s="5">
        <f t="shared" si="1"/>
        <v>0.18736056441116489</v>
      </c>
      <c r="J22" s="5">
        <f t="shared" si="1"/>
        <v>-0.32579783388803207</v>
      </c>
      <c r="K22" s="5">
        <f t="shared" si="1"/>
        <v>2.2008265412500947</v>
      </c>
      <c r="L22" s="5">
        <f t="shared" si="1"/>
        <v>0.70688152638597046</v>
      </c>
      <c r="M22" s="5" t="e">
        <f t="shared" si="1"/>
        <v>#DIV/0!</v>
      </c>
      <c r="N22" s="5" t="e">
        <f t="shared" si="1"/>
        <v>#DIV/0!</v>
      </c>
      <c r="O22" s="5" t="e">
        <f t="shared" si="1"/>
        <v>#DIV/0!</v>
      </c>
      <c r="P22" s="5" t="e">
        <f t="shared" si="1"/>
        <v>#DIV/0!</v>
      </c>
      <c r="Q22" s="5" t="e">
        <f t="shared" si="0"/>
        <v>#DIV/0!</v>
      </c>
    </row>
    <row r="23" spans="3:17" x14ac:dyDescent="0.35">
      <c r="D23" s="3" t="s">
        <v>43</v>
      </c>
      <c r="E23" s="9">
        <f>E21/E19</f>
        <v>0.62504964624376114</v>
      </c>
      <c r="F23" s="9">
        <f t="shared" ref="F23:P23" si="2">F20/F19</f>
        <v>1.007726291635076</v>
      </c>
      <c r="G23" s="9">
        <f t="shared" si="2"/>
        <v>0.9999897492048051</v>
      </c>
      <c r="H23" s="9">
        <f t="shared" si="2"/>
        <v>1.0048008134360866</v>
      </c>
      <c r="I23" s="9">
        <f t="shared" si="2"/>
        <v>1.0014691386138184</v>
      </c>
      <c r="J23" s="9">
        <f t="shared" si="2"/>
        <v>0.99744534192898282</v>
      </c>
      <c r="K23" s="9">
        <f t="shared" si="2"/>
        <v>1.0172572027855953</v>
      </c>
      <c r="L23" s="9">
        <f t="shared" si="2"/>
        <v>1.005542825669171</v>
      </c>
      <c r="M23" s="9" t="e">
        <f t="shared" si="2"/>
        <v>#DIV/0!</v>
      </c>
      <c r="N23" s="9" t="e">
        <f t="shared" si="2"/>
        <v>#DIV/0!</v>
      </c>
      <c r="O23" s="9" t="e">
        <f t="shared" si="2"/>
        <v>#DIV/0!</v>
      </c>
      <c r="P23" s="9" t="e">
        <f t="shared" si="2"/>
        <v>#DIV/0!</v>
      </c>
    </row>
    <row r="25" spans="3:17" x14ac:dyDescent="0.35">
      <c r="C25" s="7" t="s">
        <v>3</v>
      </c>
      <c r="E25" s="11">
        <f>E18</f>
        <v>45839</v>
      </c>
      <c r="F25" s="11">
        <f t="shared" ref="F25:P25" si="3">F18</f>
        <v>45870</v>
      </c>
      <c r="G25" s="11">
        <f t="shared" si="3"/>
        <v>45901</v>
      </c>
      <c r="H25" s="11">
        <f t="shared" si="3"/>
        <v>45931</v>
      </c>
      <c r="I25" s="11">
        <f t="shared" si="3"/>
        <v>45962</v>
      </c>
      <c r="J25" s="11">
        <f t="shared" si="3"/>
        <v>45992</v>
      </c>
      <c r="K25" s="11">
        <f t="shared" si="3"/>
        <v>46023</v>
      </c>
      <c r="L25" s="11">
        <f t="shared" si="3"/>
        <v>46054</v>
      </c>
      <c r="M25" s="11">
        <f t="shared" si="3"/>
        <v>46082</v>
      </c>
      <c r="N25" s="11">
        <f t="shared" si="3"/>
        <v>46113</v>
      </c>
      <c r="O25" s="11">
        <f t="shared" si="3"/>
        <v>46143</v>
      </c>
      <c r="P25" s="11">
        <f t="shared" si="3"/>
        <v>46174</v>
      </c>
    </row>
    <row r="26" spans="3:17" x14ac:dyDescent="0.35">
      <c r="D26" s="3" t="str">
        <f>D19</f>
        <v>Budget 2025-26</v>
      </c>
      <c r="E26" s="5">
        <f>AVERAGE($E19:E19)</f>
        <v>127.53089643746527</v>
      </c>
      <c r="F26" s="5">
        <f>AVERAGE($E19:F19)</f>
        <v>127.53089643746527</v>
      </c>
      <c r="G26" s="5">
        <f>AVERAGE($E19:G19)</f>
        <v>127.53089643746527</v>
      </c>
      <c r="H26" s="5">
        <f>AVERAGE($E19:H19)</f>
        <v>127.53089643746527</v>
      </c>
      <c r="I26" s="5">
        <f>AVERAGE($E19:I19)</f>
        <v>127.53089643746527</v>
      </c>
      <c r="J26" s="5">
        <f>AVERAGE($E19:J19)</f>
        <v>127.53089643746527</v>
      </c>
      <c r="K26" s="5">
        <f>AVERAGE($E19:K19)</f>
        <v>127.53089643746526</v>
      </c>
      <c r="L26" s="5">
        <f>AVERAGE($E19:L19)</f>
        <v>127.53089643746526</v>
      </c>
      <c r="M26" s="5">
        <f>AVERAGE($E19:M19)</f>
        <v>127.53089643746527</v>
      </c>
      <c r="N26" s="5">
        <f>AVERAGE($E19:N19)</f>
        <v>127.53089643746527</v>
      </c>
      <c r="O26" s="5">
        <f>AVERAGE($E19:O19)</f>
        <v>127.53089643746529</v>
      </c>
      <c r="P26" s="5">
        <f>AVERAGE($E19:P19)</f>
        <v>127.53089643746529</v>
      </c>
    </row>
    <row r="27" spans="3:17" x14ac:dyDescent="0.35">
      <c r="D27" s="3" t="str">
        <f t="shared" ref="D27:D30" si="4">D20</f>
        <v>Actual 2025-26</v>
      </c>
      <c r="E27" s="5">
        <f>AVERAGE($E20:E20)</f>
        <v>127.28780299051989</v>
      </c>
      <c r="F27" s="5">
        <f>AVERAGE($E20:F20)</f>
        <v>127.90202016317184</v>
      </c>
      <c r="G27" s="5">
        <f>AVERAGE($E20:G20)</f>
        <v>127.77787649023618</v>
      </c>
      <c r="H27" s="5">
        <f>AVERAGE($E20:H20)</f>
        <v>127.86919448732675</v>
      </c>
      <c r="I27" s="5">
        <f>AVERAGE($E20:I20)</f>
        <v>127.83900699023668</v>
      </c>
      <c r="J27" s="5">
        <f>AVERAGE($E20:J20)</f>
        <v>127.7333555924601</v>
      </c>
      <c r="K27" s="5">
        <f>AVERAGE($E20:K20)</f>
        <v>128.0188366476394</v>
      </c>
      <c r="L27" s="5">
        <f>AVERAGE($E20:L20)</f>
        <v>128.04620431216588</v>
      </c>
      <c r="M27" s="5" t="e">
        <f>AVERAGE($E20:M20)</f>
        <v>#DIV/0!</v>
      </c>
      <c r="N27" s="5" t="e">
        <f>AVERAGE($E20:N20)</f>
        <v>#DIV/0!</v>
      </c>
      <c r="O27" s="5" t="e">
        <f>AVERAGE($E20:O20)</f>
        <v>#DIV/0!</v>
      </c>
      <c r="P27" s="5" t="e">
        <f>AVERAGE($E20:P20)</f>
        <v>#DIV/0!</v>
      </c>
    </row>
    <row r="28" spans="3:17" x14ac:dyDescent="0.35">
      <c r="D28" s="3" t="str">
        <f t="shared" si="4"/>
        <v>Actual 2024-25</v>
      </c>
      <c r="E28" s="5">
        <f>AVERAGE($E21:E21)</f>
        <v>79.713141703387407</v>
      </c>
      <c r="F28" s="5">
        <f>AVERAGE($E21:F21)</f>
        <v>82.158423098944695</v>
      </c>
      <c r="G28" s="5">
        <f>AVERAGE($E21:G21)</f>
        <v>81.756234324959721</v>
      </c>
      <c r="H28" s="5">
        <f>AVERAGE($E21:H21)</f>
        <v>81.429775477762348</v>
      </c>
      <c r="I28" s="5">
        <f>AVERAGE($E21:I21)</f>
        <v>81.349882029575951</v>
      </c>
      <c r="J28" s="5">
        <f>AVERAGE($E21:J21)</f>
        <v>81.018355282099193</v>
      </c>
      <c r="K28" s="5">
        <f>AVERAGE($E21:K21)</f>
        <v>81.380330253683695</v>
      </c>
      <c r="L28" s="5">
        <f>AVERAGE($E21:L21)</f>
        <v>81.418320326278021</v>
      </c>
      <c r="M28" s="5">
        <f>AVERAGE($E21:M21)</f>
        <v>81.548220388477787</v>
      </c>
      <c r="N28" s="5">
        <f>AVERAGE($E21:N21)</f>
        <v>86.136006073633084</v>
      </c>
      <c r="O28" s="5">
        <f>AVERAGE($E21:O21)</f>
        <v>90.01047282346336</v>
      </c>
      <c r="P28" s="5">
        <f>AVERAGE($E21:P21)</f>
        <v>93.233938092598365</v>
      </c>
    </row>
    <row r="29" spans="3:17" x14ac:dyDescent="0.35">
      <c r="D29" s="3" t="str">
        <f t="shared" si="4"/>
        <v>Difference</v>
      </c>
      <c r="E29" s="5">
        <f>SUM($E22:E22)</f>
        <v>-0.24309344694538026</v>
      </c>
      <c r="F29" s="5">
        <f>SUM($E22:F22)</f>
        <v>0.74224745141314941</v>
      </c>
      <c r="G29" s="5">
        <f>SUM($E22:G22)</f>
        <v>0.74094015831275328</v>
      </c>
      <c r="H29" s="5">
        <f>SUM($E22:H22)</f>
        <v>1.3531921994458997</v>
      </c>
      <c r="I29" s="5">
        <f>SUM($E22:I22)</f>
        <v>1.5405527638570646</v>
      </c>
      <c r="J29" s="5">
        <f>SUM($E22:J22)</f>
        <v>1.2147549299690326</v>
      </c>
      <c r="K29" s="5">
        <f>SUM($E22:K22)</f>
        <v>3.4155814712191273</v>
      </c>
      <c r="L29" s="5">
        <f>SUM($E22:L22)</f>
        <v>4.1224629976050977</v>
      </c>
      <c r="M29" s="5" t="e">
        <f>SUM($E22:M22)</f>
        <v>#DIV/0!</v>
      </c>
      <c r="N29" s="5" t="e">
        <f>SUM($E22:N22)</f>
        <v>#DIV/0!</v>
      </c>
      <c r="O29" s="5" t="e">
        <f>SUM($E22:O22)</f>
        <v>#DIV/0!</v>
      </c>
      <c r="P29" s="5" t="e">
        <f>SUM($E22:P22)</f>
        <v>#DIV/0!</v>
      </c>
    </row>
    <row r="30" spans="3:17" x14ac:dyDescent="0.35">
      <c r="D30" s="3" t="str">
        <f t="shared" si="4"/>
        <v>Realisation</v>
      </c>
      <c r="E30" s="9">
        <f>E28/E26</f>
        <v>0.62504964624376114</v>
      </c>
      <c r="F30" s="9">
        <f t="shared" ref="F30:P30" si="5">F27/F26</f>
        <v>1.0029100691367645</v>
      </c>
      <c r="G30" s="9">
        <f t="shared" si="5"/>
        <v>1.0019366291594447</v>
      </c>
      <c r="H30" s="9">
        <f t="shared" si="5"/>
        <v>1.0026526752286051</v>
      </c>
      <c r="I30" s="9">
        <f t="shared" si="5"/>
        <v>1.0024159679056479</v>
      </c>
      <c r="J30" s="9">
        <f t="shared" si="5"/>
        <v>1.0015875302428703</v>
      </c>
      <c r="K30" s="9">
        <f t="shared" si="5"/>
        <v>1.003826054891831</v>
      </c>
      <c r="L30" s="9">
        <f t="shared" si="5"/>
        <v>1.0040406512389983</v>
      </c>
      <c r="M30" s="9" t="e">
        <f t="shared" si="5"/>
        <v>#DIV/0!</v>
      </c>
      <c r="N30" s="9" t="e">
        <f t="shared" si="5"/>
        <v>#DIV/0!</v>
      </c>
      <c r="O30" s="9" t="e">
        <f t="shared" si="5"/>
        <v>#DIV/0!</v>
      </c>
      <c r="P30" s="9" t="e">
        <f t="shared" si="5"/>
        <v>#DIV/0!</v>
      </c>
    </row>
  </sheetData>
  <mergeCells count="2">
    <mergeCell ref="J4:Q8"/>
    <mergeCell ref="J10:Q15"/>
  </mergeCells>
  <conditionalFormatting sqref="C3">
    <cfRule type="expression" dxfId="170" priority="2">
      <formula>S4&lt;S6</formula>
    </cfRule>
  </conditionalFormatting>
  <conditionalFormatting sqref="C5">
    <cfRule type="expression" dxfId="169" priority="3">
      <formula>S4&gt;=S5</formula>
    </cfRule>
  </conditionalFormatting>
  <conditionalFormatting sqref="C4">
    <cfRule type="expression" dxfId="168" priority="1">
      <formula>AND(S4&gt;=S6,S4&lt;S5)</formula>
    </cfRule>
  </conditionalFormatting>
  <hyperlinks>
    <hyperlink ref="L1" location="Dashboard!A1" display="Dashboard"/>
  </hyperlinks>
  <pageMargins left="0.7" right="0.7" top="0.75" bottom="0.75" header="0.3" footer="0.3"/>
  <pageSetup orientation="portrait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48577" r:id="rId4" name="Spinner 1">
              <controlPr defaultSize="0" autoPict="0">
                <anchor moveWithCells="1" sizeWithCells="1">
                  <from>
                    <xdr:col>9</xdr:col>
                    <xdr:colOff>19050</xdr:colOff>
                    <xdr:row>0</xdr:row>
                    <xdr:rowOff>38100</xdr:rowOff>
                  </from>
                  <to>
                    <xdr:col>9</xdr:col>
                    <xdr:colOff>400050</xdr:colOff>
                    <xdr:row>1</xdr:row>
                    <xdr:rowOff>152400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14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113">
    <tabColor rgb="FFFFC000"/>
  </sheetPr>
  <dimension ref="A1:S30"/>
  <sheetViews>
    <sheetView zoomScale="90" zoomScaleNormal="90" workbookViewId="0">
      <selection activeCell="L1" sqref="L1"/>
    </sheetView>
  </sheetViews>
  <sheetFormatPr defaultColWidth="9.1796875" defaultRowHeight="14.5" x14ac:dyDescent="0.35"/>
  <cols>
    <col min="1" max="1" width="9.1796875" style="3"/>
    <col min="2" max="2" width="5.7265625" style="3" bestFit="1" customWidth="1"/>
    <col min="3" max="3" width="6.26953125" style="3" customWidth="1"/>
    <col min="4" max="4" width="21.26953125" style="3" bestFit="1" customWidth="1"/>
    <col min="5" max="16" width="11.1796875" style="3" customWidth="1"/>
    <col min="17" max="17" width="12" style="3" bestFit="1" customWidth="1"/>
    <col min="18" max="18" width="9.1796875" style="3" customWidth="1"/>
    <col min="19" max="16384" width="9.1796875" style="3"/>
  </cols>
  <sheetData>
    <row r="1" spans="1:19" ht="21" x14ac:dyDescent="0.5">
      <c r="A1" s="4" t="s">
        <v>4</v>
      </c>
      <c r="B1" s="4">
        <f>Dashboard!A158</f>
        <v>1</v>
      </c>
      <c r="C1" s="4" t="str">
        <f>Dashboard!B158</f>
        <v>HELLSGATE - KSH/M3</v>
      </c>
      <c r="D1" s="4"/>
      <c r="G1" s="3" t="s">
        <v>9</v>
      </c>
      <c r="I1" s="12">
        <f>INDEX($E$18:$P$18,Actual_month)</f>
        <v>46054</v>
      </c>
      <c r="L1" s="16" t="s">
        <v>19</v>
      </c>
      <c r="R1" s="5"/>
    </row>
    <row r="2" spans="1:19" x14ac:dyDescent="0.35">
      <c r="A2" s="3" t="s">
        <v>13</v>
      </c>
      <c r="C2" s="3" t="s">
        <v>27</v>
      </c>
      <c r="R2" s="6"/>
    </row>
    <row r="3" spans="1:19" ht="25.5" customHeight="1" thickBot="1" x14ac:dyDescent="0.4">
      <c r="C3" s="1" t="s">
        <v>5</v>
      </c>
      <c r="E3" s="10"/>
      <c r="F3" s="10"/>
      <c r="G3" s="10"/>
      <c r="H3" s="10"/>
      <c r="I3" s="10"/>
      <c r="J3" s="3" t="s">
        <v>6</v>
      </c>
      <c r="K3" s="10"/>
      <c r="M3" s="10"/>
      <c r="N3" s="10"/>
      <c r="O3" s="10"/>
      <c r="P3" s="10"/>
    </row>
    <row r="4" spans="1:19" ht="25.5" customHeight="1" x14ac:dyDescent="0.35">
      <c r="C4" s="1" t="s">
        <v>5</v>
      </c>
      <c r="E4" s="10"/>
      <c r="F4" s="10"/>
      <c r="G4" s="10"/>
      <c r="H4" s="10"/>
      <c r="I4" s="10"/>
      <c r="J4" s="401"/>
      <c r="K4" s="402"/>
      <c r="L4" s="402"/>
      <c r="M4" s="402"/>
      <c r="N4" s="402"/>
      <c r="O4" s="402"/>
      <c r="P4" s="402"/>
      <c r="Q4" s="403"/>
      <c r="R4" s="3" t="s">
        <v>22</v>
      </c>
      <c r="S4" s="5">
        <f>INDEX(E27:P27,Actual_month)</f>
        <v>124.13215156303082</v>
      </c>
    </row>
    <row r="5" spans="1:19" ht="25.5" customHeight="1" x14ac:dyDescent="0.35">
      <c r="C5" s="1" t="s">
        <v>5</v>
      </c>
      <c r="E5" s="10"/>
      <c r="F5" s="10"/>
      <c r="G5" s="10"/>
      <c r="H5" s="10"/>
      <c r="I5" s="10"/>
      <c r="J5" s="404"/>
      <c r="K5" s="405"/>
      <c r="L5" s="405"/>
      <c r="M5" s="405"/>
      <c r="N5" s="405"/>
      <c r="O5" s="405"/>
      <c r="P5" s="405"/>
      <c r="Q5" s="406"/>
      <c r="R5" s="3" t="s">
        <v>23</v>
      </c>
      <c r="S5" s="5">
        <f>INDEX(E26:P26,Actual_month)</f>
        <v>123.76528801618203</v>
      </c>
    </row>
    <row r="6" spans="1:19" x14ac:dyDescent="0.35">
      <c r="J6" s="404"/>
      <c r="K6" s="405"/>
      <c r="L6" s="405"/>
      <c r="M6" s="405"/>
      <c r="N6" s="405"/>
      <c r="O6" s="405"/>
      <c r="P6" s="405"/>
      <c r="Q6" s="406"/>
      <c r="R6" s="6">
        <v>0.9</v>
      </c>
      <c r="S6" s="5">
        <f>+S5*R6</f>
        <v>111.38875921456382</v>
      </c>
    </row>
    <row r="7" spans="1:19" x14ac:dyDescent="0.35">
      <c r="J7" s="404"/>
      <c r="K7" s="405"/>
      <c r="L7" s="405"/>
      <c r="M7" s="405"/>
      <c r="N7" s="405"/>
      <c r="O7" s="405"/>
      <c r="P7" s="405"/>
      <c r="Q7" s="406"/>
    </row>
    <row r="8" spans="1:19" ht="15" thickBot="1" x14ac:dyDescent="0.4">
      <c r="J8" s="407"/>
      <c r="K8" s="408"/>
      <c r="L8" s="408"/>
      <c r="M8" s="408"/>
      <c r="N8" s="408"/>
      <c r="O8" s="408"/>
      <c r="P8" s="408"/>
      <c r="Q8" s="409"/>
    </row>
    <row r="9" spans="1:19" ht="15" thickBot="1" x14ac:dyDescent="0.4">
      <c r="J9" s="3" t="s">
        <v>12</v>
      </c>
    </row>
    <row r="10" spans="1:19" x14ac:dyDescent="0.35">
      <c r="J10" s="401"/>
      <c r="K10" s="402"/>
      <c r="L10" s="402"/>
      <c r="M10" s="402"/>
      <c r="N10" s="402"/>
      <c r="O10" s="402"/>
      <c r="P10" s="402"/>
      <c r="Q10" s="403"/>
    </row>
    <row r="11" spans="1:19" x14ac:dyDescent="0.35">
      <c r="J11" s="404"/>
      <c r="K11" s="405"/>
      <c r="L11" s="405"/>
      <c r="M11" s="405"/>
      <c r="N11" s="405"/>
      <c r="O11" s="405"/>
      <c r="P11" s="405"/>
      <c r="Q11" s="406"/>
    </row>
    <row r="12" spans="1:19" x14ac:dyDescent="0.35">
      <c r="J12" s="404"/>
      <c r="K12" s="405"/>
      <c r="L12" s="405"/>
      <c r="M12" s="405"/>
      <c r="N12" s="405"/>
      <c r="O12" s="405"/>
      <c r="P12" s="405"/>
      <c r="Q12" s="406"/>
    </row>
    <row r="13" spans="1:19" x14ac:dyDescent="0.35">
      <c r="J13" s="404"/>
      <c r="K13" s="405"/>
      <c r="L13" s="405"/>
      <c r="M13" s="405"/>
      <c r="N13" s="405"/>
      <c r="O13" s="405"/>
      <c r="P13" s="405"/>
      <c r="Q13" s="406"/>
    </row>
    <row r="14" spans="1:19" x14ac:dyDescent="0.35">
      <c r="J14" s="404"/>
      <c r="K14" s="405"/>
      <c r="L14" s="405"/>
      <c r="M14" s="405"/>
      <c r="N14" s="405"/>
      <c r="O14" s="405"/>
      <c r="P14" s="405"/>
      <c r="Q14" s="406"/>
    </row>
    <row r="15" spans="1:19" ht="15" thickBot="1" x14ac:dyDescent="0.4">
      <c r="J15" s="407"/>
      <c r="K15" s="408"/>
      <c r="L15" s="408"/>
      <c r="M15" s="408"/>
      <c r="N15" s="408"/>
      <c r="O15" s="408"/>
      <c r="P15" s="408"/>
      <c r="Q15" s="409"/>
    </row>
    <row r="18" spans="3:17" x14ac:dyDescent="0.35">
      <c r="C18" s="7" t="s">
        <v>8</v>
      </c>
      <c r="E18" s="11">
        <v>45839</v>
      </c>
      <c r="F18" s="11">
        <v>45870</v>
      </c>
      <c r="G18" s="11">
        <v>45901</v>
      </c>
      <c r="H18" s="11">
        <v>45931</v>
      </c>
      <c r="I18" s="11">
        <v>45962</v>
      </c>
      <c r="J18" s="11">
        <v>45992</v>
      </c>
      <c r="K18" s="11">
        <v>46023</v>
      </c>
      <c r="L18" s="11">
        <v>46054</v>
      </c>
      <c r="M18" s="11">
        <v>46082</v>
      </c>
      <c r="N18" s="11">
        <v>46113</v>
      </c>
      <c r="O18" s="11">
        <v>46143</v>
      </c>
      <c r="P18" s="11">
        <v>46174</v>
      </c>
      <c r="Q18" s="8" t="s">
        <v>0</v>
      </c>
    </row>
    <row r="19" spans="3:17" x14ac:dyDescent="0.35">
      <c r="D19" s="3" t="s">
        <v>501</v>
      </c>
      <c r="E19" s="49">
        <f>'budget 2025-26'!D149</f>
        <v>123.76528801618204</v>
      </c>
      <c r="F19" s="49">
        <f>'budget 2025-26'!E149</f>
        <v>123.76528801618204</v>
      </c>
      <c r="G19" s="49">
        <f>'budget 2025-26'!F149</f>
        <v>123.76528801618204</v>
      </c>
      <c r="H19" s="49">
        <f>'budget 2025-26'!G149</f>
        <v>123.76528801618204</v>
      </c>
      <c r="I19" s="49">
        <f>'budget 2025-26'!H149</f>
        <v>123.76528801618204</v>
      </c>
      <c r="J19" s="49">
        <f>'budget 2025-26'!I149</f>
        <v>123.76528801618204</v>
      </c>
      <c r="K19" s="49">
        <f>'budget 2025-26'!J149</f>
        <v>123.76528801618204</v>
      </c>
      <c r="L19" s="49">
        <f>'budget 2025-26'!K149</f>
        <v>123.76528801618204</v>
      </c>
      <c r="M19" s="49">
        <f>'budget 2025-26'!L149</f>
        <v>123.76528801618204</v>
      </c>
      <c r="N19" s="49">
        <f>'budget 2025-26'!M149</f>
        <v>123.76528801618204</v>
      </c>
      <c r="O19" s="49">
        <f>'budget 2025-26'!N149</f>
        <v>123.76528801618204</v>
      </c>
      <c r="P19" s="49">
        <f>'budget 2025-26'!O149</f>
        <v>123.76528801618204</v>
      </c>
      <c r="Q19" s="5">
        <f>SUM(E19:P19)</f>
        <v>1485.1834561941844</v>
      </c>
    </row>
    <row r="20" spans="3:17" x14ac:dyDescent="0.35">
      <c r="D20" s="3" t="s">
        <v>502</v>
      </c>
      <c r="E20" s="49">
        <f>'Input Actual2025-26'!E152</f>
        <v>121.68670706305623</v>
      </c>
      <c r="F20" s="49">
        <f>'Input Actual2025-26'!F152</f>
        <v>126.56776827508534</v>
      </c>
      <c r="G20" s="49">
        <f>'Input Actual2025-26'!G152</f>
        <v>123.57065140262075</v>
      </c>
      <c r="H20" s="49">
        <f>'Input Actual2025-26'!H152</f>
        <v>124.95588813087116</v>
      </c>
      <c r="I20" s="49">
        <f>'Input Actual2025-26'!I152</f>
        <v>123.28087598675835</v>
      </c>
      <c r="J20" s="49">
        <f>'Input Actual2025-26'!J152</f>
        <v>122.90742123994903</v>
      </c>
      <c r="K20" s="49">
        <f>'Input Actual2025-26'!K152</f>
        <v>125.47297503277139</v>
      </c>
      <c r="L20" s="49">
        <f>'Input Actual2025-26'!L152</f>
        <v>124.61492537313433</v>
      </c>
      <c r="M20" s="49" t="e">
        <f>'Input Actual2025-26'!M152</f>
        <v>#DIV/0!</v>
      </c>
      <c r="N20" s="49" t="e">
        <f>'Input Actual2025-26'!N152</f>
        <v>#DIV/0!</v>
      </c>
      <c r="O20" s="49" t="e">
        <f>'Input Actual2025-26'!O152</f>
        <v>#DIV/0!</v>
      </c>
      <c r="P20" s="49" t="e">
        <f>'Input Actual2025-26'!P152</f>
        <v>#DIV/0!</v>
      </c>
      <c r="Q20" s="5" t="e">
        <f t="shared" ref="Q20:Q22" si="0">SUM(E20:P20)</f>
        <v>#DIV/0!</v>
      </c>
    </row>
    <row r="21" spans="3:17" x14ac:dyDescent="0.35">
      <c r="D21" s="3" t="s">
        <v>424</v>
      </c>
      <c r="E21" s="49">
        <f>'Input Actual2024-25'!E141</f>
        <v>75.296468123316373</v>
      </c>
      <c r="F21" s="49">
        <f>'Input Actual2024-25'!F141</f>
        <v>73.642352941176469</v>
      </c>
      <c r="G21" s="49">
        <f>'Input Actual2024-25'!G141</f>
        <v>74.732525356083627</v>
      </c>
      <c r="H21" s="49">
        <f>'Input Actual2024-25'!H141</f>
        <v>74.326210665159223</v>
      </c>
      <c r="I21" s="49">
        <f>'Input Actual2024-25'!I141</f>
        <v>76.474396548885309</v>
      </c>
      <c r="J21" s="49">
        <f>'Input Actual2024-25'!J141</f>
        <v>72.691556640408294</v>
      </c>
      <c r="K21" s="49">
        <f>'Input Actual2024-25'!K141</f>
        <v>76.406583172768137</v>
      </c>
      <c r="L21" s="49">
        <f>'Input Actual2024-25'!L141</f>
        <v>75.199051967515942</v>
      </c>
      <c r="M21" s="49">
        <f>'Input Actual2024-25'!M141</f>
        <v>74.589852565066948</v>
      </c>
      <c r="N21" s="49">
        <f>'Input Actual2024-25'!N141</f>
        <v>75.438237643091668</v>
      </c>
      <c r="O21" s="49">
        <f>'Input Actual2024-25'!O141</f>
        <v>123.72111998625783</v>
      </c>
      <c r="P21" s="49">
        <f>'Input Actual2024-25'!P141</f>
        <v>123.80945604610623</v>
      </c>
      <c r="Q21" s="5">
        <f t="shared" si="0"/>
        <v>996.32781165583606</v>
      </c>
    </row>
    <row r="22" spans="3:17" x14ac:dyDescent="0.35">
      <c r="D22" s="3" t="s">
        <v>7</v>
      </c>
      <c r="E22" s="5">
        <f t="shared" ref="E22:P22" si="1">IF(E20=0,0,E20-E19)</f>
        <v>-2.0785809531258082</v>
      </c>
      <c r="F22" s="5">
        <f t="shared" si="1"/>
        <v>2.8024802589033015</v>
      </c>
      <c r="G22" s="5">
        <f t="shared" si="1"/>
        <v>-0.19463661356128625</v>
      </c>
      <c r="H22" s="5">
        <f t="shared" si="1"/>
        <v>1.1906001146891185</v>
      </c>
      <c r="I22" s="5">
        <f t="shared" si="1"/>
        <v>-0.48441202942369443</v>
      </c>
      <c r="J22" s="5">
        <f t="shared" si="1"/>
        <v>-0.85786677623300989</v>
      </c>
      <c r="K22" s="5">
        <f t="shared" si="1"/>
        <v>1.7076870165893467</v>
      </c>
      <c r="L22" s="5">
        <f t="shared" si="1"/>
        <v>0.84963735695228593</v>
      </c>
      <c r="M22" s="5" t="e">
        <f t="shared" si="1"/>
        <v>#DIV/0!</v>
      </c>
      <c r="N22" s="5" t="e">
        <f t="shared" si="1"/>
        <v>#DIV/0!</v>
      </c>
      <c r="O22" s="5" t="e">
        <f t="shared" si="1"/>
        <v>#DIV/0!</v>
      </c>
      <c r="P22" s="5" t="e">
        <f t="shared" si="1"/>
        <v>#DIV/0!</v>
      </c>
      <c r="Q22" s="5" t="e">
        <f t="shared" si="0"/>
        <v>#DIV/0!</v>
      </c>
    </row>
    <row r="23" spans="3:17" x14ac:dyDescent="0.35">
      <c r="D23" s="3" t="s">
        <v>43</v>
      </c>
      <c r="E23" s="9">
        <f>E21/E19</f>
        <v>0.60838114894922335</v>
      </c>
      <c r="F23" s="9">
        <f t="shared" ref="F23:P23" si="2">F20/F19</f>
        <v>1.0226435077542653</v>
      </c>
      <c r="G23" s="9">
        <f t="shared" si="2"/>
        <v>0.9984273731618849</v>
      </c>
      <c r="H23" s="9">
        <f t="shared" si="2"/>
        <v>1.0096198225994792</v>
      </c>
      <c r="I23" s="9">
        <f t="shared" si="2"/>
        <v>0.99608604288659386</v>
      </c>
      <c r="J23" s="9">
        <f t="shared" si="2"/>
        <v>0.99306859952427984</v>
      </c>
      <c r="K23" s="9">
        <f t="shared" si="2"/>
        <v>1.0137977864711636</v>
      </c>
      <c r="L23" s="9">
        <f t="shared" si="2"/>
        <v>1.006864908332304</v>
      </c>
      <c r="M23" s="9" t="e">
        <f t="shared" si="2"/>
        <v>#DIV/0!</v>
      </c>
      <c r="N23" s="9" t="e">
        <f t="shared" si="2"/>
        <v>#DIV/0!</v>
      </c>
      <c r="O23" s="9" t="e">
        <f t="shared" si="2"/>
        <v>#DIV/0!</v>
      </c>
      <c r="P23" s="9" t="e">
        <f t="shared" si="2"/>
        <v>#DIV/0!</v>
      </c>
    </row>
    <row r="25" spans="3:17" x14ac:dyDescent="0.35">
      <c r="C25" s="7" t="s">
        <v>3</v>
      </c>
      <c r="E25" s="11">
        <f>E18</f>
        <v>45839</v>
      </c>
      <c r="F25" s="11">
        <f t="shared" ref="F25:P25" si="3">F18</f>
        <v>45870</v>
      </c>
      <c r="G25" s="11">
        <f t="shared" si="3"/>
        <v>45901</v>
      </c>
      <c r="H25" s="11">
        <f t="shared" si="3"/>
        <v>45931</v>
      </c>
      <c r="I25" s="11">
        <f t="shared" si="3"/>
        <v>45962</v>
      </c>
      <c r="J25" s="11">
        <f t="shared" si="3"/>
        <v>45992</v>
      </c>
      <c r="K25" s="11">
        <f t="shared" si="3"/>
        <v>46023</v>
      </c>
      <c r="L25" s="11">
        <f t="shared" si="3"/>
        <v>46054</v>
      </c>
      <c r="M25" s="11">
        <f t="shared" si="3"/>
        <v>46082</v>
      </c>
      <c r="N25" s="11">
        <f t="shared" si="3"/>
        <v>46113</v>
      </c>
      <c r="O25" s="11">
        <f t="shared" si="3"/>
        <v>46143</v>
      </c>
      <c r="P25" s="11">
        <f t="shared" si="3"/>
        <v>46174</v>
      </c>
    </row>
    <row r="26" spans="3:17" x14ac:dyDescent="0.35">
      <c r="D26" s="3" t="str">
        <f>D19</f>
        <v>Budget 2025-26</v>
      </c>
      <c r="E26" s="5">
        <f>AVERAGE($E19:E19)</f>
        <v>123.76528801618204</v>
      </c>
      <c r="F26" s="5">
        <f>AVERAGE($E19:F19)</f>
        <v>123.76528801618204</v>
      </c>
      <c r="G26" s="5">
        <f>AVERAGE($E19:G19)</f>
        <v>123.76528801618205</v>
      </c>
      <c r="H26" s="5">
        <f>AVERAGE($E19:H19)</f>
        <v>123.76528801618204</v>
      </c>
      <c r="I26" s="5">
        <f>AVERAGE($E19:I19)</f>
        <v>123.76528801618204</v>
      </c>
      <c r="J26" s="5">
        <f>AVERAGE($E19:J19)</f>
        <v>123.76528801618203</v>
      </c>
      <c r="K26" s="5">
        <f>AVERAGE($E19:K19)</f>
        <v>123.76528801618203</v>
      </c>
      <c r="L26" s="5">
        <f>AVERAGE($E19:L19)</f>
        <v>123.76528801618203</v>
      </c>
      <c r="M26" s="5">
        <f>AVERAGE($E19:M19)</f>
        <v>123.76528801618204</v>
      </c>
      <c r="N26" s="5">
        <f>AVERAGE($E19:N19)</f>
        <v>123.76528801618204</v>
      </c>
      <c r="O26" s="5">
        <f>AVERAGE($E19:O19)</f>
        <v>123.76528801618203</v>
      </c>
      <c r="P26" s="5">
        <f>AVERAGE($E19:P19)</f>
        <v>123.76528801618203</v>
      </c>
    </row>
    <row r="27" spans="3:17" x14ac:dyDescent="0.35">
      <c r="D27" s="3" t="str">
        <f t="shared" ref="D27:D30" si="4">D20</f>
        <v>Actual 2025-26</v>
      </c>
      <c r="E27" s="5">
        <f>AVERAGE($E20:E20)</f>
        <v>121.68670706305623</v>
      </c>
      <c r="F27" s="5">
        <f>AVERAGE($E20:F20)</f>
        <v>124.12723766907078</v>
      </c>
      <c r="G27" s="5">
        <f>AVERAGE($E20:G20)</f>
        <v>123.94170891358743</v>
      </c>
      <c r="H27" s="5">
        <f>AVERAGE($E20:H20)</f>
        <v>124.19525371790837</v>
      </c>
      <c r="I27" s="5">
        <f>AVERAGE($E20:I20)</f>
        <v>124.01237817167836</v>
      </c>
      <c r="J27" s="5">
        <f>AVERAGE($E20:J20)</f>
        <v>123.82821868305682</v>
      </c>
      <c r="K27" s="5">
        <f>AVERAGE($E20:K20)</f>
        <v>124.06318387587318</v>
      </c>
      <c r="L27" s="5">
        <f>AVERAGE($E20:L20)</f>
        <v>124.13215156303082</v>
      </c>
      <c r="M27" s="5" t="e">
        <f>AVERAGE($E20:M20)</f>
        <v>#DIV/0!</v>
      </c>
      <c r="N27" s="5" t="e">
        <f>AVERAGE($E20:N20)</f>
        <v>#DIV/0!</v>
      </c>
      <c r="O27" s="5" t="e">
        <f>AVERAGE($E20:O20)</f>
        <v>#DIV/0!</v>
      </c>
      <c r="P27" s="5" t="e">
        <f>AVERAGE($E20:P20)</f>
        <v>#DIV/0!</v>
      </c>
    </row>
    <row r="28" spans="3:17" x14ac:dyDescent="0.35">
      <c r="D28" s="3" t="str">
        <f t="shared" si="4"/>
        <v>Actual 2024-25</v>
      </c>
      <c r="E28" s="5">
        <f>AVERAGE($E21:E21)</f>
        <v>75.296468123316373</v>
      </c>
      <c r="F28" s="5">
        <f>AVERAGE($E21:F21)</f>
        <v>74.469410532246428</v>
      </c>
      <c r="G28" s="5">
        <f>AVERAGE($E21:G21)</f>
        <v>74.557115473525485</v>
      </c>
      <c r="H28" s="5">
        <f>AVERAGE($E21:H21)</f>
        <v>74.499389271433927</v>
      </c>
      <c r="I28" s="5">
        <f>AVERAGE($E21:I21)</f>
        <v>74.8943907269242</v>
      </c>
      <c r="J28" s="5">
        <f>AVERAGE($E21:J21)</f>
        <v>74.527251712504878</v>
      </c>
      <c r="K28" s="5">
        <f>AVERAGE($E21:K21)</f>
        <v>74.795727635399643</v>
      </c>
      <c r="L28" s="5">
        <f>AVERAGE($E21:L21)</f>
        <v>74.846143176914183</v>
      </c>
      <c r="M28" s="5">
        <f>AVERAGE($E21:M21)</f>
        <v>74.817666442264496</v>
      </c>
      <c r="N28" s="5">
        <f>AVERAGE($E21:N21)</f>
        <v>74.879723562347209</v>
      </c>
      <c r="O28" s="5">
        <f>AVERAGE($E21:O21)</f>
        <v>79.319850509975439</v>
      </c>
      <c r="P28" s="5">
        <f>AVERAGE($E21:P21)</f>
        <v>83.027317637986343</v>
      </c>
    </row>
    <row r="29" spans="3:17" x14ac:dyDescent="0.35">
      <c r="D29" s="3" t="str">
        <f t="shared" si="4"/>
        <v>Difference</v>
      </c>
      <c r="E29" s="5">
        <f>SUM($E22:E22)</f>
        <v>-2.0785809531258082</v>
      </c>
      <c r="F29" s="5">
        <f>SUM($E22:F22)</f>
        <v>0.7238993057774934</v>
      </c>
      <c r="G29" s="5">
        <f>SUM($E22:G22)</f>
        <v>0.52926269221620714</v>
      </c>
      <c r="H29" s="5">
        <f>SUM($E22:H22)</f>
        <v>1.7198628069053257</v>
      </c>
      <c r="I29" s="5">
        <f>SUM($E22:I22)</f>
        <v>1.2354507774816312</v>
      </c>
      <c r="J29" s="5">
        <f>SUM($E22:J22)</f>
        <v>0.37758400124862135</v>
      </c>
      <c r="K29" s="5">
        <f>SUM($E22:K22)</f>
        <v>2.0852710178379681</v>
      </c>
      <c r="L29" s="5">
        <f>SUM($E22:L22)</f>
        <v>2.934908374790254</v>
      </c>
      <c r="M29" s="5" t="e">
        <f>SUM($E22:M22)</f>
        <v>#DIV/0!</v>
      </c>
      <c r="N29" s="5" t="e">
        <f>SUM($E22:N22)</f>
        <v>#DIV/0!</v>
      </c>
      <c r="O29" s="5" t="e">
        <f>SUM($E22:O22)</f>
        <v>#DIV/0!</v>
      </c>
      <c r="P29" s="5" t="e">
        <f>SUM($E22:P22)</f>
        <v>#DIV/0!</v>
      </c>
    </row>
    <row r="30" spans="3:17" x14ac:dyDescent="0.35">
      <c r="D30" s="3" t="str">
        <f t="shared" si="4"/>
        <v>Realisation</v>
      </c>
      <c r="E30" s="9">
        <f>E28/E26</f>
        <v>0.60838114894922335</v>
      </c>
      <c r="F30" s="9">
        <f t="shared" ref="F30:P30" si="5">F27/F26</f>
        <v>1.0029244843904974</v>
      </c>
      <c r="G30" s="9">
        <f t="shared" si="5"/>
        <v>1.0014254473142932</v>
      </c>
      <c r="H30" s="9">
        <f t="shared" si="5"/>
        <v>1.0034740411355898</v>
      </c>
      <c r="I30" s="9">
        <f t="shared" si="5"/>
        <v>1.0019964414857905</v>
      </c>
      <c r="J30" s="9">
        <f t="shared" si="5"/>
        <v>1.0005084678255389</v>
      </c>
      <c r="K30" s="9">
        <f t="shared" si="5"/>
        <v>1.002406941917771</v>
      </c>
      <c r="L30" s="9">
        <f t="shared" si="5"/>
        <v>1.0029641877195876</v>
      </c>
      <c r="M30" s="9" t="e">
        <f t="shared" si="5"/>
        <v>#DIV/0!</v>
      </c>
      <c r="N30" s="9" t="e">
        <f t="shared" si="5"/>
        <v>#DIV/0!</v>
      </c>
      <c r="O30" s="9" t="e">
        <f t="shared" si="5"/>
        <v>#DIV/0!</v>
      </c>
      <c r="P30" s="9" t="e">
        <f t="shared" si="5"/>
        <v>#DIV/0!</v>
      </c>
    </row>
  </sheetData>
  <mergeCells count="2">
    <mergeCell ref="J4:Q8"/>
    <mergeCell ref="J10:Q15"/>
  </mergeCells>
  <conditionalFormatting sqref="C3">
    <cfRule type="expression" dxfId="167" priority="2">
      <formula>S4&lt;S6</formula>
    </cfRule>
  </conditionalFormatting>
  <conditionalFormatting sqref="C5">
    <cfRule type="expression" dxfId="166" priority="3">
      <formula>S4&gt;=S5</formula>
    </cfRule>
  </conditionalFormatting>
  <conditionalFormatting sqref="C4">
    <cfRule type="expression" dxfId="165" priority="1">
      <formula>AND(S4&gt;=S6,S4&lt;S5)</formula>
    </cfRule>
  </conditionalFormatting>
  <hyperlinks>
    <hyperlink ref="L1" location="Dashboard!A1" display="Dashboard"/>
  </hyperlinks>
  <pageMargins left="0.7" right="0.7" top="0.75" bottom="0.75" header="0.3" footer="0.3"/>
  <pageSetup orientation="portrait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49601" r:id="rId4" name="Spinner 1">
              <controlPr defaultSize="0" autoPict="0">
                <anchor moveWithCells="1" sizeWithCells="1">
                  <from>
                    <xdr:col>9</xdr:col>
                    <xdr:colOff>19050</xdr:colOff>
                    <xdr:row>0</xdr:row>
                    <xdr:rowOff>38100</xdr:rowOff>
                  </from>
                  <to>
                    <xdr:col>9</xdr:col>
                    <xdr:colOff>400050</xdr:colOff>
                    <xdr:row>1</xdr:row>
                    <xdr:rowOff>152400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14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114">
    <tabColor rgb="FFFFC000"/>
  </sheetPr>
  <dimension ref="A1:S30"/>
  <sheetViews>
    <sheetView zoomScale="90" zoomScaleNormal="90" workbookViewId="0">
      <selection activeCell="L1" sqref="L1"/>
    </sheetView>
  </sheetViews>
  <sheetFormatPr defaultColWidth="9.1796875" defaultRowHeight="14.5" x14ac:dyDescent="0.35"/>
  <cols>
    <col min="1" max="1" width="9.1796875" style="3"/>
    <col min="2" max="2" width="5.7265625" style="3" bestFit="1" customWidth="1"/>
    <col min="3" max="3" width="6.26953125" style="3" customWidth="1"/>
    <col min="4" max="4" width="21.26953125" style="3" bestFit="1" customWidth="1"/>
    <col min="5" max="16" width="11.1796875" style="3" customWidth="1"/>
    <col min="17" max="17" width="12" style="3" bestFit="1" customWidth="1"/>
    <col min="18" max="18" width="9.1796875" style="3" customWidth="1"/>
    <col min="19" max="16384" width="9.1796875" style="3"/>
  </cols>
  <sheetData>
    <row r="1" spans="1:19" ht="21" x14ac:dyDescent="0.5">
      <c r="A1" s="4" t="s">
        <v>4</v>
      </c>
      <c r="B1" s="4">
        <f>Dashboard!A159</f>
        <v>2</v>
      </c>
      <c r="C1" s="4" t="str">
        <f>Dashboard!B159</f>
        <v>KAMERE - KSH/M3</v>
      </c>
      <c r="D1" s="4"/>
      <c r="G1" s="3" t="s">
        <v>9</v>
      </c>
      <c r="I1" s="12">
        <f>INDEX($E$18:$P$18,Actual_month)</f>
        <v>46054</v>
      </c>
      <c r="L1" s="16" t="s">
        <v>19</v>
      </c>
      <c r="R1" s="5"/>
    </row>
    <row r="2" spans="1:19" x14ac:dyDescent="0.35">
      <c r="A2" s="3" t="s">
        <v>13</v>
      </c>
      <c r="C2" s="3" t="s">
        <v>27</v>
      </c>
      <c r="R2" s="6"/>
    </row>
    <row r="3" spans="1:19" ht="25.5" customHeight="1" thickBot="1" x14ac:dyDescent="0.4">
      <c r="C3" s="1" t="s">
        <v>5</v>
      </c>
      <c r="E3" s="10"/>
      <c r="F3" s="10"/>
      <c r="G3" s="10"/>
      <c r="H3" s="10"/>
      <c r="I3" s="10"/>
      <c r="J3" s="3" t="s">
        <v>6</v>
      </c>
      <c r="K3" s="10"/>
      <c r="M3" s="10"/>
      <c r="N3" s="10"/>
      <c r="O3" s="10"/>
      <c r="P3" s="10"/>
    </row>
    <row r="4" spans="1:19" ht="25.5" customHeight="1" x14ac:dyDescent="0.35">
      <c r="C4" s="1" t="s">
        <v>5</v>
      </c>
      <c r="E4" s="10"/>
      <c r="F4" s="10"/>
      <c r="G4" s="10"/>
      <c r="H4" s="10"/>
      <c r="I4" s="10"/>
      <c r="J4" s="401"/>
      <c r="K4" s="402"/>
      <c r="L4" s="402"/>
      <c r="M4" s="402"/>
      <c r="N4" s="402"/>
      <c r="O4" s="402"/>
      <c r="P4" s="402"/>
      <c r="Q4" s="403"/>
      <c r="R4" s="3" t="s">
        <v>22</v>
      </c>
      <c r="S4" s="5">
        <f>INDEX(E27:P27,Actual_month)</f>
        <v>123.07317596690233</v>
      </c>
    </row>
    <row r="5" spans="1:19" ht="25.5" customHeight="1" x14ac:dyDescent="0.35">
      <c r="C5" s="1" t="s">
        <v>5</v>
      </c>
      <c r="E5" s="10"/>
      <c r="F5" s="10"/>
      <c r="G5" s="10"/>
      <c r="H5" s="10"/>
      <c r="I5" s="10"/>
      <c r="J5" s="404"/>
      <c r="K5" s="405"/>
      <c r="L5" s="405"/>
      <c r="M5" s="405"/>
      <c r="N5" s="405"/>
      <c r="O5" s="405"/>
      <c r="P5" s="405"/>
      <c r="Q5" s="406"/>
      <c r="R5" s="3" t="s">
        <v>23</v>
      </c>
      <c r="S5" s="5">
        <f>INDEX(E26:P26,Actual_month)</f>
        <v>123.10036562946701</v>
      </c>
    </row>
    <row r="6" spans="1:19" x14ac:dyDescent="0.35">
      <c r="J6" s="404"/>
      <c r="K6" s="405"/>
      <c r="L6" s="405"/>
      <c r="M6" s="405"/>
      <c r="N6" s="405"/>
      <c r="O6" s="405"/>
      <c r="P6" s="405"/>
      <c r="Q6" s="406"/>
      <c r="R6" s="6">
        <v>0.9</v>
      </c>
      <c r="S6" s="5">
        <f>+S5*R6</f>
        <v>110.79032906652031</v>
      </c>
    </row>
    <row r="7" spans="1:19" x14ac:dyDescent="0.35">
      <c r="J7" s="404"/>
      <c r="K7" s="405"/>
      <c r="L7" s="405"/>
      <c r="M7" s="405"/>
      <c r="N7" s="405"/>
      <c r="O7" s="405"/>
      <c r="P7" s="405"/>
      <c r="Q7" s="406"/>
    </row>
    <row r="8" spans="1:19" ht="15" thickBot="1" x14ac:dyDescent="0.4">
      <c r="J8" s="407"/>
      <c r="K8" s="408"/>
      <c r="L8" s="408"/>
      <c r="M8" s="408"/>
      <c r="N8" s="408"/>
      <c r="O8" s="408"/>
      <c r="P8" s="408"/>
      <c r="Q8" s="409"/>
    </row>
    <row r="9" spans="1:19" ht="15" thickBot="1" x14ac:dyDescent="0.4">
      <c r="J9" s="3" t="s">
        <v>12</v>
      </c>
    </row>
    <row r="10" spans="1:19" x14ac:dyDescent="0.35">
      <c r="J10" s="401"/>
      <c r="K10" s="402"/>
      <c r="L10" s="402"/>
      <c r="M10" s="402"/>
      <c r="N10" s="402"/>
      <c r="O10" s="402"/>
      <c r="P10" s="402"/>
      <c r="Q10" s="403"/>
    </row>
    <row r="11" spans="1:19" x14ac:dyDescent="0.35">
      <c r="J11" s="404"/>
      <c r="K11" s="405"/>
      <c r="L11" s="405"/>
      <c r="M11" s="405"/>
      <c r="N11" s="405"/>
      <c r="O11" s="405"/>
      <c r="P11" s="405"/>
      <c r="Q11" s="406"/>
    </row>
    <row r="12" spans="1:19" x14ac:dyDescent="0.35">
      <c r="J12" s="404"/>
      <c r="K12" s="405"/>
      <c r="L12" s="405"/>
      <c r="M12" s="405"/>
      <c r="N12" s="405"/>
      <c r="O12" s="405"/>
      <c r="P12" s="405"/>
      <c r="Q12" s="406"/>
    </row>
    <row r="13" spans="1:19" x14ac:dyDescent="0.35">
      <c r="J13" s="404"/>
      <c r="K13" s="405"/>
      <c r="L13" s="405"/>
      <c r="M13" s="405"/>
      <c r="N13" s="405"/>
      <c r="O13" s="405"/>
      <c r="P13" s="405"/>
      <c r="Q13" s="406"/>
    </row>
    <row r="14" spans="1:19" x14ac:dyDescent="0.35">
      <c r="J14" s="404"/>
      <c r="K14" s="405"/>
      <c r="L14" s="405"/>
      <c r="M14" s="405"/>
      <c r="N14" s="405"/>
      <c r="O14" s="405"/>
      <c r="P14" s="405"/>
      <c r="Q14" s="406"/>
    </row>
    <row r="15" spans="1:19" ht="15" thickBot="1" x14ac:dyDescent="0.4">
      <c r="J15" s="407"/>
      <c r="K15" s="408"/>
      <c r="L15" s="408"/>
      <c r="M15" s="408"/>
      <c r="N15" s="408"/>
      <c r="O15" s="408"/>
      <c r="P15" s="408"/>
      <c r="Q15" s="409"/>
    </row>
    <row r="18" spans="3:17" x14ac:dyDescent="0.35">
      <c r="C18" s="7" t="s">
        <v>8</v>
      </c>
      <c r="E18" s="11">
        <v>45839</v>
      </c>
      <c r="F18" s="11">
        <v>45870</v>
      </c>
      <c r="G18" s="11">
        <v>45901</v>
      </c>
      <c r="H18" s="11">
        <v>45931</v>
      </c>
      <c r="I18" s="11">
        <v>45962</v>
      </c>
      <c r="J18" s="11">
        <v>45992</v>
      </c>
      <c r="K18" s="11">
        <v>46023</v>
      </c>
      <c r="L18" s="11">
        <v>46054</v>
      </c>
      <c r="M18" s="11">
        <v>46082</v>
      </c>
      <c r="N18" s="11">
        <v>46113</v>
      </c>
      <c r="O18" s="11">
        <v>46143</v>
      </c>
      <c r="P18" s="11">
        <v>46174</v>
      </c>
      <c r="Q18" s="8" t="s">
        <v>0</v>
      </c>
    </row>
    <row r="19" spans="3:17" x14ac:dyDescent="0.35">
      <c r="D19" s="3" t="s">
        <v>501</v>
      </c>
      <c r="E19" s="49">
        <f>'budget 2025-26'!D150</f>
        <v>123.10036562946703</v>
      </c>
      <c r="F19" s="49">
        <f>'budget 2025-26'!E150</f>
        <v>123.10036562946703</v>
      </c>
      <c r="G19" s="49">
        <f>'budget 2025-26'!F150</f>
        <v>123.10036562946703</v>
      </c>
      <c r="H19" s="49">
        <f>'budget 2025-26'!G150</f>
        <v>123.10036562946703</v>
      </c>
      <c r="I19" s="49">
        <f>'budget 2025-26'!H150</f>
        <v>123.10036562946703</v>
      </c>
      <c r="J19" s="49">
        <f>'budget 2025-26'!I150</f>
        <v>123.10036562946703</v>
      </c>
      <c r="K19" s="49">
        <f>'budget 2025-26'!J150</f>
        <v>123.10036562946703</v>
      </c>
      <c r="L19" s="49">
        <f>'budget 2025-26'!K150</f>
        <v>123.10036562946703</v>
      </c>
      <c r="M19" s="49">
        <f>'budget 2025-26'!L150</f>
        <v>123.10036562946703</v>
      </c>
      <c r="N19" s="49">
        <f>'budget 2025-26'!M150</f>
        <v>123.10036562946703</v>
      </c>
      <c r="O19" s="49">
        <f>'budget 2025-26'!N150</f>
        <v>123.10036562946703</v>
      </c>
      <c r="P19" s="49">
        <f>'budget 2025-26'!O150</f>
        <v>123.10036562946703</v>
      </c>
      <c r="Q19" s="5">
        <f>SUM(E19:P19)</f>
        <v>1477.204387553604</v>
      </c>
    </row>
    <row r="20" spans="3:17" x14ac:dyDescent="0.35">
      <c r="D20" s="3" t="s">
        <v>502</v>
      </c>
      <c r="E20" s="49">
        <f>'Input Actual2025-26'!E153</f>
        <v>122.00760193503801</v>
      </c>
      <c r="F20" s="49">
        <f>'Input Actual2025-26'!F153</f>
        <v>123.66144668158091</v>
      </c>
      <c r="G20" s="49">
        <f>'Input Actual2025-26'!G153</f>
        <v>123.02418506834911</v>
      </c>
      <c r="H20" s="49">
        <f>'Input Actual2025-26'!H153</f>
        <v>123.098862361801</v>
      </c>
      <c r="I20" s="49">
        <f>'Input Actual2025-26'!I153</f>
        <v>122.77059617981864</v>
      </c>
      <c r="J20" s="49">
        <f>'Input Actual2025-26'!J153</f>
        <v>121.59876643402045</v>
      </c>
      <c r="K20" s="49">
        <f>'Input Actual2025-26'!K153</f>
        <v>124.21422897991603</v>
      </c>
      <c r="L20" s="49">
        <f>'Input Actual2025-26'!L153</f>
        <v>124.20972009469433</v>
      </c>
      <c r="M20" s="49" t="e">
        <f>'Input Actual2025-26'!M153</f>
        <v>#DIV/0!</v>
      </c>
      <c r="N20" s="49" t="e">
        <f>'Input Actual2025-26'!N153</f>
        <v>#DIV/0!</v>
      </c>
      <c r="O20" s="49" t="e">
        <f>'Input Actual2025-26'!O153</f>
        <v>#DIV/0!</v>
      </c>
      <c r="P20" s="49" t="e">
        <f>'Input Actual2025-26'!P153</f>
        <v>#DIV/0!</v>
      </c>
      <c r="Q20" s="5" t="e">
        <f t="shared" ref="Q20:Q22" si="0">SUM(E20:P20)</f>
        <v>#DIV/0!</v>
      </c>
    </row>
    <row r="21" spans="3:17" x14ac:dyDescent="0.35">
      <c r="D21" s="3" t="s">
        <v>424</v>
      </c>
      <c r="E21" s="49">
        <f>'Input Actual2024-25'!E142</f>
        <v>69.973588342440806</v>
      </c>
      <c r="F21" s="49">
        <f>'Input Actual2024-25'!F142</f>
        <v>71.332023289665216</v>
      </c>
      <c r="G21" s="49">
        <f>'Input Actual2024-25'!G142</f>
        <v>72.476063038953313</v>
      </c>
      <c r="H21" s="49">
        <f>'Input Actual2024-25'!H142</f>
        <v>72.428796787609343</v>
      </c>
      <c r="I21" s="49">
        <f>'Input Actual2024-25'!I142</f>
        <v>73.236722103004297</v>
      </c>
      <c r="J21" s="49">
        <f>'Input Actual2024-25'!J142</f>
        <v>73.423155320016306</v>
      </c>
      <c r="K21" s="49">
        <f>'Input Actual2024-25'!K142</f>
        <v>72.138455734406435</v>
      </c>
      <c r="L21" s="49">
        <f>'Input Actual2024-25'!L142</f>
        <v>72.39384174722521</v>
      </c>
      <c r="M21" s="49">
        <f>'Input Actual2024-25'!M142</f>
        <v>72.264871706362911</v>
      </c>
      <c r="N21" s="49">
        <f>'Input Actual2024-25'!N142</f>
        <v>73.628215499110183</v>
      </c>
      <c r="O21" s="49">
        <f>'Input Actual2024-25'!O142</f>
        <v>123.86067613054296</v>
      </c>
      <c r="P21" s="49">
        <f>'Input Actual2024-25'!P142</f>
        <v>122.34005512839113</v>
      </c>
      <c r="Q21" s="5">
        <f t="shared" si="0"/>
        <v>969.49646482772812</v>
      </c>
    </row>
    <row r="22" spans="3:17" x14ac:dyDescent="0.35">
      <c r="D22" s="3" t="s">
        <v>7</v>
      </c>
      <c r="E22" s="5">
        <f t="shared" ref="E22:P22" si="1">IF(E20=0,0,E20-E19)</f>
        <v>-1.0927636944290242</v>
      </c>
      <c r="F22" s="5">
        <f t="shared" si="1"/>
        <v>0.56108105211387738</v>
      </c>
      <c r="G22" s="5">
        <f t="shared" si="1"/>
        <v>-7.6180561117922707E-2</v>
      </c>
      <c r="H22" s="5">
        <f t="shared" si="1"/>
        <v>-1.5032676660382549E-3</v>
      </c>
      <c r="I22" s="5">
        <f t="shared" si="1"/>
        <v>-0.32976944964839561</v>
      </c>
      <c r="J22" s="5">
        <f t="shared" si="1"/>
        <v>-1.5015991954465875</v>
      </c>
      <c r="K22" s="5">
        <f t="shared" si="1"/>
        <v>1.1138633504489945</v>
      </c>
      <c r="L22" s="5">
        <f t="shared" si="1"/>
        <v>1.1093544652272982</v>
      </c>
      <c r="M22" s="5" t="e">
        <f t="shared" si="1"/>
        <v>#DIV/0!</v>
      </c>
      <c r="N22" s="5" t="e">
        <f t="shared" si="1"/>
        <v>#DIV/0!</v>
      </c>
      <c r="O22" s="5" t="e">
        <f t="shared" si="1"/>
        <v>#DIV/0!</v>
      </c>
      <c r="P22" s="5" t="e">
        <f t="shared" si="1"/>
        <v>#DIV/0!</v>
      </c>
      <c r="Q22" s="5" t="e">
        <f t="shared" si="0"/>
        <v>#DIV/0!</v>
      </c>
    </row>
    <row r="23" spans="3:17" x14ac:dyDescent="0.35">
      <c r="D23" s="3" t="s">
        <v>43</v>
      </c>
      <c r="E23" s="9">
        <f>E21/E19</f>
        <v>0.5684271365453275</v>
      </c>
      <c r="F23" s="9">
        <f t="shared" ref="F23:P23" si="2">F20/F19</f>
        <v>1.004557915398909</v>
      </c>
      <c r="G23" s="9">
        <f t="shared" si="2"/>
        <v>0.99938115081357903</v>
      </c>
      <c r="H23" s="9">
        <f t="shared" si="2"/>
        <v>0.9999877882761895</v>
      </c>
      <c r="I23" s="9">
        <f t="shared" si="2"/>
        <v>0.99732113346729612</v>
      </c>
      <c r="J23" s="9">
        <f t="shared" si="2"/>
        <v>0.98780182993146903</v>
      </c>
      <c r="K23" s="9">
        <f t="shared" si="2"/>
        <v>1.0090484162638618</v>
      </c>
      <c r="L23" s="9">
        <f t="shared" si="2"/>
        <v>1.0090117885479435</v>
      </c>
      <c r="M23" s="9" t="e">
        <f t="shared" si="2"/>
        <v>#DIV/0!</v>
      </c>
      <c r="N23" s="9" t="e">
        <f t="shared" si="2"/>
        <v>#DIV/0!</v>
      </c>
      <c r="O23" s="9" t="e">
        <f t="shared" si="2"/>
        <v>#DIV/0!</v>
      </c>
      <c r="P23" s="9" t="e">
        <f t="shared" si="2"/>
        <v>#DIV/0!</v>
      </c>
    </row>
    <row r="25" spans="3:17" x14ac:dyDescent="0.35">
      <c r="C25" s="7" t="s">
        <v>3</v>
      </c>
      <c r="E25" s="11">
        <f>E18</f>
        <v>45839</v>
      </c>
      <c r="F25" s="11">
        <f t="shared" ref="F25:P25" si="3">F18</f>
        <v>45870</v>
      </c>
      <c r="G25" s="11">
        <f t="shared" si="3"/>
        <v>45901</v>
      </c>
      <c r="H25" s="11">
        <f t="shared" si="3"/>
        <v>45931</v>
      </c>
      <c r="I25" s="11">
        <f t="shared" si="3"/>
        <v>45962</v>
      </c>
      <c r="J25" s="11">
        <f t="shared" si="3"/>
        <v>45992</v>
      </c>
      <c r="K25" s="11">
        <f t="shared" si="3"/>
        <v>46023</v>
      </c>
      <c r="L25" s="11">
        <f t="shared" si="3"/>
        <v>46054</v>
      </c>
      <c r="M25" s="11">
        <f t="shared" si="3"/>
        <v>46082</v>
      </c>
      <c r="N25" s="11">
        <f t="shared" si="3"/>
        <v>46113</v>
      </c>
      <c r="O25" s="11">
        <f t="shared" si="3"/>
        <v>46143</v>
      </c>
      <c r="P25" s="11">
        <f t="shared" si="3"/>
        <v>46174</v>
      </c>
    </row>
    <row r="26" spans="3:17" x14ac:dyDescent="0.35">
      <c r="D26" s="3" t="str">
        <f>D19</f>
        <v>Budget 2025-26</v>
      </c>
      <c r="E26" s="5">
        <f>AVERAGE($E19:E19)</f>
        <v>123.10036562946703</v>
      </c>
      <c r="F26" s="5">
        <f>AVERAGE($E19:F19)</f>
        <v>123.10036562946703</v>
      </c>
      <c r="G26" s="5">
        <f>AVERAGE($E19:G19)</f>
        <v>123.10036562946703</v>
      </c>
      <c r="H26" s="5">
        <f>AVERAGE($E19:H19)</f>
        <v>123.10036562946703</v>
      </c>
      <c r="I26" s="5">
        <f>AVERAGE($E19:I19)</f>
        <v>123.10036562946702</v>
      </c>
      <c r="J26" s="5">
        <f>AVERAGE($E19:J19)</f>
        <v>123.10036562946702</v>
      </c>
      <c r="K26" s="5">
        <f>AVERAGE($E19:K19)</f>
        <v>123.10036562946701</v>
      </c>
      <c r="L26" s="5">
        <f>AVERAGE($E19:L19)</f>
        <v>123.10036562946701</v>
      </c>
      <c r="M26" s="5">
        <f>AVERAGE($E19:M19)</f>
        <v>123.10036562946701</v>
      </c>
      <c r="N26" s="5">
        <f>AVERAGE($E19:N19)</f>
        <v>123.10036562946701</v>
      </c>
      <c r="O26" s="5">
        <f>AVERAGE($E19:O19)</f>
        <v>123.10036562946699</v>
      </c>
      <c r="P26" s="5">
        <f>AVERAGE($E19:P19)</f>
        <v>123.10036562946699</v>
      </c>
    </row>
    <row r="27" spans="3:17" x14ac:dyDescent="0.35">
      <c r="D27" s="3" t="str">
        <f t="shared" ref="D27:D30" si="4">D20</f>
        <v>Actual 2025-26</v>
      </c>
      <c r="E27" s="5">
        <f>AVERAGE($E20:E20)</f>
        <v>122.00760193503801</v>
      </c>
      <c r="F27" s="5">
        <f>AVERAGE($E20:F20)</f>
        <v>122.83452430830945</v>
      </c>
      <c r="G27" s="5">
        <f>AVERAGE($E20:G20)</f>
        <v>122.89774456165601</v>
      </c>
      <c r="H27" s="5">
        <f>AVERAGE($E20:H20)</f>
        <v>122.94802401169227</v>
      </c>
      <c r="I27" s="5">
        <f>AVERAGE($E20:I20)</f>
        <v>122.91253844531755</v>
      </c>
      <c r="J27" s="5">
        <f>AVERAGE($E20:J20)</f>
        <v>122.69357644343471</v>
      </c>
      <c r="K27" s="5">
        <f>AVERAGE($E20:K20)</f>
        <v>122.91081252007488</v>
      </c>
      <c r="L27" s="5">
        <f>AVERAGE($E20:L20)</f>
        <v>123.07317596690233</v>
      </c>
      <c r="M27" s="5" t="e">
        <f>AVERAGE($E20:M20)</f>
        <v>#DIV/0!</v>
      </c>
      <c r="N27" s="5" t="e">
        <f>AVERAGE($E20:N20)</f>
        <v>#DIV/0!</v>
      </c>
      <c r="O27" s="5" t="e">
        <f>AVERAGE($E20:O20)</f>
        <v>#DIV/0!</v>
      </c>
      <c r="P27" s="5" t="e">
        <f>AVERAGE($E20:P20)</f>
        <v>#DIV/0!</v>
      </c>
    </row>
    <row r="28" spans="3:17" x14ac:dyDescent="0.35">
      <c r="D28" s="3" t="str">
        <f t="shared" si="4"/>
        <v>Actual 2024-25</v>
      </c>
      <c r="E28" s="5">
        <f>AVERAGE($E21:E21)</f>
        <v>69.973588342440806</v>
      </c>
      <c r="F28" s="5">
        <f>AVERAGE($E21:F21)</f>
        <v>70.652805816053018</v>
      </c>
      <c r="G28" s="5">
        <f>AVERAGE($E21:G21)</f>
        <v>71.260558223686459</v>
      </c>
      <c r="H28" s="5">
        <f>AVERAGE($E21:H21)</f>
        <v>71.552617864667184</v>
      </c>
      <c r="I28" s="5">
        <f>AVERAGE($E21:I21)</f>
        <v>71.889438712334609</v>
      </c>
      <c r="J28" s="5">
        <f>AVERAGE($E21:J21)</f>
        <v>72.145058146948216</v>
      </c>
      <c r="K28" s="5">
        <f>AVERAGE($E21:K21)</f>
        <v>72.144114945156531</v>
      </c>
      <c r="L28" s="5">
        <f>AVERAGE($E21:L21)</f>
        <v>72.175330795415121</v>
      </c>
      <c r="M28" s="5">
        <f>AVERAGE($E21:M21)</f>
        <v>72.185279785520436</v>
      </c>
      <c r="N28" s="5">
        <f>AVERAGE($E21:N21)</f>
        <v>72.329573356879408</v>
      </c>
      <c r="O28" s="5">
        <f>AVERAGE($E21:O21)</f>
        <v>77.014219063576093</v>
      </c>
      <c r="P28" s="5">
        <f>AVERAGE($E21:P21)</f>
        <v>80.791372068977338</v>
      </c>
    </row>
    <row r="29" spans="3:17" x14ac:dyDescent="0.35">
      <c r="D29" s="3" t="str">
        <f t="shared" si="4"/>
        <v>Difference</v>
      </c>
      <c r="E29" s="5">
        <f>SUM($E22:E22)</f>
        <v>-1.0927636944290242</v>
      </c>
      <c r="F29" s="5">
        <f>SUM($E22:F22)</f>
        <v>-0.53168264231514684</v>
      </c>
      <c r="G29" s="5">
        <f>SUM($E22:G22)</f>
        <v>-0.60786320343306954</v>
      </c>
      <c r="H29" s="5">
        <f>SUM($E22:H22)</f>
        <v>-0.6093664710991078</v>
      </c>
      <c r="I29" s="5">
        <f>SUM($E22:I22)</f>
        <v>-0.93913592074750341</v>
      </c>
      <c r="J29" s="5">
        <f>SUM($E22:J22)</f>
        <v>-2.4407351161940909</v>
      </c>
      <c r="K29" s="5">
        <f>SUM($E22:K22)</f>
        <v>-1.3268717657450964</v>
      </c>
      <c r="L29" s="5">
        <f>SUM($E22:L22)</f>
        <v>-0.21751730051779816</v>
      </c>
      <c r="M29" s="5" t="e">
        <f>SUM($E22:M22)</f>
        <v>#DIV/0!</v>
      </c>
      <c r="N29" s="5" t="e">
        <f>SUM($E22:N22)</f>
        <v>#DIV/0!</v>
      </c>
      <c r="O29" s="5" t="e">
        <f>SUM($E22:O22)</f>
        <v>#DIV/0!</v>
      </c>
      <c r="P29" s="5" t="e">
        <f>SUM($E22:P22)</f>
        <v>#DIV/0!</v>
      </c>
    </row>
    <row r="30" spans="3:17" x14ac:dyDescent="0.35">
      <c r="D30" s="3" t="str">
        <f t="shared" si="4"/>
        <v>Realisation</v>
      </c>
      <c r="E30" s="9">
        <f>E28/E26</f>
        <v>0.5684271365453275</v>
      </c>
      <c r="F30" s="9">
        <f t="shared" ref="F30:P30" si="5">F27/F26</f>
        <v>0.99784045059656634</v>
      </c>
      <c r="G30" s="9">
        <f t="shared" si="5"/>
        <v>0.99835401733557061</v>
      </c>
      <c r="H30" s="9">
        <f t="shared" si="5"/>
        <v>0.99876246007072544</v>
      </c>
      <c r="I30" s="9">
        <f t="shared" si="5"/>
        <v>0.99847419475003973</v>
      </c>
      <c r="J30" s="9">
        <f t="shared" si="5"/>
        <v>0.99669546728027802</v>
      </c>
      <c r="K30" s="9">
        <f t="shared" si="5"/>
        <v>0.99846017427793288</v>
      </c>
      <c r="L30" s="9">
        <f t="shared" si="5"/>
        <v>0.99977912606168429</v>
      </c>
      <c r="M30" s="9" t="e">
        <f t="shared" si="5"/>
        <v>#DIV/0!</v>
      </c>
      <c r="N30" s="9" t="e">
        <f t="shared" si="5"/>
        <v>#DIV/0!</v>
      </c>
      <c r="O30" s="9" t="e">
        <f t="shared" si="5"/>
        <v>#DIV/0!</v>
      </c>
      <c r="P30" s="9" t="e">
        <f t="shared" si="5"/>
        <v>#DIV/0!</v>
      </c>
    </row>
  </sheetData>
  <mergeCells count="2">
    <mergeCell ref="J4:Q8"/>
    <mergeCell ref="J10:Q15"/>
  </mergeCells>
  <conditionalFormatting sqref="C3">
    <cfRule type="expression" dxfId="164" priority="2">
      <formula>S4&lt;S6</formula>
    </cfRule>
  </conditionalFormatting>
  <conditionalFormatting sqref="C5">
    <cfRule type="expression" dxfId="163" priority="3">
      <formula>S4&gt;=S5</formula>
    </cfRule>
  </conditionalFormatting>
  <conditionalFormatting sqref="C4">
    <cfRule type="expression" dxfId="162" priority="1">
      <formula>AND(S4&gt;=S6,S4&lt;S5)</formula>
    </cfRule>
  </conditionalFormatting>
  <hyperlinks>
    <hyperlink ref="L1" location="Dashboard!A1" display="Dashboard"/>
  </hyperlinks>
  <pageMargins left="0.7" right="0.7" top="0.75" bottom="0.75" header="0.3" footer="0.3"/>
  <pageSetup orientation="portrait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50625" r:id="rId4" name="Spinner 1">
              <controlPr defaultSize="0" autoPict="0">
                <anchor moveWithCells="1" sizeWithCells="1">
                  <from>
                    <xdr:col>9</xdr:col>
                    <xdr:colOff>19050</xdr:colOff>
                    <xdr:row>0</xdr:row>
                    <xdr:rowOff>38100</xdr:rowOff>
                  </from>
                  <to>
                    <xdr:col>9</xdr:col>
                    <xdr:colOff>400050</xdr:colOff>
                    <xdr:row>1</xdr:row>
                    <xdr:rowOff>152400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14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FFC000"/>
  </sheetPr>
  <dimension ref="A1:S30"/>
  <sheetViews>
    <sheetView workbookViewId="0">
      <selection activeCell="L1" sqref="L1"/>
    </sheetView>
  </sheetViews>
  <sheetFormatPr defaultColWidth="9.1796875" defaultRowHeight="14.5" x14ac:dyDescent="0.35"/>
  <cols>
    <col min="1" max="1" width="9.1796875" style="3"/>
    <col min="2" max="2" width="5.7265625" style="3" bestFit="1" customWidth="1"/>
    <col min="3" max="3" width="6.26953125" style="3" customWidth="1"/>
    <col min="4" max="4" width="21.26953125" style="3" bestFit="1" customWidth="1"/>
    <col min="5" max="16" width="11.1796875" style="3" customWidth="1"/>
    <col min="17" max="17" width="12" style="3" bestFit="1" customWidth="1"/>
    <col min="18" max="18" width="9.1796875" style="3" customWidth="1"/>
    <col min="19" max="16384" width="9.1796875" style="3"/>
  </cols>
  <sheetData>
    <row r="1" spans="1:19" ht="21" x14ac:dyDescent="0.5">
      <c r="A1" s="4" t="s">
        <v>4</v>
      </c>
      <c r="B1" s="4">
        <f>Dashboard!A164</f>
        <v>1</v>
      </c>
      <c r="C1" s="4" t="str">
        <f>Dashboard!B165</f>
        <v>IHINDU - KSH/M3</v>
      </c>
      <c r="D1" s="4"/>
      <c r="G1" s="3" t="s">
        <v>9</v>
      </c>
      <c r="I1" s="12">
        <f>INDEX($E$18:$P$18,Actual_month)</f>
        <v>46054</v>
      </c>
      <c r="L1" s="16" t="s">
        <v>19</v>
      </c>
      <c r="R1" s="5"/>
    </row>
    <row r="2" spans="1:19" x14ac:dyDescent="0.35">
      <c r="A2" s="3" t="s">
        <v>13</v>
      </c>
      <c r="C2" s="3" t="s">
        <v>27</v>
      </c>
      <c r="R2" s="6"/>
    </row>
    <row r="3" spans="1:19" ht="25.5" customHeight="1" thickBot="1" x14ac:dyDescent="0.4">
      <c r="C3" s="1" t="s">
        <v>5</v>
      </c>
      <c r="E3" s="10"/>
      <c r="F3" s="10"/>
      <c r="G3" s="10"/>
      <c r="H3" s="10"/>
      <c r="I3" s="10"/>
      <c r="J3" s="3" t="s">
        <v>6</v>
      </c>
      <c r="K3" s="10"/>
      <c r="M3" s="10"/>
      <c r="N3" s="10"/>
      <c r="O3" s="10"/>
      <c r="P3" s="10"/>
    </row>
    <row r="4" spans="1:19" ht="25.5" customHeight="1" x14ac:dyDescent="0.35">
      <c r="C4" s="1" t="s">
        <v>5</v>
      </c>
      <c r="E4" s="10"/>
      <c r="F4" s="10"/>
      <c r="G4" s="10"/>
      <c r="H4" s="10"/>
      <c r="I4" s="10"/>
      <c r="J4" s="401"/>
      <c r="K4" s="402"/>
      <c r="L4" s="402"/>
      <c r="M4" s="402"/>
      <c r="N4" s="402"/>
      <c r="O4" s="402"/>
      <c r="P4" s="402"/>
      <c r="Q4" s="403"/>
      <c r="R4" s="3" t="s">
        <v>22</v>
      </c>
      <c r="S4" s="5" t="e">
        <f>INDEX(E27:P27,Actual_month)</f>
        <v>#DIV/0!</v>
      </c>
    </row>
    <row r="5" spans="1:19" ht="25.5" customHeight="1" x14ac:dyDescent="0.35">
      <c r="C5" s="1" t="s">
        <v>5</v>
      </c>
      <c r="E5" s="10"/>
      <c r="F5" s="10"/>
      <c r="G5" s="10"/>
      <c r="H5" s="10"/>
      <c r="I5" s="10"/>
      <c r="J5" s="404"/>
      <c r="K5" s="405"/>
      <c r="L5" s="405"/>
      <c r="M5" s="405"/>
      <c r="N5" s="405"/>
      <c r="O5" s="405"/>
      <c r="P5" s="405"/>
      <c r="Q5" s="406"/>
      <c r="R5" s="3" t="s">
        <v>23</v>
      </c>
      <c r="S5" s="5">
        <f>INDEX(E26:P26,Actual_month)</f>
        <v>100</v>
      </c>
    </row>
    <row r="6" spans="1:19" x14ac:dyDescent="0.35">
      <c r="J6" s="404"/>
      <c r="K6" s="405"/>
      <c r="L6" s="405"/>
      <c r="M6" s="405"/>
      <c r="N6" s="405"/>
      <c r="O6" s="405"/>
      <c r="P6" s="405"/>
      <c r="Q6" s="406"/>
      <c r="R6" s="6">
        <v>0.9</v>
      </c>
      <c r="S6" s="5">
        <f>+S5*R6</f>
        <v>90</v>
      </c>
    </row>
    <row r="7" spans="1:19" x14ac:dyDescent="0.35">
      <c r="J7" s="404"/>
      <c r="K7" s="405"/>
      <c r="L7" s="405"/>
      <c r="M7" s="405"/>
      <c r="N7" s="405"/>
      <c r="O7" s="405"/>
      <c r="P7" s="405"/>
      <c r="Q7" s="406"/>
    </row>
    <row r="8" spans="1:19" ht="15" thickBot="1" x14ac:dyDescent="0.4">
      <c r="J8" s="407"/>
      <c r="K8" s="408"/>
      <c r="L8" s="408"/>
      <c r="M8" s="408"/>
      <c r="N8" s="408"/>
      <c r="O8" s="408"/>
      <c r="P8" s="408"/>
      <c r="Q8" s="409"/>
    </row>
    <row r="9" spans="1:19" ht="15" thickBot="1" x14ac:dyDescent="0.4">
      <c r="J9" s="3" t="s">
        <v>12</v>
      </c>
    </row>
    <row r="10" spans="1:19" x14ac:dyDescent="0.35">
      <c r="J10" s="401"/>
      <c r="K10" s="402"/>
      <c r="L10" s="402"/>
      <c r="M10" s="402"/>
      <c r="N10" s="402"/>
      <c r="O10" s="402"/>
      <c r="P10" s="402"/>
      <c r="Q10" s="403"/>
    </row>
    <row r="11" spans="1:19" x14ac:dyDescent="0.35">
      <c r="J11" s="404"/>
      <c r="K11" s="405"/>
      <c r="L11" s="405"/>
      <c r="M11" s="405"/>
      <c r="N11" s="405"/>
      <c r="O11" s="405"/>
      <c r="P11" s="405"/>
      <c r="Q11" s="406"/>
    </row>
    <row r="12" spans="1:19" x14ac:dyDescent="0.35">
      <c r="J12" s="404"/>
      <c r="K12" s="405"/>
      <c r="L12" s="405"/>
      <c r="M12" s="405"/>
      <c r="N12" s="405"/>
      <c r="O12" s="405"/>
      <c r="P12" s="405"/>
      <c r="Q12" s="406"/>
    </row>
    <row r="13" spans="1:19" x14ac:dyDescent="0.35">
      <c r="J13" s="404"/>
      <c r="K13" s="405"/>
      <c r="L13" s="405"/>
      <c r="M13" s="405"/>
      <c r="N13" s="405"/>
      <c r="O13" s="405"/>
      <c r="P13" s="405"/>
      <c r="Q13" s="406"/>
    </row>
    <row r="14" spans="1:19" x14ac:dyDescent="0.35">
      <c r="J14" s="404"/>
      <c r="K14" s="405"/>
      <c r="L14" s="405"/>
      <c r="M14" s="405"/>
      <c r="N14" s="405"/>
      <c r="O14" s="405"/>
      <c r="P14" s="405"/>
      <c r="Q14" s="406"/>
    </row>
    <row r="15" spans="1:19" ht="15" thickBot="1" x14ac:dyDescent="0.4">
      <c r="J15" s="407"/>
      <c r="K15" s="408"/>
      <c r="L15" s="408"/>
      <c r="M15" s="408"/>
      <c r="N15" s="408"/>
      <c r="O15" s="408"/>
      <c r="P15" s="408"/>
      <c r="Q15" s="409"/>
    </row>
    <row r="18" spans="3:17" x14ac:dyDescent="0.35">
      <c r="C18" s="7" t="s">
        <v>8</v>
      </c>
      <c r="E18" s="11">
        <v>45839</v>
      </c>
      <c r="F18" s="11">
        <v>45870</v>
      </c>
      <c r="G18" s="11">
        <v>45901</v>
      </c>
      <c r="H18" s="11">
        <v>45931</v>
      </c>
      <c r="I18" s="11">
        <v>45962</v>
      </c>
      <c r="J18" s="11">
        <v>45992</v>
      </c>
      <c r="K18" s="11">
        <v>46023</v>
      </c>
      <c r="L18" s="11">
        <v>46054</v>
      </c>
      <c r="M18" s="11">
        <v>46082</v>
      </c>
      <c r="N18" s="11">
        <v>46113</v>
      </c>
      <c r="O18" s="11">
        <v>46143</v>
      </c>
      <c r="P18" s="11">
        <v>46174</v>
      </c>
      <c r="Q18" s="8" t="s">
        <v>0</v>
      </c>
    </row>
    <row r="19" spans="3:17" x14ac:dyDescent="0.35">
      <c r="D19" s="3" t="s">
        <v>501</v>
      </c>
      <c r="E19" s="49">
        <f>'budget 2025-26'!D155</f>
        <v>100</v>
      </c>
      <c r="F19" s="49">
        <f>'budget 2025-26'!E155</f>
        <v>100</v>
      </c>
      <c r="G19" s="49">
        <f>'budget 2025-26'!F155</f>
        <v>100</v>
      </c>
      <c r="H19" s="49">
        <f>'budget 2025-26'!G155</f>
        <v>100</v>
      </c>
      <c r="I19" s="49">
        <f>'budget 2025-26'!H155</f>
        <v>100</v>
      </c>
      <c r="J19" s="49">
        <f>'budget 2025-26'!I155</f>
        <v>100</v>
      </c>
      <c r="K19" s="49">
        <f>'budget 2025-26'!J155</f>
        <v>100</v>
      </c>
      <c r="L19" s="49">
        <f>'budget 2025-26'!K155</f>
        <v>100</v>
      </c>
      <c r="M19" s="49">
        <f>'budget 2025-26'!L155</f>
        <v>100</v>
      </c>
      <c r="N19" s="49">
        <f>'budget 2025-26'!M155</f>
        <v>100</v>
      </c>
      <c r="O19" s="49">
        <f>'budget 2025-26'!N155</f>
        <v>100</v>
      </c>
      <c r="P19" s="49">
        <f>'budget 2025-26'!O155</f>
        <v>100</v>
      </c>
      <c r="Q19" s="5">
        <f>SUM(E19:P19)</f>
        <v>1200</v>
      </c>
    </row>
    <row r="20" spans="3:17" x14ac:dyDescent="0.35">
      <c r="D20" s="3" t="s">
        <v>502</v>
      </c>
      <c r="E20" s="49">
        <f>'Input Actual2025-26'!E158</f>
        <v>100.69444444444444</v>
      </c>
      <c r="F20" s="49">
        <f>'Input Actual2025-26'!F158</f>
        <v>101.11940298507463</v>
      </c>
      <c r="G20" s="49">
        <f>'Input Actual2025-26'!G158</f>
        <v>102.02898550724638</v>
      </c>
      <c r="H20" s="49" t="e">
        <f>'Input Actual2025-26'!H158</f>
        <v>#DIV/0!</v>
      </c>
      <c r="I20" s="49">
        <f>'Input Actual2025-26'!I158</f>
        <v>100</v>
      </c>
      <c r="J20" s="49">
        <f>'Input Actual2025-26'!J158</f>
        <v>101.21212121212122</v>
      </c>
      <c r="K20" s="49">
        <f>'Input Actual2025-26'!K158</f>
        <v>102.87234042553192</v>
      </c>
      <c r="L20" s="49">
        <f>'Input Actual2025-26'!L158</f>
        <v>103.06532663316582</v>
      </c>
      <c r="M20" s="49" t="e">
        <f>'Input Actual2025-26'!M158</f>
        <v>#DIV/0!</v>
      </c>
      <c r="N20" s="49" t="e">
        <f>'Input Actual2025-26'!N158</f>
        <v>#DIV/0!</v>
      </c>
      <c r="O20" s="49" t="e">
        <f>'Input Actual2025-26'!O158</f>
        <v>#DIV/0!</v>
      </c>
      <c r="P20" s="49" t="e">
        <f>'Input Actual2025-26'!P158</f>
        <v>#DIV/0!</v>
      </c>
      <c r="Q20" s="5" t="e">
        <f t="shared" ref="Q20:Q22" si="0">SUM(E20:P20)</f>
        <v>#DIV/0!</v>
      </c>
    </row>
    <row r="21" spans="3:17" x14ac:dyDescent="0.35">
      <c r="D21" s="3" t="s">
        <v>424</v>
      </c>
      <c r="E21" s="49"/>
      <c r="F21" s="49"/>
      <c r="G21" s="49"/>
      <c r="H21" s="49"/>
      <c r="I21" s="49"/>
      <c r="J21" s="49"/>
      <c r="K21" s="49"/>
      <c r="L21" s="49"/>
      <c r="M21" s="49"/>
      <c r="N21" s="49"/>
      <c r="O21" s="49"/>
      <c r="P21" s="49"/>
      <c r="Q21" s="5">
        <f t="shared" si="0"/>
        <v>0</v>
      </c>
    </row>
    <row r="22" spans="3:17" x14ac:dyDescent="0.35">
      <c r="D22" s="3" t="s">
        <v>7</v>
      </c>
      <c r="E22" s="5">
        <f t="shared" ref="E22:P22" si="1">IF(E20=0,0,E20-E19)</f>
        <v>0.69444444444444287</v>
      </c>
      <c r="F22" s="5">
        <f t="shared" si="1"/>
        <v>1.119402985074629</v>
      </c>
      <c r="G22" s="5">
        <f t="shared" si="1"/>
        <v>2.0289855072463752</v>
      </c>
      <c r="H22" s="5" t="e">
        <f t="shared" si="1"/>
        <v>#DIV/0!</v>
      </c>
      <c r="I22" s="5">
        <f t="shared" si="1"/>
        <v>0</v>
      </c>
      <c r="J22" s="5">
        <f t="shared" si="1"/>
        <v>1.2121212121212182</v>
      </c>
      <c r="K22" s="5">
        <f t="shared" si="1"/>
        <v>2.8723404255319167</v>
      </c>
      <c r="L22" s="5">
        <f t="shared" si="1"/>
        <v>3.0653266331658244</v>
      </c>
      <c r="M22" s="5" t="e">
        <f t="shared" si="1"/>
        <v>#DIV/0!</v>
      </c>
      <c r="N22" s="5" t="e">
        <f t="shared" si="1"/>
        <v>#DIV/0!</v>
      </c>
      <c r="O22" s="5" t="e">
        <f t="shared" si="1"/>
        <v>#DIV/0!</v>
      </c>
      <c r="P22" s="5" t="e">
        <f t="shared" si="1"/>
        <v>#DIV/0!</v>
      </c>
      <c r="Q22" s="5" t="e">
        <f t="shared" si="0"/>
        <v>#DIV/0!</v>
      </c>
    </row>
    <row r="23" spans="3:17" x14ac:dyDescent="0.35">
      <c r="D23" s="3" t="s">
        <v>43</v>
      </c>
      <c r="E23" s="9">
        <f>E21/E19</f>
        <v>0</v>
      </c>
      <c r="F23" s="9">
        <f t="shared" ref="F23:P23" si="2">F20/F19</f>
        <v>1.0111940298507462</v>
      </c>
      <c r="G23" s="9">
        <f t="shared" si="2"/>
        <v>1.0202898550724637</v>
      </c>
      <c r="H23" s="9" t="e">
        <f t="shared" si="2"/>
        <v>#DIV/0!</v>
      </c>
      <c r="I23" s="9">
        <f t="shared" si="2"/>
        <v>1</v>
      </c>
      <c r="J23" s="9">
        <f t="shared" si="2"/>
        <v>1.0121212121212122</v>
      </c>
      <c r="K23" s="9">
        <f t="shared" si="2"/>
        <v>1.0287234042553193</v>
      </c>
      <c r="L23" s="9">
        <f t="shared" si="2"/>
        <v>1.0306532663316583</v>
      </c>
      <c r="M23" s="9" t="e">
        <f t="shared" si="2"/>
        <v>#DIV/0!</v>
      </c>
      <c r="N23" s="9" t="e">
        <f t="shared" si="2"/>
        <v>#DIV/0!</v>
      </c>
      <c r="O23" s="9" t="e">
        <f t="shared" si="2"/>
        <v>#DIV/0!</v>
      </c>
      <c r="P23" s="9" t="e">
        <f t="shared" si="2"/>
        <v>#DIV/0!</v>
      </c>
    </row>
    <row r="25" spans="3:17" x14ac:dyDescent="0.35">
      <c r="C25" s="7" t="s">
        <v>3</v>
      </c>
      <c r="E25" s="11">
        <f>E18</f>
        <v>45839</v>
      </c>
      <c r="F25" s="11">
        <f t="shared" ref="F25:P25" si="3">F18</f>
        <v>45870</v>
      </c>
      <c r="G25" s="11">
        <f t="shared" si="3"/>
        <v>45901</v>
      </c>
      <c r="H25" s="11">
        <f t="shared" si="3"/>
        <v>45931</v>
      </c>
      <c r="I25" s="11">
        <f t="shared" si="3"/>
        <v>45962</v>
      </c>
      <c r="J25" s="11">
        <f t="shared" si="3"/>
        <v>45992</v>
      </c>
      <c r="K25" s="11">
        <f t="shared" si="3"/>
        <v>46023</v>
      </c>
      <c r="L25" s="11">
        <f t="shared" si="3"/>
        <v>46054</v>
      </c>
      <c r="M25" s="11">
        <f t="shared" si="3"/>
        <v>46082</v>
      </c>
      <c r="N25" s="11">
        <f t="shared" si="3"/>
        <v>46113</v>
      </c>
      <c r="O25" s="11">
        <f t="shared" si="3"/>
        <v>46143</v>
      </c>
      <c r="P25" s="11">
        <f t="shared" si="3"/>
        <v>46174</v>
      </c>
    </row>
    <row r="26" spans="3:17" x14ac:dyDescent="0.35">
      <c r="D26" s="3" t="str">
        <f>D19</f>
        <v>Budget 2025-26</v>
      </c>
      <c r="E26" s="5">
        <f>AVERAGE($E19:E19)</f>
        <v>100</v>
      </c>
      <c r="F26" s="5">
        <f>AVERAGE($E19:F19)</f>
        <v>100</v>
      </c>
      <c r="G26" s="5">
        <f>AVERAGE($E19:G19)</f>
        <v>100</v>
      </c>
      <c r="H26" s="5">
        <f>AVERAGE($E19:H19)</f>
        <v>100</v>
      </c>
      <c r="I26" s="5">
        <f>AVERAGE($E19:I19)</f>
        <v>100</v>
      </c>
      <c r="J26" s="5">
        <f>AVERAGE($E19:J19)</f>
        <v>100</v>
      </c>
      <c r="K26" s="5">
        <f>AVERAGE($E19:K19)</f>
        <v>100</v>
      </c>
      <c r="L26" s="5">
        <f>AVERAGE($E19:L19)</f>
        <v>100</v>
      </c>
      <c r="M26" s="5">
        <f>AVERAGE($E19:M19)</f>
        <v>100</v>
      </c>
      <c r="N26" s="5">
        <f>AVERAGE($E19:N19)</f>
        <v>100</v>
      </c>
      <c r="O26" s="5">
        <f>AVERAGE($E19:O19)</f>
        <v>100</v>
      </c>
      <c r="P26" s="5">
        <f>AVERAGE($E19:P19)</f>
        <v>100</v>
      </c>
    </row>
    <row r="27" spans="3:17" x14ac:dyDescent="0.35">
      <c r="D27" s="3" t="str">
        <f t="shared" ref="D27:D30" si="4">D20</f>
        <v>Actual 2025-26</v>
      </c>
      <c r="E27" s="5">
        <f>AVERAGE($E20:E20)</f>
        <v>100.69444444444444</v>
      </c>
      <c r="F27" s="5">
        <f>AVERAGE($E20:F20)</f>
        <v>100.90692371475953</v>
      </c>
      <c r="G27" s="5">
        <f>AVERAGE($E20:G20)</f>
        <v>101.28094431225514</v>
      </c>
      <c r="H27" s="5" t="e">
        <f>AVERAGE($E20:H20)</f>
        <v>#DIV/0!</v>
      </c>
      <c r="I27" s="5" t="e">
        <f>AVERAGE($E20:I20)</f>
        <v>#DIV/0!</v>
      </c>
      <c r="J27" s="5" t="e">
        <f>AVERAGE($E20:J20)</f>
        <v>#DIV/0!</v>
      </c>
      <c r="K27" s="5" t="e">
        <f>AVERAGE($E20:K20)</f>
        <v>#DIV/0!</v>
      </c>
      <c r="L27" s="5" t="e">
        <f>AVERAGE($E20:L20)</f>
        <v>#DIV/0!</v>
      </c>
      <c r="M27" s="5" t="e">
        <f>AVERAGE($E20:M20)</f>
        <v>#DIV/0!</v>
      </c>
      <c r="N27" s="5" t="e">
        <f>AVERAGE($E20:N20)</f>
        <v>#DIV/0!</v>
      </c>
      <c r="O27" s="5" t="e">
        <f>AVERAGE($E20:O20)</f>
        <v>#DIV/0!</v>
      </c>
      <c r="P27" s="5" t="e">
        <f>AVERAGE($E20:P20)</f>
        <v>#DIV/0!</v>
      </c>
    </row>
    <row r="28" spans="3:17" x14ac:dyDescent="0.35">
      <c r="D28" s="3" t="str">
        <f t="shared" si="4"/>
        <v>Actual 2024-25</v>
      </c>
      <c r="E28" s="5" t="e">
        <f>AVERAGE($E21:E21)</f>
        <v>#DIV/0!</v>
      </c>
      <c r="F28" s="5" t="e">
        <f>AVERAGE($E21:F21)</f>
        <v>#DIV/0!</v>
      </c>
      <c r="G28" s="5" t="e">
        <f>AVERAGE($E21:G21)</f>
        <v>#DIV/0!</v>
      </c>
      <c r="H28" s="5" t="e">
        <f>AVERAGE($E21:H21)</f>
        <v>#DIV/0!</v>
      </c>
      <c r="I28" s="5" t="e">
        <f>AVERAGE($E21:I21)</f>
        <v>#DIV/0!</v>
      </c>
      <c r="J28" s="5" t="e">
        <f>AVERAGE($E21:J21)</f>
        <v>#DIV/0!</v>
      </c>
      <c r="K28" s="5" t="e">
        <f>AVERAGE($E21:K21)</f>
        <v>#DIV/0!</v>
      </c>
      <c r="L28" s="5" t="e">
        <f>AVERAGE($E21:L21)</f>
        <v>#DIV/0!</v>
      </c>
      <c r="M28" s="5" t="e">
        <f>AVERAGE($E21:M21)</f>
        <v>#DIV/0!</v>
      </c>
      <c r="N28" s="5" t="e">
        <f>AVERAGE($E21:N21)</f>
        <v>#DIV/0!</v>
      </c>
      <c r="O28" s="5" t="e">
        <f>AVERAGE($E21:O21)</f>
        <v>#DIV/0!</v>
      </c>
      <c r="P28" s="5" t="e">
        <f>AVERAGE($E21:P21)</f>
        <v>#DIV/0!</v>
      </c>
    </row>
    <row r="29" spans="3:17" x14ac:dyDescent="0.35">
      <c r="D29" s="3" t="str">
        <f t="shared" si="4"/>
        <v>Difference</v>
      </c>
      <c r="E29" s="5">
        <f>SUM($E22:E22)</f>
        <v>0.69444444444444287</v>
      </c>
      <c r="F29" s="5">
        <f>SUM($E22:F22)</f>
        <v>1.8138474295190719</v>
      </c>
      <c r="G29" s="5">
        <f>SUM($E22:G22)</f>
        <v>3.842832936765447</v>
      </c>
      <c r="H29" s="5" t="e">
        <f>SUM($E22:H22)</f>
        <v>#DIV/0!</v>
      </c>
      <c r="I29" s="5" t="e">
        <f>SUM($E22:I22)</f>
        <v>#DIV/0!</v>
      </c>
      <c r="J29" s="5" t="e">
        <f>SUM($E22:J22)</f>
        <v>#DIV/0!</v>
      </c>
      <c r="K29" s="5" t="e">
        <f>SUM($E22:K22)</f>
        <v>#DIV/0!</v>
      </c>
      <c r="L29" s="5" t="e">
        <f>SUM($E22:L22)</f>
        <v>#DIV/0!</v>
      </c>
      <c r="M29" s="5" t="e">
        <f>SUM($E22:M22)</f>
        <v>#DIV/0!</v>
      </c>
      <c r="N29" s="5" t="e">
        <f>SUM($E22:N22)</f>
        <v>#DIV/0!</v>
      </c>
      <c r="O29" s="5" t="e">
        <f>SUM($E22:O22)</f>
        <v>#DIV/0!</v>
      </c>
      <c r="P29" s="5" t="e">
        <f>SUM($E22:P22)</f>
        <v>#DIV/0!</v>
      </c>
    </row>
    <row r="30" spans="3:17" x14ac:dyDescent="0.35">
      <c r="D30" s="3" t="str">
        <f t="shared" si="4"/>
        <v>Realisation</v>
      </c>
      <c r="E30" s="9" t="e">
        <f>E28/E26</f>
        <v>#DIV/0!</v>
      </c>
      <c r="F30" s="9">
        <f t="shared" ref="F30:P30" si="5">F27/F26</f>
        <v>1.0090692371475953</v>
      </c>
      <c r="G30" s="9">
        <f t="shared" si="5"/>
        <v>1.0128094431225514</v>
      </c>
      <c r="H30" s="9" t="e">
        <f t="shared" si="5"/>
        <v>#DIV/0!</v>
      </c>
      <c r="I30" s="9" t="e">
        <f t="shared" si="5"/>
        <v>#DIV/0!</v>
      </c>
      <c r="J30" s="9" t="e">
        <f t="shared" si="5"/>
        <v>#DIV/0!</v>
      </c>
      <c r="K30" s="9" t="e">
        <f t="shared" si="5"/>
        <v>#DIV/0!</v>
      </c>
      <c r="L30" s="9" t="e">
        <f t="shared" si="5"/>
        <v>#DIV/0!</v>
      </c>
      <c r="M30" s="9" t="e">
        <f t="shared" si="5"/>
        <v>#DIV/0!</v>
      </c>
      <c r="N30" s="9" t="e">
        <f t="shared" si="5"/>
        <v>#DIV/0!</v>
      </c>
      <c r="O30" s="9" t="e">
        <f t="shared" si="5"/>
        <v>#DIV/0!</v>
      </c>
      <c r="P30" s="9" t="e">
        <f t="shared" si="5"/>
        <v>#DIV/0!</v>
      </c>
    </row>
  </sheetData>
  <mergeCells count="2">
    <mergeCell ref="J4:Q8"/>
    <mergeCell ref="J10:Q15"/>
  </mergeCells>
  <conditionalFormatting sqref="C3">
    <cfRule type="expression" dxfId="161" priority="2">
      <formula>S4&lt;S6</formula>
    </cfRule>
  </conditionalFormatting>
  <conditionalFormatting sqref="C5">
    <cfRule type="expression" dxfId="160" priority="3">
      <formula>S4&gt;=S5</formula>
    </cfRule>
  </conditionalFormatting>
  <conditionalFormatting sqref="C4">
    <cfRule type="expression" dxfId="159" priority="1">
      <formula>AND(S4&gt;=S6,S4&lt;S5)</formula>
    </cfRule>
  </conditionalFormatting>
  <hyperlinks>
    <hyperlink ref="L1" location="Dashboard!A1" display="Dashboard"/>
  </hyperlinks>
  <pageMargins left="0.7" right="0.7" top="0.75" bottom="0.75" header="0.3" footer="0.3"/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2127874" r:id="rId3" name="Spinner 2">
              <controlPr defaultSize="0" autoPict="0">
                <anchor moveWithCells="1" sizeWithCells="1">
                  <from>
                    <xdr:col>9</xdr:col>
                    <xdr:colOff>19050</xdr:colOff>
                    <xdr:row>0</xdr:row>
                    <xdr:rowOff>38100</xdr:rowOff>
                  </from>
                  <to>
                    <xdr:col>9</xdr:col>
                    <xdr:colOff>400050</xdr:colOff>
                    <xdr:row>1</xdr:row>
                    <xdr:rowOff>152400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14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115">
    <tabColor rgb="FFFFC000"/>
  </sheetPr>
  <dimension ref="A1:S30"/>
  <sheetViews>
    <sheetView zoomScale="90" zoomScaleNormal="90" workbookViewId="0">
      <selection activeCell="L1" sqref="L1"/>
    </sheetView>
  </sheetViews>
  <sheetFormatPr defaultColWidth="9.1796875" defaultRowHeight="14.5" x14ac:dyDescent="0.35"/>
  <cols>
    <col min="1" max="1" width="9.1796875" style="3"/>
    <col min="2" max="2" width="5.7265625" style="3" bestFit="1" customWidth="1"/>
    <col min="3" max="3" width="6.26953125" style="3" customWidth="1"/>
    <col min="4" max="4" width="21.26953125" style="3" bestFit="1" customWidth="1"/>
    <col min="5" max="16" width="11.1796875" style="3" customWidth="1"/>
    <col min="17" max="17" width="12" style="3" bestFit="1" customWidth="1"/>
    <col min="18" max="18" width="9.1796875" style="3" customWidth="1"/>
    <col min="19" max="16384" width="9.1796875" style="3"/>
  </cols>
  <sheetData>
    <row r="1" spans="1:19" ht="21" x14ac:dyDescent="0.5">
      <c r="A1" s="4" t="s">
        <v>4</v>
      </c>
      <c r="B1" s="4">
        <f>Dashboard!A164</f>
        <v>1</v>
      </c>
      <c r="C1" s="4" t="str">
        <f>Dashboard!B164</f>
        <v>KAYOLE - KSH/M3</v>
      </c>
      <c r="D1" s="4"/>
      <c r="G1" s="3" t="s">
        <v>9</v>
      </c>
      <c r="I1" s="12">
        <f>INDEX($E$18:$P$18,Actual_month)</f>
        <v>46054</v>
      </c>
      <c r="L1" s="16" t="s">
        <v>19</v>
      </c>
      <c r="R1" s="5"/>
    </row>
    <row r="2" spans="1:19" x14ac:dyDescent="0.35">
      <c r="A2" s="3" t="s">
        <v>13</v>
      </c>
      <c r="C2" s="3" t="s">
        <v>27</v>
      </c>
      <c r="R2" s="6"/>
    </row>
    <row r="3" spans="1:19" ht="25.5" customHeight="1" thickBot="1" x14ac:dyDescent="0.4">
      <c r="C3" s="1" t="s">
        <v>5</v>
      </c>
      <c r="E3" s="10"/>
      <c r="F3" s="10"/>
      <c r="G3" s="10"/>
      <c r="H3" s="10"/>
      <c r="I3" s="10"/>
      <c r="J3" s="3" t="s">
        <v>6</v>
      </c>
      <c r="K3" s="10"/>
      <c r="M3" s="10"/>
      <c r="N3" s="10"/>
      <c r="O3" s="10"/>
      <c r="P3" s="10"/>
    </row>
    <row r="4" spans="1:19" ht="25.5" customHeight="1" x14ac:dyDescent="0.35">
      <c r="C4" s="1" t="s">
        <v>5</v>
      </c>
      <c r="E4" s="10"/>
      <c r="F4" s="10"/>
      <c r="G4" s="10"/>
      <c r="H4" s="10"/>
      <c r="I4" s="10"/>
      <c r="J4" s="401"/>
      <c r="K4" s="402"/>
      <c r="L4" s="402"/>
      <c r="M4" s="402"/>
      <c r="N4" s="402"/>
      <c r="O4" s="402"/>
      <c r="P4" s="402"/>
      <c r="Q4" s="403"/>
      <c r="R4" s="3" t="s">
        <v>22</v>
      </c>
      <c r="S4" s="5">
        <f>INDEX(E27:P27,Actual_month)</f>
        <v>122.85642291075945</v>
      </c>
    </row>
    <row r="5" spans="1:19" ht="25.5" customHeight="1" x14ac:dyDescent="0.35">
      <c r="C5" s="1" t="s">
        <v>5</v>
      </c>
      <c r="E5" s="10"/>
      <c r="F5" s="10"/>
      <c r="G5" s="10"/>
      <c r="H5" s="10"/>
      <c r="I5" s="10"/>
      <c r="J5" s="404"/>
      <c r="K5" s="405"/>
      <c r="L5" s="405"/>
      <c r="M5" s="405"/>
      <c r="N5" s="405"/>
      <c r="O5" s="405"/>
      <c r="P5" s="405"/>
      <c r="Q5" s="406"/>
      <c r="R5" s="3" t="s">
        <v>23</v>
      </c>
      <c r="S5" s="5">
        <f>INDEX(E26:P26,Actual_month)</f>
        <v>124.080668885779</v>
      </c>
    </row>
    <row r="6" spans="1:19" x14ac:dyDescent="0.35">
      <c r="J6" s="404"/>
      <c r="K6" s="405"/>
      <c r="L6" s="405"/>
      <c r="M6" s="405"/>
      <c r="N6" s="405"/>
      <c r="O6" s="405"/>
      <c r="P6" s="405"/>
      <c r="Q6" s="406"/>
      <c r="R6" s="6">
        <v>0.9</v>
      </c>
      <c r="S6" s="5">
        <f>+S5*R6</f>
        <v>111.67260199720111</v>
      </c>
    </row>
    <row r="7" spans="1:19" x14ac:dyDescent="0.35">
      <c r="J7" s="404"/>
      <c r="K7" s="405"/>
      <c r="L7" s="405"/>
      <c r="M7" s="405"/>
      <c r="N7" s="405"/>
      <c r="O7" s="405"/>
      <c r="P7" s="405"/>
      <c r="Q7" s="406"/>
    </row>
    <row r="8" spans="1:19" ht="15" thickBot="1" x14ac:dyDescent="0.4">
      <c r="J8" s="407"/>
      <c r="K8" s="408"/>
      <c r="L8" s="408"/>
      <c r="M8" s="408"/>
      <c r="N8" s="408"/>
      <c r="O8" s="408"/>
      <c r="P8" s="408"/>
      <c r="Q8" s="409"/>
    </row>
    <row r="9" spans="1:19" ht="15" thickBot="1" x14ac:dyDescent="0.4">
      <c r="J9" s="3" t="s">
        <v>12</v>
      </c>
    </row>
    <row r="10" spans="1:19" x14ac:dyDescent="0.35">
      <c r="J10" s="401"/>
      <c r="K10" s="402"/>
      <c r="L10" s="402"/>
      <c r="M10" s="402"/>
      <c r="N10" s="402"/>
      <c r="O10" s="402"/>
      <c r="P10" s="402"/>
      <c r="Q10" s="403"/>
    </row>
    <row r="11" spans="1:19" x14ac:dyDescent="0.35">
      <c r="J11" s="404"/>
      <c r="K11" s="405"/>
      <c r="L11" s="405"/>
      <c r="M11" s="405"/>
      <c r="N11" s="405"/>
      <c r="O11" s="405"/>
      <c r="P11" s="405"/>
      <c r="Q11" s="406"/>
    </row>
    <row r="12" spans="1:19" x14ac:dyDescent="0.35">
      <c r="J12" s="404"/>
      <c r="K12" s="405"/>
      <c r="L12" s="405"/>
      <c r="M12" s="405"/>
      <c r="N12" s="405"/>
      <c r="O12" s="405"/>
      <c r="P12" s="405"/>
      <c r="Q12" s="406"/>
    </row>
    <row r="13" spans="1:19" x14ac:dyDescent="0.35">
      <c r="J13" s="404"/>
      <c r="K13" s="405"/>
      <c r="L13" s="405"/>
      <c r="M13" s="405"/>
      <c r="N13" s="405"/>
      <c r="O13" s="405"/>
      <c r="P13" s="405"/>
      <c r="Q13" s="406"/>
    </row>
    <row r="14" spans="1:19" x14ac:dyDescent="0.35">
      <c r="J14" s="404"/>
      <c r="K14" s="405"/>
      <c r="L14" s="405"/>
      <c r="M14" s="405"/>
      <c r="N14" s="405"/>
      <c r="O14" s="405"/>
      <c r="P14" s="405"/>
      <c r="Q14" s="406"/>
    </row>
    <row r="15" spans="1:19" ht="15" thickBot="1" x14ac:dyDescent="0.4">
      <c r="J15" s="407"/>
      <c r="K15" s="408"/>
      <c r="L15" s="408"/>
      <c r="M15" s="408"/>
      <c r="N15" s="408"/>
      <c r="O15" s="408"/>
      <c r="P15" s="408"/>
      <c r="Q15" s="409"/>
    </row>
    <row r="18" spans="3:17" x14ac:dyDescent="0.35">
      <c r="C18" s="7" t="s">
        <v>8</v>
      </c>
      <c r="E18" s="11">
        <v>45839</v>
      </c>
      <c r="F18" s="11">
        <v>45870</v>
      </c>
      <c r="G18" s="11">
        <v>45901</v>
      </c>
      <c r="H18" s="11">
        <v>45931</v>
      </c>
      <c r="I18" s="11">
        <v>45962</v>
      </c>
      <c r="J18" s="11">
        <v>45992</v>
      </c>
      <c r="K18" s="11">
        <v>46023</v>
      </c>
      <c r="L18" s="11">
        <v>46054</v>
      </c>
      <c r="M18" s="11">
        <v>46082</v>
      </c>
      <c r="N18" s="11">
        <v>46113</v>
      </c>
      <c r="O18" s="11">
        <v>46143</v>
      </c>
      <c r="P18" s="11">
        <v>46174</v>
      </c>
      <c r="Q18" s="8" t="s">
        <v>0</v>
      </c>
    </row>
    <row r="19" spans="3:17" x14ac:dyDescent="0.35">
      <c r="D19" s="3" t="s">
        <v>501</v>
      </c>
      <c r="E19" s="49">
        <f>'budget 2025-26'!D154</f>
        <v>124.080668885779</v>
      </c>
      <c r="F19" s="49">
        <f>'budget 2025-26'!E154</f>
        <v>124.080668885779</v>
      </c>
      <c r="G19" s="49">
        <f>'budget 2025-26'!F154</f>
        <v>124.080668885779</v>
      </c>
      <c r="H19" s="49">
        <f>'budget 2025-26'!G154</f>
        <v>124.080668885779</v>
      </c>
      <c r="I19" s="49">
        <f>'budget 2025-26'!H154</f>
        <v>124.080668885779</v>
      </c>
      <c r="J19" s="49">
        <f>'budget 2025-26'!I154</f>
        <v>124.080668885779</v>
      </c>
      <c r="K19" s="49">
        <f>'budget 2025-26'!J154</f>
        <v>124.080668885779</v>
      </c>
      <c r="L19" s="49">
        <f>'budget 2025-26'!K154</f>
        <v>124.080668885779</v>
      </c>
      <c r="M19" s="49">
        <f>'budget 2025-26'!L154</f>
        <v>124.080668885779</v>
      </c>
      <c r="N19" s="49">
        <f>'budget 2025-26'!M154</f>
        <v>124.080668885779</v>
      </c>
      <c r="O19" s="49">
        <f>'budget 2025-26'!N154</f>
        <v>124.080668885779</v>
      </c>
      <c r="P19" s="49">
        <f>'budget 2025-26'!O154</f>
        <v>124.080668885779</v>
      </c>
      <c r="Q19" s="5">
        <f>SUM(E19:P19)</f>
        <v>1488.9680266293481</v>
      </c>
    </row>
    <row r="20" spans="3:17" x14ac:dyDescent="0.35">
      <c r="D20" s="3" t="s">
        <v>502</v>
      </c>
      <c r="E20" s="49">
        <f>'Input Actual2025-26'!E157</f>
        <v>123.78631528814097</v>
      </c>
      <c r="F20" s="49">
        <f>'Input Actual2025-26'!F157</f>
        <v>122.91388540083273</v>
      </c>
      <c r="G20" s="49">
        <f>'Input Actual2025-26'!G157</f>
        <v>122.34974142884505</v>
      </c>
      <c r="H20" s="49">
        <f>'Input Actual2025-26'!H157</f>
        <v>123.26305186008545</v>
      </c>
      <c r="I20" s="49">
        <f>'Input Actual2025-26'!I157</f>
        <v>122.45023032245143</v>
      </c>
      <c r="J20" s="49">
        <f>'Input Actual2025-26'!J157</f>
        <v>122.82637025680337</v>
      </c>
      <c r="K20" s="49">
        <f>'Input Actual2025-26'!K157</f>
        <v>122.57498950631236</v>
      </c>
      <c r="L20" s="49">
        <f>'Input Actual2025-26'!L157</f>
        <v>122.68679922260428</v>
      </c>
      <c r="M20" s="49" t="e">
        <f>'Input Actual2025-26'!M157</f>
        <v>#DIV/0!</v>
      </c>
      <c r="N20" s="49" t="e">
        <f>'Input Actual2025-26'!N157</f>
        <v>#DIV/0!</v>
      </c>
      <c r="O20" s="49" t="e">
        <f>'Input Actual2025-26'!O157</f>
        <v>#DIV/0!</v>
      </c>
      <c r="P20" s="49" t="e">
        <f>'Input Actual2025-26'!P157</f>
        <v>#DIV/0!</v>
      </c>
      <c r="Q20" s="5" t="e">
        <f t="shared" ref="Q20:Q22" si="0">SUM(E20:P20)</f>
        <v>#DIV/0!</v>
      </c>
    </row>
    <row r="21" spans="3:17" x14ac:dyDescent="0.35">
      <c r="D21" s="3" t="s">
        <v>424</v>
      </c>
      <c r="E21" s="49">
        <f>'Input Actual2024-25'!E146</f>
        <v>80.420349473525306</v>
      </c>
      <c r="F21" s="49">
        <f>'Input Actual2024-25'!F146</f>
        <v>83.950837876034726</v>
      </c>
      <c r="G21" s="49">
        <f>'Input Actual2024-25'!G146</f>
        <v>80.225389243843438</v>
      </c>
      <c r="H21" s="49">
        <f>'Input Actual2024-25'!H146</f>
        <v>76.573344370860923</v>
      </c>
      <c r="I21" s="49">
        <f>'Input Actual2024-25'!I146</f>
        <v>74.442641194472785</v>
      </c>
      <c r="J21" s="49">
        <f>'Input Actual2024-25'!J146</f>
        <v>71.921601058551104</v>
      </c>
      <c r="K21" s="49">
        <f>'Input Actual2024-25'!K146</f>
        <v>73.575052274363287</v>
      </c>
      <c r="L21" s="49">
        <f>'Input Actual2024-25'!L146</f>
        <v>73.279267425320057</v>
      </c>
      <c r="M21" s="49">
        <f>'Input Actual2024-25'!M146</f>
        <v>73.201644149455888</v>
      </c>
      <c r="N21" s="49">
        <f>'Input Actual2024-25'!N146</f>
        <v>74.142770213736981</v>
      </c>
      <c r="O21" s="49">
        <f>'Input Actual2024-25'!O146</f>
        <v>123.95923786285837</v>
      </c>
      <c r="P21" s="49">
        <f>'Input Actual2024-25'!P146</f>
        <v>124.20209990869962</v>
      </c>
      <c r="Q21" s="5">
        <f t="shared" si="0"/>
        <v>1009.8942350517226</v>
      </c>
    </row>
    <row r="22" spans="3:17" x14ac:dyDescent="0.35">
      <c r="D22" s="3" t="s">
        <v>7</v>
      </c>
      <c r="E22" s="5">
        <f t="shared" ref="E22:P22" si="1">IF(E20=0,0,E20-E19)</f>
        <v>-0.29435359763803604</v>
      </c>
      <c r="F22" s="5">
        <f t="shared" si="1"/>
        <v>-1.1667834849462793</v>
      </c>
      <c r="G22" s="5">
        <f t="shared" si="1"/>
        <v>-1.730927456933955</v>
      </c>
      <c r="H22" s="5">
        <f t="shared" si="1"/>
        <v>-0.81761702569355066</v>
      </c>
      <c r="I22" s="5">
        <f t="shared" si="1"/>
        <v>-1.6304385633275729</v>
      </c>
      <c r="J22" s="5">
        <f t="shared" si="1"/>
        <v>-1.2542986289756328</v>
      </c>
      <c r="K22" s="5">
        <f t="shared" si="1"/>
        <v>-1.5056793794666419</v>
      </c>
      <c r="L22" s="5">
        <f t="shared" si="1"/>
        <v>-1.3938696631747263</v>
      </c>
      <c r="M22" s="5" t="e">
        <f t="shared" si="1"/>
        <v>#DIV/0!</v>
      </c>
      <c r="N22" s="5" t="e">
        <f t="shared" si="1"/>
        <v>#DIV/0!</v>
      </c>
      <c r="O22" s="5" t="e">
        <f t="shared" si="1"/>
        <v>#DIV/0!</v>
      </c>
      <c r="P22" s="5" t="e">
        <f t="shared" si="1"/>
        <v>#DIV/0!</v>
      </c>
      <c r="Q22" s="5" t="e">
        <f t="shared" si="0"/>
        <v>#DIV/0!</v>
      </c>
    </row>
    <row r="23" spans="3:17" x14ac:dyDescent="0.35">
      <c r="D23" s="3" t="s">
        <v>43</v>
      </c>
      <c r="E23" s="9">
        <f>E21/E19</f>
        <v>0.64812956116117737</v>
      </c>
      <c r="F23" s="9">
        <f t="shared" ref="F23:P23" si="2">F20/F19</f>
        <v>0.99059657321786077</v>
      </c>
      <c r="G23" s="9">
        <f t="shared" si="2"/>
        <v>0.98604998286616796</v>
      </c>
      <c r="H23" s="9">
        <f t="shared" si="2"/>
        <v>0.99341060107883361</v>
      </c>
      <c r="I23" s="9">
        <f t="shared" si="2"/>
        <v>0.98685985030570356</v>
      </c>
      <c r="J23" s="9">
        <f t="shared" si="2"/>
        <v>0.9898912647696132</v>
      </c>
      <c r="K23" s="9">
        <f t="shared" si="2"/>
        <v>0.98786531864320726</v>
      </c>
      <c r="L23" s="9">
        <f t="shared" si="2"/>
        <v>0.98876642368475753</v>
      </c>
      <c r="M23" s="9" t="e">
        <f t="shared" si="2"/>
        <v>#DIV/0!</v>
      </c>
      <c r="N23" s="9" t="e">
        <f t="shared" si="2"/>
        <v>#DIV/0!</v>
      </c>
      <c r="O23" s="9" t="e">
        <f t="shared" si="2"/>
        <v>#DIV/0!</v>
      </c>
      <c r="P23" s="9" t="e">
        <f t="shared" si="2"/>
        <v>#DIV/0!</v>
      </c>
    </row>
    <row r="25" spans="3:17" x14ac:dyDescent="0.35">
      <c r="C25" s="7" t="s">
        <v>3</v>
      </c>
      <c r="E25" s="11">
        <f>E18</f>
        <v>45839</v>
      </c>
      <c r="F25" s="11">
        <f t="shared" ref="F25:P25" si="3">F18</f>
        <v>45870</v>
      </c>
      <c r="G25" s="11">
        <f t="shared" si="3"/>
        <v>45901</v>
      </c>
      <c r="H25" s="11">
        <f t="shared" si="3"/>
        <v>45931</v>
      </c>
      <c r="I25" s="11">
        <f t="shared" si="3"/>
        <v>45962</v>
      </c>
      <c r="J25" s="11">
        <f t="shared" si="3"/>
        <v>45992</v>
      </c>
      <c r="K25" s="11">
        <f t="shared" si="3"/>
        <v>46023</v>
      </c>
      <c r="L25" s="11">
        <f t="shared" si="3"/>
        <v>46054</v>
      </c>
      <c r="M25" s="11">
        <f t="shared" si="3"/>
        <v>46082</v>
      </c>
      <c r="N25" s="11">
        <f t="shared" si="3"/>
        <v>46113</v>
      </c>
      <c r="O25" s="11">
        <f t="shared" si="3"/>
        <v>46143</v>
      </c>
      <c r="P25" s="11">
        <f t="shared" si="3"/>
        <v>46174</v>
      </c>
    </row>
    <row r="26" spans="3:17" x14ac:dyDescent="0.35">
      <c r="D26" s="3" t="str">
        <f>D19</f>
        <v>Budget 2025-26</v>
      </c>
      <c r="E26" s="5">
        <f>AVERAGE($E19:E19)</f>
        <v>124.080668885779</v>
      </c>
      <c r="F26" s="5">
        <f>AVERAGE($E19:F19)</f>
        <v>124.080668885779</v>
      </c>
      <c r="G26" s="5">
        <f>AVERAGE($E19:G19)</f>
        <v>124.080668885779</v>
      </c>
      <c r="H26" s="5">
        <f>AVERAGE($E19:H19)</f>
        <v>124.080668885779</v>
      </c>
      <c r="I26" s="5">
        <f>AVERAGE($E19:I19)</f>
        <v>124.080668885779</v>
      </c>
      <c r="J26" s="5">
        <f>AVERAGE($E19:J19)</f>
        <v>124.080668885779</v>
      </c>
      <c r="K26" s="5">
        <f>AVERAGE($E19:K19)</f>
        <v>124.080668885779</v>
      </c>
      <c r="L26" s="5">
        <f>AVERAGE($E19:L19)</f>
        <v>124.080668885779</v>
      </c>
      <c r="M26" s="5">
        <f>AVERAGE($E19:M19)</f>
        <v>124.080668885779</v>
      </c>
      <c r="N26" s="5">
        <f>AVERAGE($E19:N19)</f>
        <v>124.080668885779</v>
      </c>
      <c r="O26" s="5">
        <f>AVERAGE($E19:O19)</f>
        <v>124.080668885779</v>
      </c>
      <c r="P26" s="5">
        <f>AVERAGE($E19:P19)</f>
        <v>124.080668885779</v>
      </c>
    </row>
    <row r="27" spans="3:17" x14ac:dyDescent="0.35">
      <c r="D27" s="3" t="str">
        <f t="shared" ref="D27:D30" si="4">D20</f>
        <v>Actual 2025-26</v>
      </c>
      <c r="E27" s="5">
        <f>AVERAGE($E20:E20)</f>
        <v>123.78631528814097</v>
      </c>
      <c r="F27" s="5">
        <f>AVERAGE($E20:F20)</f>
        <v>123.35010034448685</v>
      </c>
      <c r="G27" s="5">
        <f>AVERAGE($E20:G20)</f>
        <v>123.01664737260626</v>
      </c>
      <c r="H27" s="5">
        <f>AVERAGE($E20:H20)</f>
        <v>123.07824849447606</v>
      </c>
      <c r="I27" s="5">
        <f>AVERAGE($E20:I20)</f>
        <v>122.95264486007113</v>
      </c>
      <c r="J27" s="5">
        <f>AVERAGE($E20:J20)</f>
        <v>122.93159909285983</v>
      </c>
      <c r="K27" s="5">
        <f>AVERAGE($E20:K20)</f>
        <v>122.88065486621019</v>
      </c>
      <c r="L27" s="5">
        <f>AVERAGE($E20:L20)</f>
        <v>122.85642291075945</v>
      </c>
      <c r="M27" s="5" t="e">
        <f>AVERAGE($E20:M20)</f>
        <v>#DIV/0!</v>
      </c>
      <c r="N27" s="5" t="e">
        <f>AVERAGE($E20:N20)</f>
        <v>#DIV/0!</v>
      </c>
      <c r="O27" s="5" t="e">
        <f>AVERAGE($E20:O20)</f>
        <v>#DIV/0!</v>
      </c>
      <c r="P27" s="5" t="e">
        <f>AVERAGE($E20:P20)</f>
        <v>#DIV/0!</v>
      </c>
    </row>
    <row r="28" spans="3:17" x14ac:dyDescent="0.35">
      <c r="D28" s="3" t="str">
        <f t="shared" si="4"/>
        <v>Actual 2024-25</v>
      </c>
      <c r="E28" s="5">
        <f>AVERAGE($E21:E21)</f>
        <v>80.420349473525306</v>
      </c>
      <c r="F28" s="5">
        <f>AVERAGE($E21:F21)</f>
        <v>82.185593674780023</v>
      </c>
      <c r="G28" s="5">
        <f>AVERAGE($E21:G21)</f>
        <v>81.532192197801166</v>
      </c>
      <c r="H28" s="5">
        <f>AVERAGE($E21:H21)</f>
        <v>80.292480241066102</v>
      </c>
      <c r="I28" s="5">
        <f>AVERAGE($E21:I21)</f>
        <v>79.122512431747438</v>
      </c>
      <c r="J28" s="5">
        <f>AVERAGE($E21:J21)</f>
        <v>77.922360536214725</v>
      </c>
      <c r="K28" s="5">
        <f>AVERAGE($E21:K21)</f>
        <v>77.301316498807381</v>
      </c>
      <c r="L28" s="5">
        <f>AVERAGE($E21:L21)</f>
        <v>76.798560364621466</v>
      </c>
      <c r="M28" s="5">
        <f>AVERAGE($E21:M21)</f>
        <v>76.398903007380852</v>
      </c>
      <c r="N28" s="5">
        <f>AVERAGE($E21:N21)</f>
        <v>76.173289728016456</v>
      </c>
      <c r="O28" s="5">
        <f>AVERAGE($E21:O21)</f>
        <v>80.51746683118391</v>
      </c>
      <c r="P28" s="5">
        <f>AVERAGE($E21:P21)</f>
        <v>84.157852920976879</v>
      </c>
    </row>
    <row r="29" spans="3:17" x14ac:dyDescent="0.35">
      <c r="D29" s="3" t="str">
        <f t="shared" si="4"/>
        <v>Difference</v>
      </c>
      <c r="E29" s="5">
        <f>SUM($E22:E22)</f>
        <v>-0.29435359763803604</v>
      </c>
      <c r="F29" s="5">
        <f>SUM($E22:F22)</f>
        <v>-1.4611370825843153</v>
      </c>
      <c r="G29" s="5">
        <f>SUM($E22:G22)</f>
        <v>-3.1920645395182703</v>
      </c>
      <c r="H29" s="5">
        <f>SUM($E22:H22)</f>
        <v>-4.009681565211821</v>
      </c>
      <c r="I29" s="5">
        <f>SUM($E22:I22)</f>
        <v>-5.6401201285393938</v>
      </c>
      <c r="J29" s="5">
        <f>SUM($E22:J22)</f>
        <v>-6.8944187575150266</v>
      </c>
      <c r="K29" s="5">
        <f>SUM($E22:K22)</f>
        <v>-8.4000981369816685</v>
      </c>
      <c r="L29" s="5">
        <f>SUM($E22:L22)</f>
        <v>-9.7939678001563948</v>
      </c>
      <c r="M29" s="5" t="e">
        <f>SUM($E22:M22)</f>
        <v>#DIV/0!</v>
      </c>
      <c r="N29" s="5" t="e">
        <f>SUM($E22:N22)</f>
        <v>#DIV/0!</v>
      </c>
      <c r="O29" s="5" t="e">
        <f>SUM($E22:O22)</f>
        <v>#DIV/0!</v>
      </c>
      <c r="P29" s="5" t="e">
        <f>SUM($E22:P22)</f>
        <v>#DIV/0!</v>
      </c>
    </row>
    <row r="30" spans="3:17" x14ac:dyDescent="0.35">
      <c r="D30" s="3" t="str">
        <f t="shared" si="4"/>
        <v>Realisation</v>
      </c>
      <c r="E30" s="9">
        <f>E28/E26</f>
        <v>0.64812956116117737</v>
      </c>
      <c r="F30" s="9">
        <f t="shared" ref="F30:P30" si="5">F27/F26</f>
        <v>0.99411214858968344</v>
      </c>
      <c r="G30" s="9">
        <f t="shared" si="5"/>
        <v>0.99142476001517832</v>
      </c>
      <c r="H30" s="9">
        <f t="shared" si="5"/>
        <v>0.9919212202810922</v>
      </c>
      <c r="I30" s="9">
        <f t="shared" si="5"/>
        <v>0.99090894628601445</v>
      </c>
      <c r="J30" s="9">
        <f t="shared" si="5"/>
        <v>0.99073933269994752</v>
      </c>
      <c r="K30" s="9">
        <f t="shared" si="5"/>
        <v>0.99032875926327035</v>
      </c>
      <c r="L30" s="9">
        <f t="shared" si="5"/>
        <v>0.99013346731595619</v>
      </c>
      <c r="M30" s="9" t="e">
        <f t="shared" si="5"/>
        <v>#DIV/0!</v>
      </c>
      <c r="N30" s="9" t="e">
        <f t="shared" si="5"/>
        <v>#DIV/0!</v>
      </c>
      <c r="O30" s="9" t="e">
        <f t="shared" si="5"/>
        <v>#DIV/0!</v>
      </c>
      <c r="P30" s="9" t="e">
        <f t="shared" si="5"/>
        <v>#DIV/0!</v>
      </c>
    </row>
  </sheetData>
  <mergeCells count="2">
    <mergeCell ref="J4:Q8"/>
    <mergeCell ref="J10:Q15"/>
  </mergeCells>
  <conditionalFormatting sqref="C3">
    <cfRule type="expression" dxfId="158" priority="2">
      <formula>S4&lt;S6</formula>
    </cfRule>
  </conditionalFormatting>
  <conditionalFormatting sqref="C5">
    <cfRule type="expression" dxfId="157" priority="3">
      <formula>S4&gt;=S5</formula>
    </cfRule>
  </conditionalFormatting>
  <conditionalFormatting sqref="C4">
    <cfRule type="expression" dxfId="156" priority="1">
      <formula>AND(S4&gt;=S6,S4&lt;S5)</formula>
    </cfRule>
  </conditionalFormatting>
  <hyperlinks>
    <hyperlink ref="L1" location="Dashboard!A1" display="Dashboard"/>
  </hyperlinks>
  <pageMargins left="0.7" right="0.7" top="0.75" bottom="0.75" header="0.3" footer="0.3"/>
  <pageSetup orientation="portrait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51649" r:id="rId4" name="Spinner 1">
              <controlPr defaultSize="0" autoPict="0">
                <anchor moveWithCells="1" sizeWithCells="1">
                  <from>
                    <xdr:col>9</xdr:col>
                    <xdr:colOff>19050</xdr:colOff>
                    <xdr:row>0</xdr:row>
                    <xdr:rowOff>38100</xdr:rowOff>
                  </from>
                  <to>
                    <xdr:col>9</xdr:col>
                    <xdr:colOff>400050</xdr:colOff>
                    <xdr:row>1</xdr:row>
                    <xdr:rowOff>152400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14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FFC000"/>
  </sheetPr>
  <dimension ref="A1:S30"/>
  <sheetViews>
    <sheetView workbookViewId="0">
      <selection activeCell="L1" sqref="L1"/>
    </sheetView>
  </sheetViews>
  <sheetFormatPr defaultColWidth="9.1796875" defaultRowHeight="14.5" x14ac:dyDescent="0.35"/>
  <cols>
    <col min="1" max="1" width="9.1796875" style="3"/>
    <col min="2" max="2" width="5.7265625" style="3" bestFit="1" customWidth="1"/>
    <col min="3" max="3" width="6.26953125" style="3" customWidth="1"/>
    <col min="4" max="4" width="21.26953125" style="3" bestFit="1" customWidth="1"/>
    <col min="5" max="16" width="11.1796875" style="3" customWidth="1"/>
    <col min="17" max="17" width="12" style="3" bestFit="1" customWidth="1"/>
    <col min="18" max="18" width="9.1796875" style="3" customWidth="1"/>
    <col min="19" max="16384" width="9.1796875" style="3"/>
  </cols>
  <sheetData>
    <row r="1" spans="1:19" ht="21" x14ac:dyDescent="0.5">
      <c r="A1" s="4" t="s">
        <v>4</v>
      </c>
      <c r="B1" s="4">
        <f>Dashboard!A156</f>
        <v>7</v>
      </c>
      <c r="C1" s="4" t="str">
        <f>Dashboard!B156</f>
        <v>HOPEWELL - KSH/M3</v>
      </c>
      <c r="D1" s="4"/>
      <c r="G1" s="3" t="s">
        <v>9</v>
      </c>
      <c r="I1" s="12">
        <f>INDEX($E$18:$P$18,Actual_month)</f>
        <v>46054</v>
      </c>
      <c r="L1" s="16" t="s">
        <v>19</v>
      </c>
      <c r="R1" s="5"/>
    </row>
    <row r="2" spans="1:19" x14ac:dyDescent="0.35">
      <c r="A2" s="3" t="s">
        <v>13</v>
      </c>
      <c r="C2" s="3" t="s">
        <v>27</v>
      </c>
      <c r="R2" s="6"/>
    </row>
    <row r="3" spans="1:19" ht="25.5" customHeight="1" thickBot="1" x14ac:dyDescent="0.4">
      <c r="C3" s="1" t="s">
        <v>5</v>
      </c>
      <c r="E3" s="10"/>
      <c r="F3" s="10"/>
      <c r="G3" s="10"/>
      <c r="H3" s="10"/>
      <c r="I3" s="10"/>
      <c r="J3" s="3" t="s">
        <v>6</v>
      </c>
      <c r="K3" s="10"/>
      <c r="M3" s="10"/>
      <c r="N3" s="10"/>
      <c r="O3" s="10"/>
      <c r="P3" s="10"/>
    </row>
    <row r="4" spans="1:19" ht="25.5" customHeight="1" x14ac:dyDescent="0.35">
      <c r="C4" s="1" t="s">
        <v>5</v>
      </c>
      <c r="E4" s="10"/>
      <c r="F4" s="10"/>
      <c r="G4" s="10"/>
      <c r="H4" s="10"/>
      <c r="I4" s="10"/>
      <c r="J4" s="401"/>
      <c r="K4" s="402"/>
      <c r="L4" s="402"/>
      <c r="M4" s="402"/>
      <c r="N4" s="402"/>
      <c r="O4" s="402"/>
      <c r="P4" s="402"/>
      <c r="Q4" s="403"/>
      <c r="R4" s="3" t="s">
        <v>22</v>
      </c>
      <c r="S4" s="5">
        <f>INDEX(E27:P27,Actual_month)</f>
        <v>128.18147048925309</v>
      </c>
    </row>
    <row r="5" spans="1:19" ht="25.5" customHeight="1" x14ac:dyDescent="0.35">
      <c r="C5" s="1" t="s">
        <v>5</v>
      </c>
      <c r="E5" s="10"/>
      <c r="F5" s="10"/>
      <c r="G5" s="10"/>
      <c r="H5" s="10"/>
      <c r="I5" s="10"/>
      <c r="J5" s="404"/>
      <c r="K5" s="405"/>
      <c r="L5" s="405"/>
      <c r="M5" s="405"/>
      <c r="N5" s="405"/>
      <c r="O5" s="405"/>
      <c r="P5" s="405"/>
      <c r="Q5" s="406"/>
      <c r="R5" s="3" t="s">
        <v>23</v>
      </c>
      <c r="S5" s="5">
        <f>INDEX(E26:P26,Actual_month)</f>
        <v>128.16774251726949</v>
      </c>
    </row>
    <row r="6" spans="1:19" x14ac:dyDescent="0.35">
      <c r="J6" s="404"/>
      <c r="K6" s="405"/>
      <c r="L6" s="405"/>
      <c r="M6" s="405"/>
      <c r="N6" s="405"/>
      <c r="O6" s="405"/>
      <c r="P6" s="405"/>
      <c r="Q6" s="406"/>
      <c r="R6" s="6">
        <v>0.9</v>
      </c>
      <c r="S6" s="5">
        <f>+S5*R6</f>
        <v>115.35096826554255</v>
      </c>
    </row>
    <row r="7" spans="1:19" x14ac:dyDescent="0.35">
      <c r="J7" s="404"/>
      <c r="K7" s="405"/>
      <c r="L7" s="405"/>
      <c r="M7" s="405"/>
      <c r="N7" s="405"/>
      <c r="O7" s="405"/>
      <c r="P7" s="405"/>
      <c r="Q7" s="406"/>
    </row>
    <row r="8" spans="1:19" ht="15" thickBot="1" x14ac:dyDescent="0.4">
      <c r="J8" s="407"/>
      <c r="K8" s="408"/>
      <c r="L8" s="408"/>
      <c r="M8" s="408"/>
      <c r="N8" s="408"/>
      <c r="O8" s="408"/>
      <c r="P8" s="408"/>
      <c r="Q8" s="409"/>
    </row>
    <row r="9" spans="1:19" ht="15" thickBot="1" x14ac:dyDescent="0.4">
      <c r="J9" s="3" t="s">
        <v>12</v>
      </c>
    </row>
    <row r="10" spans="1:19" x14ac:dyDescent="0.35">
      <c r="J10" s="401"/>
      <c r="K10" s="402"/>
      <c r="L10" s="402"/>
      <c r="M10" s="402"/>
      <c r="N10" s="402"/>
      <c r="O10" s="402"/>
      <c r="P10" s="402"/>
      <c r="Q10" s="403"/>
    </row>
    <row r="11" spans="1:19" x14ac:dyDescent="0.35">
      <c r="J11" s="404"/>
      <c r="K11" s="405"/>
      <c r="L11" s="405"/>
      <c r="M11" s="405"/>
      <c r="N11" s="405"/>
      <c r="O11" s="405"/>
      <c r="P11" s="405"/>
      <c r="Q11" s="406"/>
    </row>
    <row r="12" spans="1:19" x14ac:dyDescent="0.35">
      <c r="J12" s="404"/>
      <c r="K12" s="405"/>
      <c r="L12" s="405"/>
      <c r="M12" s="405"/>
      <c r="N12" s="405"/>
      <c r="O12" s="405"/>
      <c r="P12" s="405"/>
      <c r="Q12" s="406"/>
    </row>
    <row r="13" spans="1:19" x14ac:dyDescent="0.35">
      <c r="J13" s="404"/>
      <c r="K13" s="405"/>
      <c r="L13" s="405"/>
      <c r="M13" s="405"/>
      <c r="N13" s="405"/>
      <c r="O13" s="405"/>
      <c r="P13" s="405"/>
      <c r="Q13" s="406"/>
    </row>
    <row r="14" spans="1:19" x14ac:dyDescent="0.35">
      <c r="J14" s="404"/>
      <c r="K14" s="405"/>
      <c r="L14" s="405"/>
      <c r="M14" s="405"/>
      <c r="N14" s="405"/>
      <c r="O14" s="405"/>
      <c r="P14" s="405"/>
      <c r="Q14" s="406"/>
    </row>
    <row r="15" spans="1:19" ht="15" thickBot="1" x14ac:dyDescent="0.4">
      <c r="J15" s="407"/>
      <c r="K15" s="408"/>
      <c r="L15" s="408"/>
      <c r="M15" s="408"/>
      <c r="N15" s="408"/>
      <c r="O15" s="408"/>
      <c r="P15" s="408"/>
      <c r="Q15" s="409"/>
    </row>
    <row r="18" spans="3:17" x14ac:dyDescent="0.35">
      <c r="C18" s="7" t="s">
        <v>8</v>
      </c>
      <c r="E18" s="11">
        <v>45839</v>
      </c>
      <c r="F18" s="11">
        <v>45870</v>
      </c>
      <c r="G18" s="11">
        <v>45901</v>
      </c>
      <c r="H18" s="11">
        <v>45931</v>
      </c>
      <c r="I18" s="11">
        <v>45962</v>
      </c>
      <c r="J18" s="11">
        <v>45992</v>
      </c>
      <c r="K18" s="11">
        <v>46023</v>
      </c>
      <c r="L18" s="11">
        <v>46054</v>
      </c>
      <c r="M18" s="11">
        <v>46082</v>
      </c>
      <c r="N18" s="11">
        <v>46113</v>
      </c>
      <c r="O18" s="11">
        <v>46143</v>
      </c>
      <c r="P18" s="11">
        <v>46174</v>
      </c>
      <c r="Q18" s="8" t="s">
        <v>0</v>
      </c>
    </row>
    <row r="19" spans="3:17" x14ac:dyDescent="0.35">
      <c r="D19" s="3" t="s">
        <v>501</v>
      </c>
      <c r="E19" s="49">
        <f>'budget 2025-26'!D147</f>
        <v>128.16774251726946</v>
      </c>
      <c r="F19" s="49">
        <f>'budget 2025-26'!E147</f>
        <v>128.16774251726946</v>
      </c>
      <c r="G19" s="49">
        <f>'budget 2025-26'!F147</f>
        <v>128.16774251726946</v>
      </c>
      <c r="H19" s="49">
        <f>'budget 2025-26'!G147</f>
        <v>128.16774251726946</v>
      </c>
      <c r="I19" s="49">
        <f>'budget 2025-26'!H147</f>
        <v>128.16774251726946</v>
      </c>
      <c r="J19" s="49">
        <f>'budget 2025-26'!I147</f>
        <v>128.16774251726946</v>
      </c>
      <c r="K19" s="49">
        <f>'budget 2025-26'!J147</f>
        <v>128.16774251726946</v>
      </c>
      <c r="L19" s="49">
        <f>'budget 2025-26'!K147</f>
        <v>128.16774251726946</v>
      </c>
      <c r="M19" s="49">
        <f>'budget 2025-26'!L147</f>
        <v>128.16774251726946</v>
      </c>
      <c r="N19" s="49">
        <f>'budget 2025-26'!M147</f>
        <v>128.16774251726946</v>
      </c>
      <c r="O19" s="49">
        <f>'budget 2025-26'!N147</f>
        <v>128.16774251726946</v>
      </c>
      <c r="P19" s="49">
        <f>'budget 2025-26'!O147</f>
        <v>128.16774251726946</v>
      </c>
      <c r="Q19" s="5">
        <f>SUM(E19:P19)</f>
        <v>1538.012910207234</v>
      </c>
    </row>
    <row r="20" spans="3:17" x14ac:dyDescent="0.35">
      <c r="D20" s="3" t="s">
        <v>502</v>
      </c>
      <c r="E20" s="49">
        <f>'Input Actual2025-26'!E150</f>
        <v>127.75429326287978</v>
      </c>
      <c r="F20" s="49">
        <f>'Input Actual2025-26'!F150</f>
        <v>128.12438139227979</v>
      </c>
      <c r="G20" s="49">
        <f>'Input Actual2025-26'!G150</f>
        <v>128.11467973144619</v>
      </c>
      <c r="H20" s="49">
        <f>'Input Actual2025-26'!H150</f>
        <v>129.10350318471339</v>
      </c>
      <c r="I20" s="49">
        <f>'Input Actual2025-26'!I150</f>
        <v>127.87690457097032</v>
      </c>
      <c r="J20" s="49">
        <f>'Input Actual2025-26'!J150</f>
        <v>127.48523206751055</v>
      </c>
      <c r="K20" s="49">
        <f>'Input Actual2025-26'!K150</f>
        <v>129.66251140164184</v>
      </c>
      <c r="L20" s="49">
        <f>'Input Actual2025-26'!L150</f>
        <v>127.33025830258302</v>
      </c>
      <c r="M20" s="49" t="e">
        <f>'Input Actual2025-26'!M150</f>
        <v>#DIV/0!</v>
      </c>
      <c r="N20" s="49" t="e">
        <f>'Input Actual2025-26'!N150</f>
        <v>#DIV/0!</v>
      </c>
      <c r="O20" s="49" t="e">
        <f>'Input Actual2025-26'!O150</f>
        <v>#DIV/0!</v>
      </c>
      <c r="P20" s="49" t="e">
        <f>'Input Actual2025-26'!P150</f>
        <v>#DIV/0!</v>
      </c>
      <c r="Q20" s="5" t="e">
        <f t="shared" ref="Q20:Q22" si="0">SUM(E20:P20)</f>
        <v>#DIV/0!</v>
      </c>
    </row>
    <row r="21" spans="3:17" x14ac:dyDescent="0.35">
      <c r="D21" s="3" t="s">
        <v>424</v>
      </c>
      <c r="E21" s="49">
        <f>'Input Actual2024-25'!E139</f>
        <v>80.664233576642332</v>
      </c>
      <c r="F21" s="49">
        <f>'Input Actual2024-25'!F139</f>
        <v>86.972602739726028</v>
      </c>
      <c r="G21" s="49">
        <f>'Input Actual2024-25'!G139</f>
        <v>83.999832635983267</v>
      </c>
      <c r="H21" s="49">
        <f>'Input Actual2024-25'!H139</f>
        <v>82.62270688952303</v>
      </c>
      <c r="I21" s="49">
        <f>'Input Actual2024-25'!I139</f>
        <v>86.147570758286662</v>
      </c>
      <c r="J21" s="49">
        <f>'Input Actual2024-25'!J139</f>
        <v>82.396775745909522</v>
      </c>
      <c r="K21" s="49">
        <f>'Input Actual2024-25'!K139</f>
        <v>85.361352357320101</v>
      </c>
      <c r="L21" s="49">
        <f>'Input Actual2024-25'!L139</f>
        <v>83.129189944134083</v>
      </c>
      <c r="M21" s="49">
        <f>'Input Actual2024-25'!M139</f>
        <v>82.627917414721722</v>
      </c>
      <c r="N21" s="49">
        <f>'Input Actual2024-25'!N139</f>
        <v>127.65500306936771</v>
      </c>
      <c r="O21" s="49">
        <f>'Input Actual2024-25'!O139</f>
        <v>128.35753176043556</v>
      </c>
      <c r="P21" s="49">
        <f>'Input Actual2024-25'!P139</f>
        <v>127.97795327410333</v>
      </c>
      <c r="Q21" s="5">
        <f t="shared" si="0"/>
        <v>1137.9126701661532</v>
      </c>
    </row>
    <row r="22" spans="3:17" x14ac:dyDescent="0.35">
      <c r="D22" s="3" t="s">
        <v>7</v>
      </c>
      <c r="E22" s="5">
        <f t="shared" ref="E22:P22" si="1">IF(E20=0,0,E20-E19)</f>
        <v>-0.4134492543896755</v>
      </c>
      <c r="F22" s="5">
        <f t="shared" si="1"/>
        <v>-4.3361124989672817E-2</v>
      </c>
      <c r="G22" s="5">
        <f t="shared" si="1"/>
        <v>-5.3062785823271952E-2</v>
      </c>
      <c r="H22" s="5">
        <f t="shared" si="1"/>
        <v>0.93576066744392961</v>
      </c>
      <c r="I22" s="5">
        <f t="shared" si="1"/>
        <v>-0.29083794629913484</v>
      </c>
      <c r="J22" s="5">
        <f t="shared" si="1"/>
        <v>-0.68251044975890807</v>
      </c>
      <c r="K22" s="5">
        <f t="shared" si="1"/>
        <v>1.4947688843723768</v>
      </c>
      <c r="L22" s="5">
        <f t="shared" si="1"/>
        <v>-0.83748421468644096</v>
      </c>
      <c r="M22" s="5" t="e">
        <f t="shared" si="1"/>
        <v>#DIV/0!</v>
      </c>
      <c r="N22" s="5" t="e">
        <f t="shared" si="1"/>
        <v>#DIV/0!</v>
      </c>
      <c r="O22" s="5" t="e">
        <f t="shared" si="1"/>
        <v>#DIV/0!</v>
      </c>
      <c r="P22" s="5" t="e">
        <f t="shared" si="1"/>
        <v>#DIV/0!</v>
      </c>
      <c r="Q22" s="5" t="e">
        <f t="shared" si="0"/>
        <v>#DIV/0!</v>
      </c>
    </row>
    <row r="23" spans="3:17" x14ac:dyDescent="0.35">
      <c r="D23" s="3" t="s">
        <v>43</v>
      </c>
      <c r="E23" s="9">
        <f>E21/E19</f>
        <v>0.62936454986537305</v>
      </c>
      <c r="F23" s="9">
        <f t="shared" ref="F23:P23" si="2">F20/F19</f>
        <v>0.99966168456947091</v>
      </c>
      <c r="G23" s="9">
        <f t="shared" si="2"/>
        <v>0.99958598954166555</v>
      </c>
      <c r="H23" s="9">
        <f t="shared" si="2"/>
        <v>1.0073010622568923</v>
      </c>
      <c r="I23" s="9">
        <f t="shared" si="2"/>
        <v>0.99773080230183542</v>
      </c>
      <c r="J23" s="9">
        <f t="shared" si="2"/>
        <v>0.99467486563815422</v>
      </c>
      <c r="K23" s="9">
        <f t="shared" si="2"/>
        <v>1.0116625982093035</v>
      </c>
      <c r="L23" s="9">
        <f t="shared" si="2"/>
        <v>0.99346571767405834</v>
      </c>
      <c r="M23" s="9" t="e">
        <f t="shared" si="2"/>
        <v>#DIV/0!</v>
      </c>
      <c r="N23" s="9" t="e">
        <f t="shared" si="2"/>
        <v>#DIV/0!</v>
      </c>
      <c r="O23" s="9" t="e">
        <f t="shared" si="2"/>
        <v>#DIV/0!</v>
      </c>
      <c r="P23" s="9" t="e">
        <f t="shared" si="2"/>
        <v>#DIV/0!</v>
      </c>
    </row>
    <row r="25" spans="3:17" x14ac:dyDescent="0.35">
      <c r="C25" s="7" t="s">
        <v>3</v>
      </c>
      <c r="E25" s="11">
        <f>E18</f>
        <v>45839</v>
      </c>
      <c r="F25" s="11">
        <f t="shared" ref="F25:P25" si="3">F18</f>
        <v>45870</v>
      </c>
      <c r="G25" s="11">
        <f t="shared" si="3"/>
        <v>45901</v>
      </c>
      <c r="H25" s="11">
        <f t="shared" si="3"/>
        <v>45931</v>
      </c>
      <c r="I25" s="11">
        <f t="shared" si="3"/>
        <v>45962</v>
      </c>
      <c r="J25" s="11">
        <f t="shared" si="3"/>
        <v>45992</v>
      </c>
      <c r="K25" s="11">
        <f t="shared" si="3"/>
        <v>46023</v>
      </c>
      <c r="L25" s="11">
        <f t="shared" si="3"/>
        <v>46054</v>
      </c>
      <c r="M25" s="11">
        <f t="shared" si="3"/>
        <v>46082</v>
      </c>
      <c r="N25" s="11">
        <f t="shared" si="3"/>
        <v>46113</v>
      </c>
      <c r="O25" s="11">
        <f t="shared" si="3"/>
        <v>46143</v>
      </c>
      <c r="P25" s="11">
        <f t="shared" si="3"/>
        <v>46174</v>
      </c>
    </row>
    <row r="26" spans="3:17" x14ac:dyDescent="0.35">
      <c r="D26" s="3" t="str">
        <f>D19</f>
        <v>Budget 2025-26</v>
      </c>
      <c r="E26" s="5">
        <f>AVERAGE($E19:E19)</f>
        <v>128.16774251726946</v>
      </c>
      <c r="F26" s="5">
        <f>AVERAGE($E19:F19)</f>
        <v>128.16774251726946</v>
      </c>
      <c r="G26" s="5">
        <f>AVERAGE($E19:G19)</f>
        <v>128.16774251726946</v>
      </c>
      <c r="H26" s="5">
        <f>AVERAGE($E19:H19)</f>
        <v>128.16774251726946</v>
      </c>
      <c r="I26" s="5">
        <f>AVERAGE($E19:I19)</f>
        <v>128.16774251726946</v>
      </c>
      <c r="J26" s="5">
        <f>AVERAGE($E19:J19)</f>
        <v>128.16774251726949</v>
      </c>
      <c r="K26" s="5">
        <f>AVERAGE($E19:K19)</f>
        <v>128.16774251726949</v>
      </c>
      <c r="L26" s="5">
        <f>AVERAGE($E19:L19)</f>
        <v>128.16774251726949</v>
      </c>
      <c r="M26" s="5">
        <f>AVERAGE($E19:M19)</f>
        <v>128.16774251726949</v>
      </c>
      <c r="N26" s="5">
        <f>AVERAGE($E19:N19)</f>
        <v>128.16774251726949</v>
      </c>
      <c r="O26" s="5">
        <f>AVERAGE($E19:O19)</f>
        <v>128.16774251726949</v>
      </c>
      <c r="P26" s="5">
        <f>AVERAGE($E19:P19)</f>
        <v>128.16774251726949</v>
      </c>
    </row>
    <row r="27" spans="3:17" x14ac:dyDescent="0.35">
      <c r="D27" s="3" t="str">
        <f t="shared" ref="D27:D30" si="4">D20</f>
        <v>Actual 2025-26</v>
      </c>
      <c r="E27" s="5">
        <f>AVERAGE($E20:E20)</f>
        <v>127.75429326287978</v>
      </c>
      <c r="F27" s="5">
        <f>AVERAGE($E20:F20)</f>
        <v>127.93933732757978</v>
      </c>
      <c r="G27" s="5">
        <f>AVERAGE($E20:G20)</f>
        <v>127.99778479553525</v>
      </c>
      <c r="H27" s="5">
        <f>AVERAGE($E20:H20)</f>
        <v>128.27421439282978</v>
      </c>
      <c r="I27" s="5">
        <f>AVERAGE($E20:I20)</f>
        <v>128.19475242845789</v>
      </c>
      <c r="J27" s="5">
        <f>AVERAGE($E20:J20)</f>
        <v>128.07649903496664</v>
      </c>
      <c r="K27" s="5">
        <f>AVERAGE($E20:K20)</f>
        <v>128.30307223020597</v>
      </c>
      <c r="L27" s="5">
        <f>AVERAGE($E20:L20)</f>
        <v>128.18147048925309</v>
      </c>
      <c r="M27" s="5" t="e">
        <f>AVERAGE($E20:M20)</f>
        <v>#DIV/0!</v>
      </c>
      <c r="N27" s="5" t="e">
        <f>AVERAGE($E20:N20)</f>
        <v>#DIV/0!</v>
      </c>
      <c r="O27" s="5" t="e">
        <f>AVERAGE($E20:O20)</f>
        <v>#DIV/0!</v>
      </c>
      <c r="P27" s="5" t="e">
        <f>AVERAGE($E20:P20)</f>
        <v>#DIV/0!</v>
      </c>
    </row>
    <row r="28" spans="3:17" x14ac:dyDescent="0.35">
      <c r="D28" s="3" t="str">
        <f t="shared" si="4"/>
        <v>Actual 2024-25</v>
      </c>
      <c r="E28" s="5">
        <f>AVERAGE($E21:E21)</f>
        <v>80.664233576642332</v>
      </c>
      <c r="F28" s="5">
        <f>AVERAGE($E21:F21)</f>
        <v>83.818418158184187</v>
      </c>
      <c r="G28" s="5">
        <f>AVERAGE($E21:G21)</f>
        <v>83.878889650783876</v>
      </c>
      <c r="H28" s="5">
        <f>AVERAGE($E21:H21)</f>
        <v>83.564843960468664</v>
      </c>
      <c r="I28" s="5">
        <f>AVERAGE($E21:I21)</f>
        <v>84.081389320032258</v>
      </c>
      <c r="J28" s="5">
        <f>AVERAGE($E21:J21)</f>
        <v>83.800620391011805</v>
      </c>
      <c r="K28" s="5">
        <f>AVERAGE($E21:K21)</f>
        <v>84.023582100484418</v>
      </c>
      <c r="L28" s="5">
        <f>AVERAGE($E21:L21)</f>
        <v>83.911783080940623</v>
      </c>
      <c r="M28" s="5">
        <f>AVERAGE($E21:M21)</f>
        <v>83.769131340249643</v>
      </c>
      <c r="N28" s="5">
        <f>AVERAGE($E21:N21)</f>
        <v>88.157718513161441</v>
      </c>
      <c r="O28" s="5">
        <f>AVERAGE($E21:O21)</f>
        <v>91.812246990186367</v>
      </c>
      <c r="P28" s="5">
        <f>AVERAGE($E21:P21)</f>
        <v>94.826055847179433</v>
      </c>
    </row>
    <row r="29" spans="3:17" x14ac:dyDescent="0.35">
      <c r="D29" s="3" t="str">
        <f t="shared" si="4"/>
        <v>Difference</v>
      </c>
      <c r="E29" s="5">
        <f>SUM($E22:E22)</f>
        <v>-0.4134492543896755</v>
      </c>
      <c r="F29" s="5">
        <f>SUM($E22:F22)</f>
        <v>-0.45681037937934832</v>
      </c>
      <c r="G29" s="5">
        <f>SUM($E22:G22)</f>
        <v>-0.50987316520262027</v>
      </c>
      <c r="H29" s="5">
        <f>SUM($E22:H22)</f>
        <v>0.42588750224130933</v>
      </c>
      <c r="I29" s="5">
        <f>SUM($E22:I22)</f>
        <v>0.13504955594217449</v>
      </c>
      <c r="J29" s="5">
        <f>SUM($E22:J22)</f>
        <v>-0.54746089381673357</v>
      </c>
      <c r="K29" s="5">
        <f>SUM($E22:K22)</f>
        <v>0.94730799055564319</v>
      </c>
      <c r="L29" s="5">
        <f>SUM($E22:L22)</f>
        <v>0.10982377586920222</v>
      </c>
      <c r="M29" s="5" t="e">
        <f>SUM($E22:M22)</f>
        <v>#DIV/0!</v>
      </c>
      <c r="N29" s="5" t="e">
        <f>SUM($E22:N22)</f>
        <v>#DIV/0!</v>
      </c>
      <c r="O29" s="5" t="e">
        <f>SUM($E22:O22)</f>
        <v>#DIV/0!</v>
      </c>
      <c r="P29" s="5" t="e">
        <f>SUM($E22:P22)</f>
        <v>#DIV/0!</v>
      </c>
    </row>
    <row r="30" spans="3:17" x14ac:dyDescent="0.35">
      <c r="D30" s="3" t="str">
        <f t="shared" si="4"/>
        <v>Realisation</v>
      </c>
      <c r="E30" s="9">
        <f>E28/E26</f>
        <v>0.62936454986537305</v>
      </c>
      <c r="F30" s="9">
        <f t="shared" ref="F30:P30" si="5">F27/F26</f>
        <v>0.99821791985094144</v>
      </c>
      <c r="G30" s="9">
        <f t="shared" si="5"/>
        <v>0.99867394308118285</v>
      </c>
      <c r="H30" s="9">
        <f t="shared" si="5"/>
        <v>1.0008307228751101</v>
      </c>
      <c r="I30" s="9">
        <f t="shared" si="5"/>
        <v>1.0002107387604553</v>
      </c>
      <c r="J30" s="9">
        <f t="shared" si="5"/>
        <v>0.99928809324007128</v>
      </c>
      <c r="K30" s="9">
        <f t="shared" si="5"/>
        <v>1.0010558796642475</v>
      </c>
      <c r="L30" s="9">
        <f t="shared" si="5"/>
        <v>1.0001071094154736</v>
      </c>
      <c r="M30" s="9" t="e">
        <f t="shared" si="5"/>
        <v>#DIV/0!</v>
      </c>
      <c r="N30" s="9" t="e">
        <f t="shared" si="5"/>
        <v>#DIV/0!</v>
      </c>
      <c r="O30" s="9" t="e">
        <f t="shared" si="5"/>
        <v>#DIV/0!</v>
      </c>
      <c r="P30" s="9" t="e">
        <f t="shared" si="5"/>
        <v>#DIV/0!</v>
      </c>
    </row>
  </sheetData>
  <mergeCells count="2">
    <mergeCell ref="J4:Q8"/>
    <mergeCell ref="J10:Q15"/>
  </mergeCells>
  <conditionalFormatting sqref="C3">
    <cfRule type="expression" dxfId="155" priority="2">
      <formula>S4&lt;S6</formula>
    </cfRule>
  </conditionalFormatting>
  <conditionalFormatting sqref="C5">
    <cfRule type="expression" dxfId="154" priority="3">
      <formula>S4&gt;=S5</formula>
    </cfRule>
  </conditionalFormatting>
  <conditionalFormatting sqref="C4">
    <cfRule type="expression" dxfId="153" priority="1">
      <formula>AND(S4&gt;=S6,S4&lt;S5)</formula>
    </cfRule>
  </conditionalFormatting>
  <hyperlinks>
    <hyperlink ref="L1" location="Dashboard!A1" display="Dashboard"/>
  </hyperlinks>
  <pageMargins left="0.7" right="0.7" top="0.75" bottom="0.75" header="0.3" footer="0.3"/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596417" r:id="rId3" name="Spinner 1">
              <controlPr defaultSize="0" autoPict="0">
                <anchor moveWithCells="1" sizeWithCells="1">
                  <from>
                    <xdr:col>9</xdr:col>
                    <xdr:colOff>19050</xdr:colOff>
                    <xdr:row>0</xdr:row>
                    <xdr:rowOff>38100</xdr:rowOff>
                  </from>
                  <to>
                    <xdr:col>9</xdr:col>
                    <xdr:colOff>400050</xdr:colOff>
                    <xdr:row>1</xdr:row>
                    <xdr:rowOff>152400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14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116">
    <tabColor rgb="FFFFC000"/>
  </sheetPr>
  <dimension ref="A1:S30"/>
  <sheetViews>
    <sheetView zoomScale="90" zoomScaleNormal="90" workbookViewId="0">
      <selection activeCell="L1" sqref="L1"/>
    </sheetView>
  </sheetViews>
  <sheetFormatPr defaultColWidth="9.1796875" defaultRowHeight="14.5" x14ac:dyDescent="0.35"/>
  <cols>
    <col min="1" max="1" width="9.1796875" style="3"/>
    <col min="2" max="2" width="5.7265625" style="3" bestFit="1" customWidth="1"/>
    <col min="3" max="3" width="6.26953125" style="3" customWidth="1"/>
    <col min="4" max="4" width="21.26953125" style="3" bestFit="1" customWidth="1"/>
    <col min="5" max="16" width="11.1796875" style="3" customWidth="1"/>
    <col min="17" max="17" width="12" style="3" bestFit="1" customWidth="1"/>
    <col min="18" max="18" width="9.1796875" style="3" customWidth="1"/>
    <col min="19" max="16384" width="9.1796875" style="3"/>
  </cols>
  <sheetData>
    <row r="1" spans="1:19" ht="21" x14ac:dyDescent="0.5">
      <c r="A1" s="4" t="s">
        <v>4</v>
      </c>
      <c r="B1" s="4">
        <f>Dashboard!A155</f>
        <v>6</v>
      </c>
      <c r="C1" s="4" t="str">
        <f>Dashboard!B155</f>
        <v>LAKEVIEW - KSH/M3</v>
      </c>
      <c r="D1" s="4"/>
      <c r="G1" s="3" t="s">
        <v>9</v>
      </c>
      <c r="I1" s="12">
        <f>INDEX($E$18:$P$18,Actual_month)</f>
        <v>46054</v>
      </c>
      <c r="L1" s="16" t="s">
        <v>19</v>
      </c>
      <c r="R1" s="5"/>
    </row>
    <row r="2" spans="1:19" x14ac:dyDescent="0.35">
      <c r="A2" s="3" t="s">
        <v>13</v>
      </c>
      <c r="C2" s="3" t="s">
        <v>27</v>
      </c>
      <c r="R2" s="6"/>
    </row>
    <row r="3" spans="1:19" ht="25.5" customHeight="1" thickBot="1" x14ac:dyDescent="0.4">
      <c r="C3" s="1" t="s">
        <v>5</v>
      </c>
      <c r="E3" s="10"/>
      <c r="F3" s="10"/>
      <c r="G3" s="10"/>
      <c r="H3" s="10"/>
      <c r="I3" s="10"/>
      <c r="J3" s="3" t="s">
        <v>6</v>
      </c>
      <c r="K3" s="10"/>
      <c r="M3" s="10"/>
      <c r="N3" s="10"/>
      <c r="O3" s="10"/>
      <c r="P3" s="10"/>
    </row>
    <row r="4" spans="1:19" ht="25.5" customHeight="1" x14ac:dyDescent="0.35">
      <c r="C4" s="1" t="s">
        <v>5</v>
      </c>
      <c r="E4" s="10"/>
      <c r="F4" s="10"/>
      <c r="G4" s="10"/>
      <c r="H4" s="10"/>
      <c r="I4" s="10"/>
      <c r="J4" s="401"/>
      <c r="K4" s="402"/>
      <c r="L4" s="402"/>
      <c r="M4" s="402"/>
      <c r="N4" s="402"/>
      <c r="O4" s="402"/>
      <c r="P4" s="402"/>
      <c r="Q4" s="403"/>
      <c r="R4" s="3" t="s">
        <v>22</v>
      </c>
      <c r="S4" s="5">
        <f>INDEX(E27:P27,Actual_month)</f>
        <v>126.45351668285437</v>
      </c>
    </row>
    <row r="5" spans="1:19" ht="25.5" customHeight="1" x14ac:dyDescent="0.35">
      <c r="C5" s="1" t="s">
        <v>5</v>
      </c>
      <c r="E5" s="10"/>
      <c r="F5" s="10"/>
      <c r="G5" s="10"/>
      <c r="H5" s="10"/>
      <c r="I5" s="10"/>
      <c r="J5" s="404"/>
      <c r="K5" s="405"/>
      <c r="L5" s="405"/>
      <c r="M5" s="405"/>
      <c r="N5" s="405"/>
      <c r="O5" s="405"/>
      <c r="P5" s="405"/>
      <c r="Q5" s="406"/>
      <c r="R5" s="3" t="s">
        <v>23</v>
      </c>
      <c r="S5" s="5">
        <f>INDEX(E26:P26,Actual_month)</f>
        <v>126.77057512861391</v>
      </c>
    </row>
    <row r="6" spans="1:19" x14ac:dyDescent="0.35">
      <c r="J6" s="404"/>
      <c r="K6" s="405"/>
      <c r="L6" s="405"/>
      <c r="M6" s="405"/>
      <c r="N6" s="405"/>
      <c r="O6" s="405"/>
      <c r="P6" s="405"/>
      <c r="Q6" s="406"/>
      <c r="R6" s="6">
        <v>0.9</v>
      </c>
      <c r="S6" s="5">
        <f>+S5*R6</f>
        <v>114.09351761575252</v>
      </c>
    </row>
    <row r="7" spans="1:19" x14ac:dyDescent="0.35">
      <c r="J7" s="404"/>
      <c r="K7" s="405"/>
      <c r="L7" s="405"/>
      <c r="M7" s="405"/>
      <c r="N7" s="405"/>
      <c r="O7" s="405"/>
      <c r="P7" s="405"/>
      <c r="Q7" s="406"/>
    </row>
    <row r="8" spans="1:19" ht="15" thickBot="1" x14ac:dyDescent="0.4">
      <c r="J8" s="407"/>
      <c r="K8" s="408"/>
      <c r="L8" s="408"/>
      <c r="M8" s="408"/>
      <c r="N8" s="408"/>
      <c r="O8" s="408"/>
      <c r="P8" s="408"/>
      <c r="Q8" s="409"/>
    </row>
    <row r="9" spans="1:19" ht="15" thickBot="1" x14ac:dyDescent="0.4">
      <c r="J9" s="3" t="s">
        <v>12</v>
      </c>
    </row>
    <row r="10" spans="1:19" x14ac:dyDescent="0.35">
      <c r="J10" s="401"/>
      <c r="K10" s="402"/>
      <c r="L10" s="402"/>
      <c r="M10" s="402"/>
      <c r="N10" s="402"/>
      <c r="O10" s="402"/>
      <c r="P10" s="402"/>
      <c r="Q10" s="403"/>
    </row>
    <row r="11" spans="1:19" x14ac:dyDescent="0.35">
      <c r="J11" s="404"/>
      <c r="K11" s="405"/>
      <c r="L11" s="405"/>
      <c r="M11" s="405"/>
      <c r="N11" s="405"/>
      <c r="O11" s="405"/>
      <c r="P11" s="405"/>
      <c r="Q11" s="406"/>
    </row>
    <row r="12" spans="1:19" x14ac:dyDescent="0.35">
      <c r="J12" s="404"/>
      <c r="K12" s="405"/>
      <c r="L12" s="405"/>
      <c r="M12" s="405"/>
      <c r="N12" s="405"/>
      <c r="O12" s="405"/>
      <c r="P12" s="405"/>
      <c r="Q12" s="406"/>
    </row>
    <row r="13" spans="1:19" x14ac:dyDescent="0.35">
      <c r="J13" s="404"/>
      <c r="K13" s="405"/>
      <c r="L13" s="405"/>
      <c r="M13" s="405"/>
      <c r="N13" s="405"/>
      <c r="O13" s="405"/>
      <c r="P13" s="405"/>
      <c r="Q13" s="406"/>
    </row>
    <row r="14" spans="1:19" x14ac:dyDescent="0.35">
      <c r="J14" s="404"/>
      <c r="K14" s="405"/>
      <c r="L14" s="405"/>
      <c r="M14" s="405"/>
      <c r="N14" s="405"/>
      <c r="O14" s="405"/>
      <c r="P14" s="405"/>
      <c r="Q14" s="406"/>
    </row>
    <row r="15" spans="1:19" ht="15" thickBot="1" x14ac:dyDescent="0.4">
      <c r="J15" s="407"/>
      <c r="K15" s="408"/>
      <c r="L15" s="408"/>
      <c r="M15" s="408"/>
      <c r="N15" s="408"/>
      <c r="O15" s="408"/>
      <c r="P15" s="408"/>
      <c r="Q15" s="409"/>
    </row>
    <row r="18" spans="3:17" x14ac:dyDescent="0.35">
      <c r="C18" s="7" t="s">
        <v>8</v>
      </c>
      <c r="E18" s="11">
        <v>45839</v>
      </c>
      <c r="F18" s="11">
        <v>45870</v>
      </c>
      <c r="G18" s="11">
        <v>45901</v>
      </c>
      <c r="H18" s="11">
        <v>45931</v>
      </c>
      <c r="I18" s="11">
        <v>45962</v>
      </c>
      <c r="J18" s="11">
        <v>45992</v>
      </c>
      <c r="K18" s="11">
        <v>46023</v>
      </c>
      <c r="L18" s="11">
        <v>46054</v>
      </c>
      <c r="M18" s="11">
        <v>46082</v>
      </c>
      <c r="N18" s="11">
        <v>46113</v>
      </c>
      <c r="O18" s="11">
        <v>46143</v>
      </c>
      <c r="P18" s="11">
        <v>46174</v>
      </c>
      <c r="Q18" s="8" t="s">
        <v>0</v>
      </c>
    </row>
    <row r="19" spans="3:17" x14ac:dyDescent="0.35">
      <c r="D19" s="3" t="s">
        <v>501</v>
      </c>
      <c r="E19" s="49">
        <f>'budget 2025-26'!D146</f>
        <v>126.77057512861391</v>
      </c>
      <c r="F19" s="49">
        <f>'budget 2025-26'!E146</f>
        <v>126.77057512861391</v>
      </c>
      <c r="G19" s="49">
        <f>'budget 2025-26'!F146</f>
        <v>126.77057512861391</v>
      </c>
      <c r="H19" s="49">
        <f>'budget 2025-26'!G146</f>
        <v>126.77057512861391</v>
      </c>
      <c r="I19" s="49">
        <f>'budget 2025-26'!H146</f>
        <v>126.77057512861391</v>
      </c>
      <c r="J19" s="49">
        <f>'budget 2025-26'!I146</f>
        <v>126.77057512861391</v>
      </c>
      <c r="K19" s="49">
        <f>'budget 2025-26'!J146</f>
        <v>126.77057512861391</v>
      </c>
      <c r="L19" s="49">
        <f>'budget 2025-26'!K146</f>
        <v>126.77057512861391</v>
      </c>
      <c r="M19" s="49">
        <f>'budget 2025-26'!L146</f>
        <v>126.77057512861391</v>
      </c>
      <c r="N19" s="49">
        <f>'budget 2025-26'!M146</f>
        <v>126.77057512861391</v>
      </c>
      <c r="O19" s="49">
        <f>'budget 2025-26'!N146</f>
        <v>126.77057512861391</v>
      </c>
      <c r="P19" s="49">
        <f>'budget 2025-26'!O146</f>
        <v>126.77057512861391</v>
      </c>
      <c r="Q19" s="5">
        <f>SUM(E19:P19)</f>
        <v>1521.2469015433669</v>
      </c>
    </row>
    <row r="20" spans="3:17" x14ac:dyDescent="0.35">
      <c r="D20" s="3" t="s">
        <v>502</v>
      </c>
      <c r="E20" s="49">
        <f>'Input Actual2025-26'!E149</f>
        <v>124.57979953739398</v>
      </c>
      <c r="F20" s="49">
        <f>'Input Actual2025-26'!F149</f>
        <v>126.91408504906677</v>
      </c>
      <c r="G20" s="49">
        <f>'Input Actual2025-26'!G149</f>
        <v>127.13315572271848</v>
      </c>
      <c r="H20" s="49">
        <f>'Input Actual2025-26'!H149</f>
        <v>127.07139231159721</v>
      </c>
      <c r="I20" s="49">
        <f>'Input Actual2025-26'!I149</f>
        <v>125.68060971286778</v>
      </c>
      <c r="J20" s="49">
        <f>'Input Actual2025-26'!J149</f>
        <v>124.99430103922226</v>
      </c>
      <c r="K20" s="49">
        <f>'Input Actual2025-26'!K149</f>
        <v>128.22981723437681</v>
      </c>
      <c r="L20" s="49">
        <f>'Input Actual2025-26'!L149</f>
        <v>127.02497285559174</v>
      </c>
      <c r="M20" s="49" t="e">
        <f>'Input Actual2025-26'!M149</f>
        <v>#DIV/0!</v>
      </c>
      <c r="N20" s="49" t="e">
        <f>'Input Actual2025-26'!N149</f>
        <v>#DIV/0!</v>
      </c>
      <c r="O20" s="49" t="e">
        <f>'Input Actual2025-26'!O149</f>
        <v>#DIV/0!</v>
      </c>
      <c r="P20" s="49" t="e">
        <f>'Input Actual2025-26'!P149</f>
        <v>#DIV/0!</v>
      </c>
      <c r="Q20" s="5" t="e">
        <f t="shared" ref="Q20:Q22" si="0">SUM(E20:P20)</f>
        <v>#DIV/0!</v>
      </c>
    </row>
    <row r="21" spans="3:17" x14ac:dyDescent="0.35">
      <c r="D21" s="3" t="s">
        <v>424</v>
      </c>
      <c r="E21" s="49">
        <f>'Input Actual2024-25'!E138</f>
        <v>78.508863864421897</v>
      </c>
      <c r="F21" s="49">
        <f>'Input Actual2024-25'!F138</f>
        <v>81.823117950511502</v>
      </c>
      <c r="G21" s="49">
        <f>'Input Actual2024-25'!G138</f>
        <v>79.939052459959726</v>
      </c>
      <c r="H21" s="49">
        <f>'Input Actual2024-25'!H138</f>
        <v>80.190248857287969</v>
      </c>
      <c r="I21" s="49">
        <f>'Input Actual2024-25'!I138</f>
        <v>81.371681810083729</v>
      </c>
      <c r="J21" s="49">
        <f>'Input Actual2024-25'!J138</f>
        <v>77.381219494427043</v>
      </c>
      <c r="K21" s="49">
        <f>'Input Actual2024-25'!K138</f>
        <v>82.971663100903811</v>
      </c>
      <c r="L21" s="49">
        <f>'Input Actual2024-25'!L138</f>
        <v>82.034720999823975</v>
      </c>
      <c r="M21" s="49">
        <f>'Input Actual2024-25'!M138</f>
        <v>82.856932215528502</v>
      </c>
      <c r="N21" s="49">
        <f>'Input Actual2024-25'!N138</f>
        <v>124.60249363185413</v>
      </c>
      <c r="O21" s="49">
        <f>'Input Actual2024-25'!O138</f>
        <v>126.40647556197155</v>
      </c>
      <c r="P21" s="49">
        <f>'Input Actual2024-25'!P138</f>
        <v>127.13467469525628</v>
      </c>
      <c r="Q21" s="5">
        <f t="shared" si="0"/>
        <v>1105.2211446420301</v>
      </c>
    </row>
    <row r="22" spans="3:17" x14ac:dyDescent="0.35">
      <c r="D22" s="3" t="s">
        <v>7</v>
      </c>
      <c r="E22" s="5">
        <f t="shared" ref="E22:P22" si="1">IF(E20=0,0,E20-E19)</f>
        <v>-2.190775591219932</v>
      </c>
      <c r="F22" s="5">
        <f t="shared" si="1"/>
        <v>0.14350992045285693</v>
      </c>
      <c r="G22" s="5">
        <f t="shared" si="1"/>
        <v>0.36258059410457122</v>
      </c>
      <c r="H22" s="5">
        <f t="shared" si="1"/>
        <v>0.30081718298329463</v>
      </c>
      <c r="I22" s="5">
        <f t="shared" si="1"/>
        <v>-1.0899654157461356</v>
      </c>
      <c r="J22" s="5">
        <f t="shared" si="1"/>
        <v>-1.7762740893916487</v>
      </c>
      <c r="K22" s="5">
        <f t="shared" si="1"/>
        <v>1.4592421057628968</v>
      </c>
      <c r="L22" s="5">
        <f t="shared" si="1"/>
        <v>0.25439772697782814</v>
      </c>
      <c r="M22" s="5" t="e">
        <f t="shared" si="1"/>
        <v>#DIV/0!</v>
      </c>
      <c r="N22" s="5" t="e">
        <f t="shared" si="1"/>
        <v>#DIV/0!</v>
      </c>
      <c r="O22" s="5" t="e">
        <f t="shared" si="1"/>
        <v>#DIV/0!</v>
      </c>
      <c r="P22" s="5" t="e">
        <f t="shared" si="1"/>
        <v>#DIV/0!</v>
      </c>
      <c r="Q22" s="5" t="e">
        <f t="shared" si="0"/>
        <v>#DIV/0!</v>
      </c>
    </row>
    <row r="23" spans="3:17" x14ac:dyDescent="0.35">
      <c r="D23" s="3" t="s">
        <v>43</v>
      </c>
      <c r="E23" s="9">
        <f>E21/E19</f>
        <v>0.61929879062843607</v>
      </c>
      <c r="F23" s="9">
        <f t="shared" ref="F23:P23" si="2">F20/F19</f>
        <v>1.0011320444062612</v>
      </c>
      <c r="G23" s="9">
        <f t="shared" si="2"/>
        <v>1.0028601321224324</v>
      </c>
      <c r="H23" s="9">
        <f t="shared" si="2"/>
        <v>1.0023729259150091</v>
      </c>
      <c r="I23" s="9">
        <f t="shared" si="2"/>
        <v>0.99140206302101008</v>
      </c>
      <c r="J23" s="9">
        <f t="shared" si="2"/>
        <v>0.98598827774040199</v>
      </c>
      <c r="K23" s="9">
        <f t="shared" si="2"/>
        <v>1.0115108896862102</v>
      </c>
      <c r="L23" s="9">
        <f t="shared" si="2"/>
        <v>1.0020067569049027</v>
      </c>
      <c r="M23" s="9" t="e">
        <f t="shared" si="2"/>
        <v>#DIV/0!</v>
      </c>
      <c r="N23" s="9" t="e">
        <f t="shared" si="2"/>
        <v>#DIV/0!</v>
      </c>
      <c r="O23" s="9" t="e">
        <f t="shared" si="2"/>
        <v>#DIV/0!</v>
      </c>
      <c r="P23" s="9" t="e">
        <f t="shared" si="2"/>
        <v>#DIV/0!</v>
      </c>
    </row>
    <row r="25" spans="3:17" x14ac:dyDescent="0.35">
      <c r="C25" s="7" t="s">
        <v>3</v>
      </c>
      <c r="E25" s="11">
        <f>E18</f>
        <v>45839</v>
      </c>
      <c r="F25" s="11">
        <f t="shared" ref="F25:P25" si="3">F18</f>
        <v>45870</v>
      </c>
      <c r="G25" s="11">
        <f t="shared" si="3"/>
        <v>45901</v>
      </c>
      <c r="H25" s="11">
        <f t="shared" si="3"/>
        <v>45931</v>
      </c>
      <c r="I25" s="11">
        <f t="shared" si="3"/>
        <v>45962</v>
      </c>
      <c r="J25" s="11">
        <f t="shared" si="3"/>
        <v>45992</v>
      </c>
      <c r="K25" s="11">
        <f t="shared" si="3"/>
        <v>46023</v>
      </c>
      <c r="L25" s="11">
        <f t="shared" si="3"/>
        <v>46054</v>
      </c>
      <c r="M25" s="11">
        <f t="shared" si="3"/>
        <v>46082</v>
      </c>
      <c r="N25" s="11">
        <f t="shared" si="3"/>
        <v>46113</v>
      </c>
      <c r="O25" s="11">
        <f t="shared" si="3"/>
        <v>46143</v>
      </c>
      <c r="P25" s="11">
        <f t="shared" si="3"/>
        <v>46174</v>
      </c>
    </row>
    <row r="26" spans="3:17" x14ac:dyDescent="0.35">
      <c r="D26" s="3" t="str">
        <f>D19</f>
        <v>Budget 2025-26</v>
      </c>
      <c r="E26" s="5">
        <f>AVERAGE($E19:E19)</f>
        <v>126.77057512861391</v>
      </c>
      <c r="F26" s="5">
        <f>AVERAGE($E19:F19)</f>
        <v>126.77057512861391</v>
      </c>
      <c r="G26" s="5">
        <f>AVERAGE($E19:G19)</f>
        <v>126.77057512861391</v>
      </c>
      <c r="H26" s="5">
        <f>AVERAGE($E19:H19)</f>
        <v>126.77057512861391</v>
      </c>
      <c r="I26" s="5">
        <f>AVERAGE($E19:I19)</f>
        <v>126.7705751286139</v>
      </c>
      <c r="J26" s="5">
        <f>AVERAGE($E19:J19)</f>
        <v>126.77057512861391</v>
      </c>
      <c r="K26" s="5">
        <f>AVERAGE($E19:K19)</f>
        <v>126.77057512861391</v>
      </c>
      <c r="L26" s="5">
        <f>AVERAGE($E19:L19)</f>
        <v>126.77057512861391</v>
      </c>
      <c r="M26" s="5">
        <f>AVERAGE($E19:M19)</f>
        <v>126.7705751286139</v>
      </c>
      <c r="N26" s="5">
        <f>AVERAGE($E19:N19)</f>
        <v>126.7705751286139</v>
      </c>
      <c r="O26" s="5">
        <f>AVERAGE($E19:O19)</f>
        <v>126.77057512861391</v>
      </c>
      <c r="P26" s="5">
        <f>AVERAGE($E19:P19)</f>
        <v>126.77057512861391</v>
      </c>
    </row>
    <row r="27" spans="3:17" x14ac:dyDescent="0.35">
      <c r="D27" s="3" t="str">
        <f t="shared" ref="D27:D30" si="4">D20</f>
        <v>Actual 2025-26</v>
      </c>
      <c r="E27" s="5">
        <f>AVERAGE($E20:E20)</f>
        <v>124.57979953739398</v>
      </c>
      <c r="F27" s="5">
        <f>AVERAGE($E20:F20)</f>
        <v>125.74694229323038</v>
      </c>
      <c r="G27" s="5">
        <f>AVERAGE($E20:G20)</f>
        <v>126.20901343639308</v>
      </c>
      <c r="H27" s="5">
        <f>AVERAGE($E20:H20)</f>
        <v>126.42460815519411</v>
      </c>
      <c r="I27" s="5">
        <f>AVERAGE($E20:I20)</f>
        <v>126.27580846672883</v>
      </c>
      <c r="J27" s="5">
        <f>AVERAGE($E20:J20)</f>
        <v>126.06222389547774</v>
      </c>
      <c r="K27" s="5">
        <f>AVERAGE($E20:K20)</f>
        <v>126.37188008674903</v>
      </c>
      <c r="L27" s="5">
        <f>AVERAGE($E20:L20)</f>
        <v>126.45351668285437</v>
      </c>
      <c r="M27" s="5" t="e">
        <f>AVERAGE($E20:M20)</f>
        <v>#DIV/0!</v>
      </c>
      <c r="N27" s="5" t="e">
        <f>AVERAGE($E20:N20)</f>
        <v>#DIV/0!</v>
      </c>
      <c r="O27" s="5" t="e">
        <f>AVERAGE($E20:O20)</f>
        <v>#DIV/0!</v>
      </c>
      <c r="P27" s="5" t="e">
        <f>AVERAGE($E20:P20)</f>
        <v>#DIV/0!</v>
      </c>
    </row>
    <row r="28" spans="3:17" x14ac:dyDescent="0.35">
      <c r="D28" s="3" t="str">
        <f t="shared" si="4"/>
        <v>Actual 2024-25</v>
      </c>
      <c r="E28" s="5">
        <f>AVERAGE($E21:E21)</f>
        <v>78.508863864421897</v>
      </c>
      <c r="F28" s="5">
        <f>AVERAGE($E21:F21)</f>
        <v>80.165990907466693</v>
      </c>
      <c r="G28" s="5">
        <f>AVERAGE($E21:G21)</f>
        <v>80.090344758297704</v>
      </c>
      <c r="H28" s="5">
        <f>AVERAGE($E21:H21)</f>
        <v>80.115320783045263</v>
      </c>
      <c r="I28" s="5">
        <f>AVERAGE($E21:I21)</f>
        <v>80.36659298845295</v>
      </c>
      <c r="J28" s="5">
        <f>AVERAGE($E21:J21)</f>
        <v>79.869030739448633</v>
      </c>
      <c r="K28" s="5">
        <f>AVERAGE($E21:K21)</f>
        <v>80.312263933942248</v>
      </c>
      <c r="L28" s="5">
        <f>AVERAGE($E21:L21)</f>
        <v>80.527571067177462</v>
      </c>
      <c r="M28" s="5">
        <f>AVERAGE($E21:M21)</f>
        <v>80.786388972549801</v>
      </c>
      <c r="N28" s="5">
        <f>AVERAGE($E21:N21)</f>
        <v>85.167999438480237</v>
      </c>
      <c r="O28" s="5">
        <f>AVERAGE($E21:O21)</f>
        <v>88.91695181334309</v>
      </c>
      <c r="P28" s="5">
        <f>AVERAGE($E21:P21)</f>
        <v>92.101762053502512</v>
      </c>
    </row>
    <row r="29" spans="3:17" x14ac:dyDescent="0.35">
      <c r="D29" s="3" t="str">
        <f t="shared" si="4"/>
        <v>Difference</v>
      </c>
      <c r="E29" s="5">
        <f>SUM($E22:E22)</f>
        <v>-2.190775591219932</v>
      </c>
      <c r="F29" s="5">
        <f>SUM($E22:F22)</f>
        <v>-2.0472656707670751</v>
      </c>
      <c r="G29" s="5">
        <f>SUM($E22:G22)</f>
        <v>-1.6846850766625039</v>
      </c>
      <c r="H29" s="5">
        <f>SUM($E22:H22)</f>
        <v>-1.3838678936792093</v>
      </c>
      <c r="I29" s="5">
        <f>SUM($E22:I22)</f>
        <v>-2.4738333094253449</v>
      </c>
      <c r="J29" s="5">
        <f>SUM($E22:J22)</f>
        <v>-4.2501073988169935</v>
      </c>
      <c r="K29" s="5">
        <f>SUM($E22:K22)</f>
        <v>-2.7908652930540967</v>
      </c>
      <c r="L29" s="5">
        <f>SUM($E22:L22)</f>
        <v>-2.5364675660762686</v>
      </c>
      <c r="M29" s="5" t="e">
        <f>SUM($E22:M22)</f>
        <v>#DIV/0!</v>
      </c>
      <c r="N29" s="5" t="e">
        <f>SUM($E22:N22)</f>
        <v>#DIV/0!</v>
      </c>
      <c r="O29" s="5" t="e">
        <f>SUM($E22:O22)</f>
        <v>#DIV/0!</v>
      </c>
      <c r="P29" s="5" t="e">
        <f>SUM($E22:P22)</f>
        <v>#DIV/0!</v>
      </c>
    </row>
    <row r="30" spans="3:17" x14ac:dyDescent="0.35">
      <c r="D30" s="3" t="str">
        <f t="shared" si="4"/>
        <v>Realisation</v>
      </c>
      <c r="E30" s="9">
        <f>E28/E26</f>
        <v>0.61929879062843607</v>
      </c>
      <c r="F30" s="9">
        <f t="shared" ref="F30:P30" si="5">F27/F26</f>
        <v>0.99192531205017398</v>
      </c>
      <c r="G30" s="9">
        <f t="shared" si="5"/>
        <v>0.99557025207426009</v>
      </c>
      <c r="H30" s="9">
        <f t="shared" si="5"/>
        <v>0.99727092053444732</v>
      </c>
      <c r="I30" s="9">
        <f t="shared" si="5"/>
        <v>0.99609714903175994</v>
      </c>
      <c r="J30" s="9">
        <f t="shared" si="5"/>
        <v>0.99441233714986688</v>
      </c>
      <c r="K30" s="9">
        <f t="shared" si="5"/>
        <v>0.99685498751220158</v>
      </c>
      <c r="L30" s="9">
        <f t="shared" si="5"/>
        <v>0.99749895868628924</v>
      </c>
      <c r="M30" s="9" t="e">
        <f t="shared" si="5"/>
        <v>#DIV/0!</v>
      </c>
      <c r="N30" s="9" t="e">
        <f t="shared" si="5"/>
        <v>#DIV/0!</v>
      </c>
      <c r="O30" s="9" t="e">
        <f t="shared" si="5"/>
        <v>#DIV/0!</v>
      </c>
      <c r="P30" s="9" t="e">
        <f t="shared" si="5"/>
        <v>#DIV/0!</v>
      </c>
    </row>
  </sheetData>
  <mergeCells count="2">
    <mergeCell ref="J4:Q8"/>
    <mergeCell ref="J10:Q15"/>
  </mergeCells>
  <conditionalFormatting sqref="C3">
    <cfRule type="expression" dxfId="152" priority="2">
      <formula>S4&lt;S6</formula>
    </cfRule>
  </conditionalFormatting>
  <conditionalFormatting sqref="C5">
    <cfRule type="expression" dxfId="151" priority="3">
      <formula>S4&gt;=S5</formula>
    </cfRule>
  </conditionalFormatting>
  <conditionalFormatting sqref="C4">
    <cfRule type="expression" dxfId="150" priority="1">
      <formula>AND(S4&gt;=S6,S4&lt;S5)</formula>
    </cfRule>
  </conditionalFormatting>
  <hyperlinks>
    <hyperlink ref="L1" location="Dashboard!A1" display="Dashboard"/>
  </hyperlinks>
  <pageMargins left="0.7" right="0.7" top="0.75" bottom="0.75" header="0.3" footer="0.3"/>
  <pageSetup orientation="portrait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52673" r:id="rId4" name="Spinner 1">
              <controlPr defaultSize="0" autoPict="0">
                <anchor moveWithCells="1" sizeWithCells="1">
                  <from>
                    <xdr:col>9</xdr:col>
                    <xdr:colOff>19050</xdr:colOff>
                    <xdr:row>0</xdr:row>
                    <xdr:rowOff>38100</xdr:rowOff>
                  </from>
                  <to>
                    <xdr:col>9</xdr:col>
                    <xdr:colOff>400050</xdr:colOff>
                    <xdr:row>1</xdr:row>
                    <xdr:rowOff>152400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14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FFC000"/>
  </sheetPr>
  <dimension ref="A1:S30"/>
  <sheetViews>
    <sheetView topLeftCell="E1" workbookViewId="0">
      <selection activeCell="L1" sqref="L1"/>
    </sheetView>
  </sheetViews>
  <sheetFormatPr defaultColWidth="9.1796875" defaultRowHeight="14.5" x14ac:dyDescent="0.35"/>
  <cols>
    <col min="1" max="1" width="9.1796875" style="3"/>
    <col min="2" max="2" width="5.7265625" style="3" bestFit="1" customWidth="1"/>
    <col min="3" max="3" width="6.26953125" style="3" customWidth="1"/>
    <col min="4" max="4" width="21.26953125" style="3" bestFit="1" customWidth="1"/>
    <col min="5" max="16" width="11.1796875" style="3" customWidth="1"/>
    <col min="17" max="17" width="12" style="3" bestFit="1" customWidth="1"/>
    <col min="18" max="18" width="9.1796875" style="3" customWidth="1"/>
    <col min="19" max="16384" width="9.1796875" style="3"/>
  </cols>
  <sheetData>
    <row r="1" spans="1:19" ht="21" x14ac:dyDescent="0.5">
      <c r="A1" s="4" t="s">
        <v>4</v>
      </c>
      <c r="B1" s="4">
        <f>Dashboard!A161</f>
        <v>4</v>
      </c>
      <c r="C1" s="4" t="str">
        <f>Dashboard!B161</f>
        <v>LONGONOT - KSH/M3</v>
      </c>
      <c r="D1" s="4"/>
      <c r="G1" s="3" t="s">
        <v>9</v>
      </c>
      <c r="I1" s="12">
        <f>INDEX($E$18:$P$18,Actual_month)</f>
        <v>46054</v>
      </c>
      <c r="L1" s="16" t="s">
        <v>19</v>
      </c>
      <c r="R1" s="5"/>
    </row>
    <row r="2" spans="1:19" x14ac:dyDescent="0.35">
      <c r="A2" s="3" t="s">
        <v>13</v>
      </c>
      <c r="C2" s="3" t="s">
        <v>27</v>
      </c>
      <c r="R2" s="6"/>
    </row>
    <row r="3" spans="1:19" ht="25.5" customHeight="1" thickBot="1" x14ac:dyDescent="0.4">
      <c r="C3" s="1" t="s">
        <v>5</v>
      </c>
      <c r="E3" s="10"/>
      <c r="F3" s="10"/>
      <c r="G3" s="10"/>
      <c r="H3" s="10"/>
      <c r="I3" s="10"/>
      <c r="J3" s="3" t="s">
        <v>6</v>
      </c>
      <c r="K3" s="10"/>
      <c r="M3" s="10"/>
      <c r="N3" s="10"/>
      <c r="O3" s="10"/>
      <c r="P3" s="10"/>
    </row>
    <row r="4" spans="1:19" ht="25.5" customHeight="1" x14ac:dyDescent="0.35">
      <c r="C4" s="1" t="s">
        <v>5</v>
      </c>
      <c r="E4" s="10"/>
      <c r="F4" s="10"/>
      <c r="G4" s="10"/>
      <c r="H4" s="10"/>
      <c r="I4" s="10"/>
      <c r="J4" s="401"/>
      <c r="K4" s="402"/>
      <c r="L4" s="402"/>
      <c r="M4" s="402"/>
      <c r="N4" s="402"/>
      <c r="O4" s="402"/>
      <c r="P4" s="402"/>
      <c r="Q4" s="403"/>
      <c r="R4" s="3" t="s">
        <v>22</v>
      </c>
      <c r="S4" s="5">
        <f>INDEX(E27:P27,Actual_month)</f>
        <v>123.42704970084556</v>
      </c>
    </row>
    <row r="5" spans="1:19" ht="25.5" customHeight="1" x14ac:dyDescent="0.35">
      <c r="C5" s="1" t="s">
        <v>5</v>
      </c>
      <c r="E5" s="10"/>
      <c r="F5" s="10"/>
      <c r="G5" s="10"/>
      <c r="H5" s="10"/>
      <c r="I5" s="10"/>
      <c r="J5" s="404"/>
      <c r="K5" s="405"/>
      <c r="L5" s="405"/>
      <c r="M5" s="405"/>
      <c r="N5" s="405"/>
      <c r="O5" s="405"/>
      <c r="P5" s="405"/>
      <c r="Q5" s="406"/>
      <c r="R5" s="3" t="s">
        <v>23</v>
      </c>
      <c r="S5" s="5">
        <f>INDEX(E26:P26,Actual_month)</f>
        <v>123.52031526555616</v>
      </c>
    </row>
    <row r="6" spans="1:19" x14ac:dyDescent="0.35">
      <c r="J6" s="404"/>
      <c r="K6" s="405"/>
      <c r="L6" s="405"/>
      <c r="M6" s="405"/>
      <c r="N6" s="405"/>
      <c r="O6" s="405"/>
      <c r="P6" s="405"/>
      <c r="Q6" s="406"/>
      <c r="R6" s="6">
        <v>0.9</v>
      </c>
      <c r="S6" s="5">
        <f>+S5*R6</f>
        <v>111.16828373900054</v>
      </c>
    </row>
    <row r="7" spans="1:19" x14ac:dyDescent="0.35">
      <c r="J7" s="404"/>
      <c r="K7" s="405"/>
      <c r="L7" s="405"/>
      <c r="M7" s="405"/>
      <c r="N7" s="405"/>
      <c r="O7" s="405"/>
      <c r="P7" s="405"/>
      <c r="Q7" s="406"/>
    </row>
    <row r="8" spans="1:19" ht="15" thickBot="1" x14ac:dyDescent="0.4">
      <c r="J8" s="407"/>
      <c r="K8" s="408"/>
      <c r="L8" s="408"/>
      <c r="M8" s="408"/>
      <c r="N8" s="408"/>
      <c r="O8" s="408"/>
      <c r="P8" s="408"/>
      <c r="Q8" s="409"/>
    </row>
    <row r="9" spans="1:19" ht="15" thickBot="1" x14ac:dyDescent="0.4">
      <c r="J9" s="3" t="s">
        <v>12</v>
      </c>
    </row>
    <row r="10" spans="1:19" x14ac:dyDescent="0.35">
      <c r="J10" s="401"/>
      <c r="K10" s="402"/>
      <c r="L10" s="402"/>
      <c r="M10" s="402"/>
      <c r="N10" s="402"/>
      <c r="O10" s="402"/>
      <c r="P10" s="402"/>
      <c r="Q10" s="403"/>
    </row>
    <row r="11" spans="1:19" x14ac:dyDescent="0.35">
      <c r="J11" s="404"/>
      <c r="K11" s="405"/>
      <c r="L11" s="405"/>
      <c r="M11" s="405"/>
      <c r="N11" s="405"/>
      <c r="O11" s="405"/>
      <c r="P11" s="405"/>
      <c r="Q11" s="406"/>
    </row>
    <row r="12" spans="1:19" x14ac:dyDescent="0.35">
      <c r="J12" s="404"/>
      <c r="K12" s="405"/>
      <c r="L12" s="405"/>
      <c r="M12" s="405"/>
      <c r="N12" s="405"/>
      <c r="O12" s="405"/>
      <c r="P12" s="405"/>
      <c r="Q12" s="406"/>
    </row>
    <row r="13" spans="1:19" x14ac:dyDescent="0.35">
      <c r="J13" s="404"/>
      <c r="K13" s="405"/>
      <c r="L13" s="405"/>
      <c r="M13" s="405"/>
      <c r="N13" s="405"/>
      <c r="O13" s="405"/>
      <c r="P13" s="405"/>
      <c r="Q13" s="406"/>
    </row>
    <row r="14" spans="1:19" x14ac:dyDescent="0.35">
      <c r="J14" s="404"/>
      <c r="K14" s="405"/>
      <c r="L14" s="405"/>
      <c r="M14" s="405"/>
      <c r="N14" s="405"/>
      <c r="O14" s="405"/>
      <c r="P14" s="405"/>
      <c r="Q14" s="406"/>
    </row>
    <row r="15" spans="1:19" ht="15" thickBot="1" x14ac:dyDescent="0.4">
      <c r="J15" s="407"/>
      <c r="K15" s="408"/>
      <c r="L15" s="408"/>
      <c r="M15" s="408"/>
      <c r="N15" s="408"/>
      <c r="O15" s="408"/>
      <c r="P15" s="408"/>
      <c r="Q15" s="409"/>
    </row>
    <row r="18" spans="3:17" x14ac:dyDescent="0.35">
      <c r="C18" s="7" t="s">
        <v>8</v>
      </c>
      <c r="E18" s="11">
        <v>45839</v>
      </c>
      <c r="F18" s="11">
        <v>45870</v>
      </c>
      <c r="G18" s="11">
        <v>45901</v>
      </c>
      <c r="H18" s="11">
        <v>45931</v>
      </c>
      <c r="I18" s="11">
        <v>45962</v>
      </c>
      <c r="J18" s="11">
        <v>45992</v>
      </c>
      <c r="K18" s="11">
        <v>46023</v>
      </c>
      <c r="L18" s="11">
        <v>46054</v>
      </c>
      <c r="M18" s="11">
        <v>46082</v>
      </c>
      <c r="N18" s="11">
        <v>46113</v>
      </c>
      <c r="O18" s="11">
        <v>46143</v>
      </c>
      <c r="P18" s="11">
        <v>46174</v>
      </c>
      <c r="Q18" s="8" t="s">
        <v>0</v>
      </c>
    </row>
    <row r="19" spans="3:17" x14ac:dyDescent="0.35">
      <c r="D19" s="3" t="s">
        <v>501</v>
      </c>
      <c r="E19" s="49">
        <f>'budget 2025-26'!D152</f>
        <v>123.52031526555615</v>
      </c>
      <c r="F19" s="49">
        <f>'budget 2025-26'!E152</f>
        <v>123.52031526555615</v>
      </c>
      <c r="G19" s="49">
        <f>'budget 2025-26'!F152</f>
        <v>123.52031526555615</v>
      </c>
      <c r="H19" s="49">
        <f>'budget 2025-26'!G152</f>
        <v>123.52031526555615</v>
      </c>
      <c r="I19" s="49">
        <f>'budget 2025-26'!H152</f>
        <v>123.52031526555615</v>
      </c>
      <c r="J19" s="49">
        <f>'budget 2025-26'!I152</f>
        <v>123.52031526555615</v>
      </c>
      <c r="K19" s="49">
        <f>'budget 2025-26'!J152</f>
        <v>123.52031526555615</v>
      </c>
      <c r="L19" s="49">
        <f>'budget 2025-26'!K152</f>
        <v>123.52031526555615</v>
      </c>
      <c r="M19" s="49">
        <f>'budget 2025-26'!L152</f>
        <v>123.52031526555615</v>
      </c>
      <c r="N19" s="49">
        <f>'budget 2025-26'!M152</f>
        <v>123.52031526555615</v>
      </c>
      <c r="O19" s="49">
        <f>'budget 2025-26'!N152</f>
        <v>123.52031526555615</v>
      </c>
      <c r="P19" s="49">
        <f>'budget 2025-26'!O152</f>
        <v>123.52031526555615</v>
      </c>
      <c r="Q19" s="5">
        <f>SUM(E19:P19)</f>
        <v>1482.2437831866737</v>
      </c>
    </row>
    <row r="20" spans="3:17" x14ac:dyDescent="0.35">
      <c r="D20" s="3" t="s">
        <v>502</v>
      </c>
      <c r="E20" s="49">
        <f>'Input Actual2025-26'!E155</f>
        <v>122.91198245132986</v>
      </c>
      <c r="F20" s="49">
        <f>'Input Actual2025-26'!F155</f>
        <v>123.7152115897827</v>
      </c>
      <c r="G20" s="49">
        <f>'Input Actual2025-26'!G155</f>
        <v>121.31408176508761</v>
      </c>
      <c r="H20" s="49">
        <f>'Input Actual2025-26'!H155</f>
        <v>124.05632411067194</v>
      </c>
      <c r="I20" s="49">
        <f>'Input Actual2025-26'!I155</f>
        <v>122.1172638436482</v>
      </c>
      <c r="J20" s="49">
        <f>'Input Actual2025-26'!J155</f>
        <v>123.4021101992966</v>
      </c>
      <c r="K20" s="49">
        <f>'Input Actual2025-26'!K155</f>
        <v>125.19947582993593</v>
      </c>
      <c r="L20" s="49">
        <f>'Input Actual2025-26'!L155</f>
        <v>124.69994781701165</v>
      </c>
      <c r="M20" s="49" t="e">
        <f>'Input Actual2025-26'!M155</f>
        <v>#DIV/0!</v>
      </c>
      <c r="N20" s="49" t="e">
        <f>'Input Actual2025-26'!N155</f>
        <v>#DIV/0!</v>
      </c>
      <c r="O20" s="49" t="e">
        <f>'Input Actual2025-26'!O155</f>
        <v>#DIV/0!</v>
      </c>
      <c r="P20" s="49" t="e">
        <f>'Input Actual2025-26'!P155</f>
        <v>#DIV/0!</v>
      </c>
      <c r="Q20" s="5" t="e">
        <f t="shared" ref="Q20:Q22" si="0">SUM(E20:P20)</f>
        <v>#DIV/0!</v>
      </c>
    </row>
    <row r="21" spans="3:17" x14ac:dyDescent="0.35">
      <c r="D21" s="3" t="s">
        <v>424</v>
      </c>
      <c r="E21" s="49">
        <f>'Input Actual2024-25'!E144</f>
        <v>92.08192426768278</v>
      </c>
      <c r="F21" s="49">
        <f>'Input Actual2024-25'!F144</f>
        <v>93.394501718213064</v>
      </c>
      <c r="G21" s="49">
        <f>'Input Actual2024-25'!G144</f>
        <v>84.579145728643212</v>
      </c>
      <c r="H21" s="49">
        <f>'Input Actual2024-25'!H144</f>
        <v>86.607028150387308</v>
      </c>
      <c r="I21" s="49">
        <f>'Input Actual2024-25'!I144</f>
        <v>84.210447481744993</v>
      </c>
      <c r="J21" s="49">
        <f>'Input Actual2024-25'!J144</f>
        <v>98.875809935205183</v>
      </c>
      <c r="K21" s="49">
        <f>'Input Actual2024-25'!K144</f>
        <v>74.147751605995722</v>
      </c>
      <c r="L21" s="49">
        <f>'Input Actual2024-25'!L144</f>
        <v>76.014488865038899</v>
      </c>
      <c r="M21" s="49">
        <f>'Input Actual2024-25'!M144</f>
        <v>75.838254172015411</v>
      </c>
      <c r="N21" s="49">
        <f>'Input Actual2024-25'!N144</f>
        <v>72.187531677648252</v>
      </c>
      <c r="O21" s="49">
        <f>'Input Actual2024-25'!O144</f>
        <v>123.27843540916109</v>
      </c>
      <c r="P21" s="49">
        <f>'Input Actual2024-25'!P144</f>
        <v>123.76219512195122</v>
      </c>
      <c r="Q21" s="5">
        <f t="shared" si="0"/>
        <v>1084.977514133687</v>
      </c>
    </row>
    <row r="22" spans="3:17" x14ac:dyDescent="0.35">
      <c r="D22" s="3" t="s">
        <v>7</v>
      </c>
      <c r="E22" s="5">
        <f t="shared" ref="E22:P22" si="1">IF(E20=0,0,E20-E19)</f>
        <v>-0.60833281422628716</v>
      </c>
      <c r="F22" s="5">
        <f t="shared" si="1"/>
        <v>0.19489632422654779</v>
      </c>
      <c r="G22" s="5">
        <f t="shared" si="1"/>
        <v>-2.2062335004685423</v>
      </c>
      <c r="H22" s="5">
        <f t="shared" si="1"/>
        <v>0.53600884511578784</v>
      </c>
      <c r="I22" s="5">
        <f t="shared" si="1"/>
        <v>-1.4030514219079464</v>
      </c>
      <c r="J22" s="5">
        <f t="shared" si="1"/>
        <v>-0.11820506625954863</v>
      </c>
      <c r="K22" s="5">
        <f t="shared" si="1"/>
        <v>1.6791605643797851</v>
      </c>
      <c r="L22" s="5">
        <f t="shared" si="1"/>
        <v>1.1796325514554979</v>
      </c>
      <c r="M22" s="5" t="e">
        <f t="shared" si="1"/>
        <v>#DIV/0!</v>
      </c>
      <c r="N22" s="5" t="e">
        <f t="shared" si="1"/>
        <v>#DIV/0!</v>
      </c>
      <c r="O22" s="5" t="e">
        <f t="shared" si="1"/>
        <v>#DIV/0!</v>
      </c>
      <c r="P22" s="5" t="e">
        <f t="shared" si="1"/>
        <v>#DIV/0!</v>
      </c>
      <c r="Q22" s="5" t="e">
        <f t="shared" si="0"/>
        <v>#DIV/0!</v>
      </c>
    </row>
    <row r="23" spans="3:17" x14ac:dyDescent="0.35">
      <c r="D23" s="3" t="s">
        <v>43</v>
      </c>
      <c r="E23" s="9">
        <f>E21/E19</f>
        <v>0.74547999711396451</v>
      </c>
      <c r="F23" s="9">
        <f t="shared" ref="F23:P23" si="2">F20/F19</f>
        <v>1.0015778483386117</v>
      </c>
      <c r="G23" s="9">
        <f t="shared" si="2"/>
        <v>0.98213869924372066</v>
      </c>
      <c r="H23" s="9">
        <f t="shared" si="2"/>
        <v>1.0043394387713747</v>
      </c>
      <c r="I23" s="9">
        <f t="shared" si="2"/>
        <v>0.98864112823148542</v>
      </c>
      <c r="J23" s="9">
        <f t="shared" si="2"/>
        <v>0.9990430313749975</v>
      </c>
      <c r="K23" s="9">
        <f t="shared" si="2"/>
        <v>1.0135942056233402</v>
      </c>
      <c r="L23" s="9">
        <f t="shared" si="2"/>
        <v>1.0095501096230155</v>
      </c>
      <c r="M23" s="9" t="e">
        <f t="shared" si="2"/>
        <v>#DIV/0!</v>
      </c>
      <c r="N23" s="9" t="e">
        <f t="shared" si="2"/>
        <v>#DIV/0!</v>
      </c>
      <c r="O23" s="9" t="e">
        <f t="shared" si="2"/>
        <v>#DIV/0!</v>
      </c>
      <c r="P23" s="9" t="e">
        <f t="shared" si="2"/>
        <v>#DIV/0!</v>
      </c>
    </row>
    <row r="25" spans="3:17" x14ac:dyDescent="0.35">
      <c r="C25" s="7" t="s">
        <v>3</v>
      </c>
      <c r="E25" s="11">
        <f>E18</f>
        <v>45839</v>
      </c>
      <c r="F25" s="11">
        <f t="shared" ref="F25:P25" si="3">F18</f>
        <v>45870</v>
      </c>
      <c r="G25" s="11">
        <f t="shared" si="3"/>
        <v>45901</v>
      </c>
      <c r="H25" s="11">
        <f t="shared" si="3"/>
        <v>45931</v>
      </c>
      <c r="I25" s="11">
        <f t="shared" si="3"/>
        <v>45962</v>
      </c>
      <c r="J25" s="11">
        <f t="shared" si="3"/>
        <v>45992</v>
      </c>
      <c r="K25" s="11">
        <f t="shared" si="3"/>
        <v>46023</v>
      </c>
      <c r="L25" s="11">
        <f t="shared" si="3"/>
        <v>46054</v>
      </c>
      <c r="M25" s="11">
        <f t="shared" si="3"/>
        <v>46082</v>
      </c>
      <c r="N25" s="11">
        <f t="shared" si="3"/>
        <v>46113</v>
      </c>
      <c r="O25" s="11">
        <f t="shared" si="3"/>
        <v>46143</v>
      </c>
      <c r="P25" s="11">
        <f t="shared" si="3"/>
        <v>46174</v>
      </c>
    </row>
    <row r="26" spans="3:17" x14ac:dyDescent="0.35">
      <c r="D26" s="3" t="str">
        <f>D19</f>
        <v>Budget 2025-26</v>
      </c>
      <c r="E26" s="5">
        <f>AVERAGE($E19:E19)</f>
        <v>123.52031526555615</v>
      </c>
      <c r="F26" s="5">
        <f>AVERAGE($E19:F19)</f>
        <v>123.52031526555615</v>
      </c>
      <c r="G26" s="5">
        <f>AVERAGE($E19:G19)</f>
        <v>123.52031526555614</v>
      </c>
      <c r="H26" s="5">
        <f>AVERAGE($E19:H19)</f>
        <v>123.52031526555615</v>
      </c>
      <c r="I26" s="5">
        <f>AVERAGE($E19:I19)</f>
        <v>123.52031526555615</v>
      </c>
      <c r="J26" s="5">
        <f>AVERAGE($E19:J19)</f>
        <v>123.52031526555616</v>
      </c>
      <c r="K26" s="5">
        <f>AVERAGE($E19:K19)</f>
        <v>123.52031526555616</v>
      </c>
      <c r="L26" s="5">
        <f>AVERAGE($E19:L19)</f>
        <v>123.52031526555616</v>
      </c>
      <c r="M26" s="5">
        <f>AVERAGE($E19:M19)</f>
        <v>123.52031526555616</v>
      </c>
      <c r="N26" s="5">
        <f>AVERAGE($E19:N19)</f>
        <v>123.52031526555615</v>
      </c>
      <c r="O26" s="5">
        <f>AVERAGE($E19:O19)</f>
        <v>123.52031526555615</v>
      </c>
      <c r="P26" s="5">
        <f>AVERAGE($E19:P19)</f>
        <v>123.52031526555614</v>
      </c>
    </row>
    <row r="27" spans="3:17" x14ac:dyDescent="0.35">
      <c r="D27" s="3" t="str">
        <f t="shared" ref="D27:D30" si="4">D20</f>
        <v>Actual 2025-26</v>
      </c>
      <c r="E27" s="5">
        <f>AVERAGE($E20:E20)</f>
        <v>122.91198245132986</v>
      </c>
      <c r="F27" s="5">
        <f>AVERAGE($E20:F20)</f>
        <v>123.31359702055627</v>
      </c>
      <c r="G27" s="5">
        <f>AVERAGE($E20:G20)</f>
        <v>122.64709193540006</v>
      </c>
      <c r="H27" s="5">
        <f>AVERAGE($E20:H20)</f>
        <v>122.99939997921803</v>
      </c>
      <c r="I27" s="5">
        <f>AVERAGE($E20:I20)</f>
        <v>122.82297275210405</v>
      </c>
      <c r="J27" s="5">
        <f>AVERAGE($E20:J20)</f>
        <v>122.91949565996947</v>
      </c>
      <c r="K27" s="5">
        <f>AVERAGE($E20:K20)</f>
        <v>123.24520711282183</v>
      </c>
      <c r="L27" s="5">
        <f>AVERAGE($E20:L20)</f>
        <v>123.42704970084556</v>
      </c>
      <c r="M27" s="5" t="e">
        <f>AVERAGE($E20:M20)</f>
        <v>#DIV/0!</v>
      </c>
      <c r="N27" s="5" t="e">
        <f>AVERAGE($E20:N20)</f>
        <v>#DIV/0!</v>
      </c>
      <c r="O27" s="5" t="e">
        <f>AVERAGE($E20:O20)</f>
        <v>#DIV/0!</v>
      </c>
      <c r="P27" s="5" t="e">
        <f>AVERAGE($E20:P20)</f>
        <v>#DIV/0!</v>
      </c>
    </row>
    <row r="28" spans="3:17" x14ac:dyDescent="0.35">
      <c r="D28" s="3" t="str">
        <f t="shared" si="4"/>
        <v>Actual 2024-25</v>
      </c>
      <c r="E28" s="5">
        <f>AVERAGE($E21:E21)</f>
        <v>92.08192426768278</v>
      </c>
      <c r="F28" s="5">
        <f>AVERAGE($E21:F21)</f>
        <v>92.738212992947922</v>
      </c>
      <c r="G28" s="5">
        <f>AVERAGE($E21:G21)</f>
        <v>90.018523904846347</v>
      </c>
      <c r="H28" s="5">
        <f>AVERAGE($E21:H21)</f>
        <v>89.165649966231584</v>
      </c>
      <c r="I28" s="5">
        <f>AVERAGE($E21:I21)</f>
        <v>88.174609469334271</v>
      </c>
      <c r="J28" s="5">
        <f>AVERAGE($E21:J21)</f>
        <v>89.958142880312764</v>
      </c>
      <c r="K28" s="5">
        <f>AVERAGE($E21:K21)</f>
        <v>87.699515555410329</v>
      </c>
      <c r="L28" s="5">
        <f>AVERAGE($E21:L21)</f>
        <v>86.238887219113892</v>
      </c>
      <c r="M28" s="5">
        <f>AVERAGE($E21:M21)</f>
        <v>85.083261324991838</v>
      </c>
      <c r="N28" s="5">
        <f>AVERAGE($E21:N21)</f>
        <v>83.793688360257477</v>
      </c>
      <c r="O28" s="5">
        <f>AVERAGE($E21:O21)</f>
        <v>87.383210819248703</v>
      </c>
      <c r="P28" s="5">
        <f>AVERAGE($E21:P21)</f>
        <v>90.414792844473922</v>
      </c>
    </row>
    <row r="29" spans="3:17" x14ac:dyDescent="0.35">
      <c r="D29" s="3" t="str">
        <f t="shared" si="4"/>
        <v>Difference</v>
      </c>
      <c r="E29" s="5">
        <f>SUM($E22:E22)</f>
        <v>-0.60833281422628716</v>
      </c>
      <c r="F29" s="5">
        <f>SUM($E22:F22)</f>
        <v>-0.41343648999973936</v>
      </c>
      <c r="G29" s="5">
        <f>SUM($E22:G22)</f>
        <v>-2.6196699904682816</v>
      </c>
      <c r="H29" s="5">
        <f>SUM($E22:H22)</f>
        <v>-2.0836611453524938</v>
      </c>
      <c r="I29" s="5">
        <f>SUM($E22:I22)</f>
        <v>-3.4867125672604402</v>
      </c>
      <c r="J29" s="5">
        <f>SUM($E22:J22)</f>
        <v>-3.6049176335199888</v>
      </c>
      <c r="K29" s="5">
        <f>SUM($E22:K22)</f>
        <v>-1.9257570691402037</v>
      </c>
      <c r="L29" s="5">
        <f>SUM($E22:L22)</f>
        <v>-0.74612451768470578</v>
      </c>
      <c r="M29" s="5" t="e">
        <f>SUM($E22:M22)</f>
        <v>#DIV/0!</v>
      </c>
      <c r="N29" s="5" t="e">
        <f>SUM($E22:N22)</f>
        <v>#DIV/0!</v>
      </c>
      <c r="O29" s="5" t="e">
        <f>SUM($E22:O22)</f>
        <v>#DIV/0!</v>
      </c>
      <c r="P29" s="5" t="e">
        <f>SUM($E22:P22)</f>
        <v>#DIV/0!</v>
      </c>
    </row>
    <row r="30" spans="3:17" x14ac:dyDescent="0.35">
      <c r="D30" s="3" t="str">
        <f t="shared" si="4"/>
        <v>Realisation</v>
      </c>
      <c r="E30" s="9">
        <f>E28/E26</f>
        <v>0.74547999711396451</v>
      </c>
      <c r="F30" s="9">
        <f t="shared" ref="F30:P30" si="5">F27/F26</f>
        <v>0.99832644335018528</v>
      </c>
      <c r="G30" s="9">
        <f t="shared" si="5"/>
        <v>0.99293052864803055</v>
      </c>
      <c r="H30" s="9">
        <f t="shared" si="5"/>
        <v>0.99578275617886658</v>
      </c>
      <c r="I30" s="9">
        <f t="shared" si="5"/>
        <v>0.99435443058939021</v>
      </c>
      <c r="J30" s="9">
        <f t="shared" si="5"/>
        <v>0.99513586405365795</v>
      </c>
      <c r="K30" s="9">
        <f t="shared" si="5"/>
        <v>0.99777276999218401</v>
      </c>
      <c r="L30" s="9">
        <f t="shared" si="5"/>
        <v>0.99924493744603793</v>
      </c>
      <c r="M30" s="9" t="e">
        <f t="shared" si="5"/>
        <v>#DIV/0!</v>
      </c>
      <c r="N30" s="9" t="e">
        <f t="shared" si="5"/>
        <v>#DIV/0!</v>
      </c>
      <c r="O30" s="9" t="e">
        <f t="shared" si="5"/>
        <v>#DIV/0!</v>
      </c>
      <c r="P30" s="9" t="e">
        <f t="shared" si="5"/>
        <v>#DIV/0!</v>
      </c>
    </row>
  </sheetData>
  <mergeCells count="2">
    <mergeCell ref="J4:Q8"/>
    <mergeCell ref="J10:Q15"/>
  </mergeCells>
  <conditionalFormatting sqref="C3">
    <cfRule type="expression" dxfId="149" priority="2">
      <formula>S4&lt;S6</formula>
    </cfRule>
  </conditionalFormatting>
  <conditionalFormatting sqref="C5">
    <cfRule type="expression" dxfId="148" priority="3">
      <formula>S4&gt;=S5</formula>
    </cfRule>
  </conditionalFormatting>
  <conditionalFormatting sqref="C4">
    <cfRule type="expression" dxfId="147" priority="1">
      <formula>AND(S4&gt;=S6,S4&lt;S5)</formula>
    </cfRule>
  </conditionalFormatting>
  <hyperlinks>
    <hyperlink ref="L1" location="Dashboard!A1" display="Dashboard"/>
  </hyperlinks>
  <pageMargins left="0.7" right="0.7" top="0.75" bottom="0.75" header="0.3" footer="0.3"/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763329" r:id="rId3" name="Spinner 1">
              <controlPr defaultSize="0" autoPict="0">
                <anchor moveWithCells="1" sizeWithCells="1">
                  <from>
                    <xdr:col>9</xdr:col>
                    <xdr:colOff>19050</xdr:colOff>
                    <xdr:row>0</xdr:row>
                    <xdr:rowOff>38100</xdr:rowOff>
                  </from>
                  <to>
                    <xdr:col>9</xdr:col>
                    <xdr:colOff>400050</xdr:colOff>
                    <xdr:row>1</xdr:row>
                    <xdr:rowOff>152400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15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117">
    <tabColor rgb="FFFFC000"/>
  </sheetPr>
  <dimension ref="A1:S30"/>
  <sheetViews>
    <sheetView zoomScale="90" zoomScaleNormal="90" workbookViewId="0">
      <selection activeCell="L1" sqref="L1"/>
    </sheetView>
  </sheetViews>
  <sheetFormatPr defaultColWidth="9.1796875" defaultRowHeight="14.5" x14ac:dyDescent="0.35"/>
  <cols>
    <col min="1" max="1" width="9.1796875" style="3"/>
    <col min="2" max="2" width="5.7265625" style="3" bestFit="1" customWidth="1"/>
    <col min="3" max="3" width="6.26953125" style="3" customWidth="1"/>
    <col min="4" max="4" width="21.26953125" style="3" bestFit="1" customWidth="1"/>
    <col min="5" max="16" width="11.1796875" style="3" customWidth="1"/>
    <col min="17" max="17" width="12" style="3" bestFit="1" customWidth="1"/>
    <col min="18" max="18" width="9.1796875" style="3" customWidth="1"/>
    <col min="19" max="16384" width="9.1796875" style="3"/>
  </cols>
  <sheetData>
    <row r="1" spans="1:19" ht="21" x14ac:dyDescent="0.5">
      <c r="A1" s="4" t="s">
        <v>4</v>
      </c>
      <c r="B1" s="4">
        <f>Dashboard!A160</f>
        <v>3</v>
      </c>
      <c r="C1" s="4" t="str">
        <f>Dashboard!B160</f>
        <v>MAI-MAHIU - KSH/M3</v>
      </c>
      <c r="D1" s="4"/>
      <c r="G1" s="3" t="s">
        <v>9</v>
      </c>
      <c r="I1" s="12">
        <f>INDEX($E$18:$P$18,Actual_month)</f>
        <v>46054</v>
      </c>
      <c r="L1" s="16" t="s">
        <v>19</v>
      </c>
      <c r="R1" s="5"/>
    </row>
    <row r="2" spans="1:19" x14ac:dyDescent="0.35">
      <c r="A2" s="3" t="s">
        <v>13</v>
      </c>
      <c r="C2" s="3" t="s">
        <v>27</v>
      </c>
      <c r="R2" s="6"/>
    </row>
    <row r="3" spans="1:19" ht="25.5" customHeight="1" thickBot="1" x14ac:dyDescent="0.4">
      <c r="C3" s="1" t="s">
        <v>5</v>
      </c>
      <c r="E3" s="10"/>
      <c r="F3" s="10"/>
      <c r="G3" s="10"/>
      <c r="H3" s="10"/>
      <c r="I3" s="10"/>
      <c r="J3" s="3" t="s">
        <v>6</v>
      </c>
      <c r="K3" s="10"/>
      <c r="M3" s="10"/>
      <c r="N3" s="10"/>
      <c r="O3" s="10"/>
      <c r="P3" s="10"/>
    </row>
    <row r="4" spans="1:19" ht="25.5" customHeight="1" x14ac:dyDescent="0.35">
      <c r="C4" s="1" t="s">
        <v>5</v>
      </c>
      <c r="E4" s="10"/>
      <c r="F4" s="10"/>
      <c r="G4" s="10"/>
      <c r="H4" s="10"/>
      <c r="I4" s="10"/>
      <c r="J4" s="401"/>
      <c r="K4" s="402"/>
      <c r="L4" s="402"/>
      <c r="M4" s="402"/>
      <c r="N4" s="402"/>
      <c r="O4" s="402"/>
      <c r="P4" s="402"/>
      <c r="Q4" s="403"/>
      <c r="R4" s="3" t="s">
        <v>22</v>
      </c>
      <c r="S4" s="5">
        <f>INDEX(E27:P27,Actual_month)</f>
        <v>131.6580200266896</v>
      </c>
    </row>
    <row r="5" spans="1:19" ht="25.5" customHeight="1" x14ac:dyDescent="0.35">
      <c r="C5" s="1" t="s">
        <v>5</v>
      </c>
      <c r="E5" s="10"/>
      <c r="F5" s="10"/>
      <c r="G5" s="10"/>
      <c r="H5" s="10"/>
      <c r="I5" s="10"/>
      <c r="J5" s="404"/>
      <c r="K5" s="405"/>
      <c r="L5" s="405"/>
      <c r="M5" s="405"/>
      <c r="N5" s="405"/>
      <c r="O5" s="405"/>
      <c r="P5" s="405"/>
      <c r="Q5" s="406"/>
      <c r="R5" s="3" t="s">
        <v>23</v>
      </c>
      <c r="S5" s="5">
        <f>INDEX(E26:P26,Actual_month)</f>
        <v>130.31358061090211</v>
      </c>
    </row>
    <row r="6" spans="1:19" x14ac:dyDescent="0.35">
      <c r="J6" s="404"/>
      <c r="K6" s="405"/>
      <c r="L6" s="405"/>
      <c r="M6" s="405"/>
      <c r="N6" s="405"/>
      <c r="O6" s="405"/>
      <c r="P6" s="405"/>
      <c r="Q6" s="406"/>
      <c r="R6" s="6">
        <v>0.9</v>
      </c>
      <c r="S6" s="5">
        <f>+S5*R6</f>
        <v>117.28222254981191</v>
      </c>
    </row>
    <row r="7" spans="1:19" x14ac:dyDescent="0.35">
      <c r="J7" s="404"/>
      <c r="K7" s="405"/>
      <c r="L7" s="405"/>
      <c r="M7" s="405"/>
      <c r="N7" s="405"/>
      <c r="O7" s="405"/>
      <c r="P7" s="405"/>
      <c r="Q7" s="406"/>
    </row>
    <row r="8" spans="1:19" ht="15" thickBot="1" x14ac:dyDescent="0.4">
      <c r="J8" s="407"/>
      <c r="K8" s="408"/>
      <c r="L8" s="408"/>
      <c r="M8" s="408"/>
      <c r="N8" s="408"/>
      <c r="O8" s="408"/>
      <c r="P8" s="408"/>
      <c r="Q8" s="409"/>
    </row>
    <row r="9" spans="1:19" ht="15" thickBot="1" x14ac:dyDescent="0.4">
      <c r="J9" s="3" t="s">
        <v>12</v>
      </c>
    </row>
    <row r="10" spans="1:19" x14ac:dyDescent="0.35">
      <c r="J10" s="401"/>
      <c r="K10" s="402"/>
      <c r="L10" s="402"/>
      <c r="M10" s="402"/>
      <c r="N10" s="402"/>
      <c r="O10" s="402"/>
      <c r="P10" s="402"/>
      <c r="Q10" s="403"/>
    </row>
    <row r="11" spans="1:19" x14ac:dyDescent="0.35">
      <c r="J11" s="404"/>
      <c r="K11" s="405"/>
      <c r="L11" s="405"/>
      <c r="M11" s="405"/>
      <c r="N11" s="405"/>
      <c r="O11" s="405"/>
      <c r="P11" s="405"/>
      <c r="Q11" s="406"/>
    </row>
    <row r="12" spans="1:19" x14ac:dyDescent="0.35">
      <c r="J12" s="404"/>
      <c r="K12" s="405"/>
      <c r="L12" s="405"/>
      <c r="M12" s="405"/>
      <c r="N12" s="405"/>
      <c r="O12" s="405"/>
      <c r="P12" s="405"/>
      <c r="Q12" s="406"/>
    </row>
    <row r="13" spans="1:19" x14ac:dyDescent="0.35">
      <c r="J13" s="404"/>
      <c r="K13" s="405"/>
      <c r="L13" s="405"/>
      <c r="M13" s="405"/>
      <c r="N13" s="405"/>
      <c r="O13" s="405"/>
      <c r="P13" s="405"/>
      <c r="Q13" s="406"/>
    </row>
    <row r="14" spans="1:19" x14ac:dyDescent="0.35">
      <c r="J14" s="404"/>
      <c r="K14" s="405"/>
      <c r="L14" s="405"/>
      <c r="M14" s="405"/>
      <c r="N14" s="405"/>
      <c r="O14" s="405"/>
      <c r="P14" s="405"/>
      <c r="Q14" s="406"/>
    </row>
    <row r="15" spans="1:19" ht="15" thickBot="1" x14ac:dyDescent="0.4">
      <c r="J15" s="407"/>
      <c r="K15" s="408"/>
      <c r="L15" s="408"/>
      <c r="M15" s="408"/>
      <c r="N15" s="408"/>
      <c r="O15" s="408"/>
      <c r="P15" s="408"/>
      <c r="Q15" s="409"/>
    </row>
    <row r="18" spans="3:17" x14ac:dyDescent="0.35">
      <c r="C18" s="7" t="s">
        <v>8</v>
      </c>
      <c r="E18" s="11">
        <v>45839</v>
      </c>
      <c r="F18" s="11">
        <v>45870</v>
      </c>
      <c r="G18" s="11">
        <v>45901</v>
      </c>
      <c r="H18" s="11">
        <v>45931</v>
      </c>
      <c r="I18" s="11">
        <v>45962</v>
      </c>
      <c r="J18" s="11">
        <v>45992</v>
      </c>
      <c r="K18" s="11">
        <v>46023</v>
      </c>
      <c r="L18" s="11">
        <v>46054</v>
      </c>
      <c r="M18" s="11">
        <v>46082</v>
      </c>
      <c r="N18" s="11">
        <v>46113</v>
      </c>
      <c r="O18" s="11">
        <v>46143</v>
      </c>
      <c r="P18" s="11">
        <v>46174</v>
      </c>
      <c r="Q18" s="8" t="s">
        <v>0</v>
      </c>
    </row>
    <row r="19" spans="3:17" x14ac:dyDescent="0.35">
      <c r="D19" s="3" t="s">
        <v>501</v>
      </c>
      <c r="E19" s="49">
        <f>'budget 2025-26'!D151</f>
        <v>130.31358061090211</v>
      </c>
      <c r="F19" s="49">
        <f>'budget 2025-26'!E151</f>
        <v>130.31358061090211</v>
      </c>
      <c r="G19" s="49">
        <f>'budget 2025-26'!F151</f>
        <v>130.31358061090211</v>
      </c>
      <c r="H19" s="49">
        <f>'budget 2025-26'!G151</f>
        <v>130.31358061090211</v>
      </c>
      <c r="I19" s="49">
        <f>'budget 2025-26'!H151</f>
        <v>130.31358061090211</v>
      </c>
      <c r="J19" s="49">
        <f>'budget 2025-26'!I151</f>
        <v>130.31358061090211</v>
      </c>
      <c r="K19" s="49">
        <f>'budget 2025-26'!J151</f>
        <v>130.31358061090211</v>
      </c>
      <c r="L19" s="49">
        <f>'budget 2025-26'!K151</f>
        <v>130.31358061090211</v>
      </c>
      <c r="M19" s="49">
        <f>'budget 2025-26'!L151</f>
        <v>130.31358061090211</v>
      </c>
      <c r="N19" s="49">
        <f>'budget 2025-26'!M151</f>
        <v>130.31358061090211</v>
      </c>
      <c r="O19" s="49">
        <f>'budget 2025-26'!N151</f>
        <v>130.31358061090211</v>
      </c>
      <c r="P19" s="49">
        <f>'budget 2025-26'!O151</f>
        <v>130.31358061090211</v>
      </c>
      <c r="Q19" s="5">
        <f>SUM(E19:P19)</f>
        <v>1563.7629673308254</v>
      </c>
    </row>
    <row r="20" spans="3:17" x14ac:dyDescent="0.35">
      <c r="D20" s="3" t="s">
        <v>502</v>
      </c>
      <c r="E20" s="49">
        <f>'Input Actual2025-26'!E154</f>
        <v>129.52372980664603</v>
      </c>
      <c r="F20" s="49">
        <f>'Input Actual2025-26'!F154</f>
        <v>133.26089379248859</v>
      </c>
      <c r="G20" s="49">
        <f>'Input Actual2025-26'!G154</f>
        <v>131.35343053940423</v>
      </c>
      <c r="H20" s="49">
        <f>'Input Actual2025-26'!H154</f>
        <v>130.78923937929281</v>
      </c>
      <c r="I20" s="49">
        <f>'Input Actual2025-26'!I154</f>
        <v>131.00940897049421</v>
      </c>
      <c r="J20" s="49">
        <f>'Input Actual2025-26'!J154</f>
        <v>131.86279180562173</v>
      </c>
      <c r="K20" s="49">
        <f>'Input Actual2025-26'!K154</f>
        <v>132.17274857716774</v>
      </c>
      <c r="L20" s="49">
        <f>'Input Actual2025-26'!L154</f>
        <v>133.29191734240126</v>
      </c>
      <c r="M20" s="49" t="e">
        <f>'Input Actual2025-26'!M154</f>
        <v>#DIV/0!</v>
      </c>
      <c r="N20" s="49" t="e">
        <f>'Input Actual2025-26'!N154</f>
        <v>#DIV/0!</v>
      </c>
      <c r="O20" s="49" t="e">
        <f>'Input Actual2025-26'!O154</f>
        <v>#DIV/0!</v>
      </c>
      <c r="P20" s="49" t="e">
        <f>'Input Actual2025-26'!P154</f>
        <v>#DIV/0!</v>
      </c>
      <c r="Q20" s="5" t="e">
        <f t="shared" ref="Q20:Q22" si="0">SUM(E20:P20)</f>
        <v>#DIV/0!</v>
      </c>
    </row>
    <row r="21" spans="3:17" x14ac:dyDescent="0.35">
      <c r="D21" s="3" t="s">
        <v>424</v>
      </c>
      <c r="E21" s="49">
        <f>'Input Actual2024-25'!E143</f>
        <v>85.134535705581285</v>
      </c>
      <c r="F21" s="49">
        <f>'Input Actual2024-25'!F143</f>
        <v>83.333820840950636</v>
      </c>
      <c r="G21" s="49">
        <f>'Input Actual2024-25'!G143</f>
        <v>80.866616356947461</v>
      </c>
      <c r="H21" s="49">
        <f>'Input Actual2024-25'!H143</f>
        <v>76.912778020061054</v>
      </c>
      <c r="I21" s="49">
        <f>'Input Actual2024-25'!I143</f>
        <v>80.495490747247601</v>
      </c>
      <c r="J21" s="49">
        <f>'Input Actual2024-25'!J143</f>
        <v>79.680173092053508</v>
      </c>
      <c r="K21" s="49">
        <f>'Input Actual2024-25'!K143</f>
        <v>82.783839136101278</v>
      </c>
      <c r="L21" s="49">
        <f>'Input Actual2024-25'!L143</f>
        <v>88.883772171422279</v>
      </c>
      <c r="M21" s="49">
        <f>'Input Actual2024-25'!M143</f>
        <v>84.804178359837849</v>
      </c>
      <c r="N21" s="49">
        <f>'Input Actual2024-25'!N143</f>
        <v>84.917909367308525</v>
      </c>
      <c r="O21" s="49">
        <f>'Input Actual2024-25'!O143</f>
        <v>130.77474757006701</v>
      </c>
      <c r="P21" s="49">
        <f>'Input Actual2024-25'!P143</f>
        <v>129.85241365173721</v>
      </c>
      <c r="Q21" s="5">
        <f t="shared" si="0"/>
        <v>1088.4402750193155</v>
      </c>
    </row>
    <row r="22" spans="3:17" x14ac:dyDescent="0.35">
      <c r="D22" s="3" t="s">
        <v>7</v>
      </c>
      <c r="E22" s="5">
        <f t="shared" ref="E22:P22" si="1">IF(E20=0,0,E20-E19)</f>
        <v>-0.78985080425607634</v>
      </c>
      <c r="F22" s="5">
        <f t="shared" si="1"/>
        <v>2.9473131815864804</v>
      </c>
      <c r="G22" s="5">
        <f t="shared" si="1"/>
        <v>1.0398499285021217</v>
      </c>
      <c r="H22" s="5">
        <f t="shared" si="1"/>
        <v>0.47565876839070143</v>
      </c>
      <c r="I22" s="5">
        <f t="shared" si="1"/>
        <v>0.69582835959209888</v>
      </c>
      <c r="J22" s="5">
        <f t="shared" si="1"/>
        <v>1.5492111947196179</v>
      </c>
      <c r="K22" s="5">
        <f t="shared" si="1"/>
        <v>1.8591679662656304</v>
      </c>
      <c r="L22" s="5">
        <f t="shared" si="1"/>
        <v>2.9783367314991551</v>
      </c>
      <c r="M22" s="5" t="e">
        <f t="shared" si="1"/>
        <v>#DIV/0!</v>
      </c>
      <c r="N22" s="5" t="e">
        <f t="shared" si="1"/>
        <v>#DIV/0!</v>
      </c>
      <c r="O22" s="5" t="e">
        <f t="shared" si="1"/>
        <v>#DIV/0!</v>
      </c>
      <c r="P22" s="5" t="e">
        <f t="shared" si="1"/>
        <v>#DIV/0!</v>
      </c>
      <c r="Q22" s="5" t="e">
        <f t="shared" si="0"/>
        <v>#DIV/0!</v>
      </c>
    </row>
    <row r="23" spans="3:17" x14ac:dyDescent="0.35">
      <c r="D23" s="3" t="s">
        <v>43</v>
      </c>
      <c r="E23" s="9">
        <f>E21/E19</f>
        <v>0.65330516824475071</v>
      </c>
      <c r="F23" s="9">
        <f t="shared" ref="F23:P23" si="2">F20/F19</f>
        <v>1.0226170838662376</v>
      </c>
      <c r="G23" s="9">
        <f t="shared" si="2"/>
        <v>1.0079795975494448</v>
      </c>
      <c r="H23" s="9">
        <f t="shared" si="2"/>
        <v>1.0036501089614822</v>
      </c>
      <c r="I23" s="9">
        <f t="shared" si="2"/>
        <v>1.0053396457708406</v>
      </c>
      <c r="J23" s="9">
        <f t="shared" si="2"/>
        <v>1.0118883326469659</v>
      </c>
      <c r="K23" s="9">
        <f t="shared" si="2"/>
        <v>1.0142668780763291</v>
      </c>
      <c r="L23" s="9">
        <f t="shared" si="2"/>
        <v>1.0228551522990688</v>
      </c>
      <c r="M23" s="9" t="e">
        <f t="shared" si="2"/>
        <v>#DIV/0!</v>
      </c>
      <c r="N23" s="9" t="e">
        <f t="shared" si="2"/>
        <v>#DIV/0!</v>
      </c>
      <c r="O23" s="9" t="e">
        <f t="shared" si="2"/>
        <v>#DIV/0!</v>
      </c>
      <c r="P23" s="9" t="e">
        <f t="shared" si="2"/>
        <v>#DIV/0!</v>
      </c>
    </row>
    <row r="25" spans="3:17" x14ac:dyDescent="0.35">
      <c r="C25" s="7" t="s">
        <v>3</v>
      </c>
      <c r="E25" s="11">
        <f>E18</f>
        <v>45839</v>
      </c>
      <c r="F25" s="11">
        <f t="shared" ref="F25:P25" si="3">F18</f>
        <v>45870</v>
      </c>
      <c r="G25" s="11">
        <f t="shared" si="3"/>
        <v>45901</v>
      </c>
      <c r="H25" s="11">
        <f t="shared" si="3"/>
        <v>45931</v>
      </c>
      <c r="I25" s="11">
        <f t="shared" si="3"/>
        <v>45962</v>
      </c>
      <c r="J25" s="11">
        <f t="shared" si="3"/>
        <v>45992</v>
      </c>
      <c r="K25" s="11">
        <f t="shared" si="3"/>
        <v>46023</v>
      </c>
      <c r="L25" s="11">
        <f t="shared" si="3"/>
        <v>46054</v>
      </c>
      <c r="M25" s="11">
        <f t="shared" si="3"/>
        <v>46082</v>
      </c>
      <c r="N25" s="11">
        <f t="shared" si="3"/>
        <v>46113</v>
      </c>
      <c r="O25" s="11">
        <f t="shared" si="3"/>
        <v>46143</v>
      </c>
      <c r="P25" s="11">
        <f t="shared" si="3"/>
        <v>46174</v>
      </c>
    </row>
    <row r="26" spans="3:17" x14ac:dyDescent="0.35">
      <c r="D26" s="3" t="str">
        <f>D19</f>
        <v>Budget 2025-26</v>
      </c>
      <c r="E26" s="5">
        <f>AVERAGE($E19:E19)</f>
        <v>130.31358061090211</v>
      </c>
      <c r="F26" s="5">
        <f>AVERAGE($E19:F19)</f>
        <v>130.31358061090211</v>
      </c>
      <c r="G26" s="5">
        <f>AVERAGE($E19:G19)</f>
        <v>130.31358061090211</v>
      </c>
      <c r="H26" s="5">
        <f>AVERAGE($E19:H19)</f>
        <v>130.31358061090211</v>
      </c>
      <c r="I26" s="5">
        <f>AVERAGE($E19:I19)</f>
        <v>130.31358061090211</v>
      </c>
      <c r="J26" s="5">
        <f>AVERAGE($E19:J19)</f>
        <v>130.31358061090211</v>
      </c>
      <c r="K26" s="5">
        <f>AVERAGE($E19:K19)</f>
        <v>130.31358061090211</v>
      </c>
      <c r="L26" s="5">
        <f>AVERAGE($E19:L19)</f>
        <v>130.31358061090211</v>
      </c>
      <c r="M26" s="5">
        <f>AVERAGE($E19:M19)</f>
        <v>130.31358061090211</v>
      </c>
      <c r="N26" s="5">
        <f>AVERAGE($E19:N19)</f>
        <v>130.31358061090211</v>
      </c>
      <c r="O26" s="5">
        <f>AVERAGE($E19:O19)</f>
        <v>130.31358061090211</v>
      </c>
      <c r="P26" s="5">
        <f>AVERAGE($E19:P19)</f>
        <v>130.31358061090211</v>
      </c>
    </row>
    <row r="27" spans="3:17" x14ac:dyDescent="0.35">
      <c r="D27" s="3" t="str">
        <f t="shared" ref="D27:D30" si="4">D20</f>
        <v>Actual 2025-26</v>
      </c>
      <c r="E27" s="5">
        <f>AVERAGE($E20:E20)</f>
        <v>129.52372980664603</v>
      </c>
      <c r="F27" s="5">
        <f>AVERAGE($E20:F20)</f>
        <v>131.39231179956732</v>
      </c>
      <c r="G27" s="5">
        <f>AVERAGE($E20:G20)</f>
        <v>131.37935137951297</v>
      </c>
      <c r="H27" s="5">
        <f>AVERAGE($E20:H20)</f>
        <v>131.23182337945792</v>
      </c>
      <c r="I27" s="5">
        <f>AVERAGE($E20:I20)</f>
        <v>131.18734049766516</v>
      </c>
      <c r="J27" s="5">
        <f>AVERAGE($E20:J20)</f>
        <v>131.29991571565793</v>
      </c>
      <c r="K27" s="5">
        <f>AVERAGE($E20:K20)</f>
        <v>131.42460612444506</v>
      </c>
      <c r="L27" s="5">
        <f>AVERAGE($E20:L20)</f>
        <v>131.6580200266896</v>
      </c>
      <c r="M27" s="5" t="e">
        <f>AVERAGE($E20:M20)</f>
        <v>#DIV/0!</v>
      </c>
      <c r="N27" s="5" t="e">
        <f>AVERAGE($E20:N20)</f>
        <v>#DIV/0!</v>
      </c>
      <c r="O27" s="5" t="e">
        <f>AVERAGE($E20:O20)</f>
        <v>#DIV/0!</v>
      </c>
      <c r="P27" s="5" t="e">
        <f>AVERAGE($E20:P20)</f>
        <v>#DIV/0!</v>
      </c>
    </row>
    <row r="28" spans="3:17" x14ac:dyDescent="0.35">
      <c r="D28" s="3" t="str">
        <f t="shared" si="4"/>
        <v>Actual 2024-25</v>
      </c>
      <c r="E28" s="5">
        <f>AVERAGE($E21:E21)</f>
        <v>85.134535705581285</v>
      </c>
      <c r="F28" s="5">
        <f>AVERAGE($E21:F21)</f>
        <v>84.234178273265968</v>
      </c>
      <c r="G28" s="5">
        <f>AVERAGE($E21:G21)</f>
        <v>83.111657634493142</v>
      </c>
      <c r="H28" s="5">
        <f>AVERAGE($E21:H21)</f>
        <v>81.56193773088512</v>
      </c>
      <c r="I28" s="5">
        <f>AVERAGE($E21:I21)</f>
        <v>81.348648334157616</v>
      </c>
      <c r="J28" s="5">
        <f>AVERAGE($E21:J21)</f>
        <v>81.07056912714026</v>
      </c>
      <c r="K28" s="5">
        <f>AVERAGE($E21:K21)</f>
        <v>81.315321985563259</v>
      </c>
      <c r="L28" s="5">
        <f>AVERAGE($E21:L21)</f>
        <v>82.261378258795631</v>
      </c>
      <c r="M28" s="5">
        <f>AVERAGE($E21:M21)</f>
        <v>82.543911603355866</v>
      </c>
      <c r="N28" s="5">
        <f>AVERAGE($E21:N21)</f>
        <v>82.781311379751145</v>
      </c>
      <c r="O28" s="5">
        <f>AVERAGE($E21:O21)</f>
        <v>87.144351033416214</v>
      </c>
      <c r="P28" s="5">
        <f>AVERAGE($E21:P21)</f>
        <v>90.703356251609634</v>
      </c>
    </row>
    <row r="29" spans="3:17" x14ac:dyDescent="0.35">
      <c r="D29" s="3" t="str">
        <f t="shared" si="4"/>
        <v>Difference</v>
      </c>
      <c r="E29" s="5">
        <f>SUM($E22:E22)</f>
        <v>-0.78985080425607634</v>
      </c>
      <c r="F29" s="5">
        <f>SUM($E22:F22)</f>
        <v>2.157462377330404</v>
      </c>
      <c r="G29" s="5">
        <f>SUM($E22:G22)</f>
        <v>3.1973123058325257</v>
      </c>
      <c r="H29" s="5">
        <f>SUM($E22:H22)</f>
        <v>3.6729710742232271</v>
      </c>
      <c r="I29" s="5">
        <f>SUM($E22:I22)</f>
        <v>4.368799433815326</v>
      </c>
      <c r="J29" s="5">
        <f>SUM($E22:J22)</f>
        <v>5.9180106285349439</v>
      </c>
      <c r="K29" s="5">
        <f>SUM($E22:K22)</f>
        <v>7.7771785948005743</v>
      </c>
      <c r="L29" s="5">
        <f>SUM($E22:L22)</f>
        <v>10.755515326299729</v>
      </c>
      <c r="M29" s="5" t="e">
        <f>SUM($E22:M22)</f>
        <v>#DIV/0!</v>
      </c>
      <c r="N29" s="5" t="e">
        <f>SUM($E22:N22)</f>
        <v>#DIV/0!</v>
      </c>
      <c r="O29" s="5" t="e">
        <f>SUM($E22:O22)</f>
        <v>#DIV/0!</v>
      </c>
      <c r="P29" s="5" t="e">
        <f>SUM($E22:P22)</f>
        <v>#DIV/0!</v>
      </c>
    </row>
    <row r="30" spans="3:17" x14ac:dyDescent="0.35">
      <c r="D30" s="3" t="str">
        <f t="shared" si="4"/>
        <v>Realisation</v>
      </c>
      <c r="E30" s="9">
        <f>E28/E26</f>
        <v>0.65330516824475071</v>
      </c>
      <c r="F30" s="9">
        <f t="shared" ref="F30:P30" si="5">F27/F26</f>
        <v>1.0082779644577962</v>
      </c>
      <c r="G30" s="9">
        <f t="shared" si="5"/>
        <v>1.0081785088216793</v>
      </c>
      <c r="H30" s="9">
        <f t="shared" si="5"/>
        <v>1.00704640885663</v>
      </c>
      <c r="I30" s="9">
        <f t="shared" si="5"/>
        <v>1.0067050562394719</v>
      </c>
      <c r="J30" s="9">
        <f t="shared" si="5"/>
        <v>1.0075689356407209</v>
      </c>
      <c r="K30" s="9">
        <f t="shared" si="5"/>
        <v>1.0085257845600937</v>
      </c>
      <c r="L30" s="9">
        <f t="shared" si="5"/>
        <v>1.0103169555274656</v>
      </c>
      <c r="M30" s="9" t="e">
        <f t="shared" si="5"/>
        <v>#DIV/0!</v>
      </c>
      <c r="N30" s="9" t="e">
        <f t="shared" si="5"/>
        <v>#DIV/0!</v>
      </c>
      <c r="O30" s="9" t="e">
        <f t="shared" si="5"/>
        <v>#DIV/0!</v>
      </c>
      <c r="P30" s="9" t="e">
        <f t="shared" si="5"/>
        <v>#DIV/0!</v>
      </c>
    </row>
  </sheetData>
  <mergeCells count="2">
    <mergeCell ref="J4:Q8"/>
    <mergeCell ref="J10:Q15"/>
  </mergeCells>
  <conditionalFormatting sqref="C3">
    <cfRule type="expression" dxfId="146" priority="2">
      <formula>S4&lt;S6</formula>
    </cfRule>
  </conditionalFormatting>
  <conditionalFormatting sqref="C5">
    <cfRule type="expression" dxfId="145" priority="3">
      <formula>S4&gt;=S5</formula>
    </cfRule>
  </conditionalFormatting>
  <conditionalFormatting sqref="C4">
    <cfRule type="expression" dxfId="144" priority="1">
      <formula>AND(S4&gt;=S6,S4&lt;S5)</formula>
    </cfRule>
  </conditionalFormatting>
  <hyperlinks>
    <hyperlink ref="L1" location="Dashboard!A1" display="Dashboard"/>
  </hyperlinks>
  <pageMargins left="0.7" right="0.7" top="0.75" bottom="0.75" header="0.3" footer="0.3"/>
  <pageSetup orientation="portrait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53697" r:id="rId4" name="Spinner 1">
              <controlPr defaultSize="0" autoPict="0">
                <anchor moveWithCells="1" sizeWithCells="1">
                  <from>
                    <xdr:col>9</xdr:col>
                    <xdr:colOff>19050</xdr:colOff>
                    <xdr:row>0</xdr:row>
                    <xdr:rowOff>38100</xdr:rowOff>
                  </from>
                  <to>
                    <xdr:col>9</xdr:col>
                    <xdr:colOff>400050</xdr:colOff>
                    <xdr:row>1</xdr:row>
                    <xdr:rowOff>152400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15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FFC000"/>
  </sheetPr>
  <dimension ref="A1:S30"/>
  <sheetViews>
    <sheetView workbookViewId="0">
      <selection activeCell="L1" sqref="L1"/>
    </sheetView>
  </sheetViews>
  <sheetFormatPr defaultColWidth="9.1796875" defaultRowHeight="14.5" x14ac:dyDescent="0.35"/>
  <cols>
    <col min="1" max="1" width="9.1796875" style="3"/>
    <col min="2" max="2" width="5.7265625" style="3" bestFit="1" customWidth="1"/>
    <col min="3" max="3" width="6.26953125" style="3" customWidth="1"/>
    <col min="4" max="4" width="21.26953125" style="3" bestFit="1" customWidth="1"/>
    <col min="5" max="16" width="11.1796875" style="3" customWidth="1"/>
    <col min="17" max="17" width="12" style="3" bestFit="1" customWidth="1"/>
    <col min="18" max="18" width="9.1796875" style="3" customWidth="1"/>
    <col min="19" max="16384" width="9.1796875" style="3"/>
  </cols>
  <sheetData>
    <row r="1" spans="1:19" ht="21" x14ac:dyDescent="0.5">
      <c r="A1" s="4" t="s">
        <v>4</v>
      </c>
      <c r="B1" s="4">
        <f>Dashboard!A162</f>
        <v>0</v>
      </c>
      <c r="C1" s="4" t="str">
        <f>Dashboard!A163</f>
        <v>EASTERN REGION</v>
      </c>
      <c r="D1" s="4"/>
      <c r="G1" s="3" t="s">
        <v>9</v>
      </c>
      <c r="I1" s="12">
        <f>INDEX($E$18:$P$18,Actual_month)</f>
        <v>46054</v>
      </c>
      <c r="L1" s="16" t="s">
        <v>19</v>
      </c>
      <c r="R1" s="5"/>
    </row>
    <row r="2" spans="1:19" x14ac:dyDescent="0.35">
      <c r="A2" s="3" t="s">
        <v>13</v>
      </c>
      <c r="C2" s="3" t="s">
        <v>27</v>
      </c>
      <c r="R2" s="6"/>
    </row>
    <row r="3" spans="1:19" ht="25.5" customHeight="1" thickBot="1" x14ac:dyDescent="0.4">
      <c r="C3" s="1" t="s">
        <v>5</v>
      </c>
      <c r="E3" s="10"/>
      <c r="F3" s="10"/>
      <c r="G3" s="10"/>
      <c r="H3" s="10"/>
      <c r="I3" s="10"/>
      <c r="J3" s="3" t="s">
        <v>6</v>
      </c>
      <c r="K3" s="10"/>
      <c r="M3" s="10"/>
      <c r="N3" s="10"/>
      <c r="O3" s="10"/>
      <c r="P3" s="10"/>
    </row>
    <row r="4" spans="1:19" ht="25.5" customHeight="1" x14ac:dyDescent="0.35">
      <c r="C4" s="1" t="s">
        <v>5</v>
      </c>
      <c r="E4" s="10"/>
      <c r="F4" s="10"/>
      <c r="G4" s="10"/>
      <c r="H4" s="10"/>
      <c r="I4" s="10"/>
      <c r="J4" s="401"/>
      <c r="K4" s="402"/>
      <c r="L4" s="402"/>
      <c r="M4" s="402"/>
      <c r="N4" s="402"/>
      <c r="O4" s="402"/>
      <c r="P4" s="402"/>
      <c r="Q4" s="403"/>
      <c r="R4" s="3" t="s">
        <v>22</v>
      </c>
      <c r="S4" s="5">
        <f>INDEX(E27:P27,Actual_month)</f>
        <v>122.7740292006288</v>
      </c>
    </row>
    <row r="5" spans="1:19" ht="25.5" customHeight="1" x14ac:dyDescent="0.35">
      <c r="C5" s="1" t="s">
        <v>5</v>
      </c>
      <c r="E5" s="10"/>
      <c r="F5" s="10"/>
      <c r="G5" s="10"/>
      <c r="H5" s="10"/>
      <c r="I5" s="10"/>
      <c r="J5" s="404"/>
      <c r="K5" s="405"/>
      <c r="L5" s="405"/>
      <c r="M5" s="405"/>
      <c r="N5" s="405"/>
      <c r="O5" s="405"/>
      <c r="P5" s="405"/>
      <c r="Q5" s="406"/>
      <c r="R5" s="3" t="s">
        <v>23</v>
      </c>
      <c r="S5" s="5">
        <f>INDEX(E26:P26,Actual_month)</f>
        <v>112.0403344428895</v>
      </c>
    </row>
    <row r="6" spans="1:19" x14ac:dyDescent="0.35">
      <c r="J6" s="404"/>
      <c r="K6" s="405"/>
      <c r="L6" s="405"/>
      <c r="M6" s="405"/>
      <c r="N6" s="405"/>
      <c r="O6" s="405"/>
      <c r="P6" s="405"/>
      <c r="Q6" s="406"/>
      <c r="R6" s="6">
        <v>0.9</v>
      </c>
      <c r="S6" s="5">
        <f>+S5*R6</f>
        <v>100.83630099860055</v>
      </c>
    </row>
    <row r="7" spans="1:19" x14ac:dyDescent="0.35">
      <c r="J7" s="404"/>
      <c r="K7" s="405"/>
      <c r="L7" s="405"/>
      <c r="M7" s="405"/>
      <c r="N7" s="405"/>
      <c r="O7" s="405"/>
      <c r="P7" s="405"/>
      <c r="Q7" s="406"/>
    </row>
    <row r="8" spans="1:19" ht="15" thickBot="1" x14ac:dyDescent="0.4">
      <c r="J8" s="407"/>
      <c r="K8" s="408"/>
      <c r="L8" s="408"/>
      <c r="M8" s="408"/>
      <c r="N8" s="408"/>
      <c r="O8" s="408"/>
      <c r="P8" s="408"/>
      <c r="Q8" s="409"/>
    </row>
    <row r="9" spans="1:19" ht="15" thickBot="1" x14ac:dyDescent="0.4">
      <c r="J9" s="3" t="s">
        <v>12</v>
      </c>
    </row>
    <row r="10" spans="1:19" x14ac:dyDescent="0.35">
      <c r="J10" s="401"/>
      <c r="K10" s="402"/>
      <c r="L10" s="402"/>
      <c r="M10" s="402"/>
      <c r="N10" s="402"/>
      <c r="O10" s="402"/>
      <c r="P10" s="402"/>
      <c r="Q10" s="403"/>
    </row>
    <row r="11" spans="1:19" x14ac:dyDescent="0.35">
      <c r="J11" s="404"/>
      <c r="K11" s="405"/>
      <c r="L11" s="405"/>
      <c r="M11" s="405"/>
      <c r="N11" s="405"/>
      <c r="O11" s="405"/>
      <c r="P11" s="405"/>
      <c r="Q11" s="406"/>
    </row>
    <row r="12" spans="1:19" x14ac:dyDescent="0.35">
      <c r="J12" s="404"/>
      <c r="K12" s="405"/>
      <c r="L12" s="405"/>
      <c r="M12" s="405"/>
      <c r="N12" s="405"/>
      <c r="O12" s="405"/>
      <c r="P12" s="405"/>
      <c r="Q12" s="406"/>
    </row>
    <row r="13" spans="1:19" x14ac:dyDescent="0.35">
      <c r="J13" s="404"/>
      <c r="K13" s="405"/>
      <c r="L13" s="405"/>
      <c r="M13" s="405"/>
      <c r="N13" s="405"/>
      <c r="O13" s="405"/>
      <c r="P13" s="405"/>
      <c r="Q13" s="406"/>
    </row>
    <row r="14" spans="1:19" x14ac:dyDescent="0.35">
      <c r="J14" s="404"/>
      <c r="K14" s="405"/>
      <c r="L14" s="405"/>
      <c r="M14" s="405"/>
      <c r="N14" s="405"/>
      <c r="O14" s="405"/>
      <c r="P14" s="405"/>
      <c r="Q14" s="406"/>
    </row>
    <row r="15" spans="1:19" ht="15" thickBot="1" x14ac:dyDescent="0.4">
      <c r="J15" s="407"/>
      <c r="K15" s="408"/>
      <c r="L15" s="408"/>
      <c r="M15" s="408"/>
      <c r="N15" s="408"/>
      <c r="O15" s="408"/>
      <c r="P15" s="408"/>
      <c r="Q15" s="409"/>
    </row>
    <row r="18" spans="3:17" x14ac:dyDescent="0.35">
      <c r="C18" s="7" t="s">
        <v>8</v>
      </c>
      <c r="E18" s="11">
        <v>45839</v>
      </c>
      <c r="F18" s="11">
        <v>45870</v>
      </c>
      <c r="G18" s="11">
        <v>45901</v>
      </c>
      <c r="H18" s="11">
        <v>45931</v>
      </c>
      <c r="I18" s="11">
        <v>45962</v>
      </c>
      <c r="J18" s="11">
        <v>45992</v>
      </c>
      <c r="K18" s="11">
        <v>46023</v>
      </c>
      <c r="L18" s="11">
        <v>46054</v>
      </c>
      <c r="M18" s="11">
        <v>46082</v>
      </c>
      <c r="N18" s="11">
        <v>46113</v>
      </c>
      <c r="O18" s="11">
        <v>46143</v>
      </c>
      <c r="P18" s="11">
        <v>46174</v>
      </c>
      <c r="Q18" s="8" t="s">
        <v>0</v>
      </c>
    </row>
    <row r="19" spans="3:17" x14ac:dyDescent="0.35">
      <c r="D19" s="3" t="s">
        <v>501</v>
      </c>
      <c r="E19" s="49">
        <f>'budget 2025-26'!D156</f>
        <v>112.0403344428895</v>
      </c>
      <c r="F19" s="49">
        <f>'budget 2025-26'!E156</f>
        <v>112.0403344428895</v>
      </c>
      <c r="G19" s="49">
        <f>'budget 2025-26'!F156</f>
        <v>112.0403344428895</v>
      </c>
      <c r="H19" s="49">
        <f>'budget 2025-26'!G156</f>
        <v>112.0403344428895</v>
      </c>
      <c r="I19" s="49">
        <f>'budget 2025-26'!H156</f>
        <v>112.0403344428895</v>
      </c>
      <c r="J19" s="49">
        <f>'budget 2025-26'!I156</f>
        <v>112.0403344428895</v>
      </c>
      <c r="K19" s="49">
        <f>'budget 2025-26'!J156</f>
        <v>112.0403344428895</v>
      </c>
      <c r="L19" s="49">
        <f>'budget 2025-26'!K156</f>
        <v>112.0403344428895</v>
      </c>
      <c r="M19" s="49">
        <f>'budget 2025-26'!L156</f>
        <v>112.0403344428895</v>
      </c>
      <c r="N19" s="49">
        <f>'budget 2025-26'!M156</f>
        <v>112.0403344428895</v>
      </c>
      <c r="O19" s="49">
        <f>'budget 2025-26'!N156</f>
        <v>112.0403344428895</v>
      </c>
      <c r="P19" s="49">
        <f>'budget 2025-26'!O156</f>
        <v>112.0403344428895</v>
      </c>
      <c r="Q19" s="5">
        <f>SUM(E19:P19)</f>
        <v>1344.484013314674</v>
      </c>
    </row>
    <row r="20" spans="3:17" x14ac:dyDescent="0.35">
      <c r="D20" s="3" t="s">
        <v>502</v>
      </c>
      <c r="E20" s="49">
        <f>'Input Actual2025-26'!E159</f>
        <v>123.73364589603067</v>
      </c>
      <c r="F20" s="49">
        <f>'Input Actual2025-26'!F159</f>
        <v>122.81780497433873</v>
      </c>
      <c r="G20" s="49">
        <f>'Input Actual2025-26'!G159</f>
        <v>122.24288381663682</v>
      </c>
      <c r="H20" s="49">
        <f>'Input Actual2025-26'!H159</f>
        <v>123.26305186008545</v>
      </c>
      <c r="I20" s="49">
        <f>'Input Actual2025-26'!I159</f>
        <v>122.44933109028278</v>
      </c>
      <c r="J20" s="49">
        <f>'Input Actual2025-26'!J159</f>
        <v>122.71756540309664</v>
      </c>
      <c r="K20" s="49">
        <f>'Input Actual2025-26'!K159</f>
        <v>122.39720986785268</v>
      </c>
      <c r="L20" s="49">
        <f>'Input Actual2025-26'!L159</f>
        <v>122.57074069670669</v>
      </c>
      <c r="M20" s="49" t="e">
        <f>'Input Actual2025-26'!M159</f>
        <v>#DIV/0!</v>
      </c>
      <c r="N20" s="49" t="e">
        <f>'Input Actual2025-26'!N159</f>
        <v>#DIV/0!</v>
      </c>
      <c r="O20" s="49" t="e">
        <f>'Input Actual2025-26'!O159</f>
        <v>#DIV/0!</v>
      </c>
      <c r="P20" s="49" t="e">
        <f>'Input Actual2025-26'!P159</f>
        <v>#DIV/0!</v>
      </c>
      <c r="Q20" s="5" t="e">
        <f t="shared" ref="Q20:Q22" si="0">SUM(E20:P20)</f>
        <v>#DIV/0!</v>
      </c>
    </row>
    <row r="21" spans="3:17" x14ac:dyDescent="0.35">
      <c r="D21" s="3" t="s">
        <v>424</v>
      </c>
      <c r="E21" s="49">
        <f>'Input Actual2024-25'!E146</f>
        <v>80.420349473525306</v>
      </c>
      <c r="F21" s="49">
        <f>'Input Actual2024-25'!F146</f>
        <v>83.950837876034726</v>
      </c>
      <c r="G21" s="49">
        <f>'Input Actual2024-25'!G146</f>
        <v>80.225389243843438</v>
      </c>
      <c r="H21" s="49">
        <f>'Input Actual2024-25'!H146</f>
        <v>76.573344370860923</v>
      </c>
      <c r="I21" s="49">
        <f>'Input Actual2024-25'!I146</f>
        <v>74.442641194472785</v>
      </c>
      <c r="J21" s="49">
        <f>'Input Actual2024-25'!J146</f>
        <v>71.921601058551104</v>
      </c>
      <c r="K21" s="49">
        <f>'Input Actual2024-25'!K146</f>
        <v>73.575052274363287</v>
      </c>
      <c r="L21" s="49">
        <f>'Input Actual2024-25'!L146</f>
        <v>73.279267425320057</v>
      </c>
      <c r="M21" s="49">
        <f>'Input Actual2024-25'!M146</f>
        <v>73.201644149455888</v>
      </c>
      <c r="N21" s="49">
        <f>'Input Actual2024-25'!N146</f>
        <v>74.142770213736981</v>
      </c>
      <c r="O21" s="49">
        <f>'Input Actual2024-25'!O146</f>
        <v>123.95923786285837</v>
      </c>
      <c r="P21" s="49">
        <f>'Input Actual2024-25'!P146</f>
        <v>124.20209990869962</v>
      </c>
      <c r="Q21" s="5">
        <f t="shared" si="0"/>
        <v>1009.8942350517226</v>
      </c>
    </row>
    <row r="22" spans="3:17" x14ac:dyDescent="0.35">
      <c r="D22" s="3" t="s">
        <v>7</v>
      </c>
      <c r="E22" s="5">
        <f t="shared" ref="E22:P22" si="1">IF(E20=0,0,E20-E19)</f>
        <v>11.693311453141163</v>
      </c>
      <c r="F22" s="5">
        <f t="shared" si="1"/>
        <v>10.777470531449225</v>
      </c>
      <c r="G22" s="5">
        <f t="shared" si="1"/>
        <v>10.202549373747317</v>
      </c>
      <c r="H22" s="5">
        <f t="shared" si="1"/>
        <v>11.222717417195952</v>
      </c>
      <c r="I22" s="5">
        <f t="shared" si="1"/>
        <v>10.40899664739328</v>
      </c>
      <c r="J22" s="5">
        <f t="shared" si="1"/>
        <v>10.67723096020714</v>
      </c>
      <c r="K22" s="5">
        <f t="shared" si="1"/>
        <v>10.356875424963178</v>
      </c>
      <c r="L22" s="5">
        <f t="shared" si="1"/>
        <v>10.530406253817191</v>
      </c>
      <c r="M22" s="5" t="e">
        <f t="shared" si="1"/>
        <v>#DIV/0!</v>
      </c>
      <c r="N22" s="5" t="e">
        <f t="shared" si="1"/>
        <v>#DIV/0!</v>
      </c>
      <c r="O22" s="5" t="e">
        <f t="shared" si="1"/>
        <v>#DIV/0!</v>
      </c>
      <c r="P22" s="5" t="e">
        <f t="shared" si="1"/>
        <v>#DIV/0!</v>
      </c>
      <c r="Q22" s="5" t="e">
        <f t="shared" si="0"/>
        <v>#DIV/0!</v>
      </c>
    </row>
    <row r="23" spans="3:17" x14ac:dyDescent="0.35">
      <c r="D23" s="3" t="s">
        <v>43</v>
      </c>
      <c r="E23" s="9">
        <f>E21/E19</f>
        <v>0.71778034110133881</v>
      </c>
      <c r="F23" s="9">
        <f t="shared" ref="F23:P23" si="2">F20/F19</f>
        <v>1.0961927736563732</v>
      </c>
      <c r="G23" s="9">
        <f t="shared" si="2"/>
        <v>1.0910613969913476</v>
      </c>
      <c r="H23" s="9">
        <f t="shared" si="2"/>
        <v>1.1001667611311579</v>
      </c>
      <c r="I23" s="9">
        <f t="shared" si="2"/>
        <v>1.0929040126410823</v>
      </c>
      <c r="J23" s="9">
        <f t="shared" si="2"/>
        <v>1.0952980996825716</v>
      </c>
      <c r="K23" s="9">
        <f t="shared" si="2"/>
        <v>1.0924388121158493</v>
      </c>
      <c r="L23" s="9">
        <f t="shared" si="2"/>
        <v>1.0939876367397392</v>
      </c>
      <c r="M23" s="9" t="e">
        <f t="shared" si="2"/>
        <v>#DIV/0!</v>
      </c>
      <c r="N23" s="9" t="e">
        <f t="shared" si="2"/>
        <v>#DIV/0!</v>
      </c>
      <c r="O23" s="9" t="e">
        <f t="shared" si="2"/>
        <v>#DIV/0!</v>
      </c>
      <c r="P23" s="9" t="e">
        <f t="shared" si="2"/>
        <v>#DIV/0!</v>
      </c>
    </row>
    <row r="25" spans="3:17" x14ac:dyDescent="0.35">
      <c r="C25" s="7" t="s">
        <v>3</v>
      </c>
      <c r="E25" s="11">
        <f>E18</f>
        <v>45839</v>
      </c>
      <c r="F25" s="11">
        <f t="shared" ref="F25:P25" si="3">F18</f>
        <v>45870</v>
      </c>
      <c r="G25" s="11">
        <f t="shared" si="3"/>
        <v>45901</v>
      </c>
      <c r="H25" s="11">
        <f t="shared" si="3"/>
        <v>45931</v>
      </c>
      <c r="I25" s="11">
        <f t="shared" si="3"/>
        <v>45962</v>
      </c>
      <c r="J25" s="11">
        <f t="shared" si="3"/>
        <v>45992</v>
      </c>
      <c r="K25" s="11">
        <f t="shared" si="3"/>
        <v>46023</v>
      </c>
      <c r="L25" s="11">
        <f t="shared" si="3"/>
        <v>46054</v>
      </c>
      <c r="M25" s="11">
        <f t="shared" si="3"/>
        <v>46082</v>
      </c>
      <c r="N25" s="11">
        <f t="shared" si="3"/>
        <v>46113</v>
      </c>
      <c r="O25" s="11">
        <f t="shared" si="3"/>
        <v>46143</v>
      </c>
      <c r="P25" s="11">
        <f t="shared" si="3"/>
        <v>46174</v>
      </c>
    </row>
    <row r="26" spans="3:17" x14ac:dyDescent="0.35">
      <c r="D26" s="3" t="str">
        <f>D19</f>
        <v>Budget 2025-26</v>
      </c>
      <c r="E26" s="5">
        <f>AVERAGE($E19:E19)</f>
        <v>112.0403344428895</v>
      </c>
      <c r="F26" s="5">
        <f>AVERAGE($E19:F19)</f>
        <v>112.0403344428895</v>
      </c>
      <c r="G26" s="5">
        <f>AVERAGE($E19:G19)</f>
        <v>112.0403344428895</v>
      </c>
      <c r="H26" s="5">
        <f>AVERAGE($E19:H19)</f>
        <v>112.0403344428895</v>
      </c>
      <c r="I26" s="5">
        <f>AVERAGE($E19:I19)</f>
        <v>112.0403344428895</v>
      </c>
      <c r="J26" s="5">
        <f>AVERAGE($E19:J19)</f>
        <v>112.0403344428895</v>
      </c>
      <c r="K26" s="5">
        <f>AVERAGE($E19:K19)</f>
        <v>112.0403344428895</v>
      </c>
      <c r="L26" s="5">
        <f>AVERAGE($E19:L19)</f>
        <v>112.0403344428895</v>
      </c>
      <c r="M26" s="5">
        <f>AVERAGE($E19:M19)</f>
        <v>112.0403344428895</v>
      </c>
      <c r="N26" s="5">
        <f>AVERAGE($E19:N19)</f>
        <v>112.0403344428895</v>
      </c>
      <c r="O26" s="5">
        <f>AVERAGE($E19:O19)</f>
        <v>112.04033444288949</v>
      </c>
      <c r="P26" s="5">
        <f>AVERAGE($E19:P19)</f>
        <v>112.0403344428895</v>
      </c>
    </row>
    <row r="27" spans="3:17" x14ac:dyDescent="0.35">
      <c r="D27" s="3" t="str">
        <f t="shared" ref="D27:D30" si="4">D20</f>
        <v>Actual 2025-26</v>
      </c>
      <c r="E27" s="5">
        <f>AVERAGE($E20:E20)</f>
        <v>123.73364589603067</v>
      </c>
      <c r="F27" s="5">
        <f>AVERAGE($E20:F20)</f>
        <v>123.2757254351847</v>
      </c>
      <c r="G27" s="5">
        <f>AVERAGE($E20:G20)</f>
        <v>122.93144489566873</v>
      </c>
      <c r="H27" s="5">
        <f>AVERAGE($E20:H20)</f>
        <v>123.01434663677291</v>
      </c>
      <c r="I27" s="5">
        <f>AVERAGE($E20:I20)</f>
        <v>122.90134352747489</v>
      </c>
      <c r="J27" s="5">
        <f>AVERAGE($E20:J20)</f>
        <v>122.87071384007851</v>
      </c>
      <c r="K27" s="5">
        <f>AVERAGE($E20:K20)</f>
        <v>122.80307041547482</v>
      </c>
      <c r="L27" s="5">
        <f>AVERAGE($E20:L20)</f>
        <v>122.7740292006288</v>
      </c>
      <c r="M27" s="5" t="e">
        <f>AVERAGE($E20:M20)</f>
        <v>#DIV/0!</v>
      </c>
      <c r="N27" s="5" t="e">
        <f>AVERAGE($E20:N20)</f>
        <v>#DIV/0!</v>
      </c>
      <c r="O27" s="5" t="e">
        <f>AVERAGE($E20:O20)</f>
        <v>#DIV/0!</v>
      </c>
      <c r="P27" s="5" t="e">
        <f>AVERAGE($E20:P20)</f>
        <v>#DIV/0!</v>
      </c>
    </row>
    <row r="28" spans="3:17" x14ac:dyDescent="0.35">
      <c r="D28" s="3" t="str">
        <f t="shared" si="4"/>
        <v>Actual 2024-25</v>
      </c>
      <c r="E28" s="5">
        <f>AVERAGE($E21:E21)</f>
        <v>80.420349473525306</v>
      </c>
      <c r="F28" s="5">
        <f>AVERAGE($E21:F21)</f>
        <v>82.185593674780023</v>
      </c>
      <c r="G28" s="5">
        <f>AVERAGE($E21:G21)</f>
        <v>81.532192197801166</v>
      </c>
      <c r="H28" s="5">
        <f>AVERAGE($E21:H21)</f>
        <v>80.292480241066102</v>
      </c>
      <c r="I28" s="5">
        <f>AVERAGE($E21:I21)</f>
        <v>79.122512431747438</v>
      </c>
      <c r="J28" s="5">
        <f>AVERAGE($E21:J21)</f>
        <v>77.922360536214725</v>
      </c>
      <c r="K28" s="5">
        <f>AVERAGE($E21:K21)</f>
        <v>77.301316498807381</v>
      </c>
      <c r="L28" s="5">
        <f>AVERAGE($E21:L21)</f>
        <v>76.798560364621466</v>
      </c>
      <c r="M28" s="5">
        <f>AVERAGE($E21:M21)</f>
        <v>76.398903007380852</v>
      </c>
      <c r="N28" s="5">
        <f>AVERAGE($E21:N21)</f>
        <v>76.173289728016456</v>
      </c>
      <c r="O28" s="5">
        <f>AVERAGE($E21:O21)</f>
        <v>80.51746683118391</v>
      </c>
      <c r="P28" s="5">
        <f>AVERAGE($E21:P21)</f>
        <v>84.157852920976879</v>
      </c>
    </row>
    <row r="29" spans="3:17" x14ac:dyDescent="0.35">
      <c r="D29" s="3" t="str">
        <f t="shared" si="4"/>
        <v>Difference</v>
      </c>
      <c r="E29" s="5">
        <f>SUM($E22:E22)</f>
        <v>11.693311453141163</v>
      </c>
      <c r="F29" s="5">
        <f>SUM($E22:F22)</f>
        <v>22.470781984590388</v>
      </c>
      <c r="G29" s="5">
        <f>SUM($E22:G22)</f>
        <v>32.673331358337705</v>
      </c>
      <c r="H29" s="5">
        <f>SUM($E22:H22)</f>
        <v>43.896048775533657</v>
      </c>
      <c r="I29" s="5">
        <f>SUM($E22:I22)</f>
        <v>54.305045422926938</v>
      </c>
      <c r="J29" s="5">
        <f>SUM($E22:J22)</f>
        <v>64.982276383134078</v>
      </c>
      <c r="K29" s="5">
        <f>SUM($E22:K22)</f>
        <v>75.339151808097256</v>
      </c>
      <c r="L29" s="5">
        <f>SUM($E22:L22)</f>
        <v>85.869558061914447</v>
      </c>
      <c r="M29" s="5" t="e">
        <f>SUM($E22:M22)</f>
        <v>#DIV/0!</v>
      </c>
      <c r="N29" s="5" t="e">
        <f>SUM($E22:N22)</f>
        <v>#DIV/0!</v>
      </c>
      <c r="O29" s="5" t="e">
        <f>SUM($E22:O22)</f>
        <v>#DIV/0!</v>
      </c>
      <c r="P29" s="5" t="e">
        <f>SUM($E22:P22)</f>
        <v>#DIV/0!</v>
      </c>
    </row>
    <row r="30" spans="3:17" x14ac:dyDescent="0.35">
      <c r="D30" s="3" t="str">
        <f t="shared" si="4"/>
        <v>Realisation</v>
      </c>
      <c r="E30" s="9">
        <f>E28/E26</f>
        <v>0.71778034110133881</v>
      </c>
      <c r="F30" s="9">
        <f t="shared" ref="F30:P30" si="5">F27/F26</f>
        <v>1.1002798773152738</v>
      </c>
      <c r="G30" s="9">
        <f t="shared" si="5"/>
        <v>1.0972070505406317</v>
      </c>
      <c r="H30" s="9">
        <f t="shared" si="5"/>
        <v>1.0979469781882631</v>
      </c>
      <c r="I30" s="9">
        <f t="shared" si="5"/>
        <v>1.096938385078827</v>
      </c>
      <c r="J30" s="9">
        <f t="shared" si="5"/>
        <v>1.096665004179451</v>
      </c>
      <c r="K30" s="9">
        <f t="shared" si="5"/>
        <v>1.0960612624560793</v>
      </c>
      <c r="L30" s="9">
        <f t="shared" si="5"/>
        <v>1.0958020592415367</v>
      </c>
      <c r="M30" s="9" t="e">
        <f t="shared" si="5"/>
        <v>#DIV/0!</v>
      </c>
      <c r="N30" s="9" t="e">
        <f t="shared" si="5"/>
        <v>#DIV/0!</v>
      </c>
      <c r="O30" s="9" t="e">
        <f t="shared" si="5"/>
        <v>#DIV/0!</v>
      </c>
      <c r="P30" s="9" t="e">
        <f t="shared" si="5"/>
        <v>#DIV/0!</v>
      </c>
    </row>
  </sheetData>
  <mergeCells count="2">
    <mergeCell ref="J4:Q8"/>
    <mergeCell ref="J10:Q15"/>
  </mergeCells>
  <conditionalFormatting sqref="C3">
    <cfRule type="expression" dxfId="143" priority="2">
      <formula>S4&lt;S6</formula>
    </cfRule>
  </conditionalFormatting>
  <conditionalFormatting sqref="C5">
    <cfRule type="expression" dxfId="142" priority="3">
      <formula>S4&gt;=S5</formula>
    </cfRule>
  </conditionalFormatting>
  <conditionalFormatting sqref="C4">
    <cfRule type="expression" dxfId="141" priority="1">
      <formula>AND(S4&gt;=S6,S4&lt;S5)</formula>
    </cfRule>
  </conditionalFormatting>
  <hyperlinks>
    <hyperlink ref="L1" location="Dashboard!A1" display="Dashboard"/>
  </hyperlinks>
  <pageMargins left="0.7" right="0.7" top="0.75" bottom="0.75" header="0.3" footer="0.3"/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2128897" r:id="rId3" name="Spinner 1">
              <controlPr defaultSize="0" autoPict="0">
                <anchor moveWithCells="1" sizeWithCells="1">
                  <from>
                    <xdr:col>9</xdr:col>
                    <xdr:colOff>19050</xdr:colOff>
                    <xdr:row>0</xdr:row>
                    <xdr:rowOff>38100</xdr:rowOff>
                  </from>
                  <to>
                    <xdr:col>9</xdr:col>
                    <xdr:colOff>400050</xdr:colOff>
                    <xdr:row>1</xdr:row>
                    <xdr:rowOff>152400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15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118">
    <tabColor rgb="FFFFC000"/>
  </sheetPr>
  <dimension ref="A1:S30"/>
  <sheetViews>
    <sheetView zoomScale="90" zoomScaleNormal="90" workbookViewId="0">
      <selection activeCell="L1" sqref="L1"/>
    </sheetView>
  </sheetViews>
  <sheetFormatPr defaultColWidth="9.1796875" defaultRowHeight="14.5" x14ac:dyDescent="0.35"/>
  <cols>
    <col min="1" max="1" width="9.1796875" style="3"/>
    <col min="2" max="2" width="5.7265625" style="3" bestFit="1" customWidth="1"/>
    <col min="3" max="3" width="6.26953125" style="3" customWidth="1"/>
    <col min="4" max="4" width="21.26953125" style="3" bestFit="1" customWidth="1"/>
    <col min="5" max="16" width="11.1796875" style="3" customWidth="1"/>
    <col min="17" max="17" width="12" style="3" bestFit="1" customWidth="1"/>
    <col min="18" max="18" width="9.1796875" style="3" customWidth="1"/>
    <col min="19" max="16384" width="9.1796875" style="3"/>
  </cols>
  <sheetData>
    <row r="1" spans="1:19" ht="21" x14ac:dyDescent="0.5">
      <c r="A1" s="4" t="s">
        <v>4</v>
      </c>
      <c r="B1" s="4">
        <f>Dashboard!A162</f>
        <v>0</v>
      </c>
      <c r="C1" s="4" t="str">
        <f>Dashboard!B162</f>
        <v xml:space="preserve"> - KSH/M3 SOUTHERN REGION</v>
      </c>
      <c r="D1" s="4"/>
      <c r="G1" s="3" t="s">
        <v>9</v>
      </c>
      <c r="I1" s="12">
        <f>INDEX($E$18:$P$18,Actual_month)</f>
        <v>46054</v>
      </c>
      <c r="L1" s="16" t="s">
        <v>19</v>
      </c>
      <c r="R1" s="5"/>
    </row>
    <row r="2" spans="1:19" x14ac:dyDescent="0.35">
      <c r="A2" s="3" t="s">
        <v>13</v>
      </c>
      <c r="C2" s="3" t="s">
        <v>27</v>
      </c>
      <c r="R2" s="6"/>
    </row>
    <row r="3" spans="1:19" ht="25.5" customHeight="1" thickBot="1" x14ac:dyDescent="0.4">
      <c r="C3" s="1" t="s">
        <v>5</v>
      </c>
      <c r="E3" s="10"/>
      <c r="F3" s="10"/>
      <c r="G3" s="10"/>
      <c r="H3" s="10"/>
      <c r="I3" s="10"/>
      <c r="J3" s="3" t="s">
        <v>6</v>
      </c>
      <c r="K3" s="10"/>
      <c r="M3" s="10"/>
      <c r="N3" s="10"/>
      <c r="O3" s="10"/>
      <c r="P3" s="10"/>
    </row>
    <row r="4" spans="1:19" ht="25.5" customHeight="1" x14ac:dyDescent="0.35">
      <c r="C4" s="1" t="s">
        <v>5</v>
      </c>
      <c r="E4" s="10"/>
      <c r="F4" s="10"/>
      <c r="G4" s="10"/>
      <c r="H4" s="10"/>
      <c r="I4" s="10"/>
      <c r="J4" s="401"/>
      <c r="K4" s="402"/>
      <c r="L4" s="402"/>
      <c r="M4" s="402"/>
      <c r="N4" s="402"/>
      <c r="O4" s="402"/>
      <c r="P4" s="402"/>
      <c r="Q4" s="403"/>
      <c r="R4" s="3" t="s">
        <v>22</v>
      </c>
      <c r="S4" s="5">
        <f>INDEX(E27:P27,Actual_month)</f>
        <v>125.95184303766248</v>
      </c>
    </row>
    <row r="5" spans="1:19" ht="25.5" customHeight="1" x14ac:dyDescent="0.35">
      <c r="C5" s="1" t="s">
        <v>5</v>
      </c>
      <c r="E5" s="10"/>
      <c r="F5" s="10"/>
      <c r="G5" s="10"/>
      <c r="H5" s="10"/>
      <c r="I5" s="10"/>
      <c r="J5" s="404"/>
      <c r="K5" s="405"/>
      <c r="L5" s="405"/>
      <c r="M5" s="405"/>
      <c r="N5" s="405"/>
      <c r="O5" s="405"/>
      <c r="P5" s="405"/>
      <c r="Q5" s="406"/>
      <c r="R5" s="3" t="s">
        <v>23</v>
      </c>
      <c r="S5" s="5">
        <f>INDEX(E26:P26,Actual_month)</f>
        <v>125.17488738052681</v>
      </c>
    </row>
    <row r="6" spans="1:19" x14ac:dyDescent="0.35">
      <c r="J6" s="404"/>
      <c r="K6" s="405"/>
      <c r="L6" s="405"/>
      <c r="M6" s="405"/>
      <c r="N6" s="405"/>
      <c r="O6" s="405"/>
      <c r="P6" s="405"/>
      <c r="Q6" s="406"/>
      <c r="R6" s="6">
        <v>0.9</v>
      </c>
      <c r="S6" s="5">
        <f>+S5*R6</f>
        <v>112.65739864247413</v>
      </c>
    </row>
    <row r="7" spans="1:19" x14ac:dyDescent="0.35">
      <c r="J7" s="404"/>
      <c r="K7" s="405"/>
      <c r="L7" s="405"/>
      <c r="M7" s="405"/>
      <c r="N7" s="405"/>
      <c r="O7" s="405"/>
      <c r="P7" s="405"/>
      <c r="Q7" s="406"/>
    </row>
    <row r="8" spans="1:19" ht="15" thickBot="1" x14ac:dyDescent="0.4">
      <c r="J8" s="407"/>
      <c r="K8" s="408"/>
      <c r="L8" s="408"/>
      <c r="M8" s="408"/>
      <c r="N8" s="408"/>
      <c r="O8" s="408"/>
      <c r="P8" s="408"/>
      <c r="Q8" s="409"/>
    </row>
    <row r="9" spans="1:19" ht="15" thickBot="1" x14ac:dyDescent="0.4">
      <c r="J9" s="3" t="s">
        <v>12</v>
      </c>
    </row>
    <row r="10" spans="1:19" x14ac:dyDescent="0.35">
      <c r="J10" s="401"/>
      <c r="K10" s="402"/>
      <c r="L10" s="402"/>
      <c r="M10" s="402"/>
      <c r="N10" s="402"/>
      <c r="O10" s="402"/>
      <c r="P10" s="402"/>
      <c r="Q10" s="403"/>
    </row>
    <row r="11" spans="1:19" x14ac:dyDescent="0.35">
      <c r="J11" s="404"/>
      <c r="K11" s="405"/>
      <c r="L11" s="405"/>
      <c r="M11" s="405"/>
      <c r="N11" s="405"/>
      <c r="O11" s="405"/>
      <c r="P11" s="405"/>
      <c r="Q11" s="406"/>
    </row>
    <row r="12" spans="1:19" x14ac:dyDescent="0.35">
      <c r="J12" s="404"/>
      <c r="K12" s="405"/>
      <c r="L12" s="405"/>
      <c r="M12" s="405"/>
      <c r="N12" s="405"/>
      <c r="O12" s="405"/>
      <c r="P12" s="405"/>
      <c r="Q12" s="406"/>
    </row>
    <row r="13" spans="1:19" x14ac:dyDescent="0.35">
      <c r="J13" s="404"/>
      <c r="K13" s="405"/>
      <c r="L13" s="405"/>
      <c r="M13" s="405"/>
      <c r="N13" s="405"/>
      <c r="O13" s="405"/>
      <c r="P13" s="405"/>
      <c r="Q13" s="406"/>
    </row>
    <row r="14" spans="1:19" x14ac:dyDescent="0.35">
      <c r="J14" s="404"/>
      <c r="K14" s="405"/>
      <c r="L14" s="405"/>
      <c r="M14" s="405"/>
      <c r="N14" s="405"/>
      <c r="O14" s="405"/>
      <c r="P14" s="405"/>
      <c r="Q14" s="406"/>
    </row>
    <row r="15" spans="1:19" ht="15" thickBot="1" x14ac:dyDescent="0.4">
      <c r="J15" s="407"/>
      <c r="K15" s="408"/>
      <c r="L15" s="408"/>
      <c r="M15" s="408"/>
      <c r="N15" s="408"/>
      <c r="O15" s="408"/>
      <c r="P15" s="408"/>
      <c r="Q15" s="409"/>
    </row>
    <row r="18" spans="3:17" x14ac:dyDescent="0.35">
      <c r="C18" s="7" t="s">
        <v>8</v>
      </c>
      <c r="E18" s="11">
        <v>45839</v>
      </c>
      <c r="F18" s="11">
        <v>45870</v>
      </c>
      <c r="G18" s="11">
        <v>45901</v>
      </c>
      <c r="H18" s="11">
        <v>45931</v>
      </c>
      <c r="I18" s="11">
        <v>45962</v>
      </c>
      <c r="J18" s="11">
        <v>45992</v>
      </c>
      <c r="K18" s="11">
        <v>46023</v>
      </c>
      <c r="L18" s="11">
        <v>46054</v>
      </c>
      <c r="M18" s="11">
        <v>46082</v>
      </c>
      <c r="N18" s="11">
        <v>46113</v>
      </c>
      <c r="O18" s="11">
        <v>46143</v>
      </c>
      <c r="P18" s="11">
        <v>46174</v>
      </c>
      <c r="Q18" s="8" t="s">
        <v>0</v>
      </c>
    </row>
    <row r="19" spans="3:17" x14ac:dyDescent="0.35">
      <c r="D19" s="3" t="s">
        <v>501</v>
      </c>
      <c r="E19" s="49">
        <f>'budget 2025-26'!D153</f>
        <v>125.17488738052683</v>
      </c>
      <c r="F19" s="49">
        <f>'budget 2025-26'!E153</f>
        <v>125.17488738052683</v>
      </c>
      <c r="G19" s="49">
        <f>'budget 2025-26'!F153</f>
        <v>125.17488738052683</v>
      </c>
      <c r="H19" s="49">
        <f>'budget 2025-26'!G153</f>
        <v>125.17488738052683</v>
      </c>
      <c r="I19" s="49">
        <f>'budget 2025-26'!H153</f>
        <v>125.17488738052683</v>
      </c>
      <c r="J19" s="49">
        <f>'budget 2025-26'!I153</f>
        <v>125.17488738052683</v>
      </c>
      <c r="K19" s="49">
        <f>'budget 2025-26'!J153</f>
        <v>125.17488738052683</v>
      </c>
      <c r="L19" s="49">
        <f>'budget 2025-26'!K153</f>
        <v>125.17488738052683</v>
      </c>
      <c r="M19" s="49">
        <f>'budget 2025-26'!L153</f>
        <v>125.17488738052683</v>
      </c>
      <c r="N19" s="49">
        <f>'budget 2025-26'!M153</f>
        <v>125.17488738052683</v>
      </c>
      <c r="O19" s="49">
        <f>'budget 2025-26'!N153</f>
        <v>125.17488738052683</v>
      </c>
      <c r="P19" s="49">
        <f>'budget 2025-26'!O153</f>
        <v>125.17488738052683</v>
      </c>
      <c r="Q19" s="5">
        <f>SUM(E19:P19)</f>
        <v>1502.0986485663218</v>
      </c>
    </row>
    <row r="20" spans="3:17" x14ac:dyDescent="0.35">
      <c r="D20" s="3" t="s">
        <v>502</v>
      </c>
      <c r="E20" s="49">
        <f>'Input Actual2025-26'!E156</f>
        <v>124.03825342304616</v>
      </c>
      <c r="F20" s="49">
        <f>'Input Actual2025-26'!F156</f>
        <v>128.0368718916138</v>
      </c>
      <c r="G20" s="49">
        <f>'Input Actual2025-26'!G156</f>
        <v>125.49943967127382</v>
      </c>
      <c r="H20" s="49">
        <f>'Input Actual2025-26'!H156</f>
        <v>126.28850340864476</v>
      </c>
      <c r="I20" s="49">
        <f>'Input Actual2025-26'!I156</f>
        <v>125.35046178802229</v>
      </c>
      <c r="J20" s="49">
        <f>'Input Actual2025-26'!J156</f>
        <v>124.57252110338857</v>
      </c>
      <c r="K20" s="49">
        <f>'Input Actual2025-26'!K156</f>
        <v>126.84621327993189</v>
      </c>
      <c r="L20" s="49">
        <f>'Input Actual2025-26'!L156</f>
        <v>126.98247973537858</v>
      </c>
      <c r="M20" s="49" t="e">
        <f>'Input Actual2025-26'!M156</f>
        <v>#DIV/0!</v>
      </c>
      <c r="N20" s="49" t="e">
        <f>'Input Actual2025-26'!N156</f>
        <v>#DIV/0!</v>
      </c>
      <c r="O20" s="49" t="e">
        <f>'Input Actual2025-26'!O156</f>
        <v>#DIV/0!</v>
      </c>
      <c r="P20" s="49" t="e">
        <f>'Input Actual2025-26'!P156</f>
        <v>#DIV/0!</v>
      </c>
      <c r="Q20" s="5" t="e">
        <f t="shared" ref="Q20:Q22" si="0">SUM(E20:P20)</f>
        <v>#DIV/0!</v>
      </c>
    </row>
    <row r="21" spans="3:17" x14ac:dyDescent="0.35">
      <c r="D21" s="3" t="s">
        <v>424</v>
      </c>
      <c r="E21" s="49">
        <f>'Input Actual2024-25'!E145</f>
        <v>77.117329040319092</v>
      </c>
      <c r="F21" s="49">
        <f>'Input Actual2024-25'!F145</f>
        <v>77.60077570921986</v>
      </c>
      <c r="G21" s="49">
        <f>'Input Actual2024-25'!G145</f>
        <v>76.818084047002586</v>
      </c>
      <c r="H21" s="49">
        <f>'Input Actual2024-25'!H145</f>
        <v>75.89992287328289</v>
      </c>
      <c r="I21" s="49">
        <f>'Input Actual2024-25'!I145</f>
        <v>77.89940239043824</v>
      </c>
      <c r="J21" s="49">
        <f>'Input Actual2024-25'!J145</f>
        <v>76.579973602111835</v>
      </c>
      <c r="K21" s="49">
        <f>'Input Actual2024-25'!K145</f>
        <v>76.918422687983735</v>
      </c>
      <c r="L21" s="49">
        <f>'Input Actual2024-25'!L145</f>
        <v>77.279303845691146</v>
      </c>
      <c r="M21" s="49">
        <f>'Input Actual2024-25'!M145</f>
        <v>76.800079574089168</v>
      </c>
      <c r="N21" s="49">
        <f>'Input Actual2024-25'!N145</f>
        <v>76.711534881246848</v>
      </c>
      <c r="O21" s="49">
        <f>'Input Actual2024-25'!O145</f>
        <v>125.47551513162522</v>
      </c>
      <c r="P21" s="49">
        <f>'Input Actual2024-25'!P145</f>
        <v>124.82274818376736</v>
      </c>
      <c r="Q21" s="5">
        <f t="shared" si="0"/>
        <v>1019.923091966778</v>
      </c>
    </row>
    <row r="22" spans="3:17" x14ac:dyDescent="0.35">
      <c r="D22" s="3" t="s">
        <v>7</v>
      </c>
      <c r="E22" s="5">
        <f t="shared" ref="E22:P22" si="1">IF(E20=0,0,E20-E19)</f>
        <v>-1.1366339574806688</v>
      </c>
      <c r="F22" s="5">
        <f t="shared" si="1"/>
        <v>2.8619845110869733</v>
      </c>
      <c r="G22" s="5">
        <f t="shared" si="1"/>
        <v>0.32455229074699332</v>
      </c>
      <c r="H22" s="5">
        <f t="shared" si="1"/>
        <v>1.1136160281179315</v>
      </c>
      <c r="I22" s="5">
        <f t="shared" si="1"/>
        <v>0.1755744074954606</v>
      </c>
      <c r="J22" s="5">
        <f t="shared" si="1"/>
        <v>-0.60236627713825897</v>
      </c>
      <c r="K22" s="5">
        <f t="shared" si="1"/>
        <v>1.6713258994050619</v>
      </c>
      <c r="L22" s="5">
        <f t="shared" si="1"/>
        <v>1.8075923548517494</v>
      </c>
      <c r="M22" s="5" t="e">
        <f t="shared" si="1"/>
        <v>#DIV/0!</v>
      </c>
      <c r="N22" s="5" t="e">
        <f t="shared" si="1"/>
        <v>#DIV/0!</v>
      </c>
      <c r="O22" s="5" t="e">
        <f t="shared" si="1"/>
        <v>#DIV/0!</v>
      </c>
      <c r="P22" s="5" t="e">
        <f t="shared" si="1"/>
        <v>#DIV/0!</v>
      </c>
      <c r="Q22" s="5" t="e">
        <f t="shared" si="0"/>
        <v>#DIV/0!</v>
      </c>
    </row>
    <row r="23" spans="3:17" x14ac:dyDescent="0.35">
      <c r="D23" s="3" t="s">
        <v>43</v>
      </c>
      <c r="E23" s="9">
        <f>E21/E19</f>
        <v>0.61607668002836213</v>
      </c>
      <c r="F23" s="9">
        <f t="shared" ref="F23:P23" si="2">F20/F19</f>
        <v>1.022863887245903</v>
      </c>
      <c r="G23" s="9">
        <f t="shared" si="2"/>
        <v>1.0025927907549088</v>
      </c>
      <c r="H23" s="9">
        <f t="shared" si="2"/>
        <v>1.0088964811666463</v>
      </c>
      <c r="I23" s="9">
        <f t="shared" si="2"/>
        <v>1.001402632837701</v>
      </c>
      <c r="J23" s="9">
        <f t="shared" si="2"/>
        <v>0.99518780252378347</v>
      </c>
      <c r="K23" s="9">
        <f t="shared" si="2"/>
        <v>1.0133519265275972</v>
      </c>
      <c r="L23" s="9">
        <f t="shared" si="2"/>
        <v>1.0144405350999577</v>
      </c>
      <c r="M23" s="9" t="e">
        <f t="shared" si="2"/>
        <v>#DIV/0!</v>
      </c>
      <c r="N23" s="9" t="e">
        <f t="shared" si="2"/>
        <v>#DIV/0!</v>
      </c>
      <c r="O23" s="9" t="e">
        <f t="shared" si="2"/>
        <v>#DIV/0!</v>
      </c>
      <c r="P23" s="9" t="e">
        <f t="shared" si="2"/>
        <v>#DIV/0!</v>
      </c>
    </row>
    <row r="25" spans="3:17" x14ac:dyDescent="0.35">
      <c r="C25" s="7" t="s">
        <v>3</v>
      </c>
      <c r="E25" s="11">
        <f>E18</f>
        <v>45839</v>
      </c>
      <c r="F25" s="11">
        <f t="shared" ref="F25:P25" si="3">F18</f>
        <v>45870</v>
      </c>
      <c r="G25" s="11">
        <f t="shared" si="3"/>
        <v>45901</v>
      </c>
      <c r="H25" s="11">
        <f t="shared" si="3"/>
        <v>45931</v>
      </c>
      <c r="I25" s="11">
        <f t="shared" si="3"/>
        <v>45962</v>
      </c>
      <c r="J25" s="11">
        <f t="shared" si="3"/>
        <v>45992</v>
      </c>
      <c r="K25" s="11">
        <f t="shared" si="3"/>
        <v>46023</v>
      </c>
      <c r="L25" s="11">
        <f t="shared" si="3"/>
        <v>46054</v>
      </c>
      <c r="M25" s="11">
        <f t="shared" si="3"/>
        <v>46082</v>
      </c>
      <c r="N25" s="11">
        <f t="shared" si="3"/>
        <v>46113</v>
      </c>
      <c r="O25" s="11">
        <f t="shared" si="3"/>
        <v>46143</v>
      </c>
      <c r="P25" s="11">
        <f t="shared" si="3"/>
        <v>46174</v>
      </c>
    </row>
    <row r="26" spans="3:17" x14ac:dyDescent="0.35">
      <c r="D26" s="3" t="str">
        <f>D19</f>
        <v>Budget 2025-26</v>
      </c>
      <c r="E26" s="5">
        <f>AVERAGE($E19:E19)</f>
        <v>125.17488738052683</v>
      </c>
      <c r="F26" s="5">
        <f>AVERAGE($E19:F19)</f>
        <v>125.17488738052683</v>
      </c>
      <c r="G26" s="5">
        <f>AVERAGE($E19:G19)</f>
        <v>125.17488738052684</v>
      </c>
      <c r="H26" s="5">
        <f>AVERAGE($E19:H19)</f>
        <v>125.17488738052683</v>
      </c>
      <c r="I26" s="5">
        <f>AVERAGE($E19:I19)</f>
        <v>125.17488738052683</v>
      </c>
      <c r="J26" s="5">
        <f>AVERAGE($E19:J19)</f>
        <v>125.17488738052681</v>
      </c>
      <c r="K26" s="5">
        <f>AVERAGE($E19:K19)</f>
        <v>125.17488738052681</v>
      </c>
      <c r="L26" s="5">
        <f>AVERAGE($E19:L19)</f>
        <v>125.17488738052681</v>
      </c>
      <c r="M26" s="5">
        <f>AVERAGE($E19:M19)</f>
        <v>125.17488738052683</v>
      </c>
      <c r="N26" s="5">
        <f>AVERAGE($E19:N19)</f>
        <v>125.17488738052683</v>
      </c>
      <c r="O26" s="5">
        <f>AVERAGE($E19:O19)</f>
        <v>125.17488738052681</v>
      </c>
      <c r="P26" s="5">
        <f>AVERAGE($E19:P19)</f>
        <v>125.17488738052681</v>
      </c>
    </row>
    <row r="27" spans="3:17" x14ac:dyDescent="0.35">
      <c r="D27" s="3" t="str">
        <f t="shared" ref="D27:D30" si="4">D20</f>
        <v>Actual 2025-26</v>
      </c>
      <c r="E27" s="5">
        <f>AVERAGE($E20:E20)</f>
        <v>124.03825342304616</v>
      </c>
      <c r="F27" s="5">
        <f>AVERAGE($E20:F20)</f>
        <v>126.03756265732997</v>
      </c>
      <c r="G27" s="5">
        <f>AVERAGE($E20:G20)</f>
        <v>125.85818832864459</v>
      </c>
      <c r="H27" s="5">
        <f>AVERAGE($E20:H20)</f>
        <v>125.96576709864463</v>
      </c>
      <c r="I27" s="5">
        <f>AVERAGE($E20:I20)</f>
        <v>125.84270603652017</v>
      </c>
      <c r="J27" s="5">
        <f>AVERAGE($E20:J20)</f>
        <v>125.6310085476649</v>
      </c>
      <c r="K27" s="5">
        <f>AVERAGE($E20:K20)</f>
        <v>125.80460922370305</v>
      </c>
      <c r="L27" s="5">
        <f>AVERAGE($E20:L20)</f>
        <v>125.95184303766248</v>
      </c>
      <c r="M27" s="5" t="e">
        <f>AVERAGE($E20:M20)</f>
        <v>#DIV/0!</v>
      </c>
      <c r="N27" s="5" t="e">
        <f>AVERAGE($E20:N20)</f>
        <v>#DIV/0!</v>
      </c>
      <c r="O27" s="5" t="e">
        <f>AVERAGE($E20:O20)</f>
        <v>#DIV/0!</v>
      </c>
      <c r="P27" s="5" t="e">
        <f>AVERAGE($E20:P20)</f>
        <v>#DIV/0!</v>
      </c>
    </row>
    <row r="28" spans="3:17" x14ac:dyDescent="0.35">
      <c r="D28" s="3" t="str">
        <f t="shared" si="4"/>
        <v>Actual 2024-25</v>
      </c>
      <c r="E28" s="5">
        <f>AVERAGE($E21:E21)</f>
        <v>77.117329040319092</v>
      </c>
      <c r="F28" s="5">
        <f>AVERAGE($E21:F21)</f>
        <v>77.359052374769476</v>
      </c>
      <c r="G28" s="5">
        <f>AVERAGE($E21:G21)</f>
        <v>77.17872959884717</v>
      </c>
      <c r="H28" s="5">
        <f>AVERAGE($E21:H21)</f>
        <v>76.859027917456103</v>
      </c>
      <c r="I28" s="5">
        <f>AVERAGE($E21:I21)</f>
        <v>77.067102812052525</v>
      </c>
      <c r="J28" s="5">
        <f>AVERAGE($E21:J21)</f>
        <v>76.985914610395753</v>
      </c>
      <c r="K28" s="5">
        <f>AVERAGE($E21:K21)</f>
        <v>76.97627290719403</v>
      </c>
      <c r="L28" s="5">
        <f>AVERAGE($E21:L21)</f>
        <v>77.014151774506175</v>
      </c>
      <c r="M28" s="5">
        <f>AVERAGE($E21:M21)</f>
        <v>76.990365974459849</v>
      </c>
      <c r="N28" s="5">
        <f>AVERAGE($E21:N21)</f>
        <v>76.96248286513854</v>
      </c>
      <c r="O28" s="5">
        <f>AVERAGE($E21:O21)</f>
        <v>81.372758525728244</v>
      </c>
      <c r="P28" s="5">
        <f>AVERAGE($E21:P21)</f>
        <v>84.993590997231493</v>
      </c>
    </row>
    <row r="29" spans="3:17" x14ac:dyDescent="0.35">
      <c r="D29" s="3" t="str">
        <f t="shared" si="4"/>
        <v>Difference</v>
      </c>
      <c r="E29" s="5">
        <f>SUM($E22:E22)</f>
        <v>-1.1366339574806688</v>
      </c>
      <c r="F29" s="5">
        <f>SUM($E22:F22)</f>
        <v>1.7253505536063045</v>
      </c>
      <c r="G29" s="5">
        <f>SUM($E22:G22)</f>
        <v>2.0499028443532978</v>
      </c>
      <c r="H29" s="5">
        <f>SUM($E22:H22)</f>
        <v>3.1635188724712293</v>
      </c>
      <c r="I29" s="5">
        <f>SUM($E22:I22)</f>
        <v>3.3390932799666899</v>
      </c>
      <c r="J29" s="5">
        <f>SUM($E22:J22)</f>
        <v>2.736727002828431</v>
      </c>
      <c r="K29" s="5">
        <f>SUM($E22:K22)</f>
        <v>4.4080529022334929</v>
      </c>
      <c r="L29" s="5">
        <f>SUM($E22:L22)</f>
        <v>6.2156452570852423</v>
      </c>
      <c r="M29" s="5" t="e">
        <f>SUM($E22:M22)</f>
        <v>#DIV/0!</v>
      </c>
      <c r="N29" s="5" t="e">
        <f>SUM($E22:N22)</f>
        <v>#DIV/0!</v>
      </c>
      <c r="O29" s="5" t="e">
        <f>SUM($E22:O22)</f>
        <v>#DIV/0!</v>
      </c>
      <c r="P29" s="5" t="e">
        <f>SUM($E22:P22)</f>
        <v>#DIV/0!</v>
      </c>
    </row>
    <row r="30" spans="3:17" x14ac:dyDescent="0.35">
      <c r="D30" s="3" t="str">
        <f t="shared" si="4"/>
        <v>Realisation</v>
      </c>
      <c r="E30" s="9">
        <f>E28/E26</f>
        <v>0.61607668002836213</v>
      </c>
      <c r="F30" s="9">
        <f t="shared" ref="F30:P30" si="5">F27/F26</f>
        <v>1.0068917599596527</v>
      </c>
      <c r="G30" s="9">
        <f t="shared" si="5"/>
        <v>1.005458770224738</v>
      </c>
      <c r="H30" s="9">
        <f t="shared" si="5"/>
        <v>1.0063181979602152</v>
      </c>
      <c r="I30" s="9">
        <f t="shared" si="5"/>
        <v>1.0053350849357123</v>
      </c>
      <c r="J30" s="9">
        <f t="shared" si="5"/>
        <v>1.003643871200391</v>
      </c>
      <c r="K30" s="9">
        <f t="shared" si="5"/>
        <v>1.0050307362471349</v>
      </c>
      <c r="L30" s="9">
        <f t="shared" si="5"/>
        <v>1.0062069611037376</v>
      </c>
      <c r="M30" s="9" t="e">
        <f t="shared" si="5"/>
        <v>#DIV/0!</v>
      </c>
      <c r="N30" s="9" t="e">
        <f t="shared" si="5"/>
        <v>#DIV/0!</v>
      </c>
      <c r="O30" s="9" t="e">
        <f t="shared" si="5"/>
        <v>#DIV/0!</v>
      </c>
      <c r="P30" s="9" t="e">
        <f t="shared" si="5"/>
        <v>#DIV/0!</v>
      </c>
    </row>
  </sheetData>
  <mergeCells count="2">
    <mergeCell ref="J4:Q8"/>
    <mergeCell ref="J10:Q15"/>
  </mergeCells>
  <conditionalFormatting sqref="C3">
    <cfRule type="expression" dxfId="140" priority="2">
      <formula>S4&lt;S6</formula>
    </cfRule>
  </conditionalFormatting>
  <conditionalFormatting sqref="C5">
    <cfRule type="expression" dxfId="139" priority="3">
      <formula>S4&gt;=S5</formula>
    </cfRule>
  </conditionalFormatting>
  <conditionalFormatting sqref="C4">
    <cfRule type="expression" dxfId="138" priority="1">
      <formula>AND(S4&gt;=S6,S4&lt;S5)</formula>
    </cfRule>
  </conditionalFormatting>
  <hyperlinks>
    <hyperlink ref="L1" location="Dashboard!A1" display="Dashboard"/>
  </hyperlinks>
  <pageMargins left="0.7" right="0.7" top="0.75" bottom="0.75" header="0.3" footer="0.3"/>
  <pageSetup orientation="portrait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54721" r:id="rId4" name="Spinner 1">
              <controlPr defaultSize="0" autoPict="0">
                <anchor moveWithCells="1" sizeWithCells="1">
                  <from>
                    <xdr:col>9</xdr:col>
                    <xdr:colOff>19050</xdr:colOff>
                    <xdr:row>0</xdr:row>
                    <xdr:rowOff>38100</xdr:rowOff>
                  </from>
                  <to>
                    <xdr:col>9</xdr:col>
                    <xdr:colOff>400050</xdr:colOff>
                    <xdr:row>1</xdr:row>
                    <xdr:rowOff>152400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15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119">
    <tabColor rgb="FFFFC000"/>
  </sheetPr>
  <dimension ref="A1:S30"/>
  <sheetViews>
    <sheetView zoomScale="90" zoomScaleNormal="90" workbookViewId="0">
      <selection activeCell="L1" sqref="L1"/>
    </sheetView>
  </sheetViews>
  <sheetFormatPr defaultColWidth="9.1796875" defaultRowHeight="14.5" x14ac:dyDescent="0.35"/>
  <cols>
    <col min="1" max="1" width="9.1796875" style="3"/>
    <col min="2" max="2" width="5.7265625" style="3" bestFit="1" customWidth="1"/>
    <col min="3" max="3" width="6.26953125" style="3" customWidth="1"/>
    <col min="4" max="4" width="21.26953125" style="3" bestFit="1" customWidth="1"/>
    <col min="5" max="16" width="11.1796875" style="3" customWidth="1"/>
    <col min="17" max="17" width="12" style="3" bestFit="1" customWidth="1"/>
    <col min="18" max="18" width="9.1796875" style="3" customWidth="1"/>
    <col min="19" max="16384" width="9.1796875" style="3"/>
  </cols>
  <sheetData>
    <row r="1" spans="1:19" ht="21" x14ac:dyDescent="0.5">
      <c r="A1" s="4" t="s">
        <v>4</v>
      </c>
      <c r="B1" s="4">
        <f>Dashboard!A168</f>
        <v>1</v>
      </c>
      <c r="C1" s="4" t="str">
        <f>Dashboard!B168</f>
        <v>CBD - SEWER(KES)</v>
      </c>
      <c r="D1" s="4"/>
      <c r="G1" s="3" t="s">
        <v>9</v>
      </c>
      <c r="I1" s="12">
        <f>INDEX($E$18:$P$18,Actual_month)</f>
        <v>46054</v>
      </c>
      <c r="L1" s="16" t="s">
        <v>19</v>
      </c>
      <c r="R1" s="5"/>
    </row>
    <row r="2" spans="1:19" x14ac:dyDescent="0.35">
      <c r="A2" s="3" t="s">
        <v>13</v>
      </c>
      <c r="C2" s="3" t="s">
        <v>27</v>
      </c>
      <c r="R2" s="6"/>
    </row>
    <row r="3" spans="1:19" ht="25.5" customHeight="1" thickBot="1" x14ac:dyDescent="0.4">
      <c r="C3" s="1" t="s">
        <v>5</v>
      </c>
      <c r="E3" s="10"/>
      <c r="F3" s="10"/>
      <c r="G3" s="10"/>
      <c r="H3" s="10"/>
      <c r="I3" s="10"/>
      <c r="J3" s="3" t="s">
        <v>6</v>
      </c>
      <c r="K3" s="10"/>
      <c r="M3" s="10"/>
      <c r="N3" s="10"/>
      <c r="O3" s="10"/>
      <c r="P3" s="10"/>
    </row>
    <row r="4" spans="1:19" ht="25.5" customHeight="1" x14ac:dyDescent="0.35">
      <c r="C4" s="1" t="s">
        <v>5</v>
      </c>
      <c r="E4" s="10"/>
      <c r="F4" s="10"/>
      <c r="G4" s="10"/>
      <c r="H4" s="10"/>
      <c r="I4" s="10"/>
      <c r="J4" s="401"/>
      <c r="K4" s="402"/>
      <c r="L4" s="402"/>
      <c r="M4" s="402"/>
      <c r="N4" s="402"/>
      <c r="O4" s="402"/>
      <c r="P4" s="402"/>
      <c r="Q4" s="403"/>
      <c r="R4" s="3" t="s">
        <v>22</v>
      </c>
      <c r="S4" s="5">
        <f>INDEX(E27:P27,Actual_month)</f>
        <v>16705851.899999999</v>
      </c>
    </row>
    <row r="5" spans="1:19" ht="25.5" customHeight="1" x14ac:dyDescent="0.35">
      <c r="C5" s="1" t="s">
        <v>5</v>
      </c>
      <c r="E5" s="10"/>
      <c r="F5" s="10"/>
      <c r="G5" s="10"/>
      <c r="H5" s="10"/>
      <c r="I5" s="10"/>
      <c r="J5" s="404"/>
      <c r="K5" s="405"/>
      <c r="L5" s="405"/>
      <c r="M5" s="405"/>
      <c r="N5" s="405"/>
      <c r="O5" s="405"/>
      <c r="P5" s="405"/>
      <c r="Q5" s="406"/>
      <c r="R5" s="3" t="s">
        <v>23</v>
      </c>
      <c r="S5" s="5">
        <f>INDEX(E26:P26,Actual_month)</f>
        <v>13618569.714824852</v>
      </c>
    </row>
    <row r="6" spans="1:19" x14ac:dyDescent="0.35">
      <c r="J6" s="404"/>
      <c r="K6" s="405"/>
      <c r="L6" s="405"/>
      <c r="M6" s="405"/>
      <c r="N6" s="405"/>
      <c r="O6" s="405"/>
      <c r="P6" s="405"/>
      <c r="Q6" s="406"/>
      <c r="R6" s="6">
        <v>0.9</v>
      </c>
      <c r="S6" s="5">
        <f>+S5*R6</f>
        <v>12256712.743342366</v>
      </c>
    </row>
    <row r="7" spans="1:19" x14ac:dyDescent="0.35">
      <c r="J7" s="404"/>
      <c r="K7" s="405"/>
      <c r="L7" s="405"/>
      <c r="M7" s="405"/>
      <c r="N7" s="405"/>
      <c r="O7" s="405"/>
      <c r="P7" s="405"/>
      <c r="Q7" s="406"/>
    </row>
    <row r="8" spans="1:19" ht="15" thickBot="1" x14ac:dyDescent="0.4">
      <c r="J8" s="407"/>
      <c r="K8" s="408"/>
      <c r="L8" s="408"/>
      <c r="M8" s="408"/>
      <c r="N8" s="408"/>
      <c r="O8" s="408"/>
      <c r="P8" s="408"/>
      <c r="Q8" s="409"/>
    </row>
    <row r="9" spans="1:19" ht="15" thickBot="1" x14ac:dyDescent="0.4">
      <c r="J9" s="3" t="s">
        <v>12</v>
      </c>
    </row>
    <row r="10" spans="1:19" x14ac:dyDescent="0.35">
      <c r="J10" s="401"/>
      <c r="K10" s="402"/>
      <c r="L10" s="402"/>
      <c r="M10" s="402"/>
      <c r="N10" s="402"/>
      <c r="O10" s="402"/>
      <c r="P10" s="402"/>
      <c r="Q10" s="403"/>
    </row>
    <row r="11" spans="1:19" x14ac:dyDescent="0.35">
      <c r="J11" s="404"/>
      <c r="K11" s="405"/>
      <c r="L11" s="405"/>
      <c r="M11" s="405"/>
      <c r="N11" s="405"/>
      <c r="O11" s="405"/>
      <c r="P11" s="405"/>
      <c r="Q11" s="406"/>
    </row>
    <row r="12" spans="1:19" x14ac:dyDescent="0.35">
      <c r="J12" s="404"/>
      <c r="K12" s="405"/>
      <c r="L12" s="405"/>
      <c r="M12" s="405"/>
      <c r="N12" s="405"/>
      <c r="O12" s="405"/>
      <c r="P12" s="405"/>
      <c r="Q12" s="406"/>
    </row>
    <row r="13" spans="1:19" x14ac:dyDescent="0.35">
      <c r="J13" s="404"/>
      <c r="K13" s="405"/>
      <c r="L13" s="405"/>
      <c r="M13" s="405"/>
      <c r="N13" s="405"/>
      <c r="O13" s="405"/>
      <c r="P13" s="405"/>
      <c r="Q13" s="406"/>
    </row>
    <row r="14" spans="1:19" x14ac:dyDescent="0.35">
      <c r="J14" s="404"/>
      <c r="K14" s="405"/>
      <c r="L14" s="405"/>
      <c r="M14" s="405"/>
      <c r="N14" s="405"/>
      <c r="O14" s="405"/>
      <c r="P14" s="405"/>
      <c r="Q14" s="406"/>
    </row>
    <row r="15" spans="1:19" ht="15" thickBot="1" x14ac:dyDescent="0.4">
      <c r="J15" s="407"/>
      <c r="K15" s="408"/>
      <c r="L15" s="408"/>
      <c r="M15" s="408"/>
      <c r="N15" s="408"/>
      <c r="O15" s="408"/>
      <c r="P15" s="408"/>
      <c r="Q15" s="409"/>
    </row>
    <row r="18" spans="3:17" x14ac:dyDescent="0.35">
      <c r="C18" s="7" t="s">
        <v>8</v>
      </c>
      <c r="E18" s="11">
        <v>45839</v>
      </c>
      <c r="F18" s="11">
        <v>45870</v>
      </c>
      <c r="G18" s="11">
        <v>45901</v>
      </c>
      <c r="H18" s="11">
        <v>45931</v>
      </c>
      <c r="I18" s="11">
        <v>45962</v>
      </c>
      <c r="J18" s="11">
        <v>45992</v>
      </c>
      <c r="K18" s="11">
        <v>46023</v>
      </c>
      <c r="L18" s="11">
        <v>46054</v>
      </c>
      <c r="M18" s="11">
        <v>46082</v>
      </c>
      <c r="N18" s="11">
        <v>46113</v>
      </c>
      <c r="O18" s="11">
        <v>46143</v>
      </c>
      <c r="P18" s="11">
        <v>46174</v>
      </c>
      <c r="Q18" s="8" t="s">
        <v>0</v>
      </c>
    </row>
    <row r="19" spans="3:17" x14ac:dyDescent="0.35">
      <c r="D19" s="3" t="s">
        <v>501</v>
      </c>
      <c r="E19" s="49">
        <f>'budget 2025-26'!D158</f>
        <v>1691651.722903348</v>
      </c>
      <c r="F19" s="49">
        <f>'budget 2025-26'!E158</f>
        <v>1694694.4053062443</v>
      </c>
      <c r="G19" s="49">
        <f>'budget 2025-26'!F158</f>
        <v>1697740.0137370352</v>
      </c>
      <c r="H19" s="49">
        <f>'budget 2025-26'!G158</f>
        <v>1700788.5041692217</v>
      </c>
      <c r="I19" s="49">
        <f>'budget 2025-26'!H158</f>
        <v>1703839.8334551535</v>
      </c>
      <c r="J19" s="49">
        <f>'budget 2025-26'!I158</f>
        <v>1706893.9593042135</v>
      </c>
      <c r="K19" s="49">
        <f>'budget 2025-26'!J158</f>
        <v>1709950.8402616431</v>
      </c>
      <c r="L19" s="49">
        <f>'budget 2025-26'!K158</f>
        <v>1713010.4356879916</v>
      </c>
      <c r="M19" s="49">
        <f>'budget 2025-26'!L158</f>
        <v>1716072.7057391726</v>
      </c>
      <c r="N19" s="49">
        <f>'budget 2025-26'!M158</f>
        <v>1719137.6113470991</v>
      </c>
      <c r="O19" s="49">
        <f>'budget 2025-26'!N158</f>
        <v>1722205.1142008854</v>
      </c>
      <c r="P19" s="49">
        <f>'budget 2025-26'!O158</f>
        <v>1725275.1767285895</v>
      </c>
      <c r="Q19" s="5">
        <f>SUM(E19:P19)</f>
        <v>20501260.322840601</v>
      </c>
    </row>
    <row r="20" spans="3:17" x14ac:dyDescent="0.35">
      <c r="D20" s="3" t="s">
        <v>502</v>
      </c>
      <c r="E20" s="49">
        <f>'Input Actual2025-26'!E161</f>
        <v>1879087.7</v>
      </c>
      <c r="F20" s="49">
        <f>'Input Actual2025-26'!F161</f>
        <v>2186275.2000000002</v>
      </c>
      <c r="G20" s="49">
        <f>'Input Actual2025-26'!G161</f>
        <v>2055082.7</v>
      </c>
      <c r="H20" s="49">
        <f>'Input Actual2025-26'!H161</f>
        <v>2107947.7000000002</v>
      </c>
      <c r="I20" s="49">
        <f>'Input Actual2025-26'!I161</f>
        <v>1855425.2</v>
      </c>
      <c r="J20" s="49">
        <f>'Input Actual2025-26'!J161</f>
        <v>1700500.5</v>
      </c>
      <c r="K20" s="49">
        <f>'Input Actual2025-26'!K161</f>
        <v>2758407.7</v>
      </c>
      <c r="L20" s="49">
        <f>'Input Actual2025-26'!L161</f>
        <v>2163125.2000000002</v>
      </c>
      <c r="M20" s="49">
        <f>'Input Actual2025-26'!M161</f>
        <v>0</v>
      </c>
      <c r="N20" s="49">
        <f>'Input Actual2025-26'!N161</f>
        <v>0</v>
      </c>
      <c r="O20" s="49">
        <f>'Input Actual2025-26'!O161</f>
        <v>0</v>
      </c>
      <c r="P20" s="49">
        <f>'Input Actual2025-26'!P161</f>
        <v>0</v>
      </c>
      <c r="Q20" s="5">
        <f t="shared" ref="Q20:Q22" si="0">SUM(E20:P20)</f>
        <v>16705851.899999999</v>
      </c>
    </row>
    <row r="21" spans="3:17" x14ac:dyDescent="0.35">
      <c r="D21" s="3" t="s">
        <v>424</v>
      </c>
      <c r="E21" s="49">
        <f>'Input Actual2024-25'!E148</f>
        <v>1441805.75</v>
      </c>
      <c r="F21" s="49">
        <f>'Input Actual2024-25'!F148</f>
        <v>1717555.7499999998</v>
      </c>
      <c r="G21" s="49">
        <f>'Input Actual2024-25'!G148</f>
        <v>1411385.3</v>
      </c>
      <c r="H21" s="49">
        <f>'Input Actual2024-25'!H148</f>
        <v>1634794.55</v>
      </c>
      <c r="I21" s="49">
        <f>'Input Actual2024-25'!I148</f>
        <v>1605025.3</v>
      </c>
      <c r="J21" s="49">
        <f>'Input Actual2024-25'!J148</f>
        <v>1194815.05</v>
      </c>
      <c r="K21" s="49">
        <f>'Input Actual2024-25'!K148</f>
        <v>2190020.5499999998</v>
      </c>
      <c r="L21" s="49">
        <f>'Input Actual2024-25'!L148</f>
        <v>1715172.55</v>
      </c>
      <c r="M21" s="49">
        <f>'Input Actual2024-25'!M148</f>
        <v>1785029.05</v>
      </c>
      <c r="N21" s="49">
        <f>'Input Actual2024-25'!N148</f>
        <v>2082507.7</v>
      </c>
      <c r="O21" s="49">
        <f>'Input Actual2024-25'!O148</f>
        <v>2259747.7000000002</v>
      </c>
      <c r="P21" s="49">
        <f>'Input Actual2024-25'!P148</f>
        <v>2125200.2000000002</v>
      </c>
      <c r="Q21" s="5">
        <f t="shared" si="0"/>
        <v>21163059.449999999</v>
      </c>
    </row>
    <row r="22" spans="3:17" x14ac:dyDescent="0.35">
      <c r="D22" s="3" t="s">
        <v>7</v>
      </c>
      <c r="E22" s="5">
        <f t="shared" ref="E22:P22" si="1">IF(E20=0,0,E20-E19)</f>
        <v>187435.97709665191</v>
      </c>
      <c r="F22" s="5">
        <f t="shared" si="1"/>
        <v>491580.79469375592</v>
      </c>
      <c r="G22" s="5">
        <f t="shared" si="1"/>
        <v>357342.68626296474</v>
      </c>
      <c r="H22" s="5">
        <f t="shared" si="1"/>
        <v>407159.19583077845</v>
      </c>
      <c r="I22" s="5">
        <f t="shared" si="1"/>
        <v>151585.36654484645</v>
      </c>
      <c r="J22" s="5">
        <f t="shared" si="1"/>
        <v>-6393.4593042135239</v>
      </c>
      <c r="K22" s="5">
        <f t="shared" si="1"/>
        <v>1048456.8597383571</v>
      </c>
      <c r="L22" s="5">
        <f t="shared" si="1"/>
        <v>450114.76431200863</v>
      </c>
      <c r="M22" s="5">
        <f t="shared" si="1"/>
        <v>0</v>
      </c>
      <c r="N22" s="5">
        <f t="shared" si="1"/>
        <v>0</v>
      </c>
      <c r="O22" s="5">
        <f t="shared" si="1"/>
        <v>0</v>
      </c>
      <c r="P22" s="5">
        <f t="shared" si="1"/>
        <v>0</v>
      </c>
      <c r="Q22" s="5">
        <f t="shared" si="0"/>
        <v>3087282.1851751497</v>
      </c>
    </row>
    <row r="23" spans="3:17" x14ac:dyDescent="0.35">
      <c r="D23" s="3" t="s">
        <v>43</v>
      </c>
      <c r="E23" s="9">
        <f>E21/E19</f>
        <v>0.8523064945812</v>
      </c>
      <c r="F23" s="9">
        <f t="shared" ref="F23:P23" si="2">F20/F19</f>
        <v>1.2900704653031079</v>
      </c>
      <c r="G23" s="9">
        <f t="shared" si="2"/>
        <v>1.2104813948964943</v>
      </c>
      <c r="H23" s="9">
        <f t="shared" si="2"/>
        <v>1.2393943719825777</v>
      </c>
      <c r="I23" s="9">
        <f t="shared" si="2"/>
        <v>1.0889669108377706</v>
      </c>
      <c r="J23" s="9">
        <f t="shared" si="2"/>
        <v>0.99625433128439933</v>
      </c>
      <c r="K23" s="9">
        <f t="shared" si="2"/>
        <v>1.6131502935943647</v>
      </c>
      <c r="L23" s="9">
        <f t="shared" si="2"/>
        <v>1.262762418100057</v>
      </c>
      <c r="M23" s="9">
        <f t="shared" si="2"/>
        <v>0</v>
      </c>
      <c r="N23" s="9">
        <f t="shared" si="2"/>
        <v>0</v>
      </c>
      <c r="O23" s="9">
        <f t="shared" si="2"/>
        <v>0</v>
      </c>
      <c r="P23" s="9">
        <f t="shared" si="2"/>
        <v>0</v>
      </c>
    </row>
    <row r="25" spans="3:17" x14ac:dyDescent="0.35">
      <c r="C25" s="7" t="s">
        <v>3</v>
      </c>
      <c r="E25" s="11">
        <f>E18</f>
        <v>45839</v>
      </c>
      <c r="F25" s="11">
        <f t="shared" ref="F25:P25" si="3">F18</f>
        <v>45870</v>
      </c>
      <c r="G25" s="11">
        <f t="shared" si="3"/>
        <v>45901</v>
      </c>
      <c r="H25" s="11">
        <f t="shared" si="3"/>
        <v>45931</v>
      </c>
      <c r="I25" s="11">
        <f t="shared" si="3"/>
        <v>45962</v>
      </c>
      <c r="J25" s="11">
        <f t="shared" si="3"/>
        <v>45992</v>
      </c>
      <c r="K25" s="11">
        <f t="shared" si="3"/>
        <v>46023</v>
      </c>
      <c r="L25" s="11">
        <f t="shared" si="3"/>
        <v>46054</v>
      </c>
      <c r="M25" s="11">
        <f t="shared" si="3"/>
        <v>46082</v>
      </c>
      <c r="N25" s="11">
        <f t="shared" si="3"/>
        <v>46113</v>
      </c>
      <c r="O25" s="11">
        <f t="shared" si="3"/>
        <v>46143</v>
      </c>
      <c r="P25" s="11">
        <f t="shared" si="3"/>
        <v>46174</v>
      </c>
    </row>
    <row r="26" spans="3:17" x14ac:dyDescent="0.35">
      <c r="D26" s="3" t="str">
        <f>D19</f>
        <v>Budget 2025-26</v>
      </c>
      <c r="E26" s="5">
        <f>SUM($E19:E19)</f>
        <v>1691651.722903348</v>
      </c>
      <c r="F26" s="5">
        <f>SUM($E19:F19)</f>
        <v>3386346.1282095923</v>
      </c>
      <c r="G26" s="5">
        <f>SUM($E19:G19)</f>
        <v>5084086.1419466278</v>
      </c>
      <c r="H26" s="5">
        <f>SUM($E19:H19)</f>
        <v>6784874.6461158497</v>
      </c>
      <c r="I26" s="5">
        <f>SUM($E19:I19)</f>
        <v>8488714.4795710035</v>
      </c>
      <c r="J26" s="5">
        <f>SUM($E19:J19)</f>
        <v>10195608.438875217</v>
      </c>
      <c r="K26" s="5">
        <f>SUM($E19:K19)</f>
        <v>11905559.279136861</v>
      </c>
      <c r="L26" s="5">
        <f>SUM($E19:L19)</f>
        <v>13618569.714824852</v>
      </c>
      <c r="M26" s="5">
        <f>SUM($E19:M19)</f>
        <v>15334642.420564024</v>
      </c>
      <c r="N26" s="5">
        <f>SUM($E19:N19)</f>
        <v>17053780.031911124</v>
      </c>
      <c r="O26" s="5">
        <f>SUM($E19:O19)</f>
        <v>18775985.14611201</v>
      </c>
      <c r="P26" s="5">
        <f>SUM($E19:P19)</f>
        <v>20501260.322840601</v>
      </c>
    </row>
    <row r="27" spans="3:17" x14ac:dyDescent="0.35">
      <c r="D27" s="3" t="str">
        <f t="shared" ref="D27:D30" si="4">D20</f>
        <v>Actual 2025-26</v>
      </c>
      <c r="E27" s="5">
        <f>SUM($E20:E20)</f>
        <v>1879087.7</v>
      </c>
      <c r="F27" s="5">
        <f>SUM($E20:F20)</f>
        <v>4065362.9000000004</v>
      </c>
      <c r="G27" s="5">
        <f>SUM($E20:G20)</f>
        <v>6120445.6000000006</v>
      </c>
      <c r="H27" s="5">
        <f>SUM($E20:H20)</f>
        <v>8228393.3000000007</v>
      </c>
      <c r="I27" s="5">
        <f>SUM($E20:I20)</f>
        <v>10083818.5</v>
      </c>
      <c r="J27" s="5">
        <f>SUM($E20:J20)</f>
        <v>11784319</v>
      </c>
      <c r="K27" s="5">
        <f>SUM($E20:K20)</f>
        <v>14542726.699999999</v>
      </c>
      <c r="L27" s="5">
        <f>SUM($E20:L20)</f>
        <v>16705851.899999999</v>
      </c>
      <c r="M27" s="5">
        <f>SUM($E20:M20)</f>
        <v>16705851.899999999</v>
      </c>
      <c r="N27" s="5">
        <f>SUM($E20:N20)</f>
        <v>16705851.899999999</v>
      </c>
      <c r="O27" s="5">
        <f>SUM($E20:O20)</f>
        <v>16705851.899999999</v>
      </c>
      <c r="P27" s="5">
        <f>SUM($E20:P20)</f>
        <v>16705851.899999999</v>
      </c>
    </row>
    <row r="28" spans="3:17" x14ac:dyDescent="0.35">
      <c r="D28" s="3" t="str">
        <f t="shared" si="4"/>
        <v>Actual 2024-25</v>
      </c>
      <c r="E28" s="5">
        <f>SUM($E21:E21)</f>
        <v>1441805.75</v>
      </c>
      <c r="F28" s="5">
        <f>SUM($E21:F21)</f>
        <v>3159361.5</v>
      </c>
      <c r="G28" s="5">
        <f>SUM($E21:G21)</f>
        <v>4570746.8</v>
      </c>
      <c r="H28" s="5">
        <f>SUM($E21:H21)</f>
        <v>6205541.3499999996</v>
      </c>
      <c r="I28" s="5">
        <f>SUM($E21:I21)</f>
        <v>7810566.6499999994</v>
      </c>
      <c r="J28" s="5">
        <f>SUM($E21:J21)</f>
        <v>9005381.6999999993</v>
      </c>
      <c r="K28" s="5">
        <f>SUM($E21:K21)</f>
        <v>11195402.25</v>
      </c>
      <c r="L28" s="5">
        <f>SUM($E21:L21)</f>
        <v>12910574.800000001</v>
      </c>
      <c r="M28" s="5">
        <f>SUM($E21:M21)</f>
        <v>14695603.850000001</v>
      </c>
      <c r="N28" s="5">
        <f>SUM($E21:N21)</f>
        <v>16778111.550000001</v>
      </c>
      <c r="O28" s="5">
        <f>SUM($E21:O21)</f>
        <v>19037859.25</v>
      </c>
      <c r="P28" s="5">
        <f>SUM($E21:P21)</f>
        <v>21163059.449999999</v>
      </c>
    </row>
    <row r="29" spans="3:17" x14ac:dyDescent="0.35">
      <c r="D29" s="3" t="str">
        <f t="shared" si="4"/>
        <v>Difference</v>
      </c>
      <c r="E29" s="5">
        <f>SUM($E22:E22)</f>
        <v>187435.97709665191</v>
      </c>
      <c r="F29" s="5">
        <f>SUM($E22:F22)</f>
        <v>679016.77179040783</v>
      </c>
      <c r="G29" s="5">
        <f>SUM($E22:G22)</f>
        <v>1036359.4580533726</v>
      </c>
      <c r="H29" s="5">
        <f>SUM($E22:H22)</f>
        <v>1443518.653884151</v>
      </c>
      <c r="I29" s="5">
        <f>SUM($E22:I22)</f>
        <v>1595104.0204289975</v>
      </c>
      <c r="J29" s="5">
        <f>SUM($E22:J22)</f>
        <v>1588710.5611247839</v>
      </c>
      <c r="K29" s="5">
        <f>SUM($E22:K22)</f>
        <v>2637167.4208631413</v>
      </c>
      <c r="L29" s="5">
        <f>SUM($E22:L22)</f>
        <v>3087282.1851751497</v>
      </c>
      <c r="M29" s="5">
        <f>SUM($E22:M22)</f>
        <v>3087282.1851751497</v>
      </c>
      <c r="N29" s="5">
        <f>SUM($E22:N22)</f>
        <v>3087282.1851751497</v>
      </c>
      <c r="O29" s="5">
        <f>SUM($E22:O22)</f>
        <v>3087282.1851751497</v>
      </c>
      <c r="P29" s="5">
        <f>SUM($E22:P22)</f>
        <v>3087282.1851751497</v>
      </c>
    </row>
    <row r="30" spans="3:17" x14ac:dyDescent="0.35">
      <c r="D30" s="3" t="str">
        <f t="shared" si="4"/>
        <v>Realisation</v>
      </c>
      <c r="E30" s="9">
        <f>E28/E26</f>
        <v>0.8523064945812</v>
      </c>
      <c r="F30" s="9">
        <f t="shared" ref="F30:P30" si="5">F27/F26</f>
        <v>1.2005160565643105</v>
      </c>
      <c r="G30" s="9">
        <f t="shared" si="5"/>
        <v>1.2038438038063148</v>
      </c>
      <c r="H30" s="9">
        <f t="shared" si="5"/>
        <v>1.2127553903609001</v>
      </c>
      <c r="I30" s="9">
        <f t="shared" si="5"/>
        <v>1.1879087845713017</v>
      </c>
      <c r="J30" s="9">
        <f t="shared" si="5"/>
        <v>1.1558230262224596</v>
      </c>
      <c r="K30" s="9">
        <f t="shared" si="5"/>
        <v>1.221507226920828</v>
      </c>
      <c r="L30" s="9">
        <f t="shared" si="5"/>
        <v>1.2266965070358604</v>
      </c>
      <c r="M30" s="9">
        <f t="shared" si="5"/>
        <v>1.0894190710046918</v>
      </c>
      <c r="N30" s="9">
        <f t="shared" si="5"/>
        <v>0.97959818109181185</v>
      </c>
      <c r="O30" s="9">
        <f t="shared" si="5"/>
        <v>0.88974569216994304</v>
      </c>
      <c r="P30" s="9">
        <f t="shared" si="5"/>
        <v>0.81486950738281627</v>
      </c>
    </row>
  </sheetData>
  <mergeCells count="2">
    <mergeCell ref="J4:Q8"/>
    <mergeCell ref="J10:Q15"/>
  </mergeCells>
  <conditionalFormatting sqref="C3">
    <cfRule type="expression" dxfId="137" priority="2">
      <formula>S4&lt;S6</formula>
    </cfRule>
  </conditionalFormatting>
  <conditionalFormatting sqref="C5">
    <cfRule type="expression" dxfId="136" priority="3">
      <formula>S4&gt;=S5</formula>
    </cfRule>
  </conditionalFormatting>
  <conditionalFormatting sqref="C4">
    <cfRule type="expression" dxfId="135" priority="1">
      <formula>AND(S4&gt;=S6,S4&lt;S5)</formula>
    </cfRule>
  </conditionalFormatting>
  <hyperlinks>
    <hyperlink ref="L1" location="Dashboard!A1" display="Dashboard"/>
  </hyperlinks>
  <pageMargins left="0.7" right="0.7" top="0.75" bottom="0.75" header="0.3" footer="0.3"/>
  <pageSetup orientation="portrait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55745" r:id="rId4" name="Spinner 1">
              <controlPr defaultSize="0" autoPict="0">
                <anchor moveWithCells="1" sizeWithCells="1">
                  <from>
                    <xdr:col>9</xdr:col>
                    <xdr:colOff>19050</xdr:colOff>
                    <xdr:row>0</xdr:row>
                    <xdr:rowOff>38100</xdr:rowOff>
                  </from>
                  <to>
                    <xdr:col>9</xdr:col>
                    <xdr:colOff>400050</xdr:colOff>
                    <xdr:row>1</xdr:row>
                    <xdr:rowOff>152400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15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120">
    <tabColor rgb="FFFFC000"/>
  </sheetPr>
  <dimension ref="A1:S30"/>
  <sheetViews>
    <sheetView zoomScale="90" zoomScaleNormal="90" workbookViewId="0">
      <selection activeCell="L1" sqref="L1"/>
    </sheetView>
  </sheetViews>
  <sheetFormatPr defaultColWidth="9.1796875" defaultRowHeight="14.5" x14ac:dyDescent="0.35"/>
  <cols>
    <col min="1" max="1" width="9.1796875" style="3"/>
    <col min="2" max="2" width="5.7265625" style="3" bestFit="1" customWidth="1"/>
    <col min="3" max="3" width="6.26953125" style="3" customWidth="1"/>
    <col min="4" max="4" width="21.26953125" style="3" bestFit="1" customWidth="1"/>
    <col min="5" max="16" width="11.1796875" style="3" customWidth="1"/>
    <col min="17" max="17" width="12" style="3" bestFit="1" customWidth="1"/>
    <col min="18" max="18" width="9.1796875" style="3" customWidth="1"/>
    <col min="19" max="16384" width="9.1796875" style="3"/>
  </cols>
  <sheetData>
    <row r="1" spans="1:19" ht="21" x14ac:dyDescent="0.5">
      <c r="A1" s="4" t="s">
        <v>4</v>
      </c>
      <c r="B1" s="4">
        <f>Dashboard!A169</f>
        <v>2</v>
      </c>
      <c r="C1" s="4" t="str">
        <f>Dashboard!B169</f>
        <v>CCCR- SEWER(KES)</v>
      </c>
      <c r="D1" s="4"/>
      <c r="G1" s="3" t="s">
        <v>9</v>
      </c>
      <c r="I1" s="12">
        <f>INDEX($E$18:$P$18,Actual_month)</f>
        <v>46054</v>
      </c>
      <c r="L1" s="16" t="s">
        <v>19</v>
      </c>
      <c r="R1" s="5"/>
    </row>
    <row r="2" spans="1:19" x14ac:dyDescent="0.35">
      <c r="A2" s="3" t="s">
        <v>13</v>
      </c>
      <c r="C2" s="3" t="s">
        <v>27</v>
      </c>
      <c r="R2" s="6"/>
    </row>
    <row r="3" spans="1:19" ht="25.5" customHeight="1" thickBot="1" x14ac:dyDescent="0.4">
      <c r="C3" s="1" t="s">
        <v>5</v>
      </c>
      <c r="E3" s="10"/>
      <c r="F3" s="10"/>
      <c r="G3" s="10"/>
      <c r="H3" s="10"/>
      <c r="I3" s="10"/>
      <c r="J3" s="3" t="s">
        <v>6</v>
      </c>
      <c r="K3" s="10"/>
      <c r="M3" s="10"/>
      <c r="N3" s="10"/>
      <c r="O3" s="10"/>
      <c r="P3" s="10"/>
    </row>
    <row r="4" spans="1:19" ht="25.5" customHeight="1" x14ac:dyDescent="0.35">
      <c r="C4" s="1" t="s">
        <v>5</v>
      </c>
      <c r="E4" s="10"/>
      <c r="F4" s="10"/>
      <c r="G4" s="10"/>
      <c r="H4" s="10"/>
      <c r="I4" s="10"/>
      <c r="J4" s="401"/>
      <c r="K4" s="402"/>
      <c r="L4" s="402"/>
      <c r="M4" s="402"/>
      <c r="N4" s="402"/>
      <c r="O4" s="402"/>
      <c r="P4" s="402"/>
      <c r="Q4" s="403"/>
      <c r="R4" s="3" t="s">
        <v>22</v>
      </c>
      <c r="S4" s="5">
        <f>INDEX(E27:P27,Actual_month)</f>
        <v>16625068.299999999</v>
      </c>
    </row>
    <row r="5" spans="1:19" ht="25.5" customHeight="1" x14ac:dyDescent="0.35">
      <c r="C5" s="1" t="s">
        <v>5</v>
      </c>
      <c r="E5" s="10"/>
      <c r="F5" s="10"/>
      <c r="G5" s="10"/>
      <c r="H5" s="10"/>
      <c r="I5" s="10"/>
      <c r="J5" s="404"/>
      <c r="K5" s="405"/>
      <c r="L5" s="405"/>
      <c r="M5" s="405"/>
      <c r="N5" s="405"/>
      <c r="O5" s="405"/>
      <c r="P5" s="405"/>
      <c r="Q5" s="406"/>
      <c r="R5" s="3" t="s">
        <v>23</v>
      </c>
      <c r="S5" s="5">
        <f>INDEX(E26:P26,Actual_month)</f>
        <v>14666956.390909765</v>
      </c>
    </row>
    <row r="6" spans="1:19" x14ac:dyDescent="0.35">
      <c r="J6" s="404"/>
      <c r="K6" s="405"/>
      <c r="L6" s="405"/>
      <c r="M6" s="405"/>
      <c r="N6" s="405"/>
      <c r="O6" s="405"/>
      <c r="P6" s="405"/>
      <c r="Q6" s="406"/>
      <c r="R6" s="6">
        <v>0.9</v>
      </c>
      <c r="S6" s="5">
        <f>+S5*R6</f>
        <v>13200260.751818789</v>
      </c>
    </row>
    <row r="7" spans="1:19" x14ac:dyDescent="0.35">
      <c r="J7" s="404"/>
      <c r="K7" s="405"/>
      <c r="L7" s="405"/>
      <c r="M7" s="405"/>
      <c r="N7" s="405"/>
      <c r="O7" s="405"/>
      <c r="P7" s="405"/>
      <c r="Q7" s="406"/>
    </row>
    <row r="8" spans="1:19" ht="15" thickBot="1" x14ac:dyDescent="0.4">
      <c r="J8" s="407"/>
      <c r="K8" s="408"/>
      <c r="L8" s="408"/>
      <c r="M8" s="408"/>
      <c r="N8" s="408"/>
      <c r="O8" s="408"/>
      <c r="P8" s="408"/>
      <c r="Q8" s="409"/>
    </row>
    <row r="9" spans="1:19" ht="15" thickBot="1" x14ac:dyDescent="0.4">
      <c r="J9" s="3" t="s">
        <v>12</v>
      </c>
    </row>
    <row r="10" spans="1:19" x14ac:dyDescent="0.35">
      <c r="J10" s="401"/>
      <c r="K10" s="402"/>
      <c r="L10" s="402"/>
      <c r="M10" s="402"/>
      <c r="N10" s="402"/>
      <c r="O10" s="402"/>
      <c r="P10" s="402"/>
      <c r="Q10" s="403"/>
    </row>
    <row r="11" spans="1:19" x14ac:dyDescent="0.35">
      <c r="J11" s="404"/>
      <c r="K11" s="405"/>
      <c r="L11" s="405"/>
      <c r="M11" s="405"/>
      <c r="N11" s="405"/>
      <c r="O11" s="405"/>
      <c r="P11" s="405"/>
      <c r="Q11" s="406"/>
    </row>
    <row r="12" spans="1:19" x14ac:dyDescent="0.35">
      <c r="J12" s="404"/>
      <c r="K12" s="405"/>
      <c r="L12" s="405"/>
      <c r="M12" s="405"/>
      <c r="N12" s="405"/>
      <c r="O12" s="405"/>
      <c r="P12" s="405"/>
      <c r="Q12" s="406"/>
    </row>
    <row r="13" spans="1:19" x14ac:dyDescent="0.35">
      <c r="J13" s="404"/>
      <c r="K13" s="405"/>
      <c r="L13" s="405"/>
      <c r="M13" s="405"/>
      <c r="N13" s="405"/>
      <c r="O13" s="405"/>
      <c r="P13" s="405"/>
      <c r="Q13" s="406"/>
    </row>
    <row r="14" spans="1:19" x14ac:dyDescent="0.35">
      <c r="J14" s="404"/>
      <c r="K14" s="405"/>
      <c r="L14" s="405"/>
      <c r="M14" s="405"/>
      <c r="N14" s="405"/>
      <c r="O14" s="405"/>
      <c r="P14" s="405"/>
      <c r="Q14" s="406"/>
    </row>
    <row r="15" spans="1:19" ht="15" thickBot="1" x14ac:dyDescent="0.4">
      <c r="J15" s="407"/>
      <c r="K15" s="408"/>
      <c r="L15" s="408"/>
      <c r="M15" s="408"/>
      <c r="N15" s="408"/>
      <c r="O15" s="408"/>
      <c r="P15" s="408"/>
      <c r="Q15" s="409"/>
    </row>
    <row r="18" spans="3:17" x14ac:dyDescent="0.35">
      <c r="C18" s="7" t="s">
        <v>8</v>
      </c>
      <c r="E18" s="11">
        <v>45839</v>
      </c>
      <c r="F18" s="11">
        <v>45870</v>
      </c>
      <c r="G18" s="11">
        <v>45901</v>
      </c>
      <c r="H18" s="11">
        <v>45931</v>
      </c>
      <c r="I18" s="11">
        <v>45962</v>
      </c>
      <c r="J18" s="11">
        <v>45992</v>
      </c>
      <c r="K18" s="11">
        <v>46023</v>
      </c>
      <c r="L18" s="11">
        <v>46054</v>
      </c>
      <c r="M18" s="11">
        <v>46082</v>
      </c>
      <c r="N18" s="11">
        <v>46113</v>
      </c>
      <c r="O18" s="11">
        <v>46143</v>
      </c>
      <c r="P18" s="11">
        <v>46174</v>
      </c>
      <c r="Q18" s="8" t="s">
        <v>0</v>
      </c>
    </row>
    <row r="19" spans="3:17" x14ac:dyDescent="0.35">
      <c r="D19" s="3" t="s">
        <v>501</v>
      </c>
      <c r="E19" s="49">
        <f>'budget 2025-26'!D159</f>
        <v>1796286.6210640594</v>
      </c>
      <c r="F19" s="49">
        <f>'budget 2025-26'!E159</f>
        <v>1806883.9788652488</v>
      </c>
      <c r="G19" s="49">
        <f>'budget 2025-26'!F159</f>
        <v>1817480.1977979443</v>
      </c>
      <c r="H19" s="49">
        <f>'budget 2025-26'!G159</f>
        <v>1828075.2949981415</v>
      </c>
      <c r="I19" s="49">
        <f>'budget 2025-26'!H159</f>
        <v>1838669.287259765</v>
      </c>
      <c r="J19" s="49">
        <f>'budget 2025-26'!I159</f>
        <v>1849262.1910431692</v>
      </c>
      <c r="K19" s="49">
        <f>'budget 2025-26'!J159</f>
        <v>1859854.0224833733</v>
      </c>
      <c r="L19" s="49">
        <f>'budget 2025-26'!K159</f>
        <v>1870444.7973980627</v>
      </c>
      <c r="M19" s="49">
        <f>'budget 2025-26'!L159</f>
        <v>1881034.5312953533</v>
      </c>
      <c r="N19" s="49">
        <f>'budget 2025-26'!M159</f>
        <v>1891623.2393813224</v>
      </c>
      <c r="O19" s="49">
        <f>'budget 2025-26'!N159</f>
        <v>1902210.9365673335</v>
      </c>
      <c r="P19" s="49">
        <f>'budget 2025-26'!O159</f>
        <v>1912797.6374771369</v>
      </c>
      <c r="Q19" s="5">
        <f>SUM(E19:P19)</f>
        <v>22254622.735630911</v>
      </c>
    </row>
    <row r="20" spans="3:17" x14ac:dyDescent="0.35">
      <c r="D20" s="3" t="s">
        <v>502</v>
      </c>
      <c r="E20" s="49">
        <f>'Input Actual2025-26'!E162</f>
        <v>2298467.6</v>
      </c>
      <c r="F20" s="49">
        <f>'Input Actual2025-26'!F162</f>
        <v>2188802.6</v>
      </c>
      <c r="G20" s="49">
        <f>'Input Actual2025-26'!G162</f>
        <v>1957705.1</v>
      </c>
      <c r="H20" s="49">
        <f>'Input Actual2025-26'!H162</f>
        <v>2053492.6</v>
      </c>
      <c r="I20" s="49">
        <f>'Input Actual2025-26'!I162</f>
        <v>2035522.6</v>
      </c>
      <c r="J20" s="49">
        <f>'Input Actual2025-26'!J162</f>
        <v>1905857.6</v>
      </c>
      <c r="K20" s="49">
        <f>'Input Actual2025-26'!K162</f>
        <v>2170877.6</v>
      </c>
      <c r="L20" s="49">
        <f>'Input Actual2025-26'!L162</f>
        <v>2014342.6</v>
      </c>
      <c r="M20" s="49">
        <f>'Input Actual2025-26'!M162</f>
        <v>0</v>
      </c>
      <c r="N20" s="49">
        <f>'Input Actual2025-26'!N162</f>
        <v>0</v>
      </c>
      <c r="O20" s="49">
        <f>'Input Actual2025-26'!O162</f>
        <v>0</v>
      </c>
      <c r="P20" s="49">
        <f>'Input Actual2025-26'!P162</f>
        <v>0</v>
      </c>
      <c r="Q20" s="5">
        <f t="shared" ref="Q20:Q22" si="0">SUM(E20:P20)</f>
        <v>16625068.299999999</v>
      </c>
    </row>
    <row r="21" spans="3:17" x14ac:dyDescent="0.35">
      <c r="D21" s="3" t="s">
        <v>424</v>
      </c>
      <c r="E21" s="49">
        <f>'Input Actual2024-25'!E149</f>
        <v>1682437.2</v>
      </c>
      <c r="F21" s="49">
        <f>'Input Actual2024-25'!F149</f>
        <v>2133742.7000000002</v>
      </c>
      <c r="G21" s="49">
        <f>'Input Actual2024-25'!G149</f>
        <v>1789043.45</v>
      </c>
      <c r="H21" s="49">
        <f>'Input Actual2024-25'!H149</f>
        <v>1716374.95</v>
      </c>
      <c r="I21" s="49">
        <f>'Input Actual2024-25'!I149</f>
        <v>1712536.2</v>
      </c>
      <c r="J21" s="49">
        <f>'Input Actual2024-25'!J149</f>
        <v>1764648.7</v>
      </c>
      <c r="K21" s="49">
        <f>'Input Actual2024-25'!K149</f>
        <v>1955637.2</v>
      </c>
      <c r="L21" s="49">
        <f>'Input Actual2024-25'!L149</f>
        <v>1763817.85</v>
      </c>
      <c r="M21" s="49">
        <f>'Input Actual2024-25'!M149</f>
        <v>1874122.1</v>
      </c>
      <c r="N21" s="49">
        <f>'Input Actual2024-25'!N149</f>
        <v>2160182.6</v>
      </c>
      <c r="O21" s="49">
        <f>'Input Actual2024-25'!O149</f>
        <v>2178065.1</v>
      </c>
      <c r="P21" s="49">
        <f>'Input Actual2024-25'!P149</f>
        <v>2294902.6</v>
      </c>
      <c r="Q21" s="5">
        <f t="shared" si="0"/>
        <v>23025510.650000002</v>
      </c>
    </row>
    <row r="22" spans="3:17" x14ac:dyDescent="0.35">
      <c r="D22" s="3" t="s">
        <v>7</v>
      </c>
      <c r="E22" s="5">
        <f t="shared" ref="E22:P22" si="1">IF(E20=0,0,E20-E19)</f>
        <v>502180.97893594066</v>
      </c>
      <c r="F22" s="5">
        <f t="shared" si="1"/>
        <v>381918.62113475124</v>
      </c>
      <c r="G22" s="5">
        <f t="shared" si="1"/>
        <v>140224.90220205579</v>
      </c>
      <c r="H22" s="5">
        <f t="shared" si="1"/>
        <v>225417.30500185862</v>
      </c>
      <c r="I22" s="5">
        <f t="shared" si="1"/>
        <v>196853.31274023512</v>
      </c>
      <c r="J22" s="5">
        <f t="shared" si="1"/>
        <v>56595.408956830855</v>
      </c>
      <c r="K22" s="5">
        <f t="shared" si="1"/>
        <v>311023.5775166268</v>
      </c>
      <c r="L22" s="5">
        <f t="shared" si="1"/>
        <v>143897.80260193744</v>
      </c>
      <c r="M22" s="5">
        <f t="shared" si="1"/>
        <v>0</v>
      </c>
      <c r="N22" s="5">
        <f t="shared" si="1"/>
        <v>0</v>
      </c>
      <c r="O22" s="5">
        <f t="shared" si="1"/>
        <v>0</v>
      </c>
      <c r="P22" s="5">
        <f t="shared" si="1"/>
        <v>0</v>
      </c>
      <c r="Q22" s="5">
        <f t="shared" si="0"/>
        <v>1958111.9090902365</v>
      </c>
    </row>
    <row r="23" spans="3:17" x14ac:dyDescent="0.35">
      <c r="D23" s="3" t="s">
        <v>43</v>
      </c>
      <c r="E23" s="9">
        <f>E21/E19</f>
        <v>0.93661956854267558</v>
      </c>
      <c r="F23" s="9">
        <f t="shared" ref="F23:P23" si="2">F20/F19</f>
        <v>1.2113686465771876</v>
      </c>
      <c r="G23" s="9">
        <f t="shared" si="2"/>
        <v>1.0771534690567479</v>
      </c>
      <c r="H23" s="9">
        <f t="shared" si="2"/>
        <v>1.1233085451231852</v>
      </c>
      <c r="I23" s="9">
        <f t="shared" si="2"/>
        <v>1.1070629254016706</v>
      </c>
      <c r="J23" s="9">
        <f t="shared" si="2"/>
        <v>1.0306043184308578</v>
      </c>
      <c r="K23" s="9">
        <f t="shared" si="2"/>
        <v>1.1672301018019318</v>
      </c>
      <c r="L23" s="9">
        <f t="shared" si="2"/>
        <v>1.0769323974715055</v>
      </c>
      <c r="M23" s="9">
        <f t="shared" si="2"/>
        <v>0</v>
      </c>
      <c r="N23" s="9">
        <f t="shared" si="2"/>
        <v>0</v>
      </c>
      <c r="O23" s="9">
        <f t="shared" si="2"/>
        <v>0</v>
      </c>
      <c r="P23" s="9">
        <f t="shared" si="2"/>
        <v>0</v>
      </c>
    </row>
    <row r="25" spans="3:17" x14ac:dyDescent="0.35">
      <c r="C25" s="7" t="s">
        <v>3</v>
      </c>
      <c r="E25" s="11">
        <f>E18</f>
        <v>45839</v>
      </c>
      <c r="F25" s="11">
        <f t="shared" ref="F25:P25" si="3">F18</f>
        <v>45870</v>
      </c>
      <c r="G25" s="11">
        <f t="shared" si="3"/>
        <v>45901</v>
      </c>
      <c r="H25" s="11">
        <f t="shared" si="3"/>
        <v>45931</v>
      </c>
      <c r="I25" s="11">
        <f t="shared" si="3"/>
        <v>45962</v>
      </c>
      <c r="J25" s="11">
        <f t="shared" si="3"/>
        <v>45992</v>
      </c>
      <c r="K25" s="11">
        <f t="shared" si="3"/>
        <v>46023</v>
      </c>
      <c r="L25" s="11">
        <f t="shared" si="3"/>
        <v>46054</v>
      </c>
      <c r="M25" s="11">
        <f t="shared" si="3"/>
        <v>46082</v>
      </c>
      <c r="N25" s="11">
        <f t="shared" si="3"/>
        <v>46113</v>
      </c>
      <c r="O25" s="11">
        <f t="shared" si="3"/>
        <v>46143</v>
      </c>
      <c r="P25" s="11">
        <f t="shared" si="3"/>
        <v>46174</v>
      </c>
    </row>
    <row r="26" spans="3:17" x14ac:dyDescent="0.35">
      <c r="D26" s="3" t="str">
        <f>D19</f>
        <v>Budget 2025-26</v>
      </c>
      <c r="E26" s="5">
        <f>SUM($E19:E19)</f>
        <v>1796286.6210640594</v>
      </c>
      <c r="F26" s="5">
        <f>SUM($E19:F19)</f>
        <v>3603170.5999293085</v>
      </c>
      <c r="G26" s="5">
        <f>SUM($E19:G19)</f>
        <v>5420650.7977272533</v>
      </c>
      <c r="H26" s="5">
        <f>SUM($E19:H19)</f>
        <v>7248726.0927253943</v>
      </c>
      <c r="I26" s="5">
        <f>SUM($E19:I19)</f>
        <v>9087395.3799851593</v>
      </c>
      <c r="J26" s="5">
        <f>SUM($E19:J19)</f>
        <v>10936657.571028329</v>
      </c>
      <c r="K26" s="5">
        <f>SUM($E19:K19)</f>
        <v>12796511.593511702</v>
      </c>
      <c r="L26" s="5">
        <f>SUM($E19:L19)</f>
        <v>14666956.390909765</v>
      </c>
      <c r="M26" s="5">
        <f>SUM($E19:M19)</f>
        <v>16547990.922205118</v>
      </c>
      <c r="N26" s="5">
        <f>SUM($E19:N19)</f>
        <v>18439614.161586441</v>
      </c>
      <c r="O26" s="5">
        <f>SUM($E19:O19)</f>
        <v>20341825.098153774</v>
      </c>
      <c r="P26" s="5">
        <f>SUM($E19:P19)</f>
        <v>22254622.735630911</v>
      </c>
    </row>
    <row r="27" spans="3:17" x14ac:dyDescent="0.35">
      <c r="D27" s="3" t="str">
        <f t="shared" ref="D27:D30" si="4">D20</f>
        <v>Actual 2025-26</v>
      </c>
      <c r="E27" s="5">
        <f>SUM($E20:E20)</f>
        <v>2298467.6</v>
      </c>
      <c r="F27" s="5">
        <f>SUM($E20:F20)</f>
        <v>4487270.2</v>
      </c>
      <c r="G27" s="5">
        <f>SUM($E20:G20)</f>
        <v>6444975.3000000007</v>
      </c>
      <c r="H27" s="5">
        <f>SUM($E20:H20)</f>
        <v>8498467.9000000004</v>
      </c>
      <c r="I27" s="5">
        <f>SUM($E20:I20)</f>
        <v>10533990.5</v>
      </c>
      <c r="J27" s="5">
        <f>SUM($E20:J20)</f>
        <v>12439848.1</v>
      </c>
      <c r="K27" s="5">
        <f>SUM($E20:K20)</f>
        <v>14610725.699999999</v>
      </c>
      <c r="L27" s="5">
        <f>SUM($E20:L20)</f>
        <v>16625068.299999999</v>
      </c>
      <c r="M27" s="5">
        <f>SUM($E20:M20)</f>
        <v>16625068.299999999</v>
      </c>
      <c r="N27" s="5">
        <f>SUM($E20:N20)</f>
        <v>16625068.299999999</v>
      </c>
      <c r="O27" s="5">
        <f>SUM($E20:O20)</f>
        <v>16625068.299999999</v>
      </c>
      <c r="P27" s="5">
        <f>SUM($E20:P20)</f>
        <v>16625068.299999999</v>
      </c>
    </row>
    <row r="28" spans="3:17" x14ac:dyDescent="0.35">
      <c r="D28" s="3" t="str">
        <f t="shared" si="4"/>
        <v>Actual 2024-25</v>
      </c>
      <c r="E28" s="5">
        <f>SUM($E21:E21)</f>
        <v>1682437.2</v>
      </c>
      <c r="F28" s="5">
        <f>SUM($E21:F21)</f>
        <v>3816179.9000000004</v>
      </c>
      <c r="G28" s="5">
        <f>SUM($E21:G21)</f>
        <v>5605223.3500000006</v>
      </c>
      <c r="H28" s="5">
        <f>SUM($E21:H21)</f>
        <v>7321598.3000000007</v>
      </c>
      <c r="I28" s="5">
        <f>SUM($E21:I21)</f>
        <v>9034134.5</v>
      </c>
      <c r="J28" s="5">
        <f>SUM($E21:J21)</f>
        <v>10798783.199999999</v>
      </c>
      <c r="K28" s="5">
        <f>SUM($E21:K21)</f>
        <v>12754420.399999999</v>
      </c>
      <c r="L28" s="5">
        <f>SUM($E21:L21)</f>
        <v>14518238.249999998</v>
      </c>
      <c r="M28" s="5">
        <f>SUM($E21:M21)</f>
        <v>16392360.349999998</v>
      </c>
      <c r="N28" s="5">
        <f>SUM($E21:N21)</f>
        <v>18552542.949999999</v>
      </c>
      <c r="O28" s="5">
        <f>SUM($E21:O21)</f>
        <v>20730608.050000001</v>
      </c>
      <c r="P28" s="5">
        <f>SUM($E21:P21)</f>
        <v>23025510.650000002</v>
      </c>
    </row>
    <row r="29" spans="3:17" x14ac:dyDescent="0.35">
      <c r="D29" s="3" t="str">
        <f t="shared" si="4"/>
        <v>Difference</v>
      </c>
      <c r="E29" s="5">
        <f>SUM($E22:E22)</f>
        <v>502180.97893594066</v>
      </c>
      <c r="F29" s="5">
        <f>SUM($E22:F22)</f>
        <v>884099.6000706919</v>
      </c>
      <c r="G29" s="5">
        <f>SUM($E22:G22)</f>
        <v>1024324.5022727477</v>
      </c>
      <c r="H29" s="5">
        <f>SUM($E22:H22)</f>
        <v>1249741.8072746063</v>
      </c>
      <c r="I29" s="5">
        <f>SUM($E22:I22)</f>
        <v>1446595.1200148414</v>
      </c>
      <c r="J29" s="5">
        <f>SUM($E22:J22)</f>
        <v>1503190.5289716723</v>
      </c>
      <c r="K29" s="5">
        <f>SUM($E22:K22)</f>
        <v>1814214.1064882991</v>
      </c>
      <c r="L29" s="5">
        <f>SUM($E22:L22)</f>
        <v>1958111.9090902365</v>
      </c>
      <c r="M29" s="5">
        <f>SUM($E22:M22)</f>
        <v>1958111.9090902365</v>
      </c>
      <c r="N29" s="5">
        <f>SUM($E22:N22)</f>
        <v>1958111.9090902365</v>
      </c>
      <c r="O29" s="5">
        <f>SUM($E22:O22)</f>
        <v>1958111.9090902365</v>
      </c>
      <c r="P29" s="5">
        <f>SUM($E22:P22)</f>
        <v>1958111.9090902365</v>
      </c>
    </row>
    <row r="30" spans="3:17" x14ac:dyDescent="0.35">
      <c r="D30" s="3" t="str">
        <f t="shared" si="4"/>
        <v>Realisation</v>
      </c>
      <c r="E30" s="9">
        <f>E28/E26</f>
        <v>0.93661956854267558</v>
      </c>
      <c r="F30" s="9">
        <f t="shared" ref="F30:P30" si="5">F27/F26</f>
        <v>1.2453671219697555</v>
      </c>
      <c r="G30" s="9">
        <f t="shared" si="5"/>
        <v>1.188967070651779</v>
      </c>
      <c r="H30" s="9">
        <f t="shared" si="5"/>
        <v>1.1724084744392274</v>
      </c>
      <c r="I30" s="9">
        <f t="shared" si="5"/>
        <v>1.1591869902789684</v>
      </c>
      <c r="J30" s="9">
        <f t="shared" si="5"/>
        <v>1.1374451489597412</v>
      </c>
      <c r="K30" s="9">
        <f t="shared" si="5"/>
        <v>1.1417741150180467</v>
      </c>
      <c r="L30" s="9">
        <f t="shared" si="5"/>
        <v>1.1335049929175371</v>
      </c>
      <c r="M30" s="9">
        <f t="shared" si="5"/>
        <v>1.0046578088033304</v>
      </c>
      <c r="N30" s="9">
        <f t="shared" si="5"/>
        <v>0.90159523698893229</v>
      </c>
      <c r="O30" s="9">
        <f t="shared" si="5"/>
        <v>0.81728498892210477</v>
      </c>
      <c r="P30" s="9">
        <f t="shared" si="5"/>
        <v>0.74703887356321363</v>
      </c>
    </row>
  </sheetData>
  <mergeCells count="2">
    <mergeCell ref="J4:Q8"/>
    <mergeCell ref="J10:Q15"/>
  </mergeCells>
  <conditionalFormatting sqref="C3">
    <cfRule type="expression" dxfId="134" priority="2">
      <formula>S4&lt;S6</formula>
    </cfRule>
  </conditionalFormatting>
  <conditionalFormatting sqref="C5">
    <cfRule type="expression" dxfId="133" priority="3">
      <formula>S4&gt;=S5</formula>
    </cfRule>
  </conditionalFormatting>
  <conditionalFormatting sqref="C4">
    <cfRule type="expression" dxfId="132" priority="1">
      <formula>AND(S4&gt;=S6,S4&lt;S5)</formula>
    </cfRule>
  </conditionalFormatting>
  <hyperlinks>
    <hyperlink ref="L1" location="Dashboard!A1" display="Dashboard"/>
  </hyperlinks>
  <pageMargins left="0.7" right="0.7" top="0.75" bottom="0.75" header="0.3" footer="0.3"/>
  <pageSetup orientation="portrait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56769" r:id="rId4" name="Spinner 1">
              <controlPr defaultSize="0" autoPict="0">
                <anchor moveWithCells="1" sizeWithCells="1">
                  <from>
                    <xdr:col>9</xdr:col>
                    <xdr:colOff>19050</xdr:colOff>
                    <xdr:row>0</xdr:row>
                    <xdr:rowOff>38100</xdr:rowOff>
                  </from>
                  <to>
                    <xdr:col>9</xdr:col>
                    <xdr:colOff>400050</xdr:colOff>
                    <xdr:row>1</xdr:row>
                    <xdr:rowOff>152400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15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121">
    <tabColor rgb="FFFFC000"/>
  </sheetPr>
  <dimension ref="A1:S30"/>
  <sheetViews>
    <sheetView zoomScale="90" zoomScaleNormal="90" workbookViewId="0">
      <selection activeCell="L1" sqref="L1"/>
    </sheetView>
  </sheetViews>
  <sheetFormatPr defaultColWidth="9.1796875" defaultRowHeight="14.5" x14ac:dyDescent="0.35"/>
  <cols>
    <col min="1" max="1" width="9.1796875" style="3"/>
    <col min="2" max="2" width="5.7265625" style="3" bestFit="1" customWidth="1"/>
    <col min="3" max="3" width="6.26953125" style="3" customWidth="1"/>
    <col min="4" max="4" width="21.26953125" style="3" bestFit="1" customWidth="1"/>
    <col min="5" max="16" width="11.1796875" style="3" customWidth="1"/>
    <col min="17" max="17" width="12" style="3" bestFit="1" customWidth="1"/>
    <col min="18" max="18" width="9.1796875" style="3" customWidth="1"/>
    <col min="19" max="16384" width="9.1796875" style="3"/>
  </cols>
  <sheetData>
    <row r="1" spans="1:19" ht="21" x14ac:dyDescent="0.5">
      <c r="A1" s="4" t="s">
        <v>4</v>
      </c>
      <c r="B1" s="4">
        <f>Dashboard!A170</f>
        <v>3</v>
      </c>
      <c r="C1" s="4" t="str">
        <f>Dashboard!B170</f>
        <v>KABATI- SEWER(KES)</v>
      </c>
      <c r="D1" s="4"/>
      <c r="G1" s="3" t="s">
        <v>9</v>
      </c>
      <c r="I1" s="12">
        <f>INDEX($E$18:$P$18,Actual_month)</f>
        <v>46054</v>
      </c>
      <c r="L1" s="16" t="s">
        <v>19</v>
      </c>
      <c r="R1" s="5"/>
    </row>
    <row r="2" spans="1:19" x14ac:dyDescent="0.35">
      <c r="A2" s="3" t="s">
        <v>13</v>
      </c>
      <c r="C2" s="3" t="s">
        <v>27</v>
      </c>
      <c r="R2" s="6"/>
    </row>
    <row r="3" spans="1:19" ht="25.5" customHeight="1" thickBot="1" x14ac:dyDescent="0.4">
      <c r="C3" s="1" t="s">
        <v>5</v>
      </c>
      <c r="E3" s="10"/>
      <c r="F3" s="10"/>
      <c r="G3" s="10"/>
      <c r="H3" s="10"/>
      <c r="I3" s="10"/>
      <c r="J3" s="3" t="s">
        <v>6</v>
      </c>
      <c r="K3" s="10"/>
      <c r="M3" s="10"/>
      <c r="N3" s="10"/>
      <c r="O3" s="10"/>
      <c r="P3" s="10"/>
    </row>
    <row r="4" spans="1:19" ht="25.5" customHeight="1" x14ac:dyDescent="0.35">
      <c r="C4" s="1" t="s">
        <v>5</v>
      </c>
      <c r="E4" s="10"/>
      <c r="F4" s="10"/>
      <c r="G4" s="10"/>
      <c r="H4" s="10"/>
      <c r="I4" s="10"/>
      <c r="J4" s="401"/>
      <c r="K4" s="402"/>
      <c r="L4" s="402"/>
      <c r="M4" s="402"/>
      <c r="N4" s="402"/>
      <c r="O4" s="402"/>
      <c r="P4" s="402"/>
      <c r="Q4" s="403"/>
      <c r="R4" s="3" t="s">
        <v>22</v>
      </c>
      <c r="S4" s="5">
        <f>INDEX(E27:P27,Actual_month)</f>
        <v>3918760</v>
      </c>
    </row>
    <row r="5" spans="1:19" ht="25.5" customHeight="1" x14ac:dyDescent="0.35">
      <c r="C5" s="1" t="s">
        <v>5</v>
      </c>
      <c r="E5" s="10"/>
      <c r="F5" s="10"/>
      <c r="G5" s="10"/>
      <c r="H5" s="10"/>
      <c r="I5" s="10"/>
      <c r="J5" s="404"/>
      <c r="K5" s="405"/>
      <c r="L5" s="405"/>
      <c r="M5" s="405"/>
      <c r="N5" s="405"/>
      <c r="O5" s="405"/>
      <c r="P5" s="405"/>
      <c r="Q5" s="406"/>
      <c r="R5" s="3" t="s">
        <v>23</v>
      </c>
      <c r="S5" s="5">
        <f>INDEX(E26:P26,Actual_month)</f>
        <v>4080359.7495281841</v>
      </c>
    </row>
    <row r="6" spans="1:19" x14ac:dyDescent="0.35">
      <c r="J6" s="404"/>
      <c r="K6" s="405"/>
      <c r="L6" s="405"/>
      <c r="M6" s="405"/>
      <c r="N6" s="405"/>
      <c r="O6" s="405"/>
      <c r="P6" s="405"/>
      <c r="Q6" s="406"/>
      <c r="R6" s="6">
        <v>0.9</v>
      </c>
      <c r="S6" s="5">
        <f>+S5*R6</f>
        <v>3672323.7745753657</v>
      </c>
    </row>
    <row r="7" spans="1:19" x14ac:dyDescent="0.35">
      <c r="J7" s="404"/>
      <c r="K7" s="405"/>
      <c r="L7" s="405"/>
      <c r="M7" s="405"/>
      <c r="N7" s="405"/>
      <c r="O7" s="405"/>
      <c r="P7" s="405"/>
      <c r="Q7" s="406"/>
    </row>
    <row r="8" spans="1:19" ht="15" thickBot="1" x14ac:dyDescent="0.4">
      <c r="J8" s="407"/>
      <c r="K8" s="408"/>
      <c r="L8" s="408"/>
      <c r="M8" s="408"/>
      <c r="N8" s="408"/>
      <c r="O8" s="408"/>
      <c r="P8" s="408"/>
      <c r="Q8" s="409"/>
    </row>
    <row r="9" spans="1:19" ht="15" thickBot="1" x14ac:dyDescent="0.4">
      <c r="J9" s="3" t="s">
        <v>12</v>
      </c>
    </row>
    <row r="10" spans="1:19" x14ac:dyDescent="0.35">
      <c r="J10" s="401"/>
      <c r="K10" s="402"/>
      <c r="L10" s="402"/>
      <c r="M10" s="402"/>
      <c r="N10" s="402"/>
      <c r="O10" s="402"/>
      <c r="P10" s="402"/>
      <c r="Q10" s="403"/>
    </row>
    <row r="11" spans="1:19" x14ac:dyDescent="0.35">
      <c r="J11" s="404"/>
      <c r="K11" s="405"/>
      <c r="L11" s="405"/>
      <c r="M11" s="405"/>
      <c r="N11" s="405"/>
      <c r="O11" s="405"/>
      <c r="P11" s="405"/>
      <c r="Q11" s="406"/>
    </row>
    <row r="12" spans="1:19" x14ac:dyDescent="0.35">
      <c r="J12" s="404"/>
      <c r="K12" s="405"/>
      <c r="L12" s="405"/>
      <c r="M12" s="405"/>
      <c r="N12" s="405"/>
      <c r="O12" s="405"/>
      <c r="P12" s="405"/>
      <c r="Q12" s="406"/>
    </row>
    <row r="13" spans="1:19" x14ac:dyDescent="0.35">
      <c r="J13" s="404"/>
      <c r="K13" s="405"/>
      <c r="L13" s="405"/>
      <c r="M13" s="405"/>
      <c r="N13" s="405"/>
      <c r="O13" s="405"/>
      <c r="P13" s="405"/>
      <c r="Q13" s="406"/>
    </row>
    <row r="14" spans="1:19" x14ac:dyDescent="0.35">
      <c r="J14" s="404"/>
      <c r="K14" s="405"/>
      <c r="L14" s="405"/>
      <c r="M14" s="405"/>
      <c r="N14" s="405"/>
      <c r="O14" s="405"/>
      <c r="P14" s="405"/>
      <c r="Q14" s="406"/>
    </row>
    <row r="15" spans="1:19" ht="15" thickBot="1" x14ac:dyDescent="0.4">
      <c r="J15" s="407"/>
      <c r="K15" s="408"/>
      <c r="L15" s="408"/>
      <c r="M15" s="408"/>
      <c r="N15" s="408"/>
      <c r="O15" s="408"/>
      <c r="P15" s="408"/>
      <c r="Q15" s="409"/>
    </row>
    <row r="18" spans="3:17" x14ac:dyDescent="0.35">
      <c r="C18" s="7" t="s">
        <v>8</v>
      </c>
      <c r="E18" s="11">
        <v>45839</v>
      </c>
      <c r="F18" s="11">
        <v>45870</v>
      </c>
      <c r="G18" s="11">
        <v>45901</v>
      </c>
      <c r="H18" s="11">
        <v>45931</v>
      </c>
      <c r="I18" s="11">
        <v>45962</v>
      </c>
      <c r="J18" s="11">
        <v>45992</v>
      </c>
      <c r="K18" s="11">
        <v>46023</v>
      </c>
      <c r="L18" s="11">
        <v>46054</v>
      </c>
      <c r="M18" s="11">
        <v>46082</v>
      </c>
      <c r="N18" s="11">
        <v>46113</v>
      </c>
      <c r="O18" s="11">
        <v>46143</v>
      </c>
      <c r="P18" s="11">
        <v>46174</v>
      </c>
      <c r="Q18" s="8" t="s">
        <v>0</v>
      </c>
    </row>
    <row r="19" spans="3:17" x14ac:dyDescent="0.35">
      <c r="D19" s="3" t="s">
        <v>501</v>
      </c>
      <c r="E19" s="49">
        <f>'budget 2025-26'!D160</f>
        <v>486956.78858548333</v>
      </c>
      <c r="F19" s="49">
        <f>'budget 2025-26'!E160</f>
        <v>493558.23612630012</v>
      </c>
      <c r="G19" s="49">
        <f>'budget 2025-26'!F160</f>
        <v>500157.22584239591</v>
      </c>
      <c r="H19" s="49">
        <f>'budget 2025-26'!G160</f>
        <v>506753.79471544962</v>
      </c>
      <c r="I19" s="49">
        <f>'budget 2025-26'!H160</f>
        <v>513347.97898891487</v>
      </c>
      <c r="J19" s="49">
        <f>'budget 2025-26'!I160</f>
        <v>519939.81418635079</v>
      </c>
      <c r="K19" s="49">
        <f>'budget 2025-26'!J160</f>
        <v>526529.33512920677</v>
      </c>
      <c r="L19" s="49">
        <f>'budget 2025-26'!K160</f>
        <v>533116.57595408289</v>
      </c>
      <c r="M19" s="49">
        <f>'budget 2025-26'!L160</f>
        <v>539701.57012948545</v>
      </c>
      <c r="N19" s="49">
        <f>'budget 2025-26'!M160</f>
        <v>546284.35047208972</v>
      </c>
      <c r="O19" s="49">
        <f>'budget 2025-26'!N160</f>
        <v>552864.94916253351</v>
      </c>
      <c r="P19" s="49">
        <f>'budget 2025-26'!O160</f>
        <v>559443.39776075142</v>
      </c>
      <c r="Q19" s="5">
        <f>SUM(E19:P19)</f>
        <v>6278654.0170530444</v>
      </c>
    </row>
    <row r="20" spans="3:17" x14ac:dyDescent="0.35">
      <c r="D20" s="3" t="s">
        <v>502</v>
      </c>
      <c r="E20" s="49">
        <f>'Input Actual2025-26'!E163</f>
        <v>410922.5</v>
      </c>
      <c r="F20" s="49">
        <f>'Input Actual2025-26'!F163</f>
        <v>498605</v>
      </c>
      <c r="G20" s="49">
        <f>'Input Actual2025-26'!G163</f>
        <v>519187.5</v>
      </c>
      <c r="H20" s="49">
        <f>'Input Actual2025-26'!H163</f>
        <v>506627.5</v>
      </c>
      <c r="I20" s="49">
        <f>'Input Actual2025-26'!I163</f>
        <v>451342.5</v>
      </c>
      <c r="J20" s="49">
        <f>'Input Actual2025-26'!J163</f>
        <v>407750</v>
      </c>
      <c r="K20" s="49">
        <f>'Input Actual2025-26'!K163</f>
        <v>628212.5</v>
      </c>
      <c r="L20" s="49">
        <f>'Input Actual2025-26'!L163</f>
        <v>496112.5</v>
      </c>
      <c r="M20" s="49">
        <f>'Input Actual2025-26'!M163</f>
        <v>0</v>
      </c>
      <c r="N20" s="49">
        <f>'Input Actual2025-26'!N163</f>
        <v>0</v>
      </c>
      <c r="O20" s="49">
        <f>'Input Actual2025-26'!O163</f>
        <v>0</v>
      </c>
      <c r="P20" s="49">
        <f>'Input Actual2025-26'!P163</f>
        <v>0</v>
      </c>
      <c r="Q20" s="5">
        <f t="shared" ref="Q20:Q22" si="0">SUM(E20:P20)</f>
        <v>3918760</v>
      </c>
    </row>
    <row r="21" spans="3:17" x14ac:dyDescent="0.35">
      <c r="D21" s="3" t="s">
        <v>424</v>
      </c>
      <c r="E21" s="49">
        <f>'Input Actual2024-25'!E150</f>
        <v>276781.5</v>
      </c>
      <c r="F21" s="49">
        <f>'Input Actual2024-25'!F150</f>
        <v>367548.25</v>
      </c>
      <c r="G21" s="49">
        <f>'Input Actual2024-25'!G150</f>
        <v>313322.25</v>
      </c>
      <c r="H21" s="49">
        <f>'Input Actual2024-25'!H150</f>
        <v>304947.5</v>
      </c>
      <c r="I21" s="49">
        <f>'Input Actual2024-25'!I150</f>
        <v>352755.25</v>
      </c>
      <c r="J21" s="49">
        <f>'Input Actual2024-25'!J150</f>
        <v>254609</v>
      </c>
      <c r="K21" s="49">
        <f>'Input Actual2024-25'!K150</f>
        <v>399086</v>
      </c>
      <c r="L21" s="49">
        <f>'Input Actual2024-25'!L150</f>
        <v>364406.75</v>
      </c>
      <c r="M21" s="49">
        <f>'Input Actual2024-25'!M150</f>
        <v>389054.25</v>
      </c>
      <c r="N21" s="49">
        <f>'Input Actual2024-25'!N150</f>
        <v>479920</v>
      </c>
      <c r="O21" s="49">
        <f>'Input Actual2024-25'!O150</f>
        <v>512235</v>
      </c>
      <c r="P21" s="49">
        <f>'Input Actual2024-25'!P150</f>
        <v>527542.5</v>
      </c>
      <c r="Q21" s="5">
        <f t="shared" si="0"/>
        <v>4542208.25</v>
      </c>
    </row>
    <row r="22" spans="3:17" x14ac:dyDescent="0.35">
      <c r="D22" s="3" t="s">
        <v>7</v>
      </c>
      <c r="E22" s="5">
        <f t="shared" ref="E22:P22" si="1">IF(E20=0,0,E20-E19)</f>
        <v>-76034.288585483329</v>
      </c>
      <c r="F22" s="5">
        <f t="shared" si="1"/>
        <v>5046.7638736998779</v>
      </c>
      <c r="G22" s="5">
        <f t="shared" si="1"/>
        <v>19030.274157604086</v>
      </c>
      <c r="H22" s="5">
        <f t="shared" si="1"/>
        <v>-126.29471544962144</v>
      </c>
      <c r="I22" s="5">
        <f t="shared" si="1"/>
        <v>-62005.478988914867</v>
      </c>
      <c r="J22" s="5">
        <f t="shared" si="1"/>
        <v>-112189.81418635079</v>
      </c>
      <c r="K22" s="5">
        <f t="shared" si="1"/>
        <v>101683.16487079323</v>
      </c>
      <c r="L22" s="5">
        <f t="shared" si="1"/>
        <v>-37004.075954082888</v>
      </c>
      <c r="M22" s="5">
        <f t="shared" si="1"/>
        <v>0</v>
      </c>
      <c r="N22" s="5">
        <f t="shared" si="1"/>
        <v>0</v>
      </c>
      <c r="O22" s="5">
        <f t="shared" si="1"/>
        <v>0</v>
      </c>
      <c r="P22" s="5">
        <f t="shared" si="1"/>
        <v>0</v>
      </c>
      <c r="Q22" s="5">
        <f t="shared" si="0"/>
        <v>-161599.7495281843</v>
      </c>
    </row>
    <row r="23" spans="3:17" x14ac:dyDescent="0.35">
      <c r="D23" s="3" t="s">
        <v>43</v>
      </c>
      <c r="E23" s="9">
        <f>E21/E19</f>
        <v>0.56839026888607003</v>
      </c>
      <c r="F23" s="9">
        <f t="shared" ref="F23:P23" si="2">F20/F19</f>
        <v>1.0102252652357895</v>
      </c>
      <c r="G23" s="9">
        <f t="shared" si="2"/>
        <v>1.0380485838739051</v>
      </c>
      <c r="H23" s="9">
        <f t="shared" si="2"/>
        <v>0.99975077697144721</v>
      </c>
      <c r="I23" s="9">
        <f t="shared" si="2"/>
        <v>0.87921355196325068</v>
      </c>
      <c r="J23" s="9">
        <f t="shared" si="2"/>
        <v>0.78422538315917267</v>
      </c>
      <c r="K23" s="9">
        <f t="shared" si="2"/>
        <v>1.1931196575131771</v>
      </c>
      <c r="L23" s="9">
        <f t="shared" si="2"/>
        <v>0.93058914762149503</v>
      </c>
      <c r="M23" s="9">
        <f t="shared" si="2"/>
        <v>0</v>
      </c>
      <c r="N23" s="9">
        <f t="shared" si="2"/>
        <v>0</v>
      </c>
      <c r="O23" s="9">
        <f t="shared" si="2"/>
        <v>0</v>
      </c>
      <c r="P23" s="9">
        <f t="shared" si="2"/>
        <v>0</v>
      </c>
    </row>
    <row r="25" spans="3:17" x14ac:dyDescent="0.35">
      <c r="C25" s="7" t="s">
        <v>3</v>
      </c>
      <c r="E25" s="11">
        <f>E18</f>
        <v>45839</v>
      </c>
      <c r="F25" s="11">
        <f t="shared" ref="F25:P25" si="3">F18</f>
        <v>45870</v>
      </c>
      <c r="G25" s="11">
        <f t="shared" si="3"/>
        <v>45901</v>
      </c>
      <c r="H25" s="11">
        <f t="shared" si="3"/>
        <v>45931</v>
      </c>
      <c r="I25" s="11">
        <f t="shared" si="3"/>
        <v>45962</v>
      </c>
      <c r="J25" s="11">
        <f t="shared" si="3"/>
        <v>45992</v>
      </c>
      <c r="K25" s="11">
        <f t="shared" si="3"/>
        <v>46023</v>
      </c>
      <c r="L25" s="11">
        <f t="shared" si="3"/>
        <v>46054</v>
      </c>
      <c r="M25" s="11">
        <f t="shared" si="3"/>
        <v>46082</v>
      </c>
      <c r="N25" s="11">
        <f t="shared" si="3"/>
        <v>46113</v>
      </c>
      <c r="O25" s="11">
        <f t="shared" si="3"/>
        <v>46143</v>
      </c>
      <c r="P25" s="11">
        <f t="shared" si="3"/>
        <v>46174</v>
      </c>
    </row>
    <row r="26" spans="3:17" x14ac:dyDescent="0.35">
      <c r="D26" s="3" t="str">
        <f>D19</f>
        <v>Budget 2025-26</v>
      </c>
      <c r="E26" s="5">
        <f>SUM($E19:E19)</f>
        <v>486956.78858548333</v>
      </c>
      <c r="F26" s="5">
        <f>SUM($E19:F19)</f>
        <v>980515.02471178351</v>
      </c>
      <c r="G26" s="5">
        <f>SUM($E19:G19)</f>
        <v>1480672.2505541793</v>
      </c>
      <c r="H26" s="5">
        <f>SUM($E19:H19)</f>
        <v>1987426.045269629</v>
      </c>
      <c r="I26" s="5">
        <f>SUM($E19:I19)</f>
        <v>2500774.0242585437</v>
      </c>
      <c r="J26" s="5">
        <f>SUM($E19:J19)</f>
        <v>3020713.8384448946</v>
      </c>
      <c r="K26" s="5">
        <f>SUM($E19:K19)</f>
        <v>3547243.1735741012</v>
      </c>
      <c r="L26" s="5">
        <f>SUM($E19:L19)</f>
        <v>4080359.7495281841</v>
      </c>
      <c r="M26" s="5">
        <f>SUM($E19:M19)</f>
        <v>4620061.3196576694</v>
      </c>
      <c r="N26" s="5">
        <f>SUM($E19:N19)</f>
        <v>5166345.6701297592</v>
      </c>
      <c r="O26" s="5">
        <f>SUM($E19:O19)</f>
        <v>5719210.6192922927</v>
      </c>
      <c r="P26" s="5">
        <f>SUM($E19:P19)</f>
        <v>6278654.0170530444</v>
      </c>
    </row>
    <row r="27" spans="3:17" x14ac:dyDescent="0.35">
      <c r="D27" s="3" t="str">
        <f t="shared" ref="D27:D30" si="4">D20</f>
        <v>Actual 2025-26</v>
      </c>
      <c r="E27" s="5">
        <f>SUM($E20:E20)</f>
        <v>410922.5</v>
      </c>
      <c r="F27" s="5">
        <f>SUM($E20:F20)</f>
        <v>909527.5</v>
      </c>
      <c r="G27" s="5">
        <f>SUM($E20:G20)</f>
        <v>1428715</v>
      </c>
      <c r="H27" s="5">
        <f>SUM($E20:H20)</f>
        <v>1935342.5</v>
      </c>
      <c r="I27" s="5">
        <f>SUM($E20:I20)</f>
        <v>2386685</v>
      </c>
      <c r="J27" s="5">
        <f>SUM($E20:J20)</f>
        <v>2794435</v>
      </c>
      <c r="K27" s="5">
        <f>SUM($E20:K20)</f>
        <v>3422647.5</v>
      </c>
      <c r="L27" s="5">
        <f>SUM($E20:L20)</f>
        <v>3918760</v>
      </c>
      <c r="M27" s="5">
        <f>SUM($E20:M20)</f>
        <v>3918760</v>
      </c>
      <c r="N27" s="5">
        <f>SUM($E20:N20)</f>
        <v>3918760</v>
      </c>
      <c r="O27" s="5">
        <f>SUM($E20:O20)</f>
        <v>3918760</v>
      </c>
      <c r="P27" s="5">
        <f>SUM($E20:P20)</f>
        <v>3918760</v>
      </c>
    </row>
    <row r="28" spans="3:17" x14ac:dyDescent="0.35">
      <c r="D28" s="3" t="str">
        <f t="shared" si="4"/>
        <v>Actual 2024-25</v>
      </c>
      <c r="E28" s="5">
        <f>SUM($E21:E21)</f>
        <v>276781.5</v>
      </c>
      <c r="F28" s="5">
        <f>SUM($E21:F21)</f>
        <v>644329.75</v>
      </c>
      <c r="G28" s="5">
        <f>SUM($E21:G21)</f>
        <v>957652</v>
      </c>
      <c r="H28" s="5">
        <f>SUM($E21:H21)</f>
        <v>1262599.5</v>
      </c>
      <c r="I28" s="5">
        <f>SUM($E21:I21)</f>
        <v>1615354.75</v>
      </c>
      <c r="J28" s="5">
        <f>SUM($E21:J21)</f>
        <v>1869963.75</v>
      </c>
      <c r="K28" s="5">
        <f>SUM($E21:K21)</f>
        <v>2269049.75</v>
      </c>
      <c r="L28" s="5">
        <f>SUM($E21:L21)</f>
        <v>2633456.5</v>
      </c>
      <c r="M28" s="5">
        <f>SUM($E21:M21)</f>
        <v>3022510.75</v>
      </c>
      <c r="N28" s="5">
        <f>SUM($E21:N21)</f>
        <v>3502430.75</v>
      </c>
      <c r="O28" s="5">
        <f>SUM($E21:O21)</f>
        <v>4014665.75</v>
      </c>
      <c r="P28" s="5">
        <f>SUM($E21:P21)</f>
        <v>4542208.25</v>
      </c>
    </row>
    <row r="29" spans="3:17" x14ac:dyDescent="0.35">
      <c r="D29" s="3" t="str">
        <f t="shared" si="4"/>
        <v>Difference</v>
      </c>
      <c r="E29" s="5">
        <f>SUM($E22:E22)</f>
        <v>-76034.288585483329</v>
      </c>
      <c r="F29" s="5">
        <f>SUM($E22:F22)</f>
        <v>-70987.524711783451</v>
      </c>
      <c r="G29" s="5">
        <f>SUM($E22:G22)</f>
        <v>-51957.250554179365</v>
      </c>
      <c r="H29" s="5">
        <f>SUM($E22:H22)</f>
        <v>-52083.545269628987</v>
      </c>
      <c r="I29" s="5">
        <f>SUM($E22:I22)</f>
        <v>-114089.02425854385</v>
      </c>
      <c r="J29" s="5">
        <f>SUM($E22:J22)</f>
        <v>-226278.83844489465</v>
      </c>
      <c r="K29" s="5">
        <f>SUM($E22:K22)</f>
        <v>-124595.67357410141</v>
      </c>
      <c r="L29" s="5">
        <f>SUM($E22:L22)</f>
        <v>-161599.7495281843</v>
      </c>
      <c r="M29" s="5">
        <f>SUM($E22:M22)</f>
        <v>-161599.7495281843</v>
      </c>
      <c r="N29" s="5">
        <f>SUM($E22:N22)</f>
        <v>-161599.7495281843</v>
      </c>
      <c r="O29" s="5">
        <f>SUM($E22:O22)</f>
        <v>-161599.7495281843</v>
      </c>
      <c r="P29" s="5">
        <f>SUM($E22:P22)</f>
        <v>-161599.7495281843</v>
      </c>
    </row>
    <row r="30" spans="3:17" x14ac:dyDescent="0.35">
      <c r="D30" s="3" t="str">
        <f t="shared" si="4"/>
        <v>Realisation</v>
      </c>
      <c r="E30" s="9">
        <f>E28/E26</f>
        <v>0.56839026888607003</v>
      </c>
      <c r="F30" s="9">
        <f t="shared" ref="F30:P30" si="5">F27/F26</f>
        <v>0.9276017981135477</v>
      </c>
      <c r="G30" s="9">
        <f t="shared" si="5"/>
        <v>0.96490968846432223</v>
      </c>
      <c r="H30" s="9">
        <f t="shared" si="5"/>
        <v>0.97379346748846551</v>
      </c>
      <c r="I30" s="9">
        <f t="shared" si="5"/>
        <v>0.95437851515097605</v>
      </c>
      <c r="J30" s="9">
        <f t="shared" si="5"/>
        <v>0.92509093858377989</v>
      </c>
      <c r="K30" s="9">
        <f t="shared" si="5"/>
        <v>0.9648753503841232</v>
      </c>
      <c r="L30" s="9">
        <f t="shared" si="5"/>
        <v>0.96039571031773119</v>
      </c>
      <c r="M30" s="9">
        <f t="shared" si="5"/>
        <v>0.84820519228311164</v>
      </c>
      <c r="N30" s="9">
        <f t="shared" si="5"/>
        <v>0.75851680282585032</v>
      </c>
      <c r="O30" s="9">
        <f t="shared" si="5"/>
        <v>0.68519246113809251</v>
      </c>
      <c r="P30" s="9">
        <f t="shared" si="5"/>
        <v>0.62414014044355848</v>
      </c>
    </row>
  </sheetData>
  <mergeCells count="2">
    <mergeCell ref="J4:Q8"/>
    <mergeCell ref="J10:Q15"/>
  </mergeCells>
  <conditionalFormatting sqref="C3">
    <cfRule type="expression" dxfId="131" priority="2">
      <formula>S4&lt;S6</formula>
    </cfRule>
  </conditionalFormatting>
  <conditionalFormatting sqref="C5">
    <cfRule type="expression" dxfId="130" priority="3">
      <formula>S4&gt;=S5</formula>
    </cfRule>
  </conditionalFormatting>
  <conditionalFormatting sqref="C4">
    <cfRule type="expression" dxfId="129" priority="1">
      <formula>AND(S4&gt;=S6,S4&lt;S5)</formula>
    </cfRule>
  </conditionalFormatting>
  <hyperlinks>
    <hyperlink ref="L1" location="Dashboard!A1" display="Dashboard"/>
  </hyperlinks>
  <pageMargins left="0.7" right="0.7" top="0.75" bottom="0.75" header="0.3" footer="0.3"/>
  <pageSetup orientation="portrait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57793" r:id="rId4" name="Spinner 1">
              <controlPr defaultSize="0" autoPict="0">
                <anchor moveWithCells="1" sizeWithCells="1">
                  <from>
                    <xdr:col>9</xdr:col>
                    <xdr:colOff>19050</xdr:colOff>
                    <xdr:row>0</xdr:row>
                    <xdr:rowOff>38100</xdr:rowOff>
                  </from>
                  <to>
                    <xdr:col>9</xdr:col>
                    <xdr:colOff>400050</xdr:colOff>
                    <xdr:row>1</xdr:row>
                    <xdr:rowOff>152400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15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122">
    <tabColor rgb="FFFFC000"/>
  </sheetPr>
  <dimension ref="A1:S30"/>
  <sheetViews>
    <sheetView zoomScale="90" zoomScaleNormal="90" workbookViewId="0">
      <selection activeCell="L1" sqref="L1"/>
    </sheetView>
  </sheetViews>
  <sheetFormatPr defaultColWidth="9.1796875" defaultRowHeight="14.5" x14ac:dyDescent="0.35"/>
  <cols>
    <col min="1" max="1" width="9.1796875" style="3"/>
    <col min="2" max="2" width="5.7265625" style="3" bestFit="1" customWidth="1"/>
    <col min="3" max="3" width="6.26953125" style="3" customWidth="1"/>
    <col min="4" max="4" width="21.26953125" style="3" bestFit="1" customWidth="1"/>
    <col min="5" max="16" width="11.1796875" style="3" customWidth="1"/>
    <col min="17" max="17" width="12" style="3" bestFit="1" customWidth="1"/>
    <col min="18" max="18" width="9.1796875" style="3" customWidth="1"/>
    <col min="19" max="16384" width="9.1796875" style="3"/>
  </cols>
  <sheetData>
    <row r="1" spans="1:19" ht="21" x14ac:dyDescent="0.5">
      <c r="A1" s="4" t="s">
        <v>4</v>
      </c>
      <c r="B1" s="4">
        <f>Dashboard!A171</f>
        <v>4</v>
      </c>
      <c r="C1" s="4" t="str">
        <f>Dashboard!B171</f>
        <v>SITE- SEWER(KES)</v>
      </c>
      <c r="D1" s="4"/>
      <c r="G1" s="3" t="s">
        <v>9</v>
      </c>
      <c r="I1" s="12">
        <f>INDEX($E$18:$P$18,Actual_month)</f>
        <v>46054</v>
      </c>
      <c r="L1" s="16" t="s">
        <v>19</v>
      </c>
      <c r="R1" s="5"/>
    </row>
    <row r="2" spans="1:19" x14ac:dyDescent="0.35">
      <c r="A2" s="3" t="s">
        <v>13</v>
      </c>
      <c r="C2" s="3" t="s">
        <v>27</v>
      </c>
      <c r="R2" s="6"/>
    </row>
    <row r="3" spans="1:19" ht="25.5" customHeight="1" thickBot="1" x14ac:dyDescent="0.4">
      <c r="C3" s="1" t="s">
        <v>5</v>
      </c>
      <c r="E3" s="10"/>
      <c r="F3" s="10"/>
      <c r="G3" s="10"/>
      <c r="H3" s="10"/>
      <c r="I3" s="10"/>
      <c r="J3" s="3" t="s">
        <v>6</v>
      </c>
      <c r="K3" s="10"/>
      <c r="M3" s="10"/>
      <c r="N3" s="10"/>
      <c r="O3" s="10"/>
      <c r="P3" s="10"/>
    </row>
    <row r="4" spans="1:19" ht="25.5" customHeight="1" x14ac:dyDescent="0.35">
      <c r="C4" s="1" t="s">
        <v>5</v>
      </c>
      <c r="E4" s="10"/>
      <c r="F4" s="10"/>
      <c r="G4" s="10"/>
      <c r="H4" s="10"/>
      <c r="I4" s="10"/>
      <c r="J4" s="401"/>
      <c r="K4" s="402"/>
      <c r="L4" s="402"/>
      <c r="M4" s="402"/>
      <c r="N4" s="402"/>
      <c r="O4" s="402"/>
      <c r="P4" s="402"/>
      <c r="Q4" s="403"/>
      <c r="R4" s="3" t="s">
        <v>22</v>
      </c>
      <c r="S4" s="5">
        <f>INDEX(E27:P27,Actual_month)</f>
        <v>4523598.1000000006</v>
      </c>
    </row>
    <row r="5" spans="1:19" ht="25.5" customHeight="1" x14ac:dyDescent="0.35">
      <c r="C5" s="1" t="s">
        <v>5</v>
      </c>
      <c r="E5" s="10"/>
      <c r="F5" s="10"/>
      <c r="G5" s="10"/>
      <c r="H5" s="10"/>
      <c r="I5" s="10"/>
      <c r="J5" s="404"/>
      <c r="K5" s="405"/>
      <c r="L5" s="405"/>
      <c r="M5" s="405"/>
      <c r="N5" s="405"/>
      <c r="O5" s="405"/>
      <c r="P5" s="405"/>
      <c r="Q5" s="406"/>
      <c r="R5" s="3" t="s">
        <v>23</v>
      </c>
      <c r="S5" s="5">
        <f>INDEX(E26:P26,Actual_month)</f>
        <v>4238762.1536018476</v>
      </c>
    </row>
    <row r="6" spans="1:19" x14ac:dyDescent="0.35">
      <c r="J6" s="404"/>
      <c r="K6" s="405"/>
      <c r="L6" s="405"/>
      <c r="M6" s="405"/>
      <c r="N6" s="405"/>
      <c r="O6" s="405"/>
      <c r="P6" s="405"/>
      <c r="Q6" s="406"/>
      <c r="R6" s="6">
        <v>0.9</v>
      </c>
      <c r="S6" s="5">
        <f>+S5*R6</f>
        <v>3814885.9382416629</v>
      </c>
    </row>
    <row r="7" spans="1:19" x14ac:dyDescent="0.35">
      <c r="J7" s="404"/>
      <c r="K7" s="405"/>
      <c r="L7" s="405"/>
      <c r="M7" s="405"/>
      <c r="N7" s="405"/>
      <c r="O7" s="405"/>
      <c r="P7" s="405"/>
      <c r="Q7" s="406"/>
    </row>
    <row r="8" spans="1:19" ht="15" thickBot="1" x14ac:dyDescent="0.4">
      <c r="J8" s="407"/>
      <c r="K8" s="408"/>
      <c r="L8" s="408"/>
      <c r="M8" s="408"/>
      <c r="N8" s="408"/>
      <c r="O8" s="408"/>
      <c r="P8" s="408"/>
      <c r="Q8" s="409"/>
    </row>
    <row r="9" spans="1:19" ht="15" thickBot="1" x14ac:dyDescent="0.4">
      <c r="J9" s="3" t="s">
        <v>12</v>
      </c>
    </row>
    <row r="10" spans="1:19" x14ac:dyDescent="0.35">
      <c r="J10" s="401"/>
      <c r="K10" s="402"/>
      <c r="L10" s="402"/>
      <c r="M10" s="402"/>
      <c r="N10" s="402"/>
      <c r="O10" s="402"/>
      <c r="P10" s="402"/>
      <c r="Q10" s="403"/>
    </row>
    <row r="11" spans="1:19" x14ac:dyDescent="0.35">
      <c r="J11" s="404"/>
      <c r="K11" s="405"/>
      <c r="L11" s="405"/>
      <c r="M11" s="405"/>
      <c r="N11" s="405"/>
      <c r="O11" s="405"/>
      <c r="P11" s="405"/>
      <c r="Q11" s="406"/>
    </row>
    <row r="12" spans="1:19" x14ac:dyDescent="0.35">
      <c r="J12" s="404"/>
      <c r="K12" s="405"/>
      <c r="L12" s="405"/>
      <c r="M12" s="405"/>
      <c r="N12" s="405"/>
      <c r="O12" s="405"/>
      <c r="P12" s="405"/>
      <c r="Q12" s="406"/>
    </row>
    <row r="13" spans="1:19" x14ac:dyDescent="0.35">
      <c r="J13" s="404"/>
      <c r="K13" s="405"/>
      <c r="L13" s="405"/>
      <c r="M13" s="405"/>
      <c r="N13" s="405"/>
      <c r="O13" s="405"/>
      <c r="P13" s="405"/>
      <c r="Q13" s="406"/>
    </row>
    <row r="14" spans="1:19" x14ac:dyDescent="0.35">
      <c r="J14" s="404"/>
      <c r="K14" s="405"/>
      <c r="L14" s="405"/>
      <c r="M14" s="405"/>
      <c r="N14" s="405"/>
      <c r="O14" s="405"/>
      <c r="P14" s="405"/>
      <c r="Q14" s="406"/>
    </row>
    <row r="15" spans="1:19" ht="15" thickBot="1" x14ac:dyDescent="0.4">
      <c r="J15" s="407"/>
      <c r="K15" s="408"/>
      <c r="L15" s="408"/>
      <c r="M15" s="408"/>
      <c r="N15" s="408"/>
      <c r="O15" s="408"/>
      <c r="P15" s="408"/>
      <c r="Q15" s="409"/>
    </row>
    <row r="18" spans="3:17" x14ac:dyDescent="0.35">
      <c r="C18" s="7" t="s">
        <v>8</v>
      </c>
      <c r="E18" s="11">
        <v>45839</v>
      </c>
      <c r="F18" s="11">
        <v>45870</v>
      </c>
      <c r="G18" s="11">
        <v>45901</v>
      </c>
      <c r="H18" s="11">
        <v>45931</v>
      </c>
      <c r="I18" s="11">
        <v>45962</v>
      </c>
      <c r="J18" s="11">
        <v>45992</v>
      </c>
      <c r="K18" s="11">
        <v>46023</v>
      </c>
      <c r="L18" s="11">
        <v>46054</v>
      </c>
      <c r="M18" s="11">
        <v>46082</v>
      </c>
      <c r="N18" s="11">
        <v>46113</v>
      </c>
      <c r="O18" s="11">
        <v>46143</v>
      </c>
      <c r="P18" s="11">
        <v>46174</v>
      </c>
      <c r="Q18" s="8" t="s">
        <v>0</v>
      </c>
    </row>
    <row r="19" spans="3:17" x14ac:dyDescent="0.35">
      <c r="D19" s="3" t="s">
        <v>501</v>
      </c>
      <c r="E19" s="49">
        <f>'budget 2025-26'!D161</f>
        <v>525759.16892081895</v>
      </c>
      <c r="F19" s="49">
        <f>'budget 2025-26'!E161</f>
        <v>526925.09022857412</v>
      </c>
      <c r="G19" s="49">
        <f>'budget 2025-26'!F161</f>
        <v>528091.79397794453</v>
      </c>
      <c r="H19" s="49">
        <f>'budget 2025-26'!G161</f>
        <v>529259.26839591714</v>
      </c>
      <c r="I19" s="49">
        <f>'budget 2025-26'!H161</f>
        <v>530427.50194448896</v>
      </c>
      <c r="J19" s="49">
        <f>'budget 2025-26'!I161</f>
        <v>531596.48331483477</v>
      </c>
      <c r="K19" s="49">
        <f>'budget 2025-26'!J161</f>
        <v>532766.20142164396</v>
      </c>
      <c r="L19" s="49">
        <f>'budget 2025-26'!K161</f>
        <v>533936.64539762505</v>
      </c>
      <c r="M19" s="49">
        <f>'budget 2025-26'!L161</f>
        <v>535107.80458817352</v>
      </c>
      <c r="N19" s="49">
        <f>'budget 2025-26'!M161</f>
        <v>536279.66854619177</v>
      </c>
      <c r="O19" s="49">
        <f>'budget 2025-26'!N161</f>
        <v>537452.22702706465</v>
      </c>
      <c r="P19" s="49">
        <f>'budget 2025-26'!O161</f>
        <v>538625.46998377517</v>
      </c>
      <c r="Q19" s="5">
        <f>SUM(E19:P19)</f>
        <v>6386227.3237470519</v>
      </c>
    </row>
    <row r="20" spans="3:17" x14ac:dyDescent="0.35">
      <c r="D20" s="3" t="s">
        <v>502</v>
      </c>
      <c r="E20" s="49">
        <f>'Input Actual2025-26'!E164</f>
        <v>514120.7</v>
      </c>
      <c r="F20" s="49">
        <f>'Input Actual2025-26'!F164</f>
        <v>573548.19999999995</v>
      </c>
      <c r="G20" s="49">
        <f>'Input Actual2025-26'!G164</f>
        <v>603948.19999999995</v>
      </c>
      <c r="H20" s="49">
        <f>'Input Actual2025-26'!H164</f>
        <v>602835.69999999995</v>
      </c>
      <c r="I20" s="49">
        <f>'Input Actual2025-26'!I164</f>
        <v>528985.69999999995</v>
      </c>
      <c r="J20" s="49">
        <f>'Input Actual2025-26'!J164</f>
        <v>450343.2</v>
      </c>
      <c r="K20" s="49">
        <f>'Input Actual2025-26'!K164</f>
        <v>694193.2</v>
      </c>
      <c r="L20" s="49">
        <f>'Input Actual2025-26'!L164</f>
        <v>555623.19999999995</v>
      </c>
      <c r="M20" s="49">
        <f>'Input Actual2025-26'!M164</f>
        <v>0</v>
      </c>
      <c r="N20" s="49">
        <f>'Input Actual2025-26'!N164</f>
        <v>0</v>
      </c>
      <c r="O20" s="49">
        <f>'Input Actual2025-26'!O164</f>
        <v>0</v>
      </c>
      <c r="P20" s="49">
        <f>'Input Actual2025-26'!P164</f>
        <v>0</v>
      </c>
      <c r="Q20" s="5">
        <f t="shared" ref="Q20:Q22" si="0">SUM(E20:P20)</f>
        <v>4523598.1000000006</v>
      </c>
    </row>
    <row r="21" spans="3:17" x14ac:dyDescent="0.35">
      <c r="D21" s="3" t="s">
        <v>424</v>
      </c>
      <c r="E21" s="49">
        <f>'Input Actual2024-25'!E151</f>
        <v>349643.55</v>
      </c>
      <c r="F21" s="49">
        <f>'Input Actual2024-25'!F151</f>
        <v>363926.05</v>
      </c>
      <c r="G21" s="49">
        <f>'Input Actual2024-25'!G151</f>
        <v>345124.3</v>
      </c>
      <c r="H21" s="49">
        <f>'Input Actual2024-25'!H151</f>
        <v>358520.05</v>
      </c>
      <c r="I21" s="49">
        <f>'Input Actual2024-25'!I151</f>
        <v>352542.55</v>
      </c>
      <c r="J21" s="49">
        <f>'Input Actual2024-25'!J151</f>
        <v>288917.8</v>
      </c>
      <c r="K21" s="49">
        <f>'Input Actual2024-25'!K151</f>
        <v>434046.8</v>
      </c>
      <c r="L21" s="49">
        <f>'Input Actual2024-25'!L151</f>
        <v>348356.55</v>
      </c>
      <c r="M21" s="49">
        <f>'Input Actual2024-25'!M151</f>
        <v>408688.8</v>
      </c>
      <c r="N21" s="49">
        <f>'Input Actual2024-25'!N151</f>
        <v>553820.69999999995</v>
      </c>
      <c r="O21" s="49">
        <f>'Input Actual2024-25'!O151</f>
        <v>559153.19999999995</v>
      </c>
      <c r="P21" s="49">
        <f>'Input Actual2024-25'!P151</f>
        <v>589243.19999999995</v>
      </c>
      <c r="Q21" s="5">
        <f t="shared" si="0"/>
        <v>4951983.55</v>
      </c>
    </row>
    <row r="22" spans="3:17" x14ac:dyDescent="0.35">
      <c r="D22" s="3" t="s">
        <v>7</v>
      </c>
      <c r="E22" s="5">
        <f t="shared" ref="E22:P22" si="1">IF(E20=0,0,E20-E19)</f>
        <v>-11638.468920818937</v>
      </c>
      <c r="F22" s="5">
        <f t="shared" si="1"/>
        <v>46623.109771425836</v>
      </c>
      <c r="G22" s="5">
        <f t="shared" si="1"/>
        <v>75856.406022055424</v>
      </c>
      <c r="H22" s="5">
        <f t="shared" si="1"/>
        <v>73576.431604082813</v>
      </c>
      <c r="I22" s="5">
        <f t="shared" si="1"/>
        <v>-1441.8019444890087</v>
      </c>
      <c r="J22" s="5">
        <f t="shared" si="1"/>
        <v>-81253.283314834756</v>
      </c>
      <c r="K22" s="5">
        <f t="shared" si="1"/>
        <v>161426.998578356</v>
      </c>
      <c r="L22" s="5">
        <f t="shared" si="1"/>
        <v>21686.554602374905</v>
      </c>
      <c r="M22" s="5">
        <f t="shared" si="1"/>
        <v>0</v>
      </c>
      <c r="N22" s="5">
        <f t="shared" si="1"/>
        <v>0</v>
      </c>
      <c r="O22" s="5">
        <f t="shared" si="1"/>
        <v>0</v>
      </c>
      <c r="P22" s="5">
        <f t="shared" si="1"/>
        <v>0</v>
      </c>
      <c r="Q22" s="5">
        <f t="shared" si="0"/>
        <v>284835.94639815227</v>
      </c>
    </row>
    <row r="23" spans="3:17" x14ac:dyDescent="0.35">
      <c r="D23" s="3" t="s">
        <v>43</v>
      </c>
      <c r="E23" s="9">
        <f>E21/E19</f>
        <v>0.66502606263183872</v>
      </c>
      <c r="F23" s="9">
        <f t="shared" ref="F23:P23" si="2">F20/F19</f>
        <v>1.0884814760883776</v>
      </c>
      <c r="G23" s="9">
        <f t="shared" si="2"/>
        <v>1.1436424630851649</v>
      </c>
      <c r="H23" s="9">
        <f t="shared" si="2"/>
        <v>1.1390177480067167</v>
      </c>
      <c r="I23" s="9">
        <f t="shared" si="2"/>
        <v>0.99728181148374939</v>
      </c>
      <c r="J23" s="9">
        <f t="shared" si="2"/>
        <v>0.84715233101586751</v>
      </c>
      <c r="K23" s="9">
        <f t="shared" si="2"/>
        <v>1.3029978218355462</v>
      </c>
      <c r="L23" s="9">
        <f t="shared" si="2"/>
        <v>1.0406163442597667</v>
      </c>
      <c r="M23" s="9">
        <f t="shared" si="2"/>
        <v>0</v>
      </c>
      <c r="N23" s="9">
        <f t="shared" si="2"/>
        <v>0</v>
      </c>
      <c r="O23" s="9">
        <f t="shared" si="2"/>
        <v>0</v>
      </c>
      <c r="P23" s="9">
        <f t="shared" si="2"/>
        <v>0</v>
      </c>
    </row>
    <row r="25" spans="3:17" x14ac:dyDescent="0.35">
      <c r="C25" s="7" t="s">
        <v>3</v>
      </c>
      <c r="E25" s="11">
        <f>E18</f>
        <v>45839</v>
      </c>
      <c r="F25" s="11">
        <f t="shared" ref="F25:P25" si="3">F18</f>
        <v>45870</v>
      </c>
      <c r="G25" s="11">
        <f t="shared" si="3"/>
        <v>45901</v>
      </c>
      <c r="H25" s="11">
        <f t="shared" si="3"/>
        <v>45931</v>
      </c>
      <c r="I25" s="11">
        <f t="shared" si="3"/>
        <v>45962</v>
      </c>
      <c r="J25" s="11">
        <f t="shared" si="3"/>
        <v>45992</v>
      </c>
      <c r="K25" s="11">
        <f t="shared" si="3"/>
        <v>46023</v>
      </c>
      <c r="L25" s="11">
        <f t="shared" si="3"/>
        <v>46054</v>
      </c>
      <c r="M25" s="11">
        <f t="shared" si="3"/>
        <v>46082</v>
      </c>
      <c r="N25" s="11">
        <f t="shared" si="3"/>
        <v>46113</v>
      </c>
      <c r="O25" s="11">
        <f t="shared" si="3"/>
        <v>46143</v>
      </c>
      <c r="P25" s="11">
        <f t="shared" si="3"/>
        <v>46174</v>
      </c>
    </row>
    <row r="26" spans="3:17" x14ac:dyDescent="0.35">
      <c r="D26" s="3" t="str">
        <f>D19</f>
        <v>Budget 2025-26</v>
      </c>
      <c r="E26" s="5">
        <f>SUM($E19:E19)</f>
        <v>525759.16892081895</v>
      </c>
      <c r="F26" s="5">
        <f>SUM($E19:F19)</f>
        <v>1052684.2591493931</v>
      </c>
      <c r="G26" s="5">
        <f>SUM($E19:G19)</f>
        <v>1580776.0531273377</v>
      </c>
      <c r="H26" s="5">
        <f>SUM($E19:H19)</f>
        <v>2110035.3215232547</v>
      </c>
      <c r="I26" s="5">
        <f>SUM($E19:I19)</f>
        <v>2640462.8234677436</v>
      </c>
      <c r="J26" s="5">
        <f>SUM($E19:J19)</f>
        <v>3172059.3067825781</v>
      </c>
      <c r="K26" s="5">
        <f>SUM($E19:K19)</f>
        <v>3704825.5082042222</v>
      </c>
      <c r="L26" s="5">
        <f>SUM($E19:L19)</f>
        <v>4238762.1536018476</v>
      </c>
      <c r="M26" s="5">
        <f>SUM($E19:M19)</f>
        <v>4773869.9581900211</v>
      </c>
      <c r="N26" s="5">
        <f>SUM($E19:N19)</f>
        <v>5310149.6267362125</v>
      </c>
      <c r="O26" s="5">
        <f>SUM($E19:O19)</f>
        <v>5847601.8537632767</v>
      </c>
      <c r="P26" s="5">
        <f>SUM($E19:P19)</f>
        <v>6386227.3237470519</v>
      </c>
    </row>
    <row r="27" spans="3:17" x14ac:dyDescent="0.35">
      <c r="D27" s="3" t="str">
        <f t="shared" ref="D27:D30" si="4">D20</f>
        <v>Actual 2025-26</v>
      </c>
      <c r="E27" s="5">
        <f>SUM($E20:E20)</f>
        <v>514120.7</v>
      </c>
      <c r="F27" s="5">
        <f>SUM($E20:F20)</f>
        <v>1087668.8999999999</v>
      </c>
      <c r="G27" s="5">
        <f>SUM($E20:G20)</f>
        <v>1691617.0999999999</v>
      </c>
      <c r="H27" s="5">
        <f>SUM($E20:H20)</f>
        <v>2294452.7999999998</v>
      </c>
      <c r="I27" s="5">
        <f>SUM($E20:I20)</f>
        <v>2823438.5</v>
      </c>
      <c r="J27" s="5">
        <f>SUM($E20:J20)</f>
        <v>3273781.7</v>
      </c>
      <c r="K27" s="5">
        <f>SUM($E20:K20)</f>
        <v>3967974.9000000004</v>
      </c>
      <c r="L27" s="5">
        <f>SUM($E20:L20)</f>
        <v>4523598.1000000006</v>
      </c>
      <c r="M27" s="5">
        <f>SUM($E20:M20)</f>
        <v>4523598.1000000006</v>
      </c>
      <c r="N27" s="5">
        <f>SUM($E20:N20)</f>
        <v>4523598.1000000006</v>
      </c>
      <c r="O27" s="5">
        <f>SUM($E20:O20)</f>
        <v>4523598.1000000006</v>
      </c>
      <c r="P27" s="5">
        <f>SUM($E20:P20)</f>
        <v>4523598.1000000006</v>
      </c>
    </row>
    <row r="28" spans="3:17" x14ac:dyDescent="0.35">
      <c r="D28" s="3" t="str">
        <f t="shared" si="4"/>
        <v>Actual 2024-25</v>
      </c>
      <c r="E28" s="5">
        <f>SUM($E21:E21)</f>
        <v>349643.55</v>
      </c>
      <c r="F28" s="5">
        <f>SUM($E21:F21)</f>
        <v>713569.6</v>
      </c>
      <c r="G28" s="5">
        <f>SUM($E21:G21)</f>
        <v>1058693.8999999999</v>
      </c>
      <c r="H28" s="5">
        <f>SUM($E21:H21)</f>
        <v>1417213.95</v>
      </c>
      <c r="I28" s="5">
        <f>SUM($E21:I21)</f>
        <v>1769756.5</v>
      </c>
      <c r="J28" s="5">
        <f>SUM($E21:J21)</f>
        <v>2058674.3</v>
      </c>
      <c r="K28" s="5">
        <f>SUM($E21:K21)</f>
        <v>2492721.1</v>
      </c>
      <c r="L28" s="5">
        <f>SUM($E21:L21)</f>
        <v>2841077.65</v>
      </c>
      <c r="M28" s="5">
        <f>SUM($E21:M21)</f>
        <v>3249766.4499999997</v>
      </c>
      <c r="N28" s="5">
        <f>SUM($E21:N21)</f>
        <v>3803587.1499999994</v>
      </c>
      <c r="O28" s="5">
        <f>SUM($E21:O21)</f>
        <v>4362740.3499999996</v>
      </c>
      <c r="P28" s="5">
        <f>SUM($E21:P21)</f>
        <v>4951983.55</v>
      </c>
    </row>
    <row r="29" spans="3:17" x14ac:dyDescent="0.35">
      <c r="D29" s="3" t="str">
        <f t="shared" si="4"/>
        <v>Difference</v>
      </c>
      <c r="E29" s="5">
        <f>SUM($E22:E22)</f>
        <v>-11638.468920818937</v>
      </c>
      <c r="F29" s="5">
        <f>SUM($E22:F22)</f>
        <v>34984.640850606898</v>
      </c>
      <c r="G29" s="5">
        <f>SUM($E22:G22)</f>
        <v>110841.04687266232</v>
      </c>
      <c r="H29" s="5">
        <f>SUM($E22:H22)</f>
        <v>184417.47847674513</v>
      </c>
      <c r="I29" s="5">
        <f>SUM($E22:I22)</f>
        <v>182975.67653225613</v>
      </c>
      <c r="J29" s="5">
        <f>SUM($E22:J22)</f>
        <v>101722.39321742137</v>
      </c>
      <c r="K29" s="5">
        <f>SUM($E22:K22)</f>
        <v>263149.39179577737</v>
      </c>
      <c r="L29" s="5">
        <f>SUM($E22:L22)</f>
        <v>284835.94639815227</v>
      </c>
      <c r="M29" s="5">
        <f>SUM($E22:M22)</f>
        <v>284835.94639815227</v>
      </c>
      <c r="N29" s="5">
        <f>SUM($E22:N22)</f>
        <v>284835.94639815227</v>
      </c>
      <c r="O29" s="5">
        <f>SUM($E22:O22)</f>
        <v>284835.94639815227</v>
      </c>
      <c r="P29" s="5">
        <f>SUM($E22:P22)</f>
        <v>284835.94639815227</v>
      </c>
    </row>
    <row r="30" spans="3:17" x14ac:dyDescent="0.35">
      <c r="D30" s="3" t="str">
        <f t="shared" si="4"/>
        <v>Realisation</v>
      </c>
      <c r="E30" s="9">
        <f>E28/E26</f>
        <v>0.66502606263183872</v>
      </c>
      <c r="F30" s="9">
        <f t="shared" ref="F30:P30" si="5">F27/F26</f>
        <v>1.0332337455856666</v>
      </c>
      <c r="G30" s="9">
        <f t="shared" si="5"/>
        <v>1.0701181211933082</v>
      </c>
      <c r="H30" s="9">
        <f t="shared" si="5"/>
        <v>1.0874001854829674</v>
      </c>
      <c r="I30" s="9">
        <f t="shared" si="5"/>
        <v>1.0692968198249249</v>
      </c>
      <c r="J30" s="9">
        <f t="shared" si="5"/>
        <v>1.0320682507416923</v>
      </c>
      <c r="K30" s="9">
        <f t="shared" si="5"/>
        <v>1.0710288220627509</v>
      </c>
      <c r="L30" s="9">
        <f t="shared" si="5"/>
        <v>1.0671979073315345</v>
      </c>
      <c r="M30" s="9">
        <f t="shared" si="5"/>
        <v>0.94757463852557278</v>
      </c>
      <c r="N30" s="9">
        <f t="shared" si="5"/>
        <v>0.85187770928789219</v>
      </c>
      <c r="O30" s="9">
        <f t="shared" si="5"/>
        <v>0.77358175421755127</v>
      </c>
      <c r="P30" s="9">
        <f t="shared" si="5"/>
        <v>0.70833652964076244</v>
      </c>
    </row>
  </sheetData>
  <mergeCells count="2">
    <mergeCell ref="J4:Q8"/>
    <mergeCell ref="J10:Q15"/>
  </mergeCells>
  <conditionalFormatting sqref="C3">
    <cfRule type="expression" dxfId="128" priority="2">
      <formula>S4&lt;S6</formula>
    </cfRule>
  </conditionalFormatting>
  <conditionalFormatting sqref="C5">
    <cfRule type="expression" dxfId="127" priority="3">
      <formula>S4&gt;=S5</formula>
    </cfRule>
  </conditionalFormatting>
  <conditionalFormatting sqref="C4">
    <cfRule type="expression" dxfId="126" priority="1">
      <formula>AND(S4&gt;=S6,S4&lt;S5)</formula>
    </cfRule>
  </conditionalFormatting>
  <hyperlinks>
    <hyperlink ref="L1" location="Dashboard!A1" display="Dashboard"/>
  </hyperlinks>
  <pageMargins left="0.7" right="0.7" top="0.75" bottom="0.75" header="0.3" footer="0.3"/>
  <pageSetup orientation="portrait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58817" r:id="rId4" name="Spinner 1">
              <controlPr defaultSize="0" autoPict="0">
                <anchor moveWithCells="1" sizeWithCells="1">
                  <from>
                    <xdr:col>9</xdr:col>
                    <xdr:colOff>19050</xdr:colOff>
                    <xdr:row>0</xdr:row>
                    <xdr:rowOff>38100</xdr:rowOff>
                  </from>
                  <to>
                    <xdr:col>9</xdr:col>
                    <xdr:colOff>400050</xdr:colOff>
                    <xdr:row>1</xdr:row>
                    <xdr:rowOff>152400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15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123"/>
  <dimension ref="A1:S30"/>
  <sheetViews>
    <sheetView zoomScale="90" zoomScaleNormal="90" workbookViewId="0">
      <selection activeCell="L1" sqref="L1"/>
    </sheetView>
  </sheetViews>
  <sheetFormatPr defaultColWidth="9.1796875" defaultRowHeight="14.5" x14ac:dyDescent="0.35"/>
  <cols>
    <col min="1" max="1" width="9.1796875" style="3"/>
    <col min="2" max="2" width="5.7265625" style="3" bestFit="1" customWidth="1"/>
    <col min="3" max="3" width="6.26953125" style="3" customWidth="1"/>
    <col min="4" max="4" width="21.26953125" style="3" bestFit="1" customWidth="1"/>
    <col min="5" max="16" width="11.1796875" style="3" customWidth="1"/>
    <col min="17" max="17" width="12" style="3" bestFit="1" customWidth="1"/>
    <col min="18" max="18" width="9.1796875" style="3" customWidth="1"/>
    <col min="19" max="16384" width="9.1796875" style="3"/>
  </cols>
  <sheetData>
    <row r="1" spans="1:19" ht="21" x14ac:dyDescent="0.5">
      <c r="A1" s="4" t="s">
        <v>4</v>
      </c>
      <c r="B1" s="4">
        <f>Dashboard!A172</f>
        <v>5</v>
      </c>
      <c r="C1" s="4" t="str">
        <f>Dashboard!B172</f>
        <v>KIHOTO- SEWER(KES)</v>
      </c>
      <c r="D1" s="4"/>
      <c r="G1" s="3" t="s">
        <v>9</v>
      </c>
      <c r="I1" s="12">
        <f>INDEX($E$18:$P$18,Actual_month)</f>
        <v>46054</v>
      </c>
      <c r="L1" s="16" t="s">
        <v>19</v>
      </c>
      <c r="R1" s="5"/>
    </row>
    <row r="2" spans="1:19" x14ac:dyDescent="0.35">
      <c r="A2" s="3" t="s">
        <v>13</v>
      </c>
      <c r="C2" s="3" t="s">
        <v>27</v>
      </c>
      <c r="R2" s="6"/>
    </row>
    <row r="3" spans="1:19" ht="25.5" customHeight="1" thickBot="1" x14ac:dyDescent="0.4">
      <c r="C3" s="1" t="s">
        <v>5</v>
      </c>
      <c r="E3" s="10"/>
      <c r="F3" s="10"/>
      <c r="G3" s="10"/>
      <c r="H3" s="10"/>
      <c r="I3" s="10"/>
      <c r="J3" s="3" t="s">
        <v>6</v>
      </c>
      <c r="K3" s="10"/>
      <c r="M3" s="10"/>
      <c r="N3" s="10"/>
      <c r="O3" s="10"/>
      <c r="P3" s="10"/>
    </row>
    <row r="4" spans="1:19" ht="25.5" customHeight="1" x14ac:dyDescent="0.35">
      <c r="C4" s="1" t="s">
        <v>5</v>
      </c>
      <c r="E4" s="10"/>
      <c r="F4" s="10"/>
      <c r="G4" s="10"/>
      <c r="H4" s="10"/>
      <c r="I4" s="10"/>
      <c r="J4" s="401"/>
      <c r="K4" s="402"/>
      <c r="L4" s="402"/>
      <c r="M4" s="402"/>
      <c r="N4" s="402"/>
      <c r="O4" s="402"/>
      <c r="P4" s="402"/>
      <c r="Q4" s="403"/>
      <c r="R4" s="3" t="s">
        <v>22</v>
      </c>
      <c r="S4" s="5">
        <f>INDEX(E27:P27,Actual_month)</f>
        <v>0</v>
      </c>
    </row>
    <row r="5" spans="1:19" ht="25.5" customHeight="1" x14ac:dyDescent="0.35">
      <c r="C5" s="1" t="s">
        <v>5</v>
      </c>
      <c r="E5" s="10"/>
      <c r="F5" s="10"/>
      <c r="G5" s="10"/>
      <c r="H5" s="10"/>
      <c r="I5" s="10"/>
      <c r="J5" s="404"/>
      <c r="K5" s="405"/>
      <c r="L5" s="405"/>
      <c r="M5" s="405"/>
      <c r="N5" s="405"/>
      <c r="O5" s="405"/>
      <c r="P5" s="405"/>
      <c r="Q5" s="406"/>
      <c r="R5" s="3" t="s">
        <v>23</v>
      </c>
      <c r="S5" s="5">
        <f>INDEX(E26:P26,Actual_month)</f>
        <v>0</v>
      </c>
    </row>
    <row r="6" spans="1:19" x14ac:dyDescent="0.35">
      <c r="J6" s="404"/>
      <c r="K6" s="405"/>
      <c r="L6" s="405"/>
      <c r="M6" s="405"/>
      <c r="N6" s="405"/>
      <c r="O6" s="405"/>
      <c r="P6" s="405"/>
      <c r="Q6" s="406"/>
      <c r="R6" s="6">
        <v>0.9</v>
      </c>
      <c r="S6" s="5">
        <f>+S5*R6</f>
        <v>0</v>
      </c>
    </row>
    <row r="7" spans="1:19" x14ac:dyDescent="0.35">
      <c r="J7" s="404"/>
      <c r="K7" s="405"/>
      <c r="L7" s="405"/>
      <c r="M7" s="405"/>
      <c r="N7" s="405"/>
      <c r="O7" s="405"/>
      <c r="P7" s="405"/>
      <c r="Q7" s="406"/>
    </row>
    <row r="8" spans="1:19" ht="15" thickBot="1" x14ac:dyDescent="0.4">
      <c r="J8" s="407"/>
      <c r="K8" s="408"/>
      <c r="L8" s="408"/>
      <c r="M8" s="408"/>
      <c r="N8" s="408"/>
      <c r="O8" s="408"/>
      <c r="P8" s="408"/>
      <c r="Q8" s="409"/>
    </row>
    <row r="9" spans="1:19" ht="15" thickBot="1" x14ac:dyDescent="0.4">
      <c r="J9" s="3" t="s">
        <v>12</v>
      </c>
    </row>
    <row r="10" spans="1:19" x14ac:dyDescent="0.35">
      <c r="J10" s="401"/>
      <c r="K10" s="402"/>
      <c r="L10" s="402"/>
      <c r="M10" s="402"/>
      <c r="N10" s="402"/>
      <c r="O10" s="402"/>
      <c r="P10" s="402"/>
      <c r="Q10" s="403"/>
    </row>
    <row r="11" spans="1:19" x14ac:dyDescent="0.35">
      <c r="J11" s="404"/>
      <c r="K11" s="405"/>
      <c r="L11" s="405"/>
      <c r="M11" s="405"/>
      <c r="N11" s="405"/>
      <c r="O11" s="405"/>
      <c r="P11" s="405"/>
      <c r="Q11" s="406"/>
    </row>
    <row r="12" spans="1:19" x14ac:dyDescent="0.35">
      <c r="J12" s="404"/>
      <c r="K12" s="405"/>
      <c r="L12" s="405"/>
      <c r="M12" s="405"/>
      <c r="N12" s="405"/>
      <c r="O12" s="405"/>
      <c r="P12" s="405"/>
      <c r="Q12" s="406"/>
    </row>
    <row r="13" spans="1:19" x14ac:dyDescent="0.35">
      <c r="J13" s="404"/>
      <c r="K13" s="405"/>
      <c r="L13" s="405"/>
      <c r="M13" s="405"/>
      <c r="N13" s="405"/>
      <c r="O13" s="405"/>
      <c r="P13" s="405"/>
      <c r="Q13" s="406"/>
    </row>
    <row r="14" spans="1:19" x14ac:dyDescent="0.35">
      <c r="J14" s="404"/>
      <c r="K14" s="405"/>
      <c r="L14" s="405"/>
      <c r="M14" s="405"/>
      <c r="N14" s="405"/>
      <c r="O14" s="405"/>
      <c r="P14" s="405"/>
      <c r="Q14" s="406"/>
    </row>
    <row r="15" spans="1:19" ht="15" thickBot="1" x14ac:dyDescent="0.4">
      <c r="J15" s="407"/>
      <c r="K15" s="408"/>
      <c r="L15" s="408"/>
      <c r="M15" s="408"/>
      <c r="N15" s="408"/>
      <c r="O15" s="408"/>
      <c r="P15" s="408"/>
      <c r="Q15" s="409"/>
    </row>
    <row r="18" spans="3:17" x14ac:dyDescent="0.35">
      <c r="C18" s="7" t="s">
        <v>8</v>
      </c>
      <c r="E18" s="11">
        <v>45839</v>
      </c>
      <c r="F18" s="11">
        <v>45870</v>
      </c>
      <c r="G18" s="11">
        <v>45901</v>
      </c>
      <c r="H18" s="11">
        <v>45931</v>
      </c>
      <c r="I18" s="11">
        <v>45962</v>
      </c>
      <c r="J18" s="11">
        <v>45992</v>
      </c>
      <c r="K18" s="11">
        <v>46023</v>
      </c>
      <c r="L18" s="11">
        <v>46054</v>
      </c>
      <c r="M18" s="11">
        <v>46082</v>
      </c>
      <c r="N18" s="11">
        <v>46113</v>
      </c>
      <c r="O18" s="11">
        <v>46143</v>
      </c>
      <c r="P18" s="11">
        <v>46174</v>
      </c>
      <c r="Q18" s="8" t="s">
        <v>0</v>
      </c>
    </row>
    <row r="19" spans="3:17" x14ac:dyDescent="0.35">
      <c r="D19" s="3" t="s">
        <v>501</v>
      </c>
      <c r="E19" s="49">
        <f>'Input Actual2025-26'!E165</f>
        <v>0</v>
      </c>
      <c r="F19" s="49">
        <f>'Input Actual2025-26'!F165</f>
        <v>0</v>
      </c>
      <c r="G19" s="49">
        <f>'Input Actual2025-26'!G165</f>
        <v>0</v>
      </c>
      <c r="H19" s="49">
        <f>'Input Actual2025-26'!H165</f>
        <v>0</v>
      </c>
      <c r="I19" s="49">
        <f>'Input Actual2025-26'!I165</f>
        <v>0</v>
      </c>
      <c r="J19" s="49">
        <f>'Input Actual2025-26'!J165</f>
        <v>0</v>
      </c>
      <c r="K19" s="49">
        <f>'Input Actual2025-26'!K165</f>
        <v>0</v>
      </c>
      <c r="L19" s="49">
        <f>'Input Actual2025-26'!L165</f>
        <v>0</v>
      </c>
      <c r="M19" s="49">
        <f>'Input Actual2025-26'!M165</f>
        <v>0</v>
      </c>
      <c r="N19" s="49">
        <f>'Input Actual2025-26'!N165</f>
        <v>0</v>
      </c>
      <c r="O19" s="49">
        <f>'Input Actual2025-26'!O165</f>
        <v>0</v>
      </c>
      <c r="P19" s="49">
        <f>'Input Actual2025-26'!P165</f>
        <v>0</v>
      </c>
      <c r="Q19" s="5">
        <f>SUM(E19:P19)</f>
        <v>0</v>
      </c>
    </row>
    <row r="20" spans="3:17" x14ac:dyDescent="0.35">
      <c r="D20" s="3" t="s">
        <v>502</v>
      </c>
      <c r="E20" s="49">
        <f>'Input Actual2025-26'!E165</f>
        <v>0</v>
      </c>
      <c r="F20" s="49">
        <f>'Input Actual2025-26'!F165</f>
        <v>0</v>
      </c>
      <c r="G20" s="49">
        <f>'Input Actual2025-26'!G165</f>
        <v>0</v>
      </c>
      <c r="H20" s="49">
        <f>'Input Actual2025-26'!H165</f>
        <v>0</v>
      </c>
      <c r="I20" s="49">
        <f>'Input Actual2025-26'!I165</f>
        <v>0</v>
      </c>
      <c r="J20" s="49">
        <f>'Input Actual2025-26'!J165</f>
        <v>0</v>
      </c>
      <c r="K20" s="49">
        <f>'Input Actual2025-26'!K165</f>
        <v>0</v>
      </c>
      <c r="L20" s="49">
        <f>'Input Actual2025-26'!L165</f>
        <v>0</v>
      </c>
      <c r="M20" s="49">
        <f>'Input Actual2025-26'!M165</f>
        <v>0</v>
      </c>
      <c r="N20" s="49">
        <f>'Input Actual2025-26'!N165</f>
        <v>0</v>
      </c>
      <c r="O20" s="49">
        <f>'Input Actual2025-26'!O165</f>
        <v>0</v>
      </c>
      <c r="P20" s="49">
        <f>'Input Actual2025-26'!P165</f>
        <v>0</v>
      </c>
      <c r="Q20" s="5">
        <f t="shared" ref="Q20:Q22" si="0">SUM(E20:P20)</f>
        <v>0</v>
      </c>
    </row>
    <row r="21" spans="3:17" x14ac:dyDescent="0.35">
      <c r="D21" s="3" t="s">
        <v>424</v>
      </c>
      <c r="E21" s="49">
        <f>'Input Actual2024-25'!E152</f>
        <v>0</v>
      </c>
      <c r="F21" s="49">
        <f>'Input Actual2024-25'!F152</f>
        <v>0</v>
      </c>
      <c r="G21" s="49">
        <f>'Input Actual2024-25'!G152</f>
        <v>0</v>
      </c>
      <c r="H21" s="49">
        <f>'Input Actual2024-25'!H152</f>
        <v>0</v>
      </c>
      <c r="I21" s="49">
        <f>'Input Actual2024-25'!I152</f>
        <v>0</v>
      </c>
      <c r="J21" s="49">
        <f>'Input Actual2024-25'!J152</f>
        <v>0</v>
      </c>
      <c r="K21" s="49">
        <f>'Input Actual2024-25'!K152</f>
        <v>0</v>
      </c>
      <c r="L21" s="49">
        <f>'Input Actual2024-25'!L152</f>
        <v>0</v>
      </c>
      <c r="M21" s="49">
        <f>'Input Actual2024-25'!M152</f>
        <v>0</v>
      </c>
      <c r="N21" s="49">
        <f>'Input Actual2024-25'!N152</f>
        <v>0</v>
      </c>
      <c r="O21" s="49">
        <f>'Input Actual2024-25'!O152</f>
        <v>0</v>
      </c>
      <c r="P21" s="49">
        <f>'Input Actual2024-25'!P152</f>
        <v>0</v>
      </c>
      <c r="Q21" s="5">
        <f t="shared" si="0"/>
        <v>0</v>
      </c>
    </row>
    <row r="22" spans="3:17" x14ac:dyDescent="0.35">
      <c r="D22" s="3" t="s">
        <v>7</v>
      </c>
      <c r="E22" s="5">
        <f t="shared" ref="E22:P22" si="1">IF(E20=0,0,E20-E19)</f>
        <v>0</v>
      </c>
      <c r="F22" s="5">
        <f t="shared" si="1"/>
        <v>0</v>
      </c>
      <c r="G22" s="5">
        <f t="shared" si="1"/>
        <v>0</v>
      </c>
      <c r="H22" s="5">
        <f t="shared" si="1"/>
        <v>0</v>
      </c>
      <c r="I22" s="5">
        <f t="shared" si="1"/>
        <v>0</v>
      </c>
      <c r="J22" s="5">
        <f t="shared" si="1"/>
        <v>0</v>
      </c>
      <c r="K22" s="5">
        <f t="shared" si="1"/>
        <v>0</v>
      </c>
      <c r="L22" s="5">
        <f t="shared" si="1"/>
        <v>0</v>
      </c>
      <c r="M22" s="5">
        <f t="shared" si="1"/>
        <v>0</v>
      </c>
      <c r="N22" s="5">
        <f t="shared" si="1"/>
        <v>0</v>
      </c>
      <c r="O22" s="5">
        <f t="shared" si="1"/>
        <v>0</v>
      </c>
      <c r="P22" s="5">
        <f t="shared" si="1"/>
        <v>0</v>
      </c>
      <c r="Q22" s="5">
        <f t="shared" si="0"/>
        <v>0</v>
      </c>
    </row>
    <row r="23" spans="3:17" x14ac:dyDescent="0.35">
      <c r="D23" s="3" t="s">
        <v>43</v>
      </c>
      <c r="E23" s="9" t="e">
        <f>E21/E19</f>
        <v>#DIV/0!</v>
      </c>
      <c r="F23" s="9" t="e">
        <f t="shared" ref="F23:P23" si="2">F20/F19</f>
        <v>#DIV/0!</v>
      </c>
      <c r="G23" s="9" t="e">
        <f t="shared" si="2"/>
        <v>#DIV/0!</v>
      </c>
      <c r="H23" s="9" t="e">
        <f t="shared" si="2"/>
        <v>#DIV/0!</v>
      </c>
      <c r="I23" s="9" t="e">
        <f t="shared" si="2"/>
        <v>#DIV/0!</v>
      </c>
      <c r="J23" s="9" t="e">
        <f t="shared" si="2"/>
        <v>#DIV/0!</v>
      </c>
      <c r="K23" s="9" t="e">
        <f t="shared" si="2"/>
        <v>#DIV/0!</v>
      </c>
      <c r="L23" s="9" t="e">
        <f t="shared" si="2"/>
        <v>#DIV/0!</v>
      </c>
      <c r="M23" s="9" t="e">
        <f t="shared" si="2"/>
        <v>#DIV/0!</v>
      </c>
      <c r="N23" s="9" t="e">
        <f t="shared" si="2"/>
        <v>#DIV/0!</v>
      </c>
      <c r="O23" s="9" t="e">
        <f t="shared" si="2"/>
        <v>#DIV/0!</v>
      </c>
      <c r="P23" s="9" t="e">
        <f t="shared" si="2"/>
        <v>#DIV/0!</v>
      </c>
    </row>
    <row r="25" spans="3:17" x14ac:dyDescent="0.35">
      <c r="C25" s="7" t="s">
        <v>3</v>
      </c>
      <c r="E25" s="11">
        <f>E18</f>
        <v>45839</v>
      </c>
      <c r="F25" s="11">
        <f t="shared" ref="F25:P25" si="3">F18</f>
        <v>45870</v>
      </c>
      <c r="G25" s="11">
        <f t="shared" si="3"/>
        <v>45901</v>
      </c>
      <c r="H25" s="11">
        <f t="shared" si="3"/>
        <v>45931</v>
      </c>
      <c r="I25" s="11">
        <f t="shared" si="3"/>
        <v>45962</v>
      </c>
      <c r="J25" s="11">
        <f t="shared" si="3"/>
        <v>45992</v>
      </c>
      <c r="K25" s="11">
        <f t="shared" si="3"/>
        <v>46023</v>
      </c>
      <c r="L25" s="11">
        <f t="shared" si="3"/>
        <v>46054</v>
      </c>
      <c r="M25" s="11">
        <f t="shared" si="3"/>
        <v>46082</v>
      </c>
      <c r="N25" s="11">
        <f t="shared" si="3"/>
        <v>46113</v>
      </c>
      <c r="O25" s="11">
        <f t="shared" si="3"/>
        <v>46143</v>
      </c>
      <c r="P25" s="11">
        <f t="shared" si="3"/>
        <v>46174</v>
      </c>
    </row>
    <row r="26" spans="3:17" x14ac:dyDescent="0.35">
      <c r="D26" s="3" t="str">
        <f>D19</f>
        <v>Budget 2025-26</v>
      </c>
      <c r="E26" s="5">
        <f>SUM($E19:E19)</f>
        <v>0</v>
      </c>
      <c r="F26" s="5">
        <f>SUM($E19:F19)</f>
        <v>0</v>
      </c>
      <c r="G26" s="5">
        <f>SUM($E19:G19)</f>
        <v>0</v>
      </c>
      <c r="H26" s="5">
        <f>SUM($E19:H19)</f>
        <v>0</v>
      </c>
      <c r="I26" s="5">
        <f>SUM($E19:I19)</f>
        <v>0</v>
      </c>
      <c r="J26" s="5">
        <f>SUM($E19:J19)</f>
        <v>0</v>
      </c>
      <c r="K26" s="5">
        <f>SUM($E19:K19)</f>
        <v>0</v>
      </c>
      <c r="L26" s="5">
        <f>SUM($E19:L19)</f>
        <v>0</v>
      </c>
      <c r="M26" s="5">
        <f>SUM($E19:M19)</f>
        <v>0</v>
      </c>
      <c r="N26" s="5">
        <f>SUM($E19:N19)</f>
        <v>0</v>
      </c>
      <c r="O26" s="5">
        <f>SUM($E19:O19)</f>
        <v>0</v>
      </c>
      <c r="P26" s="5">
        <f>SUM($E19:P19)</f>
        <v>0</v>
      </c>
    </row>
    <row r="27" spans="3:17" x14ac:dyDescent="0.35">
      <c r="D27" s="3" t="str">
        <f t="shared" ref="D27:D30" si="4">D20</f>
        <v>Actual 2025-26</v>
      </c>
      <c r="E27" s="5">
        <f>SUM($E20:E20)</f>
        <v>0</v>
      </c>
      <c r="F27" s="5">
        <f>SUM($E20:F20)</f>
        <v>0</v>
      </c>
      <c r="G27" s="5">
        <f>SUM($E20:G20)</f>
        <v>0</v>
      </c>
      <c r="H27" s="5">
        <f>SUM($E20:H20)</f>
        <v>0</v>
      </c>
      <c r="I27" s="5">
        <f>SUM($E20:I20)</f>
        <v>0</v>
      </c>
      <c r="J27" s="5">
        <f>SUM($E20:J20)</f>
        <v>0</v>
      </c>
      <c r="K27" s="5">
        <f>SUM($E20:K20)</f>
        <v>0</v>
      </c>
      <c r="L27" s="5">
        <f>SUM($E20:L20)</f>
        <v>0</v>
      </c>
      <c r="M27" s="5">
        <f>SUM($E20:M20)</f>
        <v>0</v>
      </c>
      <c r="N27" s="5">
        <f>SUM($E20:N20)</f>
        <v>0</v>
      </c>
      <c r="O27" s="5">
        <f>SUM($E20:O20)</f>
        <v>0</v>
      </c>
      <c r="P27" s="5">
        <f>SUM($E20:P20)</f>
        <v>0</v>
      </c>
    </row>
    <row r="28" spans="3:17" x14ac:dyDescent="0.35">
      <c r="D28" s="3" t="str">
        <f t="shared" si="4"/>
        <v>Actual 2024-25</v>
      </c>
      <c r="E28" s="5">
        <f>SUM($E21:E21)</f>
        <v>0</v>
      </c>
      <c r="F28" s="5">
        <f>SUM($E21:F21)</f>
        <v>0</v>
      </c>
      <c r="G28" s="5">
        <f>SUM($E21:G21)</f>
        <v>0</v>
      </c>
      <c r="H28" s="5">
        <f>SUM($E21:H21)</f>
        <v>0</v>
      </c>
      <c r="I28" s="5">
        <f>SUM($E21:I21)</f>
        <v>0</v>
      </c>
      <c r="J28" s="5">
        <f>SUM($E21:J21)</f>
        <v>0</v>
      </c>
      <c r="K28" s="5">
        <f>SUM($E21:K21)</f>
        <v>0</v>
      </c>
      <c r="L28" s="5">
        <f>SUM($E21:L21)</f>
        <v>0</v>
      </c>
      <c r="M28" s="5">
        <f>SUM($E21:M21)</f>
        <v>0</v>
      </c>
      <c r="N28" s="5">
        <f>SUM($E21:N21)</f>
        <v>0</v>
      </c>
      <c r="O28" s="5">
        <f>SUM($E21:O21)</f>
        <v>0</v>
      </c>
      <c r="P28" s="5">
        <f>SUM($E21:P21)</f>
        <v>0</v>
      </c>
    </row>
    <row r="29" spans="3:17" x14ac:dyDescent="0.35">
      <c r="D29" s="3" t="str">
        <f t="shared" si="4"/>
        <v>Difference</v>
      </c>
      <c r="E29" s="5">
        <f>SUM($E22:E22)</f>
        <v>0</v>
      </c>
      <c r="F29" s="5">
        <f>SUM($E22:F22)</f>
        <v>0</v>
      </c>
      <c r="G29" s="5">
        <f>SUM($E22:G22)</f>
        <v>0</v>
      </c>
      <c r="H29" s="5">
        <f>SUM($E22:H22)</f>
        <v>0</v>
      </c>
      <c r="I29" s="5">
        <f>SUM($E22:I22)</f>
        <v>0</v>
      </c>
      <c r="J29" s="5">
        <f>SUM($E22:J22)</f>
        <v>0</v>
      </c>
      <c r="K29" s="5">
        <f>SUM($E22:K22)</f>
        <v>0</v>
      </c>
      <c r="L29" s="5">
        <f>SUM($E22:L22)</f>
        <v>0</v>
      </c>
      <c r="M29" s="5">
        <f>SUM($E22:M22)</f>
        <v>0</v>
      </c>
      <c r="N29" s="5">
        <f>SUM($E22:N22)</f>
        <v>0</v>
      </c>
      <c r="O29" s="5">
        <f>SUM($E22:O22)</f>
        <v>0</v>
      </c>
      <c r="P29" s="5">
        <f>SUM($E22:P22)</f>
        <v>0</v>
      </c>
    </row>
    <row r="30" spans="3:17" x14ac:dyDescent="0.35">
      <c r="D30" s="3" t="str">
        <f t="shared" si="4"/>
        <v>Realisation</v>
      </c>
      <c r="E30" s="9" t="e">
        <f>E28/E26</f>
        <v>#DIV/0!</v>
      </c>
      <c r="F30" s="9" t="e">
        <f t="shared" ref="F30:P30" si="5">F27/F26</f>
        <v>#DIV/0!</v>
      </c>
      <c r="G30" s="9" t="e">
        <f t="shared" si="5"/>
        <v>#DIV/0!</v>
      </c>
      <c r="H30" s="9" t="e">
        <f t="shared" si="5"/>
        <v>#DIV/0!</v>
      </c>
      <c r="I30" s="9" t="e">
        <f t="shared" si="5"/>
        <v>#DIV/0!</v>
      </c>
      <c r="J30" s="9" t="e">
        <f t="shared" si="5"/>
        <v>#DIV/0!</v>
      </c>
      <c r="K30" s="9" t="e">
        <f t="shared" si="5"/>
        <v>#DIV/0!</v>
      </c>
      <c r="L30" s="9" t="e">
        <f t="shared" si="5"/>
        <v>#DIV/0!</v>
      </c>
      <c r="M30" s="9" t="e">
        <f t="shared" si="5"/>
        <v>#DIV/0!</v>
      </c>
      <c r="N30" s="9" t="e">
        <f t="shared" si="5"/>
        <v>#DIV/0!</v>
      </c>
      <c r="O30" s="9" t="e">
        <f t="shared" si="5"/>
        <v>#DIV/0!</v>
      </c>
      <c r="P30" s="9" t="e">
        <f t="shared" si="5"/>
        <v>#DIV/0!</v>
      </c>
    </row>
  </sheetData>
  <mergeCells count="2">
    <mergeCell ref="J4:Q8"/>
    <mergeCell ref="J10:Q15"/>
  </mergeCells>
  <conditionalFormatting sqref="C3">
    <cfRule type="expression" dxfId="125" priority="2">
      <formula>S4&lt;S6</formula>
    </cfRule>
  </conditionalFormatting>
  <conditionalFormatting sqref="C5">
    <cfRule type="expression" dxfId="124" priority="3">
      <formula>S4&gt;=S5</formula>
    </cfRule>
  </conditionalFormatting>
  <conditionalFormatting sqref="C4">
    <cfRule type="expression" dxfId="123" priority="1">
      <formula>AND(S4&gt;=S6,S4&lt;S5)</formula>
    </cfRule>
  </conditionalFormatting>
  <hyperlinks>
    <hyperlink ref="L1" location="Dashboard!A1" display="Dashboard"/>
  </hyperlinks>
  <pageMargins left="0.7" right="0.7" top="0.75" bottom="0.75" header="0.3" footer="0.3"/>
  <pageSetup orientation="portrait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59841" r:id="rId4" name="Spinner 1">
              <controlPr defaultSize="0" autoPict="0">
                <anchor moveWithCells="1" sizeWithCells="1">
                  <from>
                    <xdr:col>9</xdr:col>
                    <xdr:colOff>19050</xdr:colOff>
                    <xdr:row>0</xdr:row>
                    <xdr:rowOff>38100</xdr:rowOff>
                  </from>
                  <to>
                    <xdr:col>9</xdr:col>
                    <xdr:colOff>400050</xdr:colOff>
                    <xdr:row>1</xdr:row>
                    <xdr:rowOff>152400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15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124">
    <tabColor rgb="FFFFC000"/>
  </sheetPr>
  <dimension ref="A1:S30"/>
  <sheetViews>
    <sheetView zoomScale="90" zoomScaleNormal="90" workbookViewId="0">
      <selection activeCell="L1" sqref="L1"/>
    </sheetView>
  </sheetViews>
  <sheetFormatPr defaultColWidth="9.1796875" defaultRowHeight="14.5" x14ac:dyDescent="0.35"/>
  <cols>
    <col min="1" max="1" width="9.1796875" style="3"/>
    <col min="2" max="2" width="5.7265625" style="3" bestFit="1" customWidth="1"/>
    <col min="3" max="3" width="6.26953125" style="3" customWidth="1"/>
    <col min="4" max="4" width="21.26953125" style="3" bestFit="1" customWidth="1"/>
    <col min="5" max="16" width="11.1796875" style="3" customWidth="1"/>
    <col min="17" max="17" width="12" style="3" bestFit="1" customWidth="1"/>
    <col min="18" max="18" width="9.1796875" style="3" customWidth="1"/>
    <col min="19" max="16384" width="9.1796875" style="3"/>
  </cols>
  <sheetData>
    <row r="1" spans="1:19" ht="21" x14ac:dyDescent="0.5">
      <c r="A1" s="4" t="s">
        <v>4</v>
      </c>
      <c r="B1" s="4">
        <f>Dashboard!A175</f>
        <v>0</v>
      </c>
      <c r="C1" s="4" t="str">
        <f>Dashboard!B175</f>
        <v>TOTAL SEWER SALES-CENTRAL</v>
      </c>
      <c r="D1" s="4"/>
      <c r="G1" s="3" t="s">
        <v>9</v>
      </c>
      <c r="I1" s="12">
        <f>INDEX($E$18:$P$18,Actual_month)</f>
        <v>46054</v>
      </c>
      <c r="L1" s="16" t="s">
        <v>19</v>
      </c>
      <c r="R1" s="5"/>
    </row>
    <row r="2" spans="1:19" x14ac:dyDescent="0.35">
      <c r="A2" s="3" t="s">
        <v>13</v>
      </c>
      <c r="C2" s="3" t="s">
        <v>27</v>
      </c>
      <c r="R2" s="6"/>
    </row>
    <row r="3" spans="1:19" ht="25.5" customHeight="1" thickBot="1" x14ac:dyDescent="0.4">
      <c r="C3" s="1" t="s">
        <v>5</v>
      </c>
      <c r="E3" s="10"/>
      <c r="F3" s="10"/>
      <c r="G3" s="10"/>
      <c r="H3" s="10"/>
      <c r="I3" s="10"/>
      <c r="J3" s="3" t="s">
        <v>6</v>
      </c>
      <c r="K3" s="10"/>
      <c r="M3" s="10"/>
      <c r="N3" s="10"/>
      <c r="O3" s="10"/>
      <c r="P3" s="10"/>
    </row>
    <row r="4" spans="1:19" ht="25.5" customHeight="1" x14ac:dyDescent="0.35">
      <c r="C4" s="1" t="s">
        <v>5</v>
      </c>
      <c r="E4" s="10"/>
      <c r="F4" s="10"/>
      <c r="G4" s="10"/>
      <c r="H4" s="10"/>
      <c r="I4" s="10"/>
      <c r="J4" s="401"/>
      <c r="K4" s="402"/>
      <c r="L4" s="402"/>
      <c r="M4" s="402"/>
      <c r="N4" s="402"/>
      <c r="O4" s="402"/>
      <c r="P4" s="402"/>
      <c r="Q4" s="403"/>
      <c r="R4" s="3" t="s">
        <v>22</v>
      </c>
      <c r="S4" s="5">
        <f>INDEX(E27:P27,Actual_month)</f>
        <v>45359665.800000004</v>
      </c>
    </row>
    <row r="5" spans="1:19" ht="25.5" customHeight="1" x14ac:dyDescent="0.35">
      <c r="C5" s="1" t="s">
        <v>5</v>
      </c>
      <c r="E5" s="10"/>
      <c r="F5" s="10"/>
      <c r="G5" s="10"/>
      <c r="H5" s="10"/>
      <c r="I5" s="10"/>
      <c r="J5" s="404"/>
      <c r="K5" s="405"/>
      <c r="L5" s="405"/>
      <c r="M5" s="405"/>
      <c r="N5" s="405"/>
      <c r="O5" s="405"/>
      <c r="P5" s="405"/>
      <c r="Q5" s="406"/>
      <c r="R5" s="3" t="s">
        <v>23</v>
      </c>
      <c r="S5" s="5">
        <f>INDEX(E26:P26,Actual_month)</f>
        <v>40444706.370138139</v>
      </c>
    </row>
    <row r="6" spans="1:19" x14ac:dyDescent="0.35">
      <c r="J6" s="404"/>
      <c r="K6" s="405"/>
      <c r="L6" s="405"/>
      <c r="M6" s="405"/>
      <c r="N6" s="405"/>
      <c r="O6" s="405"/>
      <c r="P6" s="405"/>
      <c r="Q6" s="406"/>
      <c r="R6" s="6">
        <v>0.9</v>
      </c>
      <c r="S6" s="5">
        <f>+S5*R6</f>
        <v>36400235.733124323</v>
      </c>
    </row>
    <row r="7" spans="1:19" x14ac:dyDescent="0.35">
      <c r="J7" s="404"/>
      <c r="K7" s="405"/>
      <c r="L7" s="405"/>
      <c r="M7" s="405"/>
      <c r="N7" s="405"/>
      <c r="O7" s="405"/>
      <c r="P7" s="405"/>
      <c r="Q7" s="406"/>
    </row>
    <row r="8" spans="1:19" ht="15" thickBot="1" x14ac:dyDescent="0.4">
      <c r="J8" s="407"/>
      <c r="K8" s="408"/>
      <c r="L8" s="408"/>
      <c r="M8" s="408"/>
      <c r="N8" s="408"/>
      <c r="O8" s="408"/>
      <c r="P8" s="408"/>
      <c r="Q8" s="409"/>
    </row>
    <row r="9" spans="1:19" ht="15" thickBot="1" x14ac:dyDescent="0.4">
      <c r="J9" s="3" t="s">
        <v>12</v>
      </c>
    </row>
    <row r="10" spans="1:19" x14ac:dyDescent="0.35">
      <c r="J10" s="401"/>
      <c r="K10" s="402"/>
      <c r="L10" s="402"/>
      <c r="M10" s="402"/>
      <c r="N10" s="402"/>
      <c r="O10" s="402"/>
      <c r="P10" s="402"/>
      <c r="Q10" s="403"/>
    </row>
    <row r="11" spans="1:19" x14ac:dyDescent="0.35">
      <c r="J11" s="404"/>
      <c r="K11" s="405"/>
      <c r="L11" s="405"/>
      <c r="M11" s="405"/>
      <c r="N11" s="405"/>
      <c r="O11" s="405"/>
      <c r="P11" s="405"/>
      <c r="Q11" s="406"/>
    </row>
    <row r="12" spans="1:19" x14ac:dyDescent="0.35">
      <c r="J12" s="404"/>
      <c r="K12" s="405"/>
      <c r="L12" s="405"/>
      <c r="M12" s="405"/>
      <c r="N12" s="405"/>
      <c r="O12" s="405"/>
      <c r="P12" s="405"/>
      <c r="Q12" s="406"/>
    </row>
    <row r="13" spans="1:19" x14ac:dyDescent="0.35">
      <c r="J13" s="404"/>
      <c r="K13" s="405"/>
      <c r="L13" s="405"/>
      <c r="M13" s="405"/>
      <c r="N13" s="405"/>
      <c r="O13" s="405"/>
      <c r="P13" s="405"/>
      <c r="Q13" s="406"/>
    </row>
    <row r="14" spans="1:19" x14ac:dyDescent="0.35">
      <c r="J14" s="404"/>
      <c r="K14" s="405"/>
      <c r="L14" s="405"/>
      <c r="M14" s="405"/>
      <c r="N14" s="405"/>
      <c r="O14" s="405"/>
      <c r="P14" s="405"/>
      <c r="Q14" s="406"/>
    </row>
    <row r="15" spans="1:19" ht="15" thickBot="1" x14ac:dyDescent="0.4">
      <c r="J15" s="407"/>
      <c r="K15" s="408"/>
      <c r="L15" s="408"/>
      <c r="M15" s="408"/>
      <c r="N15" s="408"/>
      <c r="O15" s="408"/>
      <c r="P15" s="408"/>
      <c r="Q15" s="409"/>
    </row>
    <row r="18" spans="3:17" x14ac:dyDescent="0.35">
      <c r="C18" s="7" t="s">
        <v>8</v>
      </c>
      <c r="E18" s="11">
        <v>45839</v>
      </c>
      <c r="F18" s="11">
        <v>45870</v>
      </c>
      <c r="G18" s="11">
        <v>45901</v>
      </c>
      <c r="H18" s="11">
        <v>45931</v>
      </c>
      <c r="I18" s="11">
        <v>45962</v>
      </c>
      <c r="J18" s="11">
        <v>45992</v>
      </c>
      <c r="K18" s="11">
        <v>46023</v>
      </c>
      <c r="L18" s="11">
        <v>46054</v>
      </c>
      <c r="M18" s="11">
        <v>46082</v>
      </c>
      <c r="N18" s="11">
        <v>46113</v>
      </c>
      <c r="O18" s="11">
        <v>46143</v>
      </c>
      <c r="P18" s="11">
        <v>46174</v>
      </c>
      <c r="Q18" s="8" t="s">
        <v>0</v>
      </c>
    </row>
    <row r="19" spans="3:17" x14ac:dyDescent="0.35">
      <c r="D19" s="3" t="s">
        <v>501</v>
      </c>
      <c r="E19" s="49">
        <f>'budget 2025-26'!D165</f>
        <v>4973474.5859431289</v>
      </c>
      <c r="F19" s="49">
        <f>'budget 2025-26'!E165</f>
        <v>4996935.182052915</v>
      </c>
      <c r="G19" s="49">
        <f>'budget 2025-26'!F165</f>
        <v>5020396.0145296101</v>
      </c>
      <c r="H19" s="49">
        <f>'budget 2025-26'!G165</f>
        <v>5043857.079816726</v>
      </c>
      <c r="I19" s="49">
        <f>'budget 2025-26'!H165</f>
        <v>5067318.3744287556</v>
      </c>
      <c r="J19" s="49">
        <f>'budget 2025-26'!I165</f>
        <v>5090779.8949494297</v>
      </c>
      <c r="K19" s="49">
        <f>'budget 2025-26'!J165</f>
        <v>5114241.6380299972</v>
      </c>
      <c r="L19" s="49">
        <f>'budget 2025-26'!K165</f>
        <v>5137703.6003875732</v>
      </c>
      <c r="M19" s="49">
        <f>'budget 2025-26'!L165</f>
        <v>5161165.778803519</v>
      </c>
      <c r="N19" s="49">
        <f>'budget 2025-26'!M165</f>
        <v>5184628.1701218812</v>
      </c>
      <c r="O19" s="49">
        <f>'budget 2025-26'!N165</f>
        <v>5208090.7712478768</v>
      </c>
      <c r="P19" s="49">
        <f>'budget 2025-26'!O165</f>
        <v>5231553.5791464159</v>
      </c>
      <c r="Q19" s="5">
        <f>SUM(E19:P19)</f>
        <v>61230144.66945783</v>
      </c>
    </row>
    <row r="20" spans="3:17" x14ac:dyDescent="0.35">
      <c r="D20" s="3" t="s">
        <v>502</v>
      </c>
      <c r="E20" s="49">
        <f>'Input Actual2025-26'!E168</f>
        <v>5560946</v>
      </c>
      <c r="F20" s="49">
        <f>'Input Actual2025-26'!F168</f>
        <v>5918138.5000000009</v>
      </c>
      <c r="G20" s="49">
        <f>'Input Actual2025-26'!G168</f>
        <v>5609031</v>
      </c>
      <c r="H20" s="49">
        <f>'Input Actual2025-26'!H168</f>
        <v>5721311.0000000009</v>
      </c>
      <c r="I20" s="49">
        <f>'Input Actual2025-26'!I168</f>
        <v>5243878.5</v>
      </c>
      <c r="J20" s="49">
        <f>'Input Actual2025-26'!J168</f>
        <v>4788131.3</v>
      </c>
      <c r="K20" s="49">
        <f>'Input Actual2025-26'!K168</f>
        <v>6824426.0000000009</v>
      </c>
      <c r="L20" s="49">
        <f>'Input Actual2025-26'!L168</f>
        <v>5693803.5000000009</v>
      </c>
      <c r="M20" s="49">
        <f>'Input Actual2025-26'!M168</f>
        <v>0</v>
      </c>
      <c r="N20" s="49">
        <f>'Input Actual2025-26'!N168</f>
        <v>0</v>
      </c>
      <c r="O20" s="49">
        <f>'Input Actual2025-26'!O168</f>
        <v>0</v>
      </c>
      <c r="P20" s="49">
        <f>'Input Actual2025-26'!P168</f>
        <v>0</v>
      </c>
      <c r="Q20" s="5">
        <f t="shared" ref="Q20:Q22" si="0">SUM(E20:P20)</f>
        <v>45359665.800000004</v>
      </c>
    </row>
    <row r="21" spans="3:17" x14ac:dyDescent="0.35">
      <c r="D21" s="3" t="s">
        <v>424</v>
      </c>
      <c r="E21" s="49">
        <f>'Input Actual2024-25'!E155</f>
        <v>4056522.9</v>
      </c>
      <c r="F21" s="49">
        <f>'Input Actual2024-25'!F155</f>
        <v>4980879.6500000004</v>
      </c>
      <c r="G21" s="49">
        <f>'Input Actual2024-25'!G155</f>
        <v>4222869.45</v>
      </c>
      <c r="H21" s="49">
        <f>'Input Actual2024-25'!H155</f>
        <v>4378066.2</v>
      </c>
      <c r="I21" s="49">
        <f>'Input Actual2024-25'!I155</f>
        <v>4413150</v>
      </c>
      <c r="J21" s="49">
        <f>'Input Actual2024-25'!J155</f>
        <v>3714209.1999999997</v>
      </c>
      <c r="K21" s="49">
        <f>'Input Actual2024-25'!K155</f>
        <v>5355862.7</v>
      </c>
      <c r="L21" s="49">
        <f>'Input Actual2024-25'!L155</f>
        <v>4592748.95</v>
      </c>
      <c r="M21" s="49">
        <f>'Input Actual2024-25'!M155</f>
        <v>4885076.95</v>
      </c>
      <c r="N21" s="49">
        <f>'Input Actual2024-25'!N155</f>
        <v>5635043.5</v>
      </c>
      <c r="O21" s="49">
        <f>'Input Actual2024-25'!O155</f>
        <v>6022758.5000000009</v>
      </c>
      <c r="P21" s="49">
        <f>'Input Actual2024-25'!P155</f>
        <v>6114211.0000000009</v>
      </c>
      <c r="Q21" s="5">
        <f t="shared" si="0"/>
        <v>58371399</v>
      </c>
    </row>
    <row r="22" spans="3:17" x14ac:dyDescent="0.35">
      <c r="D22" s="3" t="s">
        <v>7</v>
      </c>
      <c r="E22" s="5">
        <f t="shared" ref="E22:P22" si="1">IF(E20=0,0,E20-E19)</f>
        <v>587471.41405687109</v>
      </c>
      <c r="F22" s="5">
        <f t="shared" si="1"/>
        <v>921203.31794708595</v>
      </c>
      <c r="G22" s="5">
        <f t="shared" si="1"/>
        <v>588634.98547038995</v>
      </c>
      <c r="H22" s="5">
        <f t="shared" si="1"/>
        <v>677453.92018327489</v>
      </c>
      <c r="I22" s="5">
        <f t="shared" si="1"/>
        <v>176560.1255712444</v>
      </c>
      <c r="J22" s="5">
        <f t="shared" si="1"/>
        <v>-302648.59494942985</v>
      </c>
      <c r="K22" s="5">
        <f t="shared" si="1"/>
        <v>1710184.3619700037</v>
      </c>
      <c r="L22" s="5">
        <f t="shared" si="1"/>
        <v>556099.89961242769</v>
      </c>
      <c r="M22" s="5">
        <f t="shared" si="1"/>
        <v>0</v>
      </c>
      <c r="N22" s="5">
        <f t="shared" si="1"/>
        <v>0</v>
      </c>
      <c r="O22" s="5">
        <f t="shared" si="1"/>
        <v>0</v>
      </c>
      <c r="P22" s="5">
        <f t="shared" si="1"/>
        <v>0</v>
      </c>
      <c r="Q22" s="5">
        <f t="shared" si="0"/>
        <v>4914959.4298618678</v>
      </c>
    </row>
    <row r="23" spans="3:17" x14ac:dyDescent="0.35">
      <c r="D23" s="3" t="s">
        <v>43</v>
      </c>
      <c r="E23" s="9">
        <f>E21/E19</f>
        <v>0.81563157303854084</v>
      </c>
      <c r="F23" s="9">
        <f t="shared" ref="F23:P23" si="2">F20/F19</f>
        <v>1.184353665674051</v>
      </c>
      <c r="G23" s="9">
        <f t="shared" si="2"/>
        <v>1.117248715791904</v>
      </c>
      <c r="H23" s="9">
        <f t="shared" si="2"/>
        <v>1.1343126717238172</v>
      </c>
      <c r="I23" s="9">
        <f t="shared" si="2"/>
        <v>1.0348429114819824</v>
      </c>
      <c r="J23" s="9">
        <f t="shared" si="2"/>
        <v>0.94054966013170438</v>
      </c>
      <c r="K23" s="9">
        <f t="shared" si="2"/>
        <v>1.3343964722458372</v>
      </c>
      <c r="L23" s="9">
        <f t="shared" si="2"/>
        <v>1.1082389999241056</v>
      </c>
      <c r="M23" s="9">
        <f t="shared" si="2"/>
        <v>0</v>
      </c>
      <c r="N23" s="9">
        <f t="shared" si="2"/>
        <v>0</v>
      </c>
      <c r="O23" s="9">
        <f t="shared" si="2"/>
        <v>0</v>
      </c>
      <c r="P23" s="9">
        <f t="shared" si="2"/>
        <v>0</v>
      </c>
    </row>
    <row r="25" spans="3:17" x14ac:dyDescent="0.35">
      <c r="C25" s="7" t="s">
        <v>3</v>
      </c>
      <c r="E25" s="11">
        <f>E18</f>
        <v>45839</v>
      </c>
      <c r="F25" s="11">
        <f t="shared" ref="F25:P25" si="3">F18</f>
        <v>45870</v>
      </c>
      <c r="G25" s="11">
        <f t="shared" si="3"/>
        <v>45901</v>
      </c>
      <c r="H25" s="11">
        <f t="shared" si="3"/>
        <v>45931</v>
      </c>
      <c r="I25" s="11">
        <f t="shared" si="3"/>
        <v>45962</v>
      </c>
      <c r="J25" s="11">
        <f t="shared" si="3"/>
        <v>45992</v>
      </c>
      <c r="K25" s="11">
        <f t="shared" si="3"/>
        <v>46023</v>
      </c>
      <c r="L25" s="11">
        <f t="shared" si="3"/>
        <v>46054</v>
      </c>
      <c r="M25" s="11">
        <f t="shared" si="3"/>
        <v>46082</v>
      </c>
      <c r="N25" s="11">
        <f t="shared" si="3"/>
        <v>46113</v>
      </c>
      <c r="O25" s="11">
        <f t="shared" si="3"/>
        <v>46143</v>
      </c>
      <c r="P25" s="11">
        <f t="shared" si="3"/>
        <v>46174</v>
      </c>
    </row>
    <row r="26" spans="3:17" x14ac:dyDescent="0.35">
      <c r="D26" s="3" t="str">
        <f>D19</f>
        <v>Budget 2025-26</v>
      </c>
      <c r="E26" s="5">
        <f>SUM($E19:E19)</f>
        <v>4973474.5859431289</v>
      </c>
      <c r="F26" s="5">
        <f>SUM($E19:F19)</f>
        <v>9970409.767996043</v>
      </c>
      <c r="G26" s="5">
        <f>SUM($E19:G19)</f>
        <v>14990805.782525653</v>
      </c>
      <c r="H26" s="5">
        <f>SUM($E19:H19)</f>
        <v>20034662.86234238</v>
      </c>
      <c r="I26" s="5">
        <f>SUM($E19:I19)</f>
        <v>25101981.236771137</v>
      </c>
      <c r="J26" s="5">
        <f>SUM($E19:J19)</f>
        <v>30192761.131720565</v>
      </c>
      <c r="K26" s="5">
        <f>SUM($E19:K19)</f>
        <v>35307002.769750565</v>
      </c>
      <c r="L26" s="5">
        <f>SUM($E19:L19)</f>
        <v>40444706.370138139</v>
      </c>
      <c r="M26" s="5">
        <f>SUM($E19:M19)</f>
        <v>45605872.148941658</v>
      </c>
      <c r="N26" s="5">
        <f>SUM($E19:N19)</f>
        <v>50790500.319063537</v>
      </c>
      <c r="O26" s="5">
        <f>SUM($E19:O19)</f>
        <v>55998591.090311415</v>
      </c>
      <c r="P26" s="5">
        <f>SUM($E19:P19)</f>
        <v>61230144.66945783</v>
      </c>
    </row>
    <row r="27" spans="3:17" x14ac:dyDescent="0.35">
      <c r="D27" s="3" t="str">
        <f t="shared" ref="D27:D30" si="4">D20</f>
        <v>Actual 2025-26</v>
      </c>
      <c r="E27" s="5">
        <f>SUM($E20:E20)</f>
        <v>5560946</v>
      </c>
      <c r="F27" s="5">
        <f>SUM($E20:F20)</f>
        <v>11479084.5</v>
      </c>
      <c r="G27" s="5">
        <f>SUM($E20:G20)</f>
        <v>17088115.5</v>
      </c>
      <c r="H27" s="5">
        <f>SUM($E20:H20)</f>
        <v>22809426.5</v>
      </c>
      <c r="I27" s="5">
        <f>SUM($E20:I20)</f>
        <v>28053305</v>
      </c>
      <c r="J27" s="5">
        <f>SUM($E20:J20)</f>
        <v>32841436.300000001</v>
      </c>
      <c r="K27" s="5">
        <f>SUM($E20:K20)</f>
        <v>39665862.300000004</v>
      </c>
      <c r="L27" s="5">
        <f>SUM($E20:L20)</f>
        <v>45359665.800000004</v>
      </c>
      <c r="M27" s="5">
        <f>SUM($E20:M20)</f>
        <v>45359665.800000004</v>
      </c>
      <c r="N27" s="5">
        <f>SUM($E20:N20)</f>
        <v>45359665.800000004</v>
      </c>
      <c r="O27" s="5">
        <f>SUM($E20:O20)</f>
        <v>45359665.800000004</v>
      </c>
      <c r="P27" s="5">
        <f>SUM($E20:P20)</f>
        <v>45359665.800000004</v>
      </c>
    </row>
    <row r="28" spans="3:17" x14ac:dyDescent="0.35">
      <c r="D28" s="3" t="str">
        <f t="shared" si="4"/>
        <v>Actual 2024-25</v>
      </c>
      <c r="E28" s="5">
        <f>SUM($E21:E21)</f>
        <v>4056522.9</v>
      </c>
      <c r="F28" s="5">
        <f>SUM($E21:F21)</f>
        <v>9037402.5500000007</v>
      </c>
      <c r="G28" s="5">
        <f>SUM($E21:G21)</f>
        <v>13260272</v>
      </c>
      <c r="H28" s="5">
        <f>SUM($E21:H21)</f>
        <v>17638338.199999999</v>
      </c>
      <c r="I28" s="5">
        <f>SUM($E21:I21)</f>
        <v>22051488.199999999</v>
      </c>
      <c r="J28" s="5">
        <f>SUM($E21:J21)</f>
        <v>25765697.399999999</v>
      </c>
      <c r="K28" s="5">
        <f>SUM($E21:K21)</f>
        <v>31121560.099999998</v>
      </c>
      <c r="L28" s="5">
        <f>SUM($E21:L21)</f>
        <v>35714309.049999997</v>
      </c>
      <c r="M28" s="5">
        <f>SUM($E21:M21)</f>
        <v>40599386</v>
      </c>
      <c r="N28" s="5">
        <f>SUM($E21:N21)</f>
        <v>46234429.5</v>
      </c>
      <c r="O28" s="5">
        <f>SUM($E21:O21)</f>
        <v>52257188</v>
      </c>
      <c r="P28" s="5">
        <f>SUM($E21:P21)</f>
        <v>58371399</v>
      </c>
    </row>
    <row r="29" spans="3:17" x14ac:dyDescent="0.35">
      <c r="D29" s="3" t="str">
        <f t="shared" si="4"/>
        <v>Difference</v>
      </c>
      <c r="E29" s="5">
        <f>SUM($E22:E22)</f>
        <v>587471.41405687109</v>
      </c>
      <c r="F29" s="5">
        <f>SUM($E22:F22)</f>
        <v>1508674.732003957</v>
      </c>
      <c r="G29" s="5">
        <f>SUM($E22:G22)</f>
        <v>2097309.717474347</v>
      </c>
      <c r="H29" s="5">
        <f>SUM($E22:H22)</f>
        <v>2774763.6376576219</v>
      </c>
      <c r="I29" s="5">
        <f>SUM($E22:I22)</f>
        <v>2951323.7632288663</v>
      </c>
      <c r="J29" s="5">
        <f>SUM($E22:J22)</f>
        <v>2648675.1682794364</v>
      </c>
      <c r="K29" s="5">
        <f>SUM($E22:K22)</f>
        <v>4358859.5302494401</v>
      </c>
      <c r="L29" s="5">
        <f>SUM($E22:L22)</f>
        <v>4914959.4298618678</v>
      </c>
      <c r="M29" s="5">
        <f>SUM($E22:M22)</f>
        <v>4914959.4298618678</v>
      </c>
      <c r="N29" s="5">
        <f>SUM($E22:N22)</f>
        <v>4914959.4298618678</v>
      </c>
      <c r="O29" s="5">
        <f>SUM($E22:O22)</f>
        <v>4914959.4298618678</v>
      </c>
      <c r="P29" s="5">
        <f>SUM($E22:P22)</f>
        <v>4914959.4298618678</v>
      </c>
    </row>
    <row r="30" spans="3:17" x14ac:dyDescent="0.35">
      <c r="D30" s="3" t="str">
        <f t="shared" si="4"/>
        <v>Realisation</v>
      </c>
      <c r="E30" s="9">
        <f>E28/E26</f>
        <v>0.81563157303854084</v>
      </c>
      <c r="F30" s="9">
        <f t="shared" ref="F30:P30" si="5">F27/F26</f>
        <v>1.1513152184423396</v>
      </c>
      <c r="G30" s="9">
        <f t="shared" si="5"/>
        <v>1.139906403158069</v>
      </c>
      <c r="H30" s="9">
        <f t="shared" si="5"/>
        <v>1.1384981447765279</v>
      </c>
      <c r="I30" s="9">
        <f t="shared" si="5"/>
        <v>1.1175733395460259</v>
      </c>
      <c r="J30" s="9">
        <f t="shared" si="5"/>
        <v>1.0877255033656639</v>
      </c>
      <c r="K30" s="9">
        <f t="shared" si="5"/>
        <v>1.1234559489140186</v>
      </c>
      <c r="L30" s="9">
        <f t="shared" si="5"/>
        <v>1.1215229351619367</v>
      </c>
      <c r="M30" s="9">
        <f t="shared" si="5"/>
        <v>0.99460143316330885</v>
      </c>
      <c r="N30" s="9">
        <f t="shared" si="5"/>
        <v>0.8930738133125824</v>
      </c>
      <c r="O30" s="9">
        <f t="shared" si="5"/>
        <v>0.8100144113777159</v>
      </c>
      <c r="P30" s="9">
        <f t="shared" si="5"/>
        <v>0.74080611837302801</v>
      </c>
    </row>
  </sheetData>
  <mergeCells count="2">
    <mergeCell ref="J4:Q8"/>
    <mergeCell ref="J10:Q15"/>
  </mergeCells>
  <conditionalFormatting sqref="C3">
    <cfRule type="expression" dxfId="122" priority="2">
      <formula>S4&lt;S6</formula>
    </cfRule>
  </conditionalFormatting>
  <conditionalFormatting sqref="C5">
    <cfRule type="expression" dxfId="121" priority="3">
      <formula>S4&gt;=S5</formula>
    </cfRule>
  </conditionalFormatting>
  <conditionalFormatting sqref="C4">
    <cfRule type="expression" dxfId="120" priority="1">
      <formula>AND(S4&gt;=S6,S4&lt;S5)</formula>
    </cfRule>
  </conditionalFormatting>
  <hyperlinks>
    <hyperlink ref="L1" location="Dashboard!A1" display="Dashboard"/>
  </hyperlinks>
  <pageMargins left="0.7" right="0.7" top="0.75" bottom="0.75" header="0.3" footer="0.3"/>
  <pageSetup orientation="portrait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60865" r:id="rId4" name="Spinner 1">
              <controlPr defaultSize="0" autoPict="0">
                <anchor moveWithCells="1" sizeWithCells="1">
                  <from>
                    <xdr:col>9</xdr:col>
                    <xdr:colOff>19050</xdr:colOff>
                    <xdr:row>0</xdr:row>
                    <xdr:rowOff>38100</xdr:rowOff>
                  </from>
                  <to>
                    <xdr:col>9</xdr:col>
                    <xdr:colOff>400050</xdr:colOff>
                    <xdr:row>1</xdr:row>
                    <xdr:rowOff>152400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15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125"/>
  <dimension ref="A1:S30"/>
  <sheetViews>
    <sheetView zoomScale="90" zoomScaleNormal="90" workbookViewId="0">
      <selection activeCell="L1" sqref="L1"/>
    </sheetView>
  </sheetViews>
  <sheetFormatPr defaultColWidth="9.1796875" defaultRowHeight="14.5" x14ac:dyDescent="0.35"/>
  <cols>
    <col min="1" max="1" width="9.1796875" style="3"/>
    <col min="2" max="2" width="5.7265625" style="3" bestFit="1" customWidth="1"/>
    <col min="3" max="3" width="6.26953125" style="3" customWidth="1"/>
    <col min="4" max="4" width="21.26953125" style="3" bestFit="1" customWidth="1"/>
    <col min="5" max="16" width="11.1796875" style="3" customWidth="1"/>
    <col min="17" max="17" width="12" style="3" bestFit="1" customWidth="1"/>
    <col min="18" max="18" width="9.1796875" style="3" customWidth="1"/>
    <col min="19" max="16384" width="9.1796875" style="3"/>
  </cols>
  <sheetData>
    <row r="1" spans="1:19" ht="21" x14ac:dyDescent="0.5">
      <c r="A1" s="4" t="s">
        <v>4</v>
      </c>
      <c r="B1" s="4">
        <f>Dashboard!A176</f>
        <v>1</v>
      </c>
      <c r="C1" s="4" t="str">
        <f>Dashboard!B176</f>
        <v>HELLSGATE- SEWER(KES)</v>
      </c>
      <c r="D1" s="4"/>
      <c r="G1" s="3" t="s">
        <v>9</v>
      </c>
      <c r="I1" s="12">
        <f>INDEX($E$18:$P$18,Actual_month)</f>
        <v>46054</v>
      </c>
      <c r="L1" s="16" t="s">
        <v>19</v>
      </c>
      <c r="R1" s="5"/>
    </row>
    <row r="2" spans="1:19" x14ac:dyDescent="0.35">
      <c r="A2" s="3" t="s">
        <v>13</v>
      </c>
      <c r="C2" s="3" t="s">
        <v>27</v>
      </c>
      <c r="R2" s="6"/>
    </row>
    <row r="3" spans="1:19" ht="25.5" customHeight="1" thickBot="1" x14ac:dyDescent="0.4">
      <c r="C3" s="1" t="s">
        <v>5</v>
      </c>
      <c r="E3" s="10"/>
      <c r="F3" s="10"/>
      <c r="G3" s="10"/>
      <c r="H3" s="10"/>
      <c r="I3" s="10"/>
      <c r="J3" s="3" t="s">
        <v>6</v>
      </c>
      <c r="K3" s="10"/>
      <c r="M3" s="10"/>
      <c r="N3" s="10"/>
      <c r="O3" s="10"/>
      <c r="P3" s="10"/>
    </row>
    <row r="4" spans="1:19" ht="25.5" customHeight="1" x14ac:dyDescent="0.35">
      <c r="C4" s="1" t="s">
        <v>5</v>
      </c>
      <c r="E4" s="10"/>
      <c r="F4" s="10"/>
      <c r="G4" s="10"/>
      <c r="H4" s="10"/>
      <c r="I4" s="10"/>
      <c r="J4" s="401"/>
      <c r="K4" s="402"/>
      <c r="L4" s="402"/>
      <c r="M4" s="402"/>
      <c r="N4" s="402"/>
      <c r="O4" s="402"/>
      <c r="P4" s="402"/>
      <c r="Q4" s="403"/>
      <c r="R4" s="3" t="s">
        <v>22</v>
      </c>
      <c r="S4" s="5">
        <f>INDEX(E27:P27,Actual_month)</f>
        <v>0</v>
      </c>
    </row>
    <row r="5" spans="1:19" ht="25.5" customHeight="1" x14ac:dyDescent="0.35">
      <c r="C5" s="1" t="s">
        <v>5</v>
      </c>
      <c r="E5" s="10"/>
      <c r="F5" s="10"/>
      <c r="G5" s="10"/>
      <c r="H5" s="10"/>
      <c r="I5" s="10"/>
      <c r="J5" s="404"/>
      <c r="K5" s="405"/>
      <c r="L5" s="405"/>
      <c r="M5" s="405"/>
      <c r="N5" s="405"/>
      <c r="O5" s="405"/>
      <c r="P5" s="405"/>
      <c r="Q5" s="406"/>
      <c r="R5" s="3" t="s">
        <v>23</v>
      </c>
      <c r="S5" s="5">
        <f>INDEX(E26:P26,Actual_month)</f>
        <v>0</v>
      </c>
    </row>
    <row r="6" spans="1:19" x14ac:dyDescent="0.35">
      <c r="J6" s="404"/>
      <c r="K6" s="405"/>
      <c r="L6" s="405"/>
      <c r="M6" s="405"/>
      <c r="N6" s="405"/>
      <c r="O6" s="405"/>
      <c r="P6" s="405"/>
      <c r="Q6" s="406"/>
      <c r="R6" s="6">
        <v>0.9</v>
      </c>
      <c r="S6" s="5">
        <f>+S5*R6</f>
        <v>0</v>
      </c>
    </row>
    <row r="7" spans="1:19" x14ac:dyDescent="0.35">
      <c r="J7" s="404"/>
      <c r="K7" s="405"/>
      <c r="L7" s="405"/>
      <c r="M7" s="405"/>
      <c r="N7" s="405"/>
      <c r="O7" s="405"/>
      <c r="P7" s="405"/>
      <c r="Q7" s="406"/>
    </row>
    <row r="8" spans="1:19" ht="15" thickBot="1" x14ac:dyDescent="0.4">
      <c r="J8" s="407"/>
      <c r="K8" s="408"/>
      <c r="L8" s="408"/>
      <c r="M8" s="408"/>
      <c r="N8" s="408"/>
      <c r="O8" s="408"/>
      <c r="P8" s="408"/>
      <c r="Q8" s="409"/>
    </row>
    <row r="9" spans="1:19" ht="15" thickBot="1" x14ac:dyDescent="0.4">
      <c r="J9" s="3" t="s">
        <v>12</v>
      </c>
    </row>
    <row r="10" spans="1:19" x14ac:dyDescent="0.35">
      <c r="J10" s="401"/>
      <c r="K10" s="402"/>
      <c r="L10" s="402"/>
      <c r="M10" s="402"/>
      <c r="N10" s="402"/>
      <c r="O10" s="402"/>
      <c r="P10" s="402"/>
      <c r="Q10" s="403"/>
    </row>
    <row r="11" spans="1:19" x14ac:dyDescent="0.35">
      <c r="J11" s="404"/>
      <c r="K11" s="405"/>
      <c r="L11" s="405"/>
      <c r="M11" s="405"/>
      <c r="N11" s="405"/>
      <c r="O11" s="405"/>
      <c r="P11" s="405"/>
      <c r="Q11" s="406"/>
    </row>
    <row r="12" spans="1:19" x14ac:dyDescent="0.35">
      <c r="J12" s="404"/>
      <c r="K12" s="405"/>
      <c r="L12" s="405"/>
      <c r="M12" s="405"/>
      <c r="N12" s="405"/>
      <c r="O12" s="405"/>
      <c r="P12" s="405"/>
      <c r="Q12" s="406"/>
    </row>
    <row r="13" spans="1:19" x14ac:dyDescent="0.35">
      <c r="J13" s="404"/>
      <c r="K13" s="405"/>
      <c r="L13" s="405"/>
      <c r="M13" s="405"/>
      <c r="N13" s="405"/>
      <c r="O13" s="405"/>
      <c r="P13" s="405"/>
      <c r="Q13" s="406"/>
    </row>
    <row r="14" spans="1:19" x14ac:dyDescent="0.35">
      <c r="J14" s="404"/>
      <c r="K14" s="405"/>
      <c r="L14" s="405"/>
      <c r="M14" s="405"/>
      <c r="N14" s="405"/>
      <c r="O14" s="405"/>
      <c r="P14" s="405"/>
      <c r="Q14" s="406"/>
    </row>
    <row r="15" spans="1:19" ht="15" thickBot="1" x14ac:dyDescent="0.4">
      <c r="J15" s="407"/>
      <c r="K15" s="408"/>
      <c r="L15" s="408"/>
      <c r="M15" s="408"/>
      <c r="N15" s="408"/>
      <c r="O15" s="408"/>
      <c r="P15" s="408"/>
      <c r="Q15" s="409"/>
    </row>
    <row r="18" spans="3:17" x14ac:dyDescent="0.35">
      <c r="C18" s="7" t="s">
        <v>8</v>
      </c>
      <c r="E18" s="11">
        <v>45839</v>
      </c>
      <c r="F18" s="11">
        <v>45870</v>
      </c>
      <c r="G18" s="11">
        <v>45901</v>
      </c>
      <c r="H18" s="11">
        <v>45931</v>
      </c>
      <c r="I18" s="11">
        <v>45962</v>
      </c>
      <c r="J18" s="11">
        <v>45992</v>
      </c>
      <c r="K18" s="11">
        <v>46023</v>
      </c>
      <c r="L18" s="11">
        <v>46054</v>
      </c>
      <c r="M18" s="11">
        <v>46082</v>
      </c>
      <c r="N18" s="11">
        <v>46113</v>
      </c>
      <c r="O18" s="11">
        <v>46143</v>
      </c>
      <c r="P18" s="11">
        <v>46174</v>
      </c>
      <c r="Q18" s="8" t="s">
        <v>0</v>
      </c>
    </row>
    <row r="19" spans="3:17" x14ac:dyDescent="0.35">
      <c r="D19" s="3" t="s">
        <v>501</v>
      </c>
      <c r="E19" s="49">
        <f>'budget 2025-26'!D166</f>
        <v>0</v>
      </c>
      <c r="F19" s="49">
        <f>'budget 2025-26'!E166</f>
        <v>0</v>
      </c>
      <c r="G19" s="49">
        <f>'budget 2025-26'!F166</f>
        <v>0</v>
      </c>
      <c r="H19" s="49">
        <f>'budget 2025-26'!G166</f>
        <v>0</v>
      </c>
      <c r="I19" s="49">
        <f>'budget 2025-26'!H166</f>
        <v>0</v>
      </c>
      <c r="J19" s="49">
        <f>'budget 2025-26'!I166</f>
        <v>0</v>
      </c>
      <c r="K19" s="49">
        <f>'budget 2025-26'!J166</f>
        <v>0</v>
      </c>
      <c r="L19" s="49">
        <f>'budget 2025-26'!K166</f>
        <v>0</v>
      </c>
      <c r="M19" s="49">
        <f>'budget 2025-26'!L166</f>
        <v>0</v>
      </c>
      <c r="N19" s="49">
        <f>'budget 2025-26'!M166</f>
        <v>0</v>
      </c>
      <c r="O19" s="49">
        <f>'budget 2025-26'!N166</f>
        <v>0</v>
      </c>
      <c r="P19" s="49">
        <f>'budget 2025-26'!O166</f>
        <v>0</v>
      </c>
      <c r="Q19" s="5">
        <f>SUM(E19:P19)</f>
        <v>0</v>
      </c>
    </row>
    <row r="20" spans="3:17" x14ac:dyDescent="0.35">
      <c r="D20" s="3" t="s">
        <v>502</v>
      </c>
      <c r="E20" s="49">
        <f>'Input Actual2025-26'!E169</f>
        <v>0</v>
      </c>
      <c r="F20" s="49">
        <f>'Input Actual2025-26'!F169</f>
        <v>0</v>
      </c>
      <c r="G20" s="49">
        <f>'Input Actual2025-26'!G169</f>
        <v>0</v>
      </c>
      <c r="H20" s="49">
        <f>'Input Actual2025-26'!H169</f>
        <v>0</v>
      </c>
      <c r="I20" s="49">
        <f>'Input Actual2025-26'!I169</f>
        <v>0</v>
      </c>
      <c r="J20" s="49">
        <f>'Input Actual2025-26'!J169</f>
        <v>0</v>
      </c>
      <c r="K20" s="49">
        <f>'Input Actual2025-26'!K169</f>
        <v>0</v>
      </c>
      <c r="L20" s="49">
        <f>'Input Actual2025-26'!L169</f>
        <v>0</v>
      </c>
      <c r="M20" s="49">
        <f>'Input Actual2025-26'!M169</f>
        <v>0</v>
      </c>
      <c r="N20" s="49">
        <f>'Input Actual2025-26'!N169</f>
        <v>0</v>
      </c>
      <c r="O20" s="49">
        <f>'Input Actual2025-26'!O169</f>
        <v>0</v>
      </c>
      <c r="P20" s="49">
        <f>'Input Actual2025-26'!P169</f>
        <v>0</v>
      </c>
      <c r="Q20" s="5">
        <f t="shared" ref="Q20:Q22" si="0">SUM(E20:P20)</f>
        <v>0</v>
      </c>
    </row>
    <row r="21" spans="3:17" x14ac:dyDescent="0.35">
      <c r="D21" s="3" t="s">
        <v>424</v>
      </c>
      <c r="E21" s="49">
        <f>'Input Actual2024-25'!E156</f>
        <v>0</v>
      </c>
      <c r="F21" s="49">
        <f>'Input Actual2024-25'!F156</f>
        <v>0</v>
      </c>
      <c r="G21" s="49">
        <f>'Input Actual2024-25'!G156</f>
        <v>0</v>
      </c>
      <c r="H21" s="49">
        <f>'Input Actual2024-25'!H156</f>
        <v>0</v>
      </c>
      <c r="I21" s="49">
        <f>'Input Actual2024-25'!I156</f>
        <v>0</v>
      </c>
      <c r="J21" s="49">
        <f>'Input Actual2024-25'!J156</f>
        <v>0</v>
      </c>
      <c r="K21" s="49">
        <f>'Input Actual2024-25'!K156</f>
        <v>0</v>
      </c>
      <c r="L21" s="49">
        <f>'Input Actual2024-25'!L156</f>
        <v>0</v>
      </c>
      <c r="M21" s="49">
        <f>'Input Actual2024-25'!M156</f>
        <v>0</v>
      </c>
      <c r="N21" s="49">
        <f>'Input Actual2024-25'!N156</f>
        <v>0</v>
      </c>
      <c r="O21" s="49">
        <f>'Input Actual2024-25'!O156</f>
        <v>0</v>
      </c>
      <c r="P21" s="49">
        <f>'Input Actual2024-25'!P156</f>
        <v>0</v>
      </c>
      <c r="Q21" s="5">
        <f t="shared" si="0"/>
        <v>0</v>
      </c>
    </row>
    <row r="22" spans="3:17" x14ac:dyDescent="0.35">
      <c r="D22" s="3" t="s">
        <v>7</v>
      </c>
      <c r="E22" s="5">
        <f t="shared" ref="E22:P22" si="1">IF(E20=0,0,E20-E19)</f>
        <v>0</v>
      </c>
      <c r="F22" s="5">
        <f t="shared" si="1"/>
        <v>0</v>
      </c>
      <c r="G22" s="5">
        <f t="shared" si="1"/>
        <v>0</v>
      </c>
      <c r="H22" s="5">
        <f t="shared" si="1"/>
        <v>0</v>
      </c>
      <c r="I22" s="5">
        <f t="shared" si="1"/>
        <v>0</v>
      </c>
      <c r="J22" s="5">
        <f t="shared" si="1"/>
        <v>0</v>
      </c>
      <c r="K22" s="5">
        <f t="shared" si="1"/>
        <v>0</v>
      </c>
      <c r="L22" s="5">
        <f t="shared" si="1"/>
        <v>0</v>
      </c>
      <c r="M22" s="5">
        <f t="shared" si="1"/>
        <v>0</v>
      </c>
      <c r="N22" s="5">
        <f t="shared" si="1"/>
        <v>0</v>
      </c>
      <c r="O22" s="5">
        <f t="shared" si="1"/>
        <v>0</v>
      </c>
      <c r="P22" s="5">
        <f t="shared" si="1"/>
        <v>0</v>
      </c>
      <c r="Q22" s="5">
        <f t="shared" si="0"/>
        <v>0</v>
      </c>
    </row>
    <row r="23" spans="3:17" x14ac:dyDescent="0.35">
      <c r="D23" s="3" t="s">
        <v>43</v>
      </c>
      <c r="E23" s="9" t="e">
        <f>E21/E19</f>
        <v>#DIV/0!</v>
      </c>
      <c r="F23" s="9" t="e">
        <f t="shared" ref="F23:P23" si="2">F20/F19</f>
        <v>#DIV/0!</v>
      </c>
      <c r="G23" s="9" t="e">
        <f t="shared" si="2"/>
        <v>#DIV/0!</v>
      </c>
      <c r="H23" s="9" t="e">
        <f t="shared" si="2"/>
        <v>#DIV/0!</v>
      </c>
      <c r="I23" s="9" t="e">
        <f t="shared" si="2"/>
        <v>#DIV/0!</v>
      </c>
      <c r="J23" s="9" t="e">
        <f t="shared" si="2"/>
        <v>#DIV/0!</v>
      </c>
      <c r="K23" s="9" t="e">
        <f t="shared" si="2"/>
        <v>#DIV/0!</v>
      </c>
      <c r="L23" s="9" t="e">
        <f t="shared" si="2"/>
        <v>#DIV/0!</v>
      </c>
      <c r="M23" s="9" t="e">
        <f t="shared" si="2"/>
        <v>#DIV/0!</v>
      </c>
      <c r="N23" s="9" t="e">
        <f t="shared" si="2"/>
        <v>#DIV/0!</v>
      </c>
      <c r="O23" s="9" t="e">
        <f t="shared" si="2"/>
        <v>#DIV/0!</v>
      </c>
      <c r="P23" s="9" t="e">
        <f t="shared" si="2"/>
        <v>#DIV/0!</v>
      </c>
    </row>
    <row r="25" spans="3:17" x14ac:dyDescent="0.35">
      <c r="C25" s="7" t="s">
        <v>3</v>
      </c>
      <c r="E25" s="11">
        <f>E18</f>
        <v>45839</v>
      </c>
      <c r="F25" s="11">
        <f t="shared" ref="F25:P25" si="3">F18</f>
        <v>45870</v>
      </c>
      <c r="G25" s="11">
        <f t="shared" si="3"/>
        <v>45901</v>
      </c>
      <c r="H25" s="11">
        <f t="shared" si="3"/>
        <v>45931</v>
      </c>
      <c r="I25" s="11">
        <f t="shared" si="3"/>
        <v>45962</v>
      </c>
      <c r="J25" s="11">
        <f t="shared" si="3"/>
        <v>45992</v>
      </c>
      <c r="K25" s="11">
        <f t="shared" si="3"/>
        <v>46023</v>
      </c>
      <c r="L25" s="11">
        <f t="shared" si="3"/>
        <v>46054</v>
      </c>
      <c r="M25" s="11">
        <f t="shared" si="3"/>
        <v>46082</v>
      </c>
      <c r="N25" s="11">
        <f t="shared" si="3"/>
        <v>46113</v>
      </c>
      <c r="O25" s="11">
        <f t="shared" si="3"/>
        <v>46143</v>
      </c>
      <c r="P25" s="11">
        <f t="shared" si="3"/>
        <v>46174</v>
      </c>
    </row>
    <row r="26" spans="3:17" x14ac:dyDescent="0.35">
      <c r="D26" s="3" t="str">
        <f>D19</f>
        <v>Budget 2025-26</v>
      </c>
      <c r="E26" s="5">
        <f>SUM($E19:E19)</f>
        <v>0</v>
      </c>
      <c r="F26" s="5">
        <f>SUM($E19:F19)</f>
        <v>0</v>
      </c>
      <c r="G26" s="5">
        <f>SUM($E19:G19)</f>
        <v>0</v>
      </c>
      <c r="H26" s="5">
        <f>SUM($E19:H19)</f>
        <v>0</v>
      </c>
      <c r="I26" s="5">
        <f>SUM($E19:I19)</f>
        <v>0</v>
      </c>
      <c r="J26" s="5">
        <f>SUM($E19:J19)</f>
        <v>0</v>
      </c>
      <c r="K26" s="5">
        <f>SUM($E19:K19)</f>
        <v>0</v>
      </c>
      <c r="L26" s="5">
        <f>SUM($E19:L19)</f>
        <v>0</v>
      </c>
      <c r="M26" s="5">
        <f>SUM($E19:M19)</f>
        <v>0</v>
      </c>
      <c r="N26" s="5">
        <f>SUM($E19:N19)</f>
        <v>0</v>
      </c>
      <c r="O26" s="5">
        <f>SUM($E19:O19)</f>
        <v>0</v>
      </c>
      <c r="P26" s="5">
        <f>SUM($E19:P19)</f>
        <v>0</v>
      </c>
    </row>
    <row r="27" spans="3:17" x14ac:dyDescent="0.35">
      <c r="D27" s="3" t="str">
        <f t="shared" ref="D27:D30" si="4">D20</f>
        <v>Actual 2025-26</v>
      </c>
      <c r="E27" s="5">
        <f>SUM($E20:E20)</f>
        <v>0</v>
      </c>
      <c r="F27" s="5">
        <f>SUM($E20:F20)</f>
        <v>0</v>
      </c>
      <c r="G27" s="5">
        <f>SUM($E20:G20)</f>
        <v>0</v>
      </c>
      <c r="H27" s="5">
        <f>SUM($E20:H20)</f>
        <v>0</v>
      </c>
      <c r="I27" s="5">
        <f>SUM($E20:I20)</f>
        <v>0</v>
      </c>
      <c r="J27" s="5">
        <f>SUM($E20:J20)</f>
        <v>0</v>
      </c>
      <c r="K27" s="5">
        <f>SUM($E20:K20)</f>
        <v>0</v>
      </c>
      <c r="L27" s="5">
        <f>SUM($E20:L20)</f>
        <v>0</v>
      </c>
      <c r="M27" s="5">
        <f>SUM($E20:M20)</f>
        <v>0</v>
      </c>
      <c r="N27" s="5">
        <f>SUM($E20:N20)</f>
        <v>0</v>
      </c>
      <c r="O27" s="5">
        <f>SUM($E20:O20)</f>
        <v>0</v>
      </c>
      <c r="P27" s="5">
        <f>SUM($E20:P20)</f>
        <v>0</v>
      </c>
    </row>
    <row r="28" spans="3:17" x14ac:dyDescent="0.35">
      <c r="D28" s="3" t="str">
        <f t="shared" si="4"/>
        <v>Actual 2024-25</v>
      </c>
      <c r="E28" s="5">
        <f>SUM($E21:E21)</f>
        <v>0</v>
      </c>
      <c r="F28" s="5">
        <f>SUM($E21:F21)</f>
        <v>0</v>
      </c>
      <c r="G28" s="5">
        <f>SUM($E21:G21)</f>
        <v>0</v>
      </c>
      <c r="H28" s="5">
        <f>SUM($E21:H21)</f>
        <v>0</v>
      </c>
      <c r="I28" s="5">
        <f>SUM($E21:I21)</f>
        <v>0</v>
      </c>
      <c r="J28" s="5">
        <f>SUM($E21:J21)</f>
        <v>0</v>
      </c>
      <c r="K28" s="5">
        <f>SUM($E21:K21)</f>
        <v>0</v>
      </c>
      <c r="L28" s="5">
        <f>SUM($E21:L21)</f>
        <v>0</v>
      </c>
      <c r="M28" s="5">
        <f>SUM($E21:M21)</f>
        <v>0</v>
      </c>
      <c r="N28" s="5">
        <f>SUM($E21:N21)</f>
        <v>0</v>
      </c>
      <c r="O28" s="5">
        <f>SUM($E21:O21)</f>
        <v>0</v>
      </c>
      <c r="P28" s="5">
        <f>SUM($E21:P21)</f>
        <v>0</v>
      </c>
    </row>
    <row r="29" spans="3:17" x14ac:dyDescent="0.35">
      <c r="D29" s="3" t="str">
        <f t="shared" si="4"/>
        <v>Difference</v>
      </c>
      <c r="E29" s="5">
        <f>SUM($E22:E22)</f>
        <v>0</v>
      </c>
      <c r="F29" s="5">
        <f>SUM($E22:F22)</f>
        <v>0</v>
      </c>
      <c r="G29" s="5">
        <f>SUM($E22:G22)</f>
        <v>0</v>
      </c>
      <c r="H29" s="5">
        <f>SUM($E22:H22)</f>
        <v>0</v>
      </c>
      <c r="I29" s="5">
        <f>SUM($E22:I22)</f>
        <v>0</v>
      </c>
      <c r="J29" s="5">
        <f>SUM($E22:J22)</f>
        <v>0</v>
      </c>
      <c r="K29" s="5">
        <f>SUM($E22:K22)</f>
        <v>0</v>
      </c>
      <c r="L29" s="5">
        <f>SUM($E22:L22)</f>
        <v>0</v>
      </c>
      <c r="M29" s="5">
        <f>SUM($E22:M22)</f>
        <v>0</v>
      </c>
      <c r="N29" s="5">
        <f>SUM($E22:N22)</f>
        <v>0</v>
      </c>
      <c r="O29" s="5">
        <f>SUM($E22:O22)</f>
        <v>0</v>
      </c>
      <c r="P29" s="5">
        <f>SUM($E22:P22)</f>
        <v>0</v>
      </c>
    </row>
    <row r="30" spans="3:17" x14ac:dyDescent="0.35">
      <c r="D30" s="3" t="str">
        <f t="shared" si="4"/>
        <v>Realisation</v>
      </c>
      <c r="E30" s="9" t="e">
        <f>E28/E26</f>
        <v>#DIV/0!</v>
      </c>
      <c r="F30" s="9" t="e">
        <f t="shared" ref="F30:P30" si="5">F27/F26</f>
        <v>#DIV/0!</v>
      </c>
      <c r="G30" s="9" t="e">
        <f t="shared" si="5"/>
        <v>#DIV/0!</v>
      </c>
      <c r="H30" s="9" t="e">
        <f t="shared" si="5"/>
        <v>#DIV/0!</v>
      </c>
      <c r="I30" s="9" t="e">
        <f t="shared" si="5"/>
        <v>#DIV/0!</v>
      </c>
      <c r="J30" s="9" t="e">
        <f t="shared" si="5"/>
        <v>#DIV/0!</v>
      </c>
      <c r="K30" s="9" t="e">
        <f t="shared" si="5"/>
        <v>#DIV/0!</v>
      </c>
      <c r="L30" s="9" t="e">
        <f t="shared" si="5"/>
        <v>#DIV/0!</v>
      </c>
      <c r="M30" s="9" t="e">
        <f t="shared" si="5"/>
        <v>#DIV/0!</v>
      </c>
      <c r="N30" s="9" t="e">
        <f t="shared" si="5"/>
        <v>#DIV/0!</v>
      </c>
      <c r="O30" s="9" t="e">
        <f t="shared" si="5"/>
        <v>#DIV/0!</v>
      </c>
      <c r="P30" s="9" t="e">
        <f t="shared" si="5"/>
        <v>#DIV/0!</v>
      </c>
    </row>
  </sheetData>
  <mergeCells count="2">
    <mergeCell ref="J4:Q8"/>
    <mergeCell ref="J10:Q15"/>
  </mergeCells>
  <conditionalFormatting sqref="C3">
    <cfRule type="expression" dxfId="119" priority="2">
      <formula>S4&lt;S6</formula>
    </cfRule>
  </conditionalFormatting>
  <conditionalFormatting sqref="C5">
    <cfRule type="expression" dxfId="118" priority="3">
      <formula>S4&gt;=S5</formula>
    </cfRule>
  </conditionalFormatting>
  <conditionalFormatting sqref="C4">
    <cfRule type="expression" dxfId="117" priority="1">
      <formula>AND(S4&gt;=S6,S4&lt;S5)</formula>
    </cfRule>
  </conditionalFormatting>
  <hyperlinks>
    <hyperlink ref="L1" location="Dashboard!A1" display="Dashboard"/>
  </hyperlinks>
  <pageMargins left="0.7" right="0.7" top="0.75" bottom="0.75" header="0.3" footer="0.3"/>
  <pageSetup orientation="portrait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61889" r:id="rId4" name="Spinner 1">
              <controlPr defaultSize="0" autoPict="0">
                <anchor moveWithCells="1" sizeWithCells="1">
                  <from>
                    <xdr:col>9</xdr:col>
                    <xdr:colOff>19050</xdr:colOff>
                    <xdr:row>0</xdr:row>
                    <xdr:rowOff>38100</xdr:rowOff>
                  </from>
                  <to>
                    <xdr:col>9</xdr:col>
                    <xdr:colOff>400050</xdr:colOff>
                    <xdr:row>1</xdr:row>
                    <xdr:rowOff>152400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16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126"/>
  <dimension ref="A1:S30"/>
  <sheetViews>
    <sheetView zoomScale="90" zoomScaleNormal="90" workbookViewId="0">
      <selection activeCell="L1" sqref="L1"/>
    </sheetView>
  </sheetViews>
  <sheetFormatPr defaultColWidth="9.1796875" defaultRowHeight="14.5" x14ac:dyDescent="0.35"/>
  <cols>
    <col min="1" max="1" width="9.1796875" style="3"/>
    <col min="2" max="2" width="5.7265625" style="3" bestFit="1" customWidth="1"/>
    <col min="3" max="3" width="6.26953125" style="3" customWidth="1"/>
    <col min="4" max="4" width="21.26953125" style="3" bestFit="1" customWidth="1"/>
    <col min="5" max="16" width="11.1796875" style="3" customWidth="1"/>
    <col min="17" max="17" width="12" style="3" bestFit="1" customWidth="1"/>
    <col min="18" max="18" width="9.1796875" style="3" customWidth="1"/>
    <col min="19" max="16384" width="9.1796875" style="3"/>
  </cols>
  <sheetData>
    <row r="1" spans="1:19" ht="21" x14ac:dyDescent="0.5">
      <c r="A1" s="4" t="s">
        <v>4</v>
      </c>
      <c r="B1" s="4">
        <f>Dashboard!A177</f>
        <v>2</v>
      </c>
      <c r="C1" s="4" t="str">
        <f>Dashboard!B177</f>
        <v>KAMERE- SEWER(KES)</v>
      </c>
      <c r="D1" s="4"/>
      <c r="G1" s="3" t="s">
        <v>9</v>
      </c>
      <c r="I1" s="12">
        <f>INDEX($E$18:$P$18,Actual_month)</f>
        <v>46054</v>
      </c>
      <c r="L1" s="16" t="s">
        <v>19</v>
      </c>
      <c r="R1" s="5"/>
    </row>
    <row r="2" spans="1:19" x14ac:dyDescent="0.35">
      <c r="A2" s="3" t="s">
        <v>13</v>
      </c>
      <c r="C2" s="3" t="s">
        <v>27</v>
      </c>
      <c r="R2" s="6"/>
    </row>
    <row r="3" spans="1:19" ht="25.5" customHeight="1" thickBot="1" x14ac:dyDescent="0.4">
      <c r="C3" s="1" t="s">
        <v>5</v>
      </c>
      <c r="E3" s="10"/>
      <c r="F3" s="10"/>
      <c r="G3" s="10"/>
      <c r="H3" s="10"/>
      <c r="I3" s="10"/>
      <c r="J3" s="3" t="s">
        <v>6</v>
      </c>
      <c r="K3" s="10"/>
      <c r="M3" s="10"/>
      <c r="N3" s="10"/>
      <c r="O3" s="10"/>
      <c r="P3" s="10"/>
    </row>
    <row r="4" spans="1:19" ht="25.5" customHeight="1" x14ac:dyDescent="0.35">
      <c r="C4" s="1" t="s">
        <v>5</v>
      </c>
      <c r="E4" s="10"/>
      <c r="F4" s="10"/>
      <c r="G4" s="10"/>
      <c r="H4" s="10"/>
      <c r="I4" s="10"/>
      <c r="J4" s="401"/>
      <c r="K4" s="402"/>
      <c r="L4" s="402"/>
      <c r="M4" s="402"/>
      <c r="N4" s="402"/>
      <c r="O4" s="402"/>
      <c r="P4" s="402"/>
      <c r="Q4" s="403"/>
      <c r="R4" s="3" t="s">
        <v>22</v>
      </c>
      <c r="S4" s="5">
        <f>INDEX(E27:P27,Actual_month)</f>
        <v>0</v>
      </c>
    </row>
    <row r="5" spans="1:19" ht="25.5" customHeight="1" x14ac:dyDescent="0.35">
      <c r="C5" s="1" t="s">
        <v>5</v>
      </c>
      <c r="E5" s="10"/>
      <c r="F5" s="10"/>
      <c r="G5" s="10"/>
      <c r="H5" s="10"/>
      <c r="I5" s="10"/>
      <c r="J5" s="404"/>
      <c r="K5" s="405"/>
      <c r="L5" s="405"/>
      <c r="M5" s="405"/>
      <c r="N5" s="405"/>
      <c r="O5" s="405"/>
      <c r="P5" s="405"/>
      <c r="Q5" s="406"/>
      <c r="R5" s="3" t="s">
        <v>23</v>
      </c>
      <c r="S5" s="5">
        <f>INDEX(E26:P26,Actual_month)</f>
        <v>0</v>
      </c>
    </row>
    <row r="6" spans="1:19" x14ac:dyDescent="0.35">
      <c r="J6" s="404"/>
      <c r="K6" s="405"/>
      <c r="L6" s="405"/>
      <c r="M6" s="405"/>
      <c r="N6" s="405"/>
      <c r="O6" s="405"/>
      <c r="P6" s="405"/>
      <c r="Q6" s="406"/>
      <c r="R6" s="6">
        <v>0.9</v>
      </c>
      <c r="S6" s="5">
        <f>+S5*R6</f>
        <v>0</v>
      </c>
    </row>
    <row r="7" spans="1:19" x14ac:dyDescent="0.35">
      <c r="J7" s="404"/>
      <c r="K7" s="405"/>
      <c r="L7" s="405"/>
      <c r="M7" s="405"/>
      <c r="N7" s="405"/>
      <c r="O7" s="405"/>
      <c r="P7" s="405"/>
      <c r="Q7" s="406"/>
    </row>
    <row r="8" spans="1:19" ht="15" thickBot="1" x14ac:dyDescent="0.4">
      <c r="J8" s="407"/>
      <c r="K8" s="408"/>
      <c r="L8" s="408"/>
      <c r="M8" s="408"/>
      <c r="N8" s="408"/>
      <c r="O8" s="408"/>
      <c r="P8" s="408"/>
      <c r="Q8" s="409"/>
    </row>
    <row r="9" spans="1:19" ht="15" thickBot="1" x14ac:dyDescent="0.4">
      <c r="J9" s="3" t="s">
        <v>12</v>
      </c>
    </row>
    <row r="10" spans="1:19" x14ac:dyDescent="0.35">
      <c r="J10" s="401"/>
      <c r="K10" s="402"/>
      <c r="L10" s="402"/>
      <c r="M10" s="402"/>
      <c r="N10" s="402"/>
      <c r="O10" s="402"/>
      <c r="P10" s="402"/>
      <c r="Q10" s="403"/>
    </row>
    <row r="11" spans="1:19" x14ac:dyDescent="0.35">
      <c r="J11" s="404"/>
      <c r="K11" s="405"/>
      <c r="L11" s="405"/>
      <c r="M11" s="405"/>
      <c r="N11" s="405"/>
      <c r="O11" s="405"/>
      <c r="P11" s="405"/>
      <c r="Q11" s="406"/>
    </row>
    <row r="12" spans="1:19" x14ac:dyDescent="0.35">
      <c r="J12" s="404"/>
      <c r="K12" s="405"/>
      <c r="L12" s="405"/>
      <c r="M12" s="405"/>
      <c r="N12" s="405"/>
      <c r="O12" s="405"/>
      <c r="P12" s="405"/>
      <c r="Q12" s="406"/>
    </row>
    <row r="13" spans="1:19" x14ac:dyDescent="0.35">
      <c r="J13" s="404"/>
      <c r="K13" s="405"/>
      <c r="L13" s="405"/>
      <c r="M13" s="405"/>
      <c r="N13" s="405"/>
      <c r="O13" s="405"/>
      <c r="P13" s="405"/>
      <c r="Q13" s="406"/>
    </row>
    <row r="14" spans="1:19" x14ac:dyDescent="0.35">
      <c r="J14" s="404"/>
      <c r="K14" s="405"/>
      <c r="L14" s="405"/>
      <c r="M14" s="405"/>
      <c r="N14" s="405"/>
      <c r="O14" s="405"/>
      <c r="P14" s="405"/>
      <c r="Q14" s="406"/>
    </row>
    <row r="15" spans="1:19" ht="15" thickBot="1" x14ac:dyDescent="0.4">
      <c r="J15" s="407"/>
      <c r="K15" s="408"/>
      <c r="L15" s="408"/>
      <c r="M15" s="408"/>
      <c r="N15" s="408"/>
      <c r="O15" s="408"/>
      <c r="P15" s="408"/>
      <c r="Q15" s="409"/>
    </row>
    <row r="18" spans="3:17" x14ac:dyDescent="0.35">
      <c r="C18" s="7" t="s">
        <v>8</v>
      </c>
      <c r="E18" s="11">
        <v>45839</v>
      </c>
      <c r="F18" s="11">
        <v>45870</v>
      </c>
      <c r="G18" s="11">
        <v>45901</v>
      </c>
      <c r="H18" s="11">
        <v>45931</v>
      </c>
      <c r="I18" s="11">
        <v>45962</v>
      </c>
      <c r="J18" s="11">
        <v>45992</v>
      </c>
      <c r="K18" s="11">
        <v>46023</v>
      </c>
      <c r="L18" s="11">
        <v>46054</v>
      </c>
      <c r="M18" s="11">
        <v>46082</v>
      </c>
      <c r="N18" s="11">
        <v>46113</v>
      </c>
      <c r="O18" s="11">
        <v>46143</v>
      </c>
      <c r="P18" s="11">
        <v>46174</v>
      </c>
      <c r="Q18" s="8" t="s">
        <v>0</v>
      </c>
    </row>
    <row r="19" spans="3:17" x14ac:dyDescent="0.35">
      <c r="D19" s="3" t="s">
        <v>501</v>
      </c>
      <c r="E19" s="49">
        <f>'budget 2025-26'!D167</f>
        <v>0</v>
      </c>
      <c r="F19" s="49">
        <f>'budget 2025-26'!E167</f>
        <v>0</v>
      </c>
      <c r="G19" s="49">
        <f>'budget 2025-26'!F167</f>
        <v>0</v>
      </c>
      <c r="H19" s="49">
        <f>'budget 2025-26'!G167</f>
        <v>0</v>
      </c>
      <c r="I19" s="49">
        <f>'budget 2025-26'!H167</f>
        <v>0</v>
      </c>
      <c r="J19" s="49">
        <f>'budget 2025-26'!I167</f>
        <v>0</v>
      </c>
      <c r="K19" s="49">
        <f>'budget 2025-26'!J167</f>
        <v>0</v>
      </c>
      <c r="L19" s="49">
        <f>'budget 2025-26'!K167</f>
        <v>0</v>
      </c>
      <c r="M19" s="49">
        <f>'budget 2025-26'!L167</f>
        <v>0</v>
      </c>
      <c r="N19" s="49">
        <f>'budget 2025-26'!M167</f>
        <v>0</v>
      </c>
      <c r="O19" s="49">
        <f>'budget 2025-26'!N167</f>
        <v>0</v>
      </c>
      <c r="P19" s="49">
        <f>'budget 2025-26'!O167</f>
        <v>0</v>
      </c>
      <c r="Q19" s="5">
        <f>SUM(E19:P19)</f>
        <v>0</v>
      </c>
    </row>
    <row r="20" spans="3:17" x14ac:dyDescent="0.35">
      <c r="D20" s="3" t="s">
        <v>502</v>
      </c>
      <c r="E20" s="49">
        <f>'Input Actual2025-26'!E170</f>
        <v>0</v>
      </c>
      <c r="F20" s="49">
        <f>'Input Actual2025-26'!F170</f>
        <v>0</v>
      </c>
      <c r="G20" s="49">
        <f>'Input Actual2025-26'!G170</f>
        <v>0</v>
      </c>
      <c r="H20" s="49">
        <f>'Input Actual2025-26'!H170</f>
        <v>0</v>
      </c>
      <c r="I20" s="49">
        <f>'Input Actual2025-26'!I170</f>
        <v>0</v>
      </c>
      <c r="J20" s="49">
        <f>'Input Actual2025-26'!J170</f>
        <v>0</v>
      </c>
      <c r="K20" s="49">
        <f>'Input Actual2025-26'!K170</f>
        <v>0</v>
      </c>
      <c r="L20" s="49">
        <f>'Input Actual2025-26'!L170</f>
        <v>0</v>
      </c>
      <c r="M20" s="49">
        <f>'Input Actual2025-26'!M170</f>
        <v>0</v>
      </c>
      <c r="N20" s="49">
        <f>'Input Actual2025-26'!N170</f>
        <v>0</v>
      </c>
      <c r="O20" s="49">
        <f>'Input Actual2025-26'!O170</f>
        <v>0</v>
      </c>
      <c r="P20" s="49">
        <f>'Input Actual2025-26'!P170</f>
        <v>0</v>
      </c>
      <c r="Q20" s="5">
        <f t="shared" ref="Q20:Q22" si="0">SUM(E20:P20)</f>
        <v>0</v>
      </c>
    </row>
    <row r="21" spans="3:17" x14ac:dyDescent="0.35">
      <c r="D21" s="3" t="s">
        <v>424</v>
      </c>
      <c r="E21" s="49">
        <f>'Input Actual2024-25'!E157</f>
        <v>0</v>
      </c>
      <c r="F21" s="49">
        <f>'Input Actual2024-25'!F157</f>
        <v>0</v>
      </c>
      <c r="G21" s="49">
        <f>'Input Actual2024-25'!G157</f>
        <v>0</v>
      </c>
      <c r="H21" s="49">
        <f>'Input Actual2024-25'!H157</f>
        <v>0</v>
      </c>
      <c r="I21" s="49">
        <f>'Input Actual2024-25'!I157</f>
        <v>0</v>
      </c>
      <c r="J21" s="49">
        <f>'Input Actual2024-25'!J157</f>
        <v>0</v>
      </c>
      <c r="K21" s="49">
        <f>'Input Actual2024-25'!K157</f>
        <v>0</v>
      </c>
      <c r="L21" s="49">
        <f>'Input Actual2024-25'!L157</f>
        <v>0</v>
      </c>
      <c r="M21" s="49">
        <f>'Input Actual2024-25'!M157</f>
        <v>0</v>
      </c>
      <c r="N21" s="49">
        <f>'Input Actual2024-25'!N157</f>
        <v>0</v>
      </c>
      <c r="O21" s="49">
        <f>'Input Actual2024-25'!O157</f>
        <v>0</v>
      </c>
      <c r="P21" s="49">
        <f>'Input Actual2024-25'!P157</f>
        <v>0</v>
      </c>
      <c r="Q21" s="5">
        <f t="shared" si="0"/>
        <v>0</v>
      </c>
    </row>
    <row r="22" spans="3:17" x14ac:dyDescent="0.35">
      <c r="D22" s="3" t="s">
        <v>7</v>
      </c>
      <c r="E22" s="5">
        <f t="shared" ref="E22:P22" si="1">IF(E20=0,0,E20-E19)</f>
        <v>0</v>
      </c>
      <c r="F22" s="5">
        <f t="shared" si="1"/>
        <v>0</v>
      </c>
      <c r="G22" s="5">
        <f t="shared" si="1"/>
        <v>0</v>
      </c>
      <c r="H22" s="5">
        <f t="shared" si="1"/>
        <v>0</v>
      </c>
      <c r="I22" s="5">
        <f t="shared" si="1"/>
        <v>0</v>
      </c>
      <c r="J22" s="5">
        <f t="shared" si="1"/>
        <v>0</v>
      </c>
      <c r="K22" s="5">
        <f t="shared" si="1"/>
        <v>0</v>
      </c>
      <c r="L22" s="5">
        <f t="shared" si="1"/>
        <v>0</v>
      </c>
      <c r="M22" s="5">
        <f t="shared" si="1"/>
        <v>0</v>
      </c>
      <c r="N22" s="5">
        <f t="shared" si="1"/>
        <v>0</v>
      </c>
      <c r="O22" s="5">
        <f t="shared" si="1"/>
        <v>0</v>
      </c>
      <c r="P22" s="5">
        <f t="shared" si="1"/>
        <v>0</v>
      </c>
      <c r="Q22" s="5">
        <f t="shared" si="0"/>
        <v>0</v>
      </c>
    </row>
    <row r="23" spans="3:17" x14ac:dyDescent="0.35">
      <c r="D23" s="3" t="s">
        <v>43</v>
      </c>
      <c r="E23" s="9" t="e">
        <f>E21/E19</f>
        <v>#DIV/0!</v>
      </c>
      <c r="F23" s="9" t="e">
        <f t="shared" ref="F23:P23" si="2">F20/F19</f>
        <v>#DIV/0!</v>
      </c>
      <c r="G23" s="9" t="e">
        <f t="shared" si="2"/>
        <v>#DIV/0!</v>
      </c>
      <c r="H23" s="9" t="e">
        <f t="shared" si="2"/>
        <v>#DIV/0!</v>
      </c>
      <c r="I23" s="9" t="e">
        <f t="shared" si="2"/>
        <v>#DIV/0!</v>
      </c>
      <c r="J23" s="9" t="e">
        <f t="shared" si="2"/>
        <v>#DIV/0!</v>
      </c>
      <c r="K23" s="9" t="e">
        <f t="shared" si="2"/>
        <v>#DIV/0!</v>
      </c>
      <c r="L23" s="9" t="e">
        <f t="shared" si="2"/>
        <v>#DIV/0!</v>
      </c>
      <c r="M23" s="9" t="e">
        <f t="shared" si="2"/>
        <v>#DIV/0!</v>
      </c>
      <c r="N23" s="9" t="e">
        <f t="shared" si="2"/>
        <v>#DIV/0!</v>
      </c>
      <c r="O23" s="9" t="e">
        <f t="shared" si="2"/>
        <v>#DIV/0!</v>
      </c>
      <c r="P23" s="9" t="e">
        <f t="shared" si="2"/>
        <v>#DIV/0!</v>
      </c>
    </row>
    <row r="25" spans="3:17" x14ac:dyDescent="0.35">
      <c r="C25" s="7" t="s">
        <v>3</v>
      </c>
      <c r="E25" s="11">
        <f>E18</f>
        <v>45839</v>
      </c>
      <c r="F25" s="11">
        <f t="shared" ref="F25:P25" si="3">F18</f>
        <v>45870</v>
      </c>
      <c r="G25" s="11">
        <f t="shared" si="3"/>
        <v>45901</v>
      </c>
      <c r="H25" s="11">
        <f t="shared" si="3"/>
        <v>45931</v>
      </c>
      <c r="I25" s="11">
        <f t="shared" si="3"/>
        <v>45962</v>
      </c>
      <c r="J25" s="11">
        <f t="shared" si="3"/>
        <v>45992</v>
      </c>
      <c r="K25" s="11">
        <f t="shared" si="3"/>
        <v>46023</v>
      </c>
      <c r="L25" s="11">
        <f t="shared" si="3"/>
        <v>46054</v>
      </c>
      <c r="M25" s="11">
        <f t="shared" si="3"/>
        <v>46082</v>
      </c>
      <c r="N25" s="11">
        <f t="shared" si="3"/>
        <v>46113</v>
      </c>
      <c r="O25" s="11">
        <f t="shared" si="3"/>
        <v>46143</v>
      </c>
      <c r="P25" s="11">
        <f t="shared" si="3"/>
        <v>46174</v>
      </c>
    </row>
    <row r="26" spans="3:17" x14ac:dyDescent="0.35">
      <c r="D26" s="3" t="str">
        <f>D19</f>
        <v>Budget 2025-26</v>
      </c>
      <c r="E26" s="5">
        <f>SUM($E19:E19)</f>
        <v>0</v>
      </c>
      <c r="F26" s="5">
        <f>SUM($E19:F19)</f>
        <v>0</v>
      </c>
      <c r="G26" s="5">
        <f>SUM($E19:G19)</f>
        <v>0</v>
      </c>
      <c r="H26" s="5">
        <f>SUM($E19:H19)</f>
        <v>0</v>
      </c>
      <c r="I26" s="5">
        <f>SUM($E19:I19)</f>
        <v>0</v>
      </c>
      <c r="J26" s="5">
        <f>SUM($E19:J19)</f>
        <v>0</v>
      </c>
      <c r="K26" s="5">
        <f>SUM($E19:K19)</f>
        <v>0</v>
      </c>
      <c r="L26" s="5">
        <f>SUM($E19:L19)</f>
        <v>0</v>
      </c>
      <c r="M26" s="5">
        <f>SUM($E19:M19)</f>
        <v>0</v>
      </c>
      <c r="N26" s="5">
        <f>SUM($E19:N19)</f>
        <v>0</v>
      </c>
      <c r="O26" s="5">
        <f>SUM($E19:O19)</f>
        <v>0</v>
      </c>
      <c r="P26" s="5">
        <f>SUM($E19:P19)</f>
        <v>0</v>
      </c>
    </row>
    <row r="27" spans="3:17" x14ac:dyDescent="0.35">
      <c r="D27" s="3" t="str">
        <f t="shared" ref="D27:D30" si="4">D20</f>
        <v>Actual 2025-26</v>
      </c>
      <c r="E27" s="5">
        <f>SUM($E20:E20)</f>
        <v>0</v>
      </c>
      <c r="F27" s="5">
        <f>SUM($E20:F20)</f>
        <v>0</v>
      </c>
      <c r="G27" s="5">
        <f>SUM($E20:G20)</f>
        <v>0</v>
      </c>
      <c r="H27" s="5">
        <f>SUM($E20:H20)</f>
        <v>0</v>
      </c>
      <c r="I27" s="5">
        <f>SUM($E20:I20)</f>
        <v>0</v>
      </c>
      <c r="J27" s="5">
        <f>SUM($E20:J20)</f>
        <v>0</v>
      </c>
      <c r="K27" s="5">
        <f>SUM($E20:K20)</f>
        <v>0</v>
      </c>
      <c r="L27" s="5">
        <f>SUM($E20:L20)</f>
        <v>0</v>
      </c>
      <c r="M27" s="5">
        <f>SUM($E20:M20)</f>
        <v>0</v>
      </c>
      <c r="N27" s="5">
        <f>SUM($E20:N20)</f>
        <v>0</v>
      </c>
      <c r="O27" s="5">
        <f>SUM($E20:O20)</f>
        <v>0</v>
      </c>
      <c r="P27" s="5">
        <f>SUM($E20:P20)</f>
        <v>0</v>
      </c>
    </row>
    <row r="28" spans="3:17" x14ac:dyDescent="0.35">
      <c r="D28" s="3" t="str">
        <f t="shared" si="4"/>
        <v>Actual 2024-25</v>
      </c>
      <c r="E28" s="5">
        <f>SUM($E21:E21)</f>
        <v>0</v>
      </c>
      <c r="F28" s="5">
        <f>SUM($E21:F21)</f>
        <v>0</v>
      </c>
      <c r="G28" s="5">
        <f>SUM($E21:G21)</f>
        <v>0</v>
      </c>
      <c r="H28" s="5">
        <f>SUM($E21:H21)</f>
        <v>0</v>
      </c>
      <c r="I28" s="5">
        <f>SUM($E21:I21)</f>
        <v>0</v>
      </c>
      <c r="J28" s="5">
        <f>SUM($E21:J21)</f>
        <v>0</v>
      </c>
      <c r="K28" s="5">
        <f>SUM($E21:K21)</f>
        <v>0</v>
      </c>
      <c r="L28" s="5">
        <f>SUM($E21:L21)</f>
        <v>0</v>
      </c>
      <c r="M28" s="5">
        <f>SUM($E21:M21)</f>
        <v>0</v>
      </c>
      <c r="N28" s="5">
        <f>SUM($E21:N21)</f>
        <v>0</v>
      </c>
      <c r="O28" s="5">
        <f>SUM($E21:O21)</f>
        <v>0</v>
      </c>
      <c r="P28" s="5">
        <f>SUM($E21:P21)</f>
        <v>0</v>
      </c>
    </row>
    <row r="29" spans="3:17" x14ac:dyDescent="0.35">
      <c r="D29" s="3" t="str">
        <f t="shared" si="4"/>
        <v>Difference</v>
      </c>
      <c r="E29" s="5">
        <f>SUM($E22:E22)</f>
        <v>0</v>
      </c>
      <c r="F29" s="5">
        <f>SUM($E22:F22)</f>
        <v>0</v>
      </c>
      <c r="G29" s="5">
        <f>SUM($E22:G22)</f>
        <v>0</v>
      </c>
      <c r="H29" s="5">
        <f>SUM($E22:H22)</f>
        <v>0</v>
      </c>
      <c r="I29" s="5">
        <f>SUM($E22:I22)</f>
        <v>0</v>
      </c>
      <c r="J29" s="5">
        <f>SUM($E22:J22)</f>
        <v>0</v>
      </c>
      <c r="K29" s="5">
        <f>SUM($E22:K22)</f>
        <v>0</v>
      </c>
      <c r="L29" s="5">
        <f>SUM($E22:L22)</f>
        <v>0</v>
      </c>
      <c r="M29" s="5">
        <f>SUM($E22:M22)</f>
        <v>0</v>
      </c>
      <c r="N29" s="5">
        <f>SUM($E22:N22)</f>
        <v>0</v>
      </c>
      <c r="O29" s="5">
        <f>SUM($E22:O22)</f>
        <v>0</v>
      </c>
      <c r="P29" s="5">
        <f>SUM($E22:P22)</f>
        <v>0</v>
      </c>
    </row>
    <row r="30" spans="3:17" x14ac:dyDescent="0.35">
      <c r="D30" s="3" t="str">
        <f t="shared" si="4"/>
        <v>Realisation</v>
      </c>
      <c r="E30" s="9" t="e">
        <f>E28/E26</f>
        <v>#DIV/0!</v>
      </c>
      <c r="F30" s="9" t="e">
        <f t="shared" ref="F30:P30" si="5">F27/F26</f>
        <v>#DIV/0!</v>
      </c>
      <c r="G30" s="9" t="e">
        <f t="shared" si="5"/>
        <v>#DIV/0!</v>
      </c>
      <c r="H30" s="9" t="e">
        <f t="shared" si="5"/>
        <v>#DIV/0!</v>
      </c>
      <c r="I30" s="9" t="e">
        <f t="shared" si="5"/>
        <v>#DIV/0!</v>
      </c>
      <c r="J30" s="9" t="e">
        <f t="shared" si="5"/>
        <v>#DIV/0!</v>
      </c>
      <c r="K30" s="9" t="e">
        <f t="shared" si="5"/>
        <v>#DIV/0!</v>
      </c>
      <c r="L30" s="9" t="e">
        <f t="shared" si="5"/>
        <v>#DIV/0!</v>
      </c>
      <c r="M30" s="9" t="e">
        <f t="shared" si="5"/>
        <v>#DIV/0!</v>
      </c>
      <c r="N30" s="9" t="e">
        <f t="shared" si="5"/>
        <v>#DIV/0!</v>
      </c>
      <c r="O30" s="9" t="e">
        <f t="shared" si="5"/>
        <v>#DIV/0!</v>
      </c>
      <c r="P30" s="9" t="e">
        <f t="shared" si="5"/>
        <v>#DIV/0!</v>
      </c>
    </row>
  </sheetData>
  <mergeCells count="2">
    <mergeCell ref="J4:Q8"/>
    <mergeCell ref="J10:Q15"/>
  </mergeCells>
  <conditionalFormatting sqref="C3">
    <cfRule type="expression" dxfId="116" priority="2">
      <formula>S4&lt;S6</formula>
    </cfRule>
  </conditionalFormatting>
  <conditionalFormatting sqref="C5">
    <cfRule type="expression" dxfId="115" priority="3">
      <formula>S4&gt;=S5</formula>
    </cfRule>
  </conditionalFormatting>
  <conditionalFormatting sqref="C4">
    <cfRule type="expression" dxfId="114" priority="1">
      <formula>AND(S4&gt;=S6,S4&lt;S5)</formula>
    </cfRule>
  </conditionalFormatting>
  <hyperlinks>
    <hyperlink ref="L1" location="Dashboard!A1" display="Dashboard"/>
  </hyperlinks>
  <pageMargins left="0.7" right="0.7" top="0.75" bottom="0.75" header="0.3" footer="0.3"/>
  <pageSetup orientation="portrait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62913" r:id="rId4" name="Spinner 1">
              <controlPr defaultSize="0" autoPict="0">
                <anchor moveWithCells="1" sizeWithCells="1">
                  <from>
                    <xdr:col>9</xdr:col>
                    <xdr:colOff>19050</xdr:colOff>
                    <xdr:row>0</xdr:row>
                    <xdr:rowOff>38100</xdr:rowOff>
                  </from>
                  <to>
                    <xdr:col>9</xdr:col>
                    <xdr:colOff>400050</xdr:colOff>
                    <xdr:row>1</xdr:row>
                    <xdr:rowOff>152400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16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127">
    <tabColor rgb="FFFFC000"/>
  </sheetPr>
  <dimension ref="A1:S30"/>
  <sheetViews>
    <sheetView zoomScale="90" zoomScaleNormal="90" workbookViewId="0">
      <selection activeCell="L1" sqref="L1"/>
    </sheetView>
  </sheetViews>
  <sheetFormatPr defaultColWidth="9.1796875" defaultRowHeight="14.5" x14ac:dyDescent="0.35"/>
  <cols>
    <col min="1" max="1" width="9.1796875" style="3"/>
    <col min="2" max="2" width="5.7265625" style="3" bestFit="1" customWidth="1"/>
    <col min="3" max="3" width="6.26953125" style="3" customWidth="1"/>
    <col min="4" max="4" width="21.26953125" style="3" bestFit="1" customWidth="1"/>
    <col min="5" max="16" width="11.1796875" style="3" customWidth="1"/>
    <col min="17" max="17" width="12" style="3" bestFit="1" customWidth="1"/>
    <col min="18" max="18" width="9.1796875" style="3" customWidth="1"/>
    <col min="19" max="16384" width="9.1796875" style="3"/>
  </cols>
  <sheetData>
    <row r="1" spans="1:19" ht="21" x14ac:dyDescent="0.5">
      <c r="A1" s="4" t="s">
        <v>4</v>
      </c>
      <c r="B1" s="4">
        <f>Dashboard!A181</f>
        <v>1</v>
      </c>
      <c r="C1" s="4" t="str">
        <f>Dashboard!B181</f>
        <v>KAYOLE- SEWER(KES)</v>
      </c>
      <c r="D1" s="4"/>
      <c r="G1" s="3" t="s">
        <v>9</v>
      </c>
      <c r="I1" s="12">
        <f>INDEX($E$18:$P$18,Actual_month)</f>
        <v>46054</v>
      </c>
      <c r="L1" s="16" t="s">
        <v>19</v>
      </c>
      <c r="R1" s="5"/>
    </row>
    <row r="2" spans="1:19" x14ac:dyDescent="0.35">
      <c r="A2" s="3" t="s">
        <v>13</v>
      </c>
      <c r="C2" s="3" t="s">
        <v>27</v>
      </c>
      <c r="R2" s="6"/>
    </row>
    <row r="3" spans="1:19" ht="25.5" customHeight="1" thickBot="1" x14ac:dyDescent="0.4">
      <c r="C3" s="1" t="s">
        <v>5</v>
      </c>
      <c r="E3" s="10"/>
      <c r="F3" s="10"/>
      <c r="G3" s="10"/>
      <c r="H3" s="10"/>
      <c r="I3" s="10"/>
      <c r="J3" s="3" t="s">
        <v>6</v>
      </c>
      <c r="K3" s="10"/>
      <c r="M3" s="10"/>
      <c r="N3" s="10"/>
      <c r="O3" s="10"/>
      <c r="P3" s="10"/>
    </row>
    <row r="4" spans="1:19" ht="25.5" customHeight="1" x14ac:dyDescent="0.35">
      <c r="C4" s="1" t="s">
        <v>5</v>
      </c>
      <c r="E4" s="10"/>
      <c r="F4" s="10"/>
      <c r="G4" s="10"/>
      <c r="H4" s="10"/>
      <c r="I4" s="10"/>
      <c r="J4" s="401"/>
      <c r="K4" s="402"/>
      <c r="L4" s="402"/>
      <c r="M4" s="402"/>
      <c r="N4" s="402"/>
      <c r="O4" s="402"/>
      <c r="P4" s="402"/>
      <c r="Q4" s="403"/>
      <c r="R4" s="3" t="s">
        <v>22</v>
      </c>
      <c r="S4" s="5">
        <f>INDEX(E27:P27,Actual_month)</f>
        <v>975250</v>
      </c>
    </row>
    <row r="5" spans="1:19" ht="25.5" customHeight="1" x14ac:dyDescent="0.35">
      <c r="C5" s="1" t="s">
        <v>5</v>
      </c>
      <c r="E5" s="10"/>
      <c r="F5" s="10"/>
      <c r="G5" s="10"/>
      <c r="H5" s="10"/>
      <c r="I5" s="10"/>
      <c r="J5" s="404"/>
      <c r="K5" s="405"/>
      <c r="L5" s="405"/>
      <c r="M5" s="405"/>
      <c r="N5" s="405"/>
      <c r="O5" s="405"/>
      <c r="P5" s="405"/>
      <c r="Q5" s="406"/>
      <c r="R5" s="3" t="s">
        <v>23</v>
      </c>
      <c r="S5" s="5">
        <f>INDEX(E26:P26,Actual_month)</f>
        <v>798955.66851744661</v>
      </c>
    </row>
    <row r="6" spans="1:19" x14ac:dyDescent="0.35">
      <c r="J6" s="404"/>
      <c r="K6" s="405"/>
      <c r="L6" s="405"/>
      <c r="M6" s="405"/>
      <c r="N6" s="405"/>
      <c r="O6" s="405"/>
      <c r="P6" s="405"/>
      <c r="Q6" s="406"/>
      <c r="R6" s="6">
        <v>0.9</v>
      </c>
      <c r="S6" s="5">
        <f>+S5*R6</f>
        <v>719060.10166570195</v>
      </c>
    </row>
    <row r="7" spans="1:19" x14ac:dyDescent="0.35">
      <c r="J7" s="404"/>
      <c r="K7" s="405"/>
      <c r="L7" s="405"/>
      <c r="M7" s="405"/>
      <c r="N7" s="405"/>
      <c r="O7" s="405"/>
      <c r="P7" s="405"/>
      <c r="Q7" s="406"/>
    </row>
    <row r="8" spans="1:19" ht="15" thickBot="1" x14ac:dyDescent="0.4">
      <c r="J8" s="407"/>
      <c r="K8" s="408"/>
      <c r="L8" s="408"/>
      <c r="M8" s="408"/>
      <c r="N8" s="408"/>
      <c r="O8" s="408"/>
      <c r="P8" s="408"/>
      <c r="Q8" s="409"/>
    </row>
    <row r="9" spans="1:19" ht="15" thickBot="1" x14ac:dyDescent="0.4">
      <c r="J9" s="3" t="s">
        <v>12</v>
      </c>
    </row>
    <row r="10" spans="1:19" x14ac:dyDescent="0.35">
      <c r="J10" s="401"/>
      <c r="K10" s="402"/>
      <c r="L10" s="402"/>
      <c r="M10" s="402"/>
      <c r="N10" s="402"/>
      <c r="O10" s="402"/>
      <c r="P10" s="402"/>
      <c r="Q10" s="403"/>
    </row>
    <row r="11" spans="1:19" x14ac:dyDescent="0.35">
      <c r="J11" s="404"/>
      <c r="K11" s="405"/>
      <c r="L11" s="405"/>
      <c r="M11" s="405"/>
      <c r="N11" s="405"/>
      <c r="O11" s="405"/>
      <c r="P11" s="405"/>
      <c r="Q11" s="406"/>
    </row>
    <row r="12" spans="1:19" x14ac:dyDescent="0.35">
      <c r="J12" s="404"/>
      <c r="K12" s="405"/>
      <c r="L12" s="405"/>
      <c r="M12" s="405"/>
      <c r="N12" s="405"/>
      <c r="O12" s="405"/>
      <c r="P12" s="405"/>
      <c r="Q12" s="406"/>
    </row>
    <row r="13" spans="1:19" x14ac:dyDescent="0.35">
      <c r="J13" s="404"/>
      <c r="K13" s="405"/>
      <c r="L13" s="405"/>
      <c r="M13" s="405"/>
      <c r="N13" s="405"/>
      <c r="O13" s="405"/>
      <c r="P13" s="405"/>
      <c r="Q13" s="406"/>
    </row>
    <row r="14" spans="1:19" x14ac:dyDescent="0.35">
      <c r="J14" s="404"/>
      <c r="K14" s="405"/>
      <c r="L14" s="405"/>
      <c r="M14" s="405"/>
      <c r="N14" s="405"/>
      <c r="O14" s="405"/>
      <c r="P14" s="405"/>
      <c r="Q14" s="406"/>
    </row>
    <row r="15" spans="1:19" ht="15" thickBot="1" x14ac:dyDescent="0.4">
      <c r="J15" s="407"/>
      <c r="K15" s="408"/>
      <c r="L15" s="408"/>
      <c r="M15" s="408"/>
      <c r="N15" s="408"/>
      <c r="O15" s="408"/>
      <c r="P15" s="408"/>
      <c r="Q15" s="409"/>
    </row>
    <row r="18" spans="3:17" x14ac:dyDescent="0.35">
      <c r="C18" s="7" t="s">
        <v>8</v>
      </c>
      <c r="E18" s="11">
        <v>45839</v>
      </c>
      <c r="F18" s="11">
        <v>45870</v>
      </c>
      <c r="G18" s="11">
        <v>45901</v>
      </c>
      <c r="H18" s="11">
        <v>45931</v>
      </c>
      <c r="I18" s="11">
        <v>45962</v>
      </c>
      <c r="J18" s="11">
        <v>45992</v>
      </c>
      <c r="K18" s="11">
        <v>46023</v>
      </c>
      <c r="L18" s="11">
        <v>46054</v>
      </c>
      <c r="M18" s="11">
        <v>46082</v>
      </c>
      <c r="N18" s="11">
        <v>46113</v>
      </c>
      <c r="O18" s="11">
        <v>46143</v>
      </c>
      <c r="P18" s="11">
        <v>46174</v>
      </c>
      <c r="Q18" s="8" t="s">
        <v>0</v>
      </c>
    </row>
    <row r="19" spans="3:17" x14ac:dyDescent="0.35">
      <c r="D19" s="3" t="s">
        <v>501</v>
      </c>
      <c r="E19" s="49">
        <f>'budget 2025-26'!D170</f>
        <v>96809.505999981353</v>
      </c>
      <c r="F19" s="49">
        <f>'budget 2025-26'!E170</f>
        <v>97684.242144150659</v>
      </c>
      <c r="G19" s="49">
        <f>'budget 2025-26'!F170</f>
        <v>98558.741921406414</v>
      </c>
      <c r="H19" s="49">
        <f>'budget 2025-26'!G170</f>
        <v>99433.008888245269</v>
      </c>
      <c r="I19" s="49">
        <f>'budget 2025-26'!H170</f>
        <v>100307.04653016933</v>
      </c>
      <c r="J19" s="49">
        <f>'budget 2025-26'!I170</f>
        <v>101180.85826344904</v>
      </c>
      <c r="K19" s="49">
        <f>'budget 2025-26'!J170</f>
        <v>102054.44743683365</v>
      </c>
      <c r="L19" s="49">
        <f>'budget 2025-26'!K170</f>
        <v>102927.8173332109</v>
      </c>
      <c r="M19" s="49">
        <f>'budget 2025-26'!L170</f>
        <v>103800.97117121863</v>
      </c>
      <c r="N19" s="49">
        <f>'budget 2025-26'!M170</f>
        <v>104673.91210680854</v>
      </c>
      <c r="O19" s="49">
        <f>'budget 2025-26'!N170</f>
        <v>105546.64323476522</v>
      </c>
      <c r="P19" s="49">
        <f>'budget 2025-26'!O170</f>
        <v>106419.1675901808</v>
      </c>
      <c r="Q19" s="5">
        <f>SUM(E19:P19)</f>
        <v>1219396.3626204198</v>
      </c>
    </row>
    <row r="20" spans="3:17" x14ac:dyDescent="0.35">
      <c r="D20" s="3" t="s">
        <v>502</v>
      </c>
      <c r="E20" s="49">
        <f>'Input Actual2025-26'!E173</f>
        <v>142375</v>
      </c>
      <c r="F20" s="49">
        <f>'Input Actual2025-26'!F173</f>
        <v>128227.5</v>
      </c>
      <c r="G20" s="49">
        <f>'Input Actual2025-26'!G173</f>
        <v>111505</v>
      </c>
      <c r="H20" s="49">
        <f>'Input Actual2025-26'!H173</f>
        <v>110110</v>
      </c>
      <c r="I20" s="49">
        <f>'Input Actual2025-26'!I173</f>
        <v>99255</v>
      </c>
      <c r="J20" s="49">
        <f>'Input Actual2025-26'!J173</f>
        <v>117272.5</v>
      </c>
      <c r="K20" s="49">
        <f>'Input Actual2025-26'!K173</f>
        <v>133717.5</v>
      </c>
      <c r="L20" s="49">
        <f>'Input Actual2025-26'!L173</f>
        <v>132787.5</v>
      </c>
      <c r="M20" s="49">
        <f>'Input Actual2025-26'!M173</f>
        <v>0</v>
      </c>
      <c r="N20" s="49">
        <f>'Input Actual2025-26'!N173</f>
        <v>0</v>
      </c>
      <c r="O20" s="49">
        <f>'Input Actual2025-26'!O173</f>
        <v>0</v>
      </c>
      <c r="P20" s="49">
        <f>'Input Actual2025-26'!P173</f>
        <v>0</v>
      </c>
      <c r="Q20" s="5">
        <f t="shared" ref="Q20:Q22" si="0">SUM(E20:P20)</f>
        <v>975250</v>
      </c>
    </row>
    <row r="21" spans="3:17" x14ac:dyDescent="0.35">
      <c r="D21" s="3" t="s">
        <v>424</v>
      </c>
      <c r="E21" s="49">
        <f>'Input Actual2024-25'!E160</f>
        <v>52477.5</v>
      </c>
      <c r="F21" s="49">
        <f>'Input Actual2024-25'!F160</f>
        <v>64442.5</v>
      </c>
      <c r="G21" s="49">
        <f>'Input Actual2024-25'!G160</f>
        <v>60608.25</v>
      </c>
      <c r="H21" s="49">
        <f>'Input Actual2024-25'!H160</f>
        <v>59066.5</v>
      </c>
      <c r="I21" s="49">
        <f>'Input Actual2024-25'!I160</f>
        <v>69893.5</v>
      </c>
      <c r="J21" s="49">
        <f>'Input Actual2024-25'!J160</f>
        <v>49893.5</v>
      </c>
      <c r="K21" s="49">
        <f>'Input Actual2024-25'!K160</f>
        <v>68763.5</v>
      </c>
      <c r="L21" s="49">
        <f>'Input Actual2024-25'!L160</f>
        <v>74154.25</v>
      </c>
      <c r="M21" s="49">
        <f>'Input Actual2024-25'!M160</f>
        <v>78705.5</v>
      </c>
      <c r="N21" s="49">
        <f>'Input Actual2024-25'!N160</f>
        <v>75535.25</v>
      </c>
      <c r="O21" s="49">
        <f>'Input Actual2024-25'!O160</f>
        <v>110252.5</v>
      </c>
      <c r="P21" s="49">
        <f>'Input Actual2024-25'!P160</f>
        <v>110152.5</v>
      </c>
      <c r="Q21" s="5">
        <f t="shared" si="0"/>
        <v>873945.25</v>
      </c>
    </row>
    <row r="22" spans="3:17" x14ac:dyDescent="0.35">
      <c r="D22" s="3" t="s">
        <v>7</v>
      </c>
      <c r="E22" s="5">
        <f t="shared" ref="E22:P22" si="1">IF(E20=0,0,E20-E19)</f>
        <v>45565.494000018647</v>
      </c>
      <c r="F22" s="5">
        <f t="shared" si="1"/>
        <v>30543.257855849341</v>
      </c>
      <c r="G22" s="5">
        <f t="shared" si="1"/>
        <v>12946.258078593586</v>
      </c>
      <c r="H22" s="5">
        <f t="shared" si="1"/>
        <v>10676.991111754731</v>
      </c>
      <c r="I22" s="5">
        <f t="shared" si="1"/>
        <v>-1052.046530169333</v>
      </c>
      <c r="J22" s="5">
        <f t="shared" si="1"/>
        <v>16091.641736550955</v>
      </c>
      <c r="K22" s="5">
        <f t="shared" si="1"/>
        <v>31663.052563166348</v>
      </c>
      <c r="L22" s="5">
        <f t="shared" si="1"/>
        <v>29859.6826667891</v>
      </c>
      <c r="M22" s="5">
        <f t="shared" si="1"/>
        <v>0</v>
      </c>
      <c r="N22" s="5">
        <f t="shared" si="1"/>
        <v>0</v>
      </c>
      <c r="O22" s="5">
        <f t="shared" si="1"/>
        <v>0</v>
      </c>
      <c r="P22" s="5">
        <f t="shared" si="1"/>
        <v>0</v>
      </c>
      <c r="Q22" s="5">
        <f t="shared" si="0"/>
        <v>176294.33148255339</v>
      </c>
    </row>
    <row r="23" spans="3:17" x14ac:dyDescent="0.35">
      <c r="D23" s="3" t="s">
        <v>43</v>
      </c>
      <c r="E23" s="9">
        <f>E21/E19</f>
        <v>0.54206970129576026</v>
      </c>
      <c r="F23" s="9">
        <f t="shared" ref="F23:P23" si="2">F20/F19</f>
        <v>1.3126733358976903</v>
      </c>
      <c r="G23" s="9">
        <f t="shared" si="2"/>
        <v>1.1313557562343612</v>
      </c>
      <c r="H23" s="9">
        <f t="shared" si="2"/>
        <v>1.1073787390237262</v>
      </c>
      <c r="I23" s="9">
        <f t="shared" si="2"/>
        <v>0.98951173854119101</v>
      </c>
      <c r="J23" s="9">
        <f t="shared" si="2"/>
        <v>1.1590383992854898</v>
      </c>
      <c r="K23" s="9">
        <f t="shared" si="2"/>
        <v>1.3102564695454759</v>
      </c>
      <c r="L23" s="9">
        <f t="shared" si="2"/>
        <v>1.2901031367460516</v>
      </c>
      <c r="M23" s="9">
        <f t="shared" si="2"/>
        <v>0</v>
      </c>
      <c r="N23" s="9">
        <f t="shared" si="2"/>
        <v>0</v>
      </c>
      <c r="O23" s="9">
        <f t="shared" si="2"/>
        <v>0</v>
      </c>
      <c r="P23" s="9">
        <f t="shared" si="2"/>
        <v>0</v>
      </c>
    </row>
    <row r="25" spans="3:17" x14ac:dyDescent="0.35">
      <c r="C25" s="7" t="s">
        <v>3</v>
      </c>
      <c r="E25" s="11">
        <f>E18</f>
        <v>45839</v>
      </c>
      <c r="F25" s="11">
        <f t="shared" ref="F25:P25" si="3">F18</f>
        <v>45870</v>
      </c>
      <c r="G25" s="11">
        <f t="shared" si="3"/>
        <v>45901</v>
      </c>
      <c r="H25" s="11">
        <f t="shared" si="3"/>
        <v>45931</v>
      </c>
      <c r="I25" s="11">
        <f t="shared" si="3"/>
        <v>45962</v>
      </c>
      <c r="J25" s="11">
        <f t="shared" si="3"/>
        <v>45992</v>
      </c>
      <c r="K25" s="11">
        <f t="shared" si="3"/>
        <v>46023</v>
      </c>
      <c r="L25" s="11">
        <f t="shared" si="3"/>
        <v>46054</v>
      </c>
      <c r="M25" s="11">
        <f t="shared" si="3"/>
        <v>46082</v>
      </c>
      <c r="N25" s="11">
        <f t="shared" si="3"/>
        <v>46113</v>
      </c>
      <c r="O25" s="11">
        <f t="shared" si="3"/>
        <v>46143</v>
      </c>
      <c r="P25" s="11">
        <f t="shared" si="3"/>
        <v>46174</v>
      </c>
    </row>
    <row r="26" spans="3:17" x14ac:dyDescent="0.35">
      <c r="D26" s="3" t="str">
        <f>D19</f>
        <v>Budget 2025-26</v>
      </c>
      <c r="E26" s="5">
        <f>SUM($E19:E19)</f>
        <v>96809.505999981353</v>
      </c>
      <c r="F26" s="5">
        <f>SUM($E19:F19)</f>
        <v>194493.74814413203</v>
      </c>
      <c r="G26" s="5">
        <f>SUM($E19:G19)</f>
        <v>293052.49006553844</v>
      </c>
      <c r="H26" s="5">
        <f>SUM($E19:H19)</f>
        <v>392485.49895378371</v>
      </c>
      <c r="I26" s="5">
        <f>SUM($E19:I19)</f>
        <v>492792.54548395303</v>
      </c>
      <c r="J26" s="5">
        <f>SUM($E19:J19)</f>
        <v>593973.40374740213</v>
      </c>
      <c r="K26" s="5">
        <f>SUM($E19:K19)</f>
        <v>696027.85118423577</v>
      </c>
      <c r="L26" s="5">
        <f>SUM($E19:L19)</f>
        <v>798955.66851744661</v>
      </c>
      <c r="M26" s="5">
        <f>SUM($E19:M19)</f>
        <v>902756.63968866528</v>
      </c>
      <c r="N26" s="5">
        <f>SUM($E19:N19)</f>
        <v>1007430.5517954738</v>
      </c>
      <c r="O26" s="5">
        <f>SUM($E19:O19)</f>
        <v>1112977.1950302389</v>
      </c>
      <c r="P26" s="5">
        <f>SUM($E19:P19)</f>
        <v>1219396.3626204198</v>
      </c>
    </row>
    <row r="27" spans="3:17" x14ac:dyDescent="0.35">
      <c r="D27" s="3" t="str">
        <f t="shared" ref="D27:D30" si="4">D20</f>
        <v>Actual 2025-26</v>
      </c>
      <c r="E27" s="5">
        <f>SUM($E20:E20)</f>
        <v>142375</v>
      </c>
      <c r="F27" s="5">
        <f>SUM($E20:F20)</f>
        <v>270602.5</v>
      </c>
      <c r="G27" s="5">
        <f>SUM($E20:G20)</f>
        <v>382107.5</v>
      </c>
      <c r="H27" s="5">
        <f>SUM($E20:H20)</f>
        <v>492217.5</v>
      </c>
      <c r="I27" s="5">
        <f>SUM($E20:I20)</f>
        <v>591472.5</v>
      </c>
      <c r="J27" s="5">
        <f>SUM($E20:J20)</f>
        <v>708745</v>
      </c>
      <c r="K27" s="5">
        <f>SUM($E20:K20)</f>
        <v>842462.5</v>
      </c>
      <c r="L27" s="5">
        <f>SUM($E20:L20)</f>
        <v>975250</v>
      </c>
      <c r="M27" s="5">
        <f>SUM($E20:M20)</f>
        <v>975250</v>
      </c>
      <c r="N27" s="5">
        <f>SUM($E20:N20)</f>
        <v>975250</v>
      </c>
      <c r="O27" s="5">
        <f>SUM($E20:O20)</f>
        <v>975250</v>
      </c>
      <c r="P27" s="5">
        <f>SUM($E20:P20)</f>
        <v>975250</v>
      </c>
    </row>
    <row r="28" spans="3:17" x14ac:dyDescent="0.35">
      <c r="D28" s="3" t="str">
        <f t="shared" si="4"/>
        <v>Actual 2024-25</v>
      </c>
      <c r="E28" s="5">
        <f>SUM($E21:E21)</f>
        <v>52477.5</v>
      </c>
      <c r="F28" s="5">
        <f>SUM($E21:F21)</f>
        <v>116920</v>
      </c>
      <c r="G28" s="5">
        <f>SUM($E21:G21)</f>
        <v>177528.25</v>
      </c>
      <c r="H28" s="5">
        <f>SUM($E21:H21)</f>
        <v>236594.75</v>
      </c>
      <c r="I28" s="5">
        <f>SUM($E21:I21)</f>
        <v>306488.25</v>
      </c>
      <c r="J28" s="5">
        <f>SUM($E21:J21)</f>
        <v>356381.75</v>
      </c>
      <c r="K28" s="5">
        <f>SUM($E21:K21)</f>
        <v>425145.25</v>
      </c>
      <c r="L28" s="5">
        <f>SUM($E21:L21)</f>
        <v>499299.5</v>
      </c>
      <c r="M28" s="5">
        <f>SUM($E21:M21)</f>
        <v>578005</v>
      </c>
      <c r="N28" s="5">
        <f>SUM($E21:N21)</f>
        <v>653540.25</v>
      </c>
      <c r="O28" s="5">
        <f>SUM($E21:O21)</f>
        <v>763792.75</v>
      </c>
      <c r="P28" s="5">
        <f>SUM($E21:P21)</f>
        <v>873945.25</v>
      </c>
    </row>
    <row r="29" spans="3:17" x14ac:dyDescent="0.35">
      <c r="D29" s="3" t="str">
        <f t="shared" si="4"/>
        <v>Difference</v>
      </c>
      <c r="E29" s="5">
        <f>SUM($E22:E22)</f>
        <v>45565.494000018647</v>
      </c>
      <c r="F29" s="5">
        <f>SUM($E22:F22)</f>
        <v>76108.751855867988</v>
      </c>
      <c r="G29" s="5">
        <f>SUM($E22:G22)</f>
        <v>89055.009934461574</v>
      </c>
      <c r="H29" s="5">
        <f>SUM($E22:H22)</f>
        <v>99732.001046216305</v>
      </c>
      <c r="I29" s="5">
        <f>SUM($E22:I22)</f>
        <v>98679.954516046972</v>
      </c>
      <c r="J29" s="5">
        <f>SUM($E22:J22)</f>
        <v>114771.59625259793</v>
      </c>
      <c r="K29" s="5">
        <f>SUM($E22:K22)</f>
        <v>146434.64881576429</v>
      </c>
      <c r="L29" s="5">
        <f>SUM($E22:L22)</f>
        <v>176294.33148255339</v>
      </c>
      <c r="M29" s="5">
        <f>SUM($E22:M22)</f>
        <v>176294.33148255339</v>
      </c>
      <c r="N29" s="5">
        <f>SUM($E22:N22)</f>
        <v>176294.33148255339</v>
      </c>
      <c r="O29" s="5">
        <f>SUM($E22:O22)</f>
        <v>176294.33148255339</v>
      </c>
      <c r="P29" s="5">
        <f>SUM($E22:P22)</f>
        <v>176294.33148255339</v>
      </c>
    </row>
    <row r="30" spans="3:17" x14ac:dyDescent="0.35">
      <c r="D30" s="3" t="str">
        <f t="shared" si="4"/>
        <v>Realisation</v>
      </c>
      <c r="E30" s="9">
        <f>E28/E26</f>
        <v>0.54206970129576026</v>
      </c>
      <c r="F30" s="9">
        <f t="shared" ref="F30:P30" si="5">F27/F26</f>
        <v>1.391317214985577</v>
      </c>
      <c r="G30" s="9">
        <f t="shared" si="5"/>
        <v>1.3038875728868411</v>
      </c>
      <c r="H30" s="9">
        <f t="shared" si="5"/>
        <v>1.2541036581276599</v>
      </c>
      <c r="I30" s="9">
        <f t="shared" si="5"/>
        <v>1.2002464432962092</v>
      </c>
      <c r="J30" s="9">
        <f t="shared" si="5"/>
        <v>1.1932268272089277</v>
      </c>
      <c r="K30" s="9">
        <f t="shared" si="5"/>
        <v>1.2103861915390561</v>
      </c>
      <c r="L30" s="9">
        <f t="shared" si="5"/>
        <v>1.2206559618128596</v>
      </c>
      <c r="M30" s="9">
        <f t="shared" si="5"/>
        <v>1.0803022178118076</v>
      </c>
      <c r="N30" s="9">
        <f t="shared" si="5"/>
        <v>0.96805680377856262</v>
      </c>
      <c r="O30" s="9">
        <f t="shared" si="5"/>
        <v>0.87625335393642367</v>
      </c>
      <c r="P30" s="9">
        <f t="shared" si="5"/>
        <v>0.79978096531650966</v>
      </c>
    </row>
  </sheetData>
  <mergeCells count="2">
    <mergeCell ref="J4:Q8"/>
    <mergeCell ref="J10:Q15"/>
  </mergeCells>
  <conditionalFormatting sqref="C3">
    <cfRule type="expression" dxfId="113" priority="2">
      <formula>S4&lt;S6</formula>
    </cfRule>
  </conditionalFormatting>
  <conditionalFormatting sqref="C5">
    <cfRule type="expression" dxfId="112" priority="3">
      <formula>S4&gt;=S5</formula>
    </cfRule>
  </conditionalFormatting>
  <conditionalFormatting sqref="C4">
    <cfRule type="expression" dxfId="111" priority="1">
      <formula>AND(S4&gt;=S6,S4&lt;S5)</formula>
    </cfRule>
  </conditionalFormatting>
  <hyperlinks>
    <hyperlink ref="L1" location="Dashboard!A1" display="Dashboard"/>
  </hyperlinks>
  <pageMargins left="0.7" right="0.7" top="0.75" bottom="0.75" header="0.3" footer="0.3"/>
  <pageSetup orientation="portrait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63937" r:id="rId4" name="Spinner 1">
              <controlPr defaultSize="0" autoPict="0">
                <anchor moveWithCells="1" sizeWithCells="1">
                  <from>
                    <xdr:col>9</xdr:col>
                    <xdr:colOff>19050</xdr:colOff>
                    <xdr:row>0</xdr:row>
                    <xdr:rowOff>38100</xdr:rowOff>
                  </from>
                  <to>
                    <xdr:col>9</xdr:col>
                    <xdr:colOff>400050</xdr:colOff>
                    <xdr:row>1</xdr:row>
                    <xdr:rowOff>152400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16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FFC000"/>
  </sheetPr>
  <dimension ref="A1:S30"/>
  <sheetViews>
    <sheetView topLeftCell="D1" workbookViewId="0">
      <selection activeCell="L1" sqref="L1"/>
    </sheetView>
  </sheetViews>
  <sheetFormatPr defaultColWidth="9.1796875" defaultRowHeight="14.5" x14ac:dyDescent="0.35"/>
  <cols>
    <col min="1" max="1" width="9.1796875" style="3"/>
    <col min="2" max="2" width="5.7265625" style="3" bestFit="1" customWidth="1"/>
    <col min="3" max="3" width="6.26953125" style="3" customWidth="1"/>
    <col min="4" max="4" width="21.26953125" style="3" bestFit="1" customWidth="1"/>
    <col min="5" max="16" width="11.1796875" style="3" customWidth="1"/>
    <col min="17" max="17" width="12" style="3" bestFit="1" customWidth="1"/>
    <col min="18" max="18" width="9.1796875" style="3" customWidth="1"/>
    <col min="19" max="16384" width="9.1796875" style="3"/>
  </cols>
  <sheetData>
    <row r="1" spans="1:19" ht="21" x14ac:dyDescent="0.5">
      <c r="A1" s="4" t="s">
        <v>4</v>
      </c>
      <c r="B1" s="4">
        <f>Dashboard!A174</f>
        <v>7</v>
      </c>
      <c r="C1" s="4" t="str">
        <f>Dashboard!B174</f>
        <v>HOPEWELL- SEWER(KES)</v>
      </c>
      <c r="D1" s="4"/>
      <c r="G1" s="3" t="s">
        <v>9</v>
      </c>
      <c r="I1" s="12">
        <f>INDEX($E$18:$P$18,Actual_month)</f>
        <v>46054</v>
      </c>
      <c r="L1" s="16" t="s">
        <v>19</v>
      </c>
      <c r="R1" s="5"/>
    </row>
    <row r="2" spans="1:19" x14ac:dyDescent="0.35">
      <c r="A2" s="3" t="s">
        <v>13</v>
      </c>
      <c r="C2" s="3" t="s">
        <v>27</v>
      </c>
      <c r="R2" s="6"/>
    </row>
    <row r="3" spans="1:19" ht="25.5" customHeight="1" thickBot="1" x14ac:dyDescent="0.4">
      <c r="C3" s="1" t="s">
        <v>5</v>
      </c>
      <c r="E3" s="10"/>
      <c r="F3" s="10"/>
      <c r="G3" s="10"/>
      <c r="H3" s="10"/>
      <c r="I3" s="10"/>
      <c r="J3" s="3" t="s">
        <v>6</v>
      </c>
      <c r="K3" s="10"/>
      <c r="M3" s="10"/>
      <c r="N3" s="10"/>
      <c r="O3" s="10"/>
      <c r="P3" s="10"/>
    </row>
    <row r="4" spans="1:19" ht="25.5" customHeight="1" x14ac:dyDescent="0.35">
      <c r="C4" s="1" t="s">
        <v>5</v>
      </c>
      <c r="E4" s="10"/>
      <c r="F4" s="10"/>
      <c r="G4" s="10"/>
      <c r="H4" s="10"/>
      <c r="I4" s="10"/>
      <c r="J4" s="401"/>
      <c r="K4" s="402"/>
      <c r="L4" s="402"/>
      <c r="M4" s="402"/>
      <c r="N4" s="402"/>
      <c r="O4" s="402"/>
      <c r="P4" s="402"/>
      <c r="Q4" s="403"/>
      <c r="R4" s="3" t="s">
        <v>22</v>
      </c>
      <c r="S4" s="5">
        <f>INDEX(E27:P27,Actual_month)</f>
        <v>5600</v>
      </c>
    </row>
    <row r="5" spans="1:19" ht="25.5" customHeight="1" x14ac:dyDescent="0.35">
      <c r="C5" s="1" t="s">
        <v>5</v>
      </c>
      <c r="E5" s="10"/>
      <c r="F5" s="10"/>
      <c r="G5" s="10"/>
      <c r="H5" s="10"/>
      <c r="I5" s="10"/>
      <c r="J5" s="404"/>
      <c r="K5" s="405"/>
      <c r="L5" s="405"/>
      <c r="M5" s="405"/>
      <c r="N5" s="405"/>
      <c r="O5" s="405"/>
      <c r="P5" s="405"/>
      <c r="Q5" s="406"/>
      <c r="R5" s="3" t="s">
        <v>23</v>
      </c>
      <c r="S5" s="5">
        <f>INDEX(E26:P26,Actual_month)</f>
        <v>2603.5397014764776</v>
      </c>
    </row>
    <row r="6" spans="1:19" x14ac:dyDescent="0.35">
      <c r="J6" s="404"/>
      <c r="K6" s="405"/>
      <c r="L6" s="405"/>
      <c r="M6" s="405"/>
      <c r="N6" s="405"/>
      <c r="O6" s="405"/>
      <c r="P6" s="405"/>
      <c r="Q6" s="406"/>
      <c r="R6" s="6">
        <v>0.9</v>
      </c>
      <c r="S6" s="5">
        <f>+S5*R6</f>
        <v>2343.1857313288301</v>
      </c>
    </row>
    <row r="7" spans="1:19" x14ac:dyDescent="0.35">
      <c r="J7" s="404"/>
      <c r="K7" s="405"/>
      <c r="L7" s="405"/>
      <c r="M7" s="405"/>
      <c r="N7" s="405"/>
      <c r="O7" s="405"/>
      <c r="P7" s="405"/>
      <c r="Q7" s="406"/>
    </row>
    <row r="8" spans="1:19" ht="15" thickBot="1" x14ac:dyDescent="0.4">
      <c r="J8" s="407"/>
      <c r="K8" s="408"/>
      <c r="L8" s="408"/>
      <c r="M8" s="408"/>
      <c r="N8" s="408"/>
      <c r="O8" s="408"/>
      <c r="P8" s="408"/>
      <c r="Q8" s="409"/>
    </row>
    <row r="9" spans="1:19" ht="15" thickBot="1" x14ac:dyDescent="0.4">
      <c r="J9" s="3" t="s">
        <v>12</v>
      </c>
    </row>
    <row r="10" spans="1:19" x14ac:dyDescent="0.35">
      <c r="J10" s="401"/>
      <c r="K10" s="402"/>
      <c r="L10" s="402"/>
      <c r="M10" s="402"/>
      <c r="N10" s="402"/>
      <c r="O10" s="402"/>
      <c r="P10" s="402"/>
      <c r="Q10" s="403"/>
    </row>
    <row r="11" spans="1:19" x14ac:dyDescent="0.35">
      <c r="J11" s="404"/>
      <c r="K11" s="405"/>
      <c r="L11" s="405"/>
      <c r="M11" s="405"/>
      <c r="N11" s="405"/>
      <c r="O11" s="405"/>
      <c r="P11" s="405"/>
      <c r="Q11" s="406"/>
    </row>
    <row r="12" spans="1:19" x14ac:dyDescent="0.35">
      <c r="J12" s="404"/>
      <c r="K12" s="405"/>
      <c r="L12" s="405"/>
      <c r="M12" s="405"/>
      <c r="N12" s="405"/>
      <c r="O12" s="405"/>
      <c r="P12" s="405"/>
      <c r="Q12" s="406"/>
    </row>
    <row r="13" spans="1:19" x14ac:dyDescent="0.35">
      <c r="J13" s="404"/>
      <c r="K13" s="405"/>
      <c r="L13" s="405"/>
      <c r="M13" s="405"/>
      <c r="N13" s="405"/>
      <c r="O13" s="405"/>
      <c r="P13" s="405"/>
      <c r="Q13" s="406"/>
    </row>
    <row r="14" spans="1:19" x14ac:dyDescent="0.35">
      <c r="J14" s="404"/>
      <c r="K14" s="405"/>
      <c r="L14" s="405"/>
      <c r="M14" s="405"/>
      <c r="N14" s="405"/>
      <c r="O14" s="405"/>
      <c r="P14" s="405"/>
      <c r="Q14" s="406"/>
    </row>
    <row r="15" spans="1:19" ht="15" thickBot="1" x14ac:dyDescent="0.4">
      <c r="J15" s="407"/>
      <c r="K15" s="408"/>
      <c r="L15" s="408"/>
      <c r="M15" s="408"/>
      <c r="N15" s="408"/>
      <c r="O15" s="408"/>
      <c r="P15" s="408"/>
      <c r="Q15" s="409"/>
    </row>
    <row r="18" spans="3:17" x14ac:dyDescent="0.35">
      <c r="C18" s="7" t="s">
        <v>8</v>
      </c>
      <c r="E18" s="11">
        <v>45839</v>
      </c>
      <c r="F18" s="11">
        <v>45870</v>
      </c>
      <c r="G18" s="11">
        <v>45901</v>
      </c>
      <c r="H18" s="11">
        <v>45931</v>
      </c>
      <c r="I18" s="11">
        <v>45962</v>
      </c>
      <c r="J18" s="11">
        <v>45992</v>
      </c>
      <c r="K18" s="11">
        <v>46023</v>
      </c>
      <c r="L18" s="11">
        <v>46054</v>
      </c>
      <c r="M18" s="11">
        <v>46082</v>
      </c>
      <c r="N18" s="11">
        <v>46113</v>
      </c>
      <c r="O18" s="11">
        <v>46143</v>
      </c>
      <c r="P18" s="11">
        <v>46174</v>
      </c>
      <c r="Q18" s="8" t="s">
        <v>0</v>
      </c>
    </row>
    <row r="19" spans="3:17" x14ac:dyDescent="0.35">
      <c r="D19" s="3" t="s">
        <v>501</v>
      </c>
      <c r="E19" s="49">
        <f>'budget 2025-26'!D164</f>
        <v>325.76773545936459</v>
      </c>
      <c r="F19" s="49">
        <f>'budget 2025-26'!E164</f>
        <v>325.67292407405392</v>
      </c>
      <c r="G19" s="49">
        <f>'budget 2025-26'!F164</f>
        <v>325.57906853628862</v>
      </c>
      <c r="H19" s="49">
        <f>'budget 2025-26'!G164</f>
        <v>325.48615446390164</v>
      </c>
      <c r="I19" s="49">
        <f>'budget 2025-26'!H164</f>
        <v>325.39416776182054</v>
      </c>
      <c r="J19" s="49">
        <f>'budget 2025-26'!I164</f>
        <v>325.30309461494039</v>
      </c>
      <c r="K19" s="49">
        <f>'budget 2025-26'!J164</f>
        <v>325.21292148120659</v>
      </c>
      <c r="L19" s="49">
        <f>'budget 2025-26'!K164</f>
        <v>325.12363508490176</v>
      </c>
      <c r="M19" s="49">
        <f>'budget 2025-26'!L164</f>
        <v>325.0352224101311</v>
      </c>
      <c r="N19" s="49">
        <f>'budget 2025-26'!M164</f>
        <v>324.94767069449546</v>
      </c>
      <c r="O19" s="49">
        <f>'budget 2025-26'!N164</f>
        <v>324.86096742295149</v>
      </c>
      <c r="P19" s="49">
        <f>'budget 2025-26'!O164</f>
        <v>324.77510032184699</v>
      </c>
      <c r="Q19" s="5">
        <f>SUM(E19:P19)</f>
        <v>3903.1586623259027</v>
      </c>
    </row>
    <row r="20" spans="3:17" x14ac:dyDescent="0.35">
      <c r="D20" s="3" t="s">
        <v>502</v>
      </c>
      <c r="E20" s="49">
        <f>'Input Actual2025-26'!E167</f>
        <v>700</v>
      </c>
      <c r="F20" s="49">
        <f>'Input Actual2025-26'!F167</f>
        <v>700</v>
      </c>
      <c r="G20" s="49">
        <f>'Input Actual2025-26'!G167</f>
        <v>700</v>
      </c>
      <c r="H20" s="49">
        <f>'Input Actual2025-26'!H167</f>
        <v>700</v>
      </c>
      <c r="I20" s="49">
        <f>'Input Actual2025-26'!I167</f>
        <v>700</v>
      </c>
      <c r="J20" s="49">
        <f>'Input Actual2025-26'!J167</f>
        <v>700</v>
      </c>
      <c r="K20" s="49">
        <f>'Input Actual2025-26'!K167</f>
        <v>700</v>
      </c>
      <c r="L20" s="49">
        <f>'Input Actual2025-26'!L167</f>
        <v>700</v>
      </c>
      <c r="M20" s="49">
        <f>'Input Actual2025-26'!M167</f>
        <v>0</v>
      </c>
      <c r="N20" s="49">
        <f>'Input Actual2025-26'!N167</f>
        <v>0</v>
      </c>
      <c r="O20" s="49">
        <f>'Input Actual2025-26'!O167</f>
        <v>0</v>
      </c>
      <c r="P20" s="49">
        <f>'Input Actual2025-26'!P167</f>
        <v>0</v>
      </c>
      <c r="Q20" s="5">
        <f t="shared" ref="Q20:Q22" si="0">SUM(E20:P20)</f>
        <v>5600</v>
      </c>
    </row>
    <row r="21" spans="3:17" x14ac:dyDescent="0.35">
      <c r="D21" s="3" t="s">
        <v>424</v>
      </c>
      <c r="E21" s="49">
        <f>'Input Actual2024-25'!E154</f>
        <v>10792</v>
      </c>
      <c r="F21" s="49">
        <f>'Input Actual2024-25'!F154</f>
        <v>11524.15</v>
      </c>
      <c r="G21" s="49">
        <f>'Input Actual2024-25'!G154</f>
        <v>11580.4</v>
      </c>
      <c r="H21" s="49">
        <f>'Input Actual2024-25'!H154</f>
        <v>11130.4</v>
      </c>
      <c r="I21" s="49">
        <f>'Input Actual2024-25'!I154</f>
        <v>21155.200000000001</v>
      </c>
      <c r="J21" s="49">
        <f>'Input Actual2024-25'!J154</f>
        <v>12749.15</v>
      </c>
      <c r="K21" s="49">
        <f>'Input Actual2024-25'!K154</f>
        <v>10949.15</v>
      </c>
      <c r="L21" s="49">
        <f>'Input Actual2024-25'!L154</f>
        <v>700</v>
      </c>
      <c r="M21" s="49">
        <f>'Input Actual2024-25'!M154</f>
        <v>700</v>
      </c>
      <c r="N21" s="49">
        <f>'Input Actual2024-25'!N154</f>
        <v>700</v>
      </c>
      <c r="O21" s="49">
        <f>'Input Actual2024-25'!O154</f>
        <v>700</v>
      </c>
      <c r="P21" s="49">
        <f>'Input Actual2024-25'!P154</f>
        <v>700</v>
      </c>
      <c r="Q21" s="5">
        <f t="shared" si="0"/>
        <v>93380.45</v>
      </c>
    </row>
    <row r="22" spans="3:17" x14ac:dyDescent="0.35">
      <c r="D22" s="3" t="s">
        <v>7</v>
      </c>
      <c r="E22" s="5">
        <f t="shared" ref="E22:P22" si="1">IF(E20=0,0,E20-E19)</f>
        <v>374.23226454063541</v>
      </c>
      <c r="F22" s="5">
        <f t="shared" si="1"/>
        <v>374.32707592594608</v>
      </c>
      <c r="G22" s="5">
        <f t="shared" si="1"/>
        <v>374.42093146371138</v>
      </c>
      <c r="H22" s="5">
        <f t="shared" si="1"/>
        <v>374.51384553609836</v>
      </c>
      <c r="I22" s="5">
        <f t="shared" si="1"/>
        <v>374.60583223817946</v>
      </c>
      <c r="J22" s="5">
        <f t="shared" si="1"/>
        <v>374.69690538505961</v>
      </c>
      <c r="K22" s="5">
        <f t="shared" si="1"/>
        <v>374.78707851879341</v>
      </c>
      <c r="L22" s="5">
        <f t="shared" si="1"/>
        <v>374.87636491509824</v>
      </c>
      <c r="M22" s="5">
        <f t="shared" si="1"/>
        <v>0</v>
      </c>
      <c r="N22" s="5">
        <f t="shared" si="1"/>
        <v>0</v>
      </c>
      <c r="O22" s="5">
        <f t="shared" si="1"/>
        <v>0</v>
      </c>
      <c r="P22" s="5">
        <f t="shared" si="1"/>
        <v>0</v>
      </c>
      <c r="Q22" s="5">
        <f t="shared" si="0"/>
        <v>2996.4602985235219</v>
      </c>
    </row>
    <row r="23" spans="3:17" x14ac:dyDescent="0.35">
      <c r="D23" s="3" t="s">
        <v>43</v>
      </c>
      <c r="E23" s="9">
        <f>E21/E19</f>
        <v>33.127897042296766</v>
      </c>
      <c r="F23" s="9">
        <f t="shared" ref="F23:P23" si="2">F20/F19</f>
        <v>2.1493957533934531</v>
      </c>
      <c r="G23" s="9">
        <f t="shared" si="2"/>
        <v>2.1500153653826763</v>
      </c>
      <c r="H23" s="9">
        <f t="shared" si="2"/>
        <v>2.1506291140185323</v>
      </c>
      <c r="I23" s="9">
        <f t="shared" si="2"/>
        <v>2.1512370821359665</v>
      </c>
      <c r="J23" s="9">
        <f t="shared" si="2"/>
        <v>2.1518393510168923</v>
      </c>
      <c r="K23" s="9">
        <f t="shared" si="2"/>
        <v>2.1524360004264209</v>
      </c>
      <c r="L23" s="9">
        <f t="shared" si="2"/>
        <v>2.1530271086480814</v>
      </c>
      <c r="M23" s="9">
        <f t="shared" si="2"/>
        <v>0</v>
      </c>
      <c r="N23" s="9">
        <f t="shared" si="2"/>
        <v>0</v>
      </c>
      <c r="O23" s="9">
        <f t="shared" si="2"/>
        <v>0</v>
      </c>
      <c r="P23" s="9">
        <f t="shared" si="2"/>
        <v>0</v>
      </c>
    </row>
    <row r="25" spans="3:17" x14ac:dyDescent="0.35">
      <c r="C25" s="7" t="s">
        <v>3</v>
      </c>
      <c r="E25" s="11">
        <f>E18</f>
        <v>45839</v>
      </c>
      <c r="F25" s="11">
        <f t="shared" ref="F25:P25" si="3">F18</f>
        <v>45870</v>
      </c>
      <c r="G25" s="11">
        <f t="shared" si="3"/>
        <v>45901</v>
      </c>
      <c r="H25" s="11">
        <f t="shared" si="3"/>
        <v>45931</v>
      </c>
      <c r="I25" s="11">
        <f t="shared" si="3"/>
        <v>45962</v>
      </c>
      <c r="J25" s="11">
        <f t="shared" si="3"/>
        <v>45992</v>
      </c>
      <c r="K25" s="11">
        <f t="shared" si="3"/>
        <v>46023</v>
      </c>
      <c r="L25" s="11">
        <f t="shared" si="3"/>
        <v>46054</v>
      </c>
      <c r="M25" s="11">
        <f t="shared" si="3"/>
        <v>46082</v>
      </c>
      <c r="N25" s="11">
        <f t="shared" si="3"/>
        <v>46113</v>
      </c>
      <c r="O25" s="11">
        <f t="shared" si="3"/>
        <v>46143</v>
      </c>
      <c r="P25" s="11">
        <f t="shared" si="3"/>
        <v>46174</v>
      </c>
    </row>
    <row r="26" spans="3:17" x14ac:dyDescent="0.35">
      <c r="D26" s="3" t="str">
        <f>D19</f>
        <v>Budget 2025-26</v>
      </c>
      <c r="E26" s="5">
        <f>SUM($E19:E19)</f>
        <v>325.76773545936459</v>
      </c>
      <c r="F26" s="5">
        <f>SUM($E19:F19)</f>
        <v>651.44065953341851</v>
      </c>
      <c r="G26" s="5">
        <f>SUM($E19:G19)</f>
        <v>977.01972806970707</v>
      </c>
      <c r="H26" s="5">
        <f>SUM($E19:H19)</f>
        <v>1302.5058825336087</v>
      </c>
      <c r="I26" s="5">
        <f>SUM($E19:I19)</f>
        <v>1627.9000502954291</v>
      </c>
      <c r="J26" s="5">
        <f>SUM($E19:J19)</f>
        <v>1953.2031449103695</v>
      </c>
      <c r="K26" s="5">
        <f>SUM($E19:K19)</f>
        <v>2278.4160663915759</v>
      </c>
      <c r="L26" s="5">
        <f>SUM($E19:L19)</f>
        <v>2603.5397014764776</v>
      </c>
      <c r="M26" s="5">
        <f>SUM($E19:M19)</f>
        <v>2928.5749238866088</v>
      </c>
      <c r="N26" s="5">
        <f>SUM($E19:N19)</f>
        <v>3253.5225945811044</v>
      </c>
      <c r="O26" s="5">
        <f>SUM($E19:O19)</f>
        <v>3578.3835620040559</v>
      </c>
      <c r="P26" s="5">
        <f>SUM($E19:P19)</f>
        <v>3903.1586623259027</v>
      </c>
    </row>
    <row r="27" spans="3:17" x14ac:dyDescent="0.35">
      <c r="D27" s="3" t="str">
        <f t="shared" ref="D27:D30" si="4">D20</f>
        <v>Actual 2025-26</v>
      </c>
      <c r="E27" s="5">
        <f>SUM($E20:E20)</f>
        <v>700</v>
      </c>
      <c r="F27" s="5">
        <f>SUM($E20:F20)</f>
        <v>1400</v>
      </c>
      <c r="G27" s="5">
        <f>SUM($E20:G20)</f>
        <v>2100</v>
      </c>
      <c r="H27" s="5">
        <f>SUM($E20:H20)</f>
        <v>2800</v>
      </c>
      <c r="I27" s="5">
        <f>SUM($E20:I20)</f>
        <v>3500</v>
      </c>
      <c r="J27" s="5">
        <f>SUM($E20:J20)</f>
        <v>4200</v>
      </c>
      <c r="K27" s="5">
        <f>SUM($E20:K20)</f>
        <v>4900</v>
      </c>
      <c r="L27" s="5">
        <f>SUM($E20:L20)</f>
        <v>5600</v>
      </c>
      <c r="M27" s="5">
        <f>SUM($E20:M20)</f>
        <v>5600</v>
      </c>
      <c r="N27" s="5">
        <f>SUM($E20:N20)</f>
        <v>5600</v>
      </c>
      <c r="O27" s="5">
        <f>SUM($E20:O20)</f>
        <v>5600</v>
      </c>
      <c r="P27" s="5">
        <f>SUM($E20:P20)</f>
        <v>5600</v>
      </c>
    </row>
    <row r="28" spans="3:17" x14ac:dyDescent="0.35">
      <c r="D28" s="3" t="str">
        <f t="shared" si="4"/>
        <v>Actual 2024-25</v>
      </c>
      <c r="E28" s="5">
        <f>SUM($E21:E21)</f>
        <v>10792</v>
      </c>
      <c r="F28" s="5">
        <f>SUM($E21:F21)</f>
        <v>22316.15</v>
      </c>
      <c r="G28" s="5">
        <f>SUM($E21:G21)</f>
        <v>33896.550000000003</v>
      </c>
      <c r="H28" s="5">
        <f>SUM($E21:H21)</f>
        <v>45026.950000000004</v>
      </c>
      <c r="I28" s="5">
        <f>SUM($E21:I21)</f>
        <v>66182.150000000009</v>
      </c>
      <c r="J28" s="5">
        <f>SUM($E21:J21)</f>
        <v>78931.3</v>
      </c>
      <c r="K28" s="5">
        <f>SUM($E21:K21)</f>
        <v>89880.45</v>
      </c>
      <c r="L28" s="5">
        <f>SUM($E21:L21)</f>
        <v>90580.45</v>
      </c>
      <c r="M28" s="5">
        <f>SUM($E21:M21)</f>
        <v>91280.45</v>
      </c>
      <c r="N28" s="5">
        <f>SUM($E21:N21)</f>
        <v>91980.45</v>
      </c>
      <c r="O28" s="5">
        <f>SUM($E21:O21)</f>
        <v>92680.45</v>
      </c>
      <c r="P28" s="5">
        <f>SUM($E21:P21)</f>
        <v>93380.45</v>
      </c>
    </row>
    <row r="29" spans="3:17" x14ac:dyDescent="0.35">
      <c r="D29" s="3" t="str">
        <f t="shared" si="4"/>
        <v>Difference</v>
      </c>
      <c r="E29" s="5">
        <f>SUM($E22:E22)</f>
        <v>374.23226454063541</v>
      </c>
      <c r="F29" s="5">
        <f>SUM($E22:F22)</f>
        <v>748.55934046658149</v>
      </c>
      <c r="G29" s="5">
        <f>SUM($E22:G22)</f>
        <v>1122.9802719302929</v>
      </c>
      <c r="H29" s="5">
        <f>SUM($E22:H22)</f>
        <v>1497.4941174663913</v>
      </c>
      <c r="I29" s="5">
        <f>SUM($E22:I22)</f>
        <v>1872.0999497045709</v>
      </c>
      <c r="J29" s="5">
        <f>SUM($E22:J22)</f>
        <v>2246.7968550896303</v>
      </c>
      <c r="K29" s="5">
        <f>SUM($E22:K22)</f>
        <v>2621.5839336084236</v>
      </c>
      <c r="L29" s="5">
        <f>SUM($E22:L22)</f>
        <v>2996.4602985235219</v>
      </c>
      <c r="M29" s="5">
        <f>SUM($E22:M22)</f>
        <v>2996.4602985235219</v>
      </c>
      <c r="N29" s="5">
        <f>SUM($E22:N22)</f>
        <v>2996.4602985235219</v>
      </c>
      <c r="O29" s="5">
        <f>SUM($E22:O22)</f>
        <v>2996.4602985235219</v>
      </c>
      <c r="P29" s="5">
        <f>SUM($E22:P22)</f>
        <v>2996.4602985235219</v>
      </c>
    </row>
    <row r="30" spans="3:17" x14ac:dyDescent="0.35">
      <c r="D30" s="3" t="str">
        <f t="shared" si="4"/>
        <v>Realisation</v>
      </c>
      <c r="E30" s="9">
        <f>E28/E26</f>
        <v>33.127897042296766</v>
      </c>
      <c r="F30" s="9">
        <f t="shared" ref="F30:P30" si="5">F27/F26</f>
        <v>2.1490829279872128</v>
      </c>
      <c r="G30" s="9">
        <f t="shared" si="5"/>
        <v>2.1493936505754694</v>
      </c>
      <c r="H30" s="9">
        <f t="shared" si="5"/>
        <v>2.149702383342404</v>
      </c>
      <c r="I30" s="9">
        <f t="shared" si="5"/>
        <v>2.1500091478987451</v>
      </c>
      <c r="J30" s="9">
        <f t="shared" si="5"/>
        <v>2.1503139655208439</v>
      </c>
      <c r="K30" s="9">
        <f t="shared" si="5"/>
        <v>2.1506168571574102</v>
      </c>
      <c r="L30" s="9">
        <f t="shared" si="5"/>
        <v>2.1509178434360798</v>
      </c>
      <c r="M30" s="9">
        <f t="shared" si="5"/>
        <v>1.9121928397065062</v>
      </c>
      <c r="N30" s="9">
        <f t="shared" si="5"/>
        <v>1.7212113446905408</v>
      </c>
      <c r="O30" s="9">
        <f t="shared" si="5"/>
        <v>1.5649524157951775</v>
      </c>
      <c r="P30" s="9">
        <f t="shared" si="5"/>
        <v>1.434735424427493</v>
      </c>
    </row>
  </sheetData>
  <mergeCells count="2">
    <mergeCell ref="J4:Q8"/>
    <mergeCell ref="J10:Q15"/>
  </mergeCells>
  <conditionalFormatting sqref="C3">
    <cfRule type="expression" dxfId="110" priority="2">
      <formula>S4&lt;S6</formula>
    </cfRule>
  </conditionalFormatting>
  <conditionalFormatting sqref="C5">
    <cfRule type="expression" dxfId="109" priority="3">
      <formula>S4&gt;=S5</formula>
    </cfRule>
  </conditionalFormatting>
  <conditionalFormatting sqref="C4">
    <cfRule type="expression" dxfId="108" priority="1">
      <formula>AND(S4&gt;=S6,S4&lt;S5)</formula>
    </cfRule>
  </conditionalFormatting>
  <hyperlinks>
    <hyperlink ref="L1" location="Dashboard!A1" display="Dashboard"/>
  </hyperlinks>
  <pageMargins left="0.7" right="0.7" top="0.75" bottom="0.75" header="0.3" footer="0.3"/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597441" r:id="rId3" name="Spinner 1">
              <controlPr defaultSize="0" autoPict="0">
                <anchor moveWithCells="1" sizeWithCells="1">
                  <from>
                    <xdr:col>9</xdr:col>
                    <xdr:colOff>19050</xdr:colOff>
                    <xdr:row>0</xdr:row>
                    <xdr:rowOff>38100</xdr:rowOff>
                  </from>
                  <to>
                    <xdr:col>9</xdr:col>
                    <xdr:colOff>400050</xdr:colOff>
                    <xdr:row>1</xdr:row>
                    <xdr:rowOff>152400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16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128">
    <tabColor rgb="FFFFC000"/>
  </sheetPr>
  <dimension ref="A1:S30"/>
  <sheetViews>
    <sheetView zoomScale="90" zoomScaleNormal="90" workbookViewId="0">
      <selection activeCell="L1" sqref="L1"/>
    </sheetView>
  </sheetViews>
  <sheetFormatPr defaultColWidth="9.1796875" defaultRowHeight="14.5" x14ac:dyDescent="0.35"/>
  <cols>
    <col min="1" max="1" width="9.1796875" style="3"/>
    <col min="2" max="2" width="5.7265625" style="3" bestFit="1" customWidth="1"/>
    <col min="3" max="3" width="6.26953125" style="3" customWidth="1"/>
    <col min="4" max="4" width="21.26953125" style="3" bestFit="1" customWidth="1"/>
    <col min="5" max="16" width="11.1796875" style="3" customWidth="1"/>
    <col min="17" max="17" width="12" style="3" bestFit="1" customWidth="1"/>
    <col min="18" max="18" width="9.1796875" style="3" customWidth="1"/>
    <col min="19" max="16384" width="9.1796875" style="3"/>
  </cols>
  <sheetData>
    <row r="1" spans="1:19" ht="21" x14ac:dyDescent="0.5">
      <c r="A1" s="4" t="s">
        <v>4</v>
      </c>
      <c r="B1" s="4">
        <f>Dashboard!A173</f>
        <v>6</v>
      </c>
      <c r="C1" s="4" t="str">
        <f>Dashboard!B173</f>
        <v>LAKEVIEW- SEWER(KES)</v>
      </c>
      <c r="D1" s="4"/>
      <c r="G1" s="3" t="s">
        <v>9</v>
      </c>
      <c r="I1" s="12">
        <f>INDEX($E$18:$P$18,Actual_month)</f>
        <v>46054</v>
      </c>
      <c r="L1" s="16" t="s">
        <v>19</v>
      </c>
      <c r="R1" s="5"/>
    </row>
    <row r="2" spans="1:19" x14ac:dyDescent="0.35">
      <c r="A2" s="3" t="s">
        <v>13</v>
      </c>
      <c r="C2" s="3" t="s">
        <v>27</v>
      </c>
      <c r="R2" s="6"/>
    </row>
    <row r="3" spans="1:19" ht="25.5" customHeight="1" thickBot="1" x14ac:dyDescent="0.4">
      <c r="C3" s="1" t="s">
        <v>5</v>
      </c>
      <c r="E3" s="10"/>
      <c r="F3" s="10"/>
      <c r="G3" s="10"/>
      <c r="H3" s="10"/>
      <c r="I3" s="10"/>
      <c r="J3" s="3" t="s">
        <v>6</v>
      </c>
      <c r="K3" s="10"/>
      <c r="M3" s="10"/>
      <c r="N3" s="10"/>
      <c r="O3" s="10"/>
      <c r="P3" s="10"/>
    </row>
    <row r="4" spans="1:19" ht="25.5" customHeight="1" x14ac:dyDescent="0.35">
      <c r="C4" s="1" t="s">
        <v>5</v>
      </c>
      <c r="E4" s="10"/>
      <c r="F4" s="10"/>
      <c r="G4" s="10"/>
      <c r="H4" s="10"/>
      <c r="I4" s="10"/>
      <c r="J4" s="401"/>
      <c r="K4" s="402"/>
      <c r="L4" s="402"/>
      <c r="M4" s="402"/>
      <c r="N4" s="402"/>
      <c r="O4" s="402"/>
      <c r="P4" s="402"/>
      <c r="Q4" s="403"/>
      <c r="R4" s="3" t="s">
        <v>22</v>
      </c>
      <c r="S4" s="5">
        <f>INDEX(E27:P27,Actual_month)</f>
        <v>3580787.5</v>
      </c>
    </row>
    <row r="5" spans="1:19" ht="25.5" customHeight="1" x14ac:dyDescent="0.35">
      <c r="C5" s="1" t="s">
        <v>5</v>
      </c>
      <c r="E5" s="10"/>
      <c r="F5" s="10"/>
      <c r="G5" s="10"/>
      <c r="H5" s="10"/>
      <c r="I5" s="10"/>
      <c r="J5" s="404"/>
      <c r="K5" s="405"/>
      <c r="L5" s="405"/>
      <c r="M5" s="405"/>
      <c r="N5" s="405"/>
      <c r="O5" s="405"/>
      <c r="P5" s="405"/>
      <c r="Q5" s="406"/>
      <c r="R5" s="3" t="s">
        <v>23</v>
      </c>
      <c r="S5" s="5">
        <f>INDEX(E26:P26,Actual_month)</f>
        <v>3837454.8215720109</v>
      </c>
    </row>
    <row r="6" spans="1:19" x14ac:dyDescent="0.35">
      <c r="J6" s="404"/>
      <c r="K6" s="405"/>
      <c r="L6" s="405"/>
      <c r="M6" s="405"/>
      <c r="N6" s="405"/>
      <c r="O6" s="405"/>
      <c r="P6" s="405"/>
      <c r="Q6" s="406"/>
      <c r="R6" s="6">
        <v>0.9</v>
      </c>
      <c r="S6" s="5">
        <f>+S5*R6</f>
        <v>3453709.3394148098</v>
      </c>
    </row>
    <row r="7" spans="1:19" x14ac:dyDescent="0.35">
      <c r="J7" s="404"/>
      <c r="K7" s="405"/>
      <c r="L7" s="405"/>
      <c r="M7" s="405"/>
      <c r="N7" s="405"/>
      <c r="O7" s="405"/>
      <c r="P7" s="405"/>
      <c r="Q7" s="406"/>
    </row>
    <row r="8" spans="1:19" ht="15" thickBot="1" x14ac:dyDescent="0.4">
      <c r="J8" s="407"/>
      <c r="K8" s="408"/>
      <c r="L8" s="408"/>
      <c r="M8" s="408"/>
      <c r="N8" s="408"/>
      <c r="O8" s="408"/>
      <c r="P8" s="408"/>
      <c r="Q8" s="409"/>
    </row>
    <row r="9" spans="1:19" ht="15" thickBot="1" x14ac:dyDescent="0.4">
      <c r="J9" s="3" t="s">
        <v>12</v>
      </c>
    </row>
    <row r="10" spans="1:19" x14ac:dyDescent="0.35">
      <c r="J10" s="401"/>
      <c r="K10" s="402"/>
      <c r="L10" s="402"/>
      <c r="M10" s="402"/>
      <c r="N10" s="402"/>
      <c r="O10" s="402"/>
      <c r="P10" s="402"/>
      <c r="Q10" s="403"/>
    </row>
    <row r="11" spans="1:19" x14ac:dyDescent="0.35">
      <c r="J11" s="404"/>
      <c r="K11" s="405"/>
      <c r="L11" s="405"/>
      <c r="M11" s="405"/>
      <c r="N11" s="405"/>
      <c r="O11" s="405"/>
      <c r="P11" s="405"/>
      <c r="Q11" s="406"/>
    </row>
    <row r="12" spans="1:19" x14ac:dyDescent="0.35">
      <c r="J12" s="404"/>
      <c r="K12" s="405"/>
      <c r="L12" s="405"/>
      <c r="M12" s="405"/>
      <c r="N12" s="405"/>
      <c r="O12" s="405"/>
      <c r="P12" s="405"/>
      <c r="Q12" s="406"/>
    </row>
    <row r="13" spans="1:19" x14ac:dyDescent="0.35">
      <c r="J13" s="404"/>
      <c r="K13" s="405"/>
      <c r="L13" s="405"/>
      <c r="M13" s="405"/>
      <c r="N13" s="405"/>
      <c r="O13" s="405"/>
      <c r="P13" s="405"/>
      <c r="Q13" s="406"/>
    </row>
    <row r="14" spans="1:19" x14ac:dyDescent="0.35">
      <c r="J14" s="404"/>
      <c r="K14" s="405"/>
      <c r="L14" s="405"/>
      <c r="M14" s="405"/>
      <c r="N14" s="405"/>
      <c r="O14" s="405"/>
      <c r="P14" s="405"/>
      <c r="Q14" s="406"/>
    </row>
    <row r="15" spans="1:19" ht="15" thickBot="1" x14ac:dyDescent="0.4">
      <c r="J15" s="407"/>
      <c r="K15" s="408"/>
      <c r="L15" s="408"/>
      <c r="M15" s="408"/>
      <c r="N15" s="408"/>
      <c r="O15" s="408"/>
      <c r="P15" s="408"/>
      <c r="Q15" s="409"/>
    </row>
    <row r="18" spans="3:17" x14ac:dyDescent="0.35">
      <c r="C18" s="7" t="s">
        <v>8</v>
      </c>
      <c r="E18" s="11">
        <v>45839</v>
      </c>
      <c r="F18" s="11">
        <v>45870</v>
      </c>
      <c r="G18" s="11">
        <v>45901</v>
      </c>
      <c r="H18" s="11">
        <v>45931</v>
      </c>
      <c r="I18" s="11">
        <v>45962</v>
      </c>
      <c r="J18" s="11">
        <v>45992</v>
      </c>
      <c r="K18" s="11">
        <v>46023</v>
      </c>
      <c r="L18" s="11">
        <v>46054</v>
      </c>
      <c r="M18" s="11">
        <v>46082</v>
      </c>
      <c r="N18" s="11">
        <v>46113</v>
      </c>
      <c r="O18" s="11">
        <v>46143</v>
      </c>
      <c r="P18" s="11">
        <v>46174</v>
      </c>
      <c r="Q18" s="8" t="s">
        <v>0</v>
      </c>
    </row>
    <row r="19" spans="3:17" x14ac:dyDescent="0.35">
      <c r="D19" s="3" t="s">
        <v>501</v>
      </c>
      <c r="E19" s="49">
        <f>'budget 2025-26'!D163</f>
        <v>472494.51673396066</v>
      </c>
      <c r="F19" s="49">
        <f>'budget 2025-26'!E163</f>
        <v>474547.79860247305</v>
      </c>
      <c r="G19" s="49">
        <f>'budget 2025-26'!F163</f>
        <v>476601.20410575392</v>
      </c>
      <c r="H19" s="49">
        <f>'budget 2025-26'!G163</f>
        <v>478654.73138353234</v>
      </c>
      <c r="I19" s="49">
        <f>'budget 2025-26'!H163</f>
        <v>480708.37861267093</v>
      </c>
      <c r="J19" s="49">
        <f>'budget 2025-26'!I163</f>
        <v>482762.14400624548</v>
      </c>
      <c r="K19" s="49">
        <f>'budget 2025-26'!J163</f>
        <v>484816.02581264934</v>
      </c>
      <c r="L19" s="49">
        <f>'budget 2025-26'!K163</f>
        <v>486870.02231472556</v>
      </c>
      <c r="M19" s="49">
        <f>'budget 2025-26'!L163</f>
        <v>488924.13182892435</v>
      </c>
      <c r="N19" s="49">
        <f>'budget 2025-26'!M163</f>
        <v>490978.35270448396</v>
      </c>
      <c r="O19" s="49">
        <f>'budget 2025-26'!N163</f>
        <v>493032.68332263757</v>
      </c>
      <c r="P19" s="49">
        <f>'budget 2025-26'!O163</f>
        <v>495087.12209584104</v>
      </c>
      <c r="Q19" s="5">
        <f>SUM(E19:P19)</f>
        <v>5805477.1115238974</v>
      </c>
    </row>
    <row r="20" spans="3:17" x14ac:dyDescent="0.35">
      <c r="D20" s="3" t="s">
        <v>502</v>
      </c>
      <c r="E20" s="49">
        <f>'Input Actual2025-26'!E166</f>
        <v>457647.5</v>
      </c>
      <c r="F20" s="49">
        <f>'Input Actual2025-26'!F166</f>
        <v>470207.5</v>
      </c>
      <c r="G20" s="49">
        <f>'Input Actual2025-26'!G166</f>
        <v>472407.5</v>
      </c>
      <c r="H20" s="49">
        <f>'Input Actual2025-26'!H166</f>
        <v>449707.5</v>
      </c>
      <c r="I20" s="49">
        <f>'Input Actual2025-26'!I166</f>
        <v>371902.5</v>
      </c>
      <c r="J20" s="49">
        <f>'Input Actual2025-26'!J166</f>
        <v>322980</v>
      </c>
      <c r="K20" s="49">
        <f>'Input Actual2025-26'!K166</f>
        <v>572035</v>
      </c>
      <c r="L20" s="49">
        <f>'Input Actual2025-26'!L166</f>
        <v>463900</v>
      </c>
      <c r="M20" s="49">
        <f>'Input Actual2025-26'!M166</f>
        <v>0</v>
      </c>
      <c r="N20" s="49">
        <f>'Input Actual2025-26'!N166</f>
        <v>0</v>
      </c>
      <c r="O20" s="49">
        <f>'Input Actual2025-26'!O166</f>
        <v>0</v>
      </c>
      <c r="P20" s="49">
        <f>'Input Actual2025-26'!P166</f>
        <v>0</v>
      </c>
      <c r="Q20" s="5">
        <f t="shared" ref="Q20:Q22" si="0">SUM(E20:P20)</f>
        <v>3580787.5</v>
      </c>
    </row>
    <row r="21" spans="3:17" x14ac:dyDescent="0.35">
      <c r="D21" s="3" t="s">
        <v>424</v>
      </c>
      <c r="E21" s="49">
        <f>'Input Actual2024-25'!E153</f>
        <v>295062.90000000002</v>
      </c>
      <c r="F21" s="49">
        <f>'Input Actual2024-25'!F153</f>
        <v>386582.75</v>
      </c>
      <c r="G21" s="49">
        <f>'Input Actual2024-25'!G153</f>
        <v>352413.75</v>
      </c>
      <c r="H21" s="49">
        <f>'Input Actual2024-25'!H153</f>
        <v>352298.75</v>
      </c>
      <c r="I21" s="49">
        <f>'Input Actual2024-25'!I153</f>
        <v>369135.5</v>
      </c>
      <c r="J21" s="49">
        <f>'Input Actual2024-25'!J153</f>
        <v>198469.5</v>
      </c>
      <c r="K21" s="49">
        <f>'Input Actual2024-25'!K153</f>
        <v>366123</v>
      </c>
      <c r="L21" s="49">
        <f>'Input Actual2024-25'!L153</f>
        <v>400295.25</v>
      </c>
      <c r="M21" s="49">
        <f>'Input Actual2024-25'!M153</f>
        <v>427482.75</v>
      </c>
      <c r="N21" s="49">
        <f>'Input Actual2024-25'!N153</f>
        <v>357912.5</v>
      </c>
      <c r="O21" s="49">
        <f>'Input Actual2024-25'!O153</f>
        <v>512857.5</v>
      </c>
      <c r="P21" s="49">
        <f>'Input Actual2024-25'!P153</f>
        <v>576622.5</v>
      </c>
      <c r="Q21" s="5">
        <f t="shared" si="0"/>
        <v>4595256.6500000004</v>
      </c>
    </row>
    <row r="22" spans="3:17" x14ac:dyDescent="0.35">
      <c r="D22" s="3" t="s">
        <v>7</v>
      </c>
      <c r="E22" s="5">
        <f t="shared" ref="E22:P22" si="1">IF(E20=0,0,E20-E19)</f>
        <v>-14847.016733960656</v>
      </c>
      <c r="F22" s="5">
        <f t="shared" si="1"/>
        <v>-4340.298602473049</v>
      </c>
      <c r="G22" s="5">
        <f t="shared" si="1"/>
        <v>-4193.7041057539172</v>
      </c>
      <c r="H22" s="5">
        <f t="shared" si="1"/>
        <v>-28947.231383532344</v>
      </c>
      <c r="I22" s="5">
        <f t="shared" si="1"/>
        <v>-108805.87861267093</v>
      </c>
      <c r="J22" s="5">
        <f t="shared" si="1"/>
        <v>-159782.14400624548</v>
      </c>
      <c r="K22" s="5">
        <f t="shared" si="1"/>
        <v>87218.974187350657</v>
      </c>
      <c r="L22" s="5">
        <f t="shared" si="1"/>
        <v>-22970.02231472556</v>
      </c>
      <c r="M22" s="5">
        <f t="shared" si="1"/>
        <v>0</v>
      </c>
      <c r="N22" s="5">
        <f t="shared" si="1"/>
        <v>0</v>
      </c>
      <c r="O22" s="5">
        <f t="shared" si="1"/>
        <v>0</v>
      </c>
      <c r="P22" s="5">
        <f t="shared" si="1"/>
        <v>0</v>
      </c>
      <c r="Q22" s="5">
        <f t="shared" si="0"/>
        <v>-256667.32157201128</v>
      </c>
    </row>
    <row r="23" spans="3:17" x14ac:dyDescent="0.35">
      <c r="D23" s="3" t="s">
        <v>43</v>
      </c>
      <c r="E23" s="9">
        <f>E21/E19</f>
        <v>0.6244789929829726</v>
      </c>
      <c r="F23" s="9">
        <f t="shared" ref="F23:P23" si="2">F20/F19</f>
        <v>0.99085382206965222</v>
      </c>
      <c r="G23" s="9">
        <f t="shared" si="2"/>
        <v>0.99120081093034051</v>
      </c>
      <c r="H23" s="9">
        <f t="shared" si="2"/>
        <v>0.93952377468439197</v>
      </c>
      <c r="I23" s="9">
        <f t="shared" si="2"/>
        <v>0.77365512345200693</v>
      </c>
      <c r="J23" s="9">
        <f t="shared" si="2"/>
        <v>0.669025117254889</v>
      </c>
      <c r="K23" s="9">
        <f t="shared" si="2"/>
        <v>1.179901178062656</v>
      </c>
      <c r="L23" s="9">
        <f t="shared" si="2"/>
        <v>0.95282103793222017</v>
      </c>
      <c r="M23" s="9">
        <f t="shared" si="2"/>
        <v>0</v>
      </c>
      <c r="N23" s="9">
        <f t="shared" si="2"/>
        <v>0</v>
      </c>
      <c r="O23" s="9">
        <f t="shared" si="2"/>
        <v>0</v>
      </c>
      <c r="P23" s="9">
        <f t="shared" si="2"/>
        <v>0</v>
      </c>
    </row>
    <row r="25" spans="3:17" x14ac:dyDescent="0.35">
      <c r="C25" s="7" t="s">
        <v>3</v>
      </c>
      <c r="E25" s="11">
        <f>E18</f>
        <v>45839</v>
      </c>
      <c r="F25" s="11">
        <f t="shared" ref="F25:P25" si="3">F18</f>
        <v>45870</v>
      </c>
      <c r="G25" s="11">
        <f t="shared" si="3"/>
        <v>45901</v>
      </c>
      <c r="H25" s="11">
        <f t="shared" si="3"/>
        <v>45931</v>
      </c>
      <c r="I25" s="11">
        <f t="shared" si="3"/>
        <v>45962</v>
      </c>
      <c r="J25" s="11">
        <f t="shared" si="3"/>
        <v>45992</v>
      </c>
      <c r="K25" s="11">
        <f t="shared" si="3"/>
        <v>46023</v>
      </c>
      <c r="L25" s="11">
        <f t="shared" si="3"/>
        <v>46054</v>
      </c>
      <c r="M25" s="11">
        <f t="shared" si="3"/>
        <v>46082</v>
      </c>
      <c r="N25" s="11">
        <f t="shared" si="3"/>
        <v>46113</v>
      </c>
      <c r="O25" s="11">
        <f t="shared" si="3"/>
        <v>46143</v>
      </c>
      <c r="P25" s="11">
        <f t="shared" si="3"/>
        <v>46174</v>
      </c>
    </row>
    <row r="26" spans="3:17" x14ac:dyDescent="0.35">
      <c r="D26" s="3" t="str">
        <f>D19</f>
        <v>Budget 2025-26</v>
      </c>
      <c r="E26" s="5">
        <f>SUM($E19:E19)</f>
        <v>472494.51673396066</v>
      </c>
      <c r="F26" s="5">
        <f>SUM($E19:F19)</f>
        <v>947042.3153364337</v>
      </c>
      <c r="G26" s="5">
        <f>SUM($E19:G19)</f>
        <v>1423643.5194421876</v>
      </c>
      <c r="H26" s="5">
        <f>SUM($E19:H19)</f>
        <v>1902298.2508257199</v>
      </c>
      <c r="I26" s="5">
        <f>SUM($E19:I19)</f>
        <v>2383006.629438391</v>
      </c>
      <c r="J26" s="5">
        <f>SUM($E19:J19)</f>
        <v>2865768.7734446363</v>
      </c>
      <c r="K26" s="5">
        <f>SUM($E19:K19)</f>
        <v>3350584.7992572854</v>
      </c>
      <c r="L26" s="5">
        <f>SUM($E19:L19)</f>
        <v>3837454.8215720109</v>
      </c>
      <c r="M26" s="5">
        <f>SUM($E19:M19)</f>
        <v>4326378.953400935</v>
      </c>
      <c r="N26" s="5">
        <f>SUM($E19:N19)</f>
        <v>4817357.3061054191</v>
      </c>
      <c r="O26" s="5">
        <f>SUM($E19:O19)</f>
        <v>5310389.9894280564</v>
      </c>
      <c r="P26" s="5">
        <f>SUM($E19:P19)</f>
        <v>5805477.1115238974</v>
      </c>
    </row>
    <row r="27" spans="3:17" x14ac:dyDescent="0.35">
      <c r="D27" s="3" t="str">
        <f t="shared" ref="D27:D30" si="4">D20</f>
        <v>Actual 2025-26</v>
      </c>
      <c r="E27" s="5">
        <f>SUM($E20:E20)</f>
        <v>457647.5</v>
      </c>
      <c r="F27" s="5">
        <f>SUM($E20:F20)</f>
        <v>927855</v>
      </c>
      <c r="G27" s="5">
        <f>SUM($E20:G20)</f>
        <v>1400262.5</v>
      </c>
      <c r="H27" s="5">
        <f>SUM($E20:H20)</f>
        <v>1849970</v>
      </c>
      <c r="I27" s="5">
        <f>SUM($E20:I20)</f>
        <v>2221872.5</v>
      </c>
      <c r="J27" s="5">
        <f>SUM($E20:J20)</f>
        <v>2544852.5</v>
      </c>
      <c r="K27" s="5">
        <f>SUM($E20:K20)</f>
        <v>3116887.5</v>
      </c>
      <c r="L27" s="5">
        <f>SUM($E20:L20)</f>
        <v>3580787.5</v>
      </c>
      <c r="M27" s="5">
        <f>SUM($E20:M20)</f>
        <v>3580787.5</v>
      </c>
      <c r="N27" s="5">
        <f>SUM($E20:N20)</f>
        <v>3580787.5</v>
      </c>
      <c r="O27" s="5">
        <f>SUM($E20:O20)</f>
        <v>3580787.5</v>
      </c>
      <c r="P27" s="5">
        <f>SUM($E20:P20)</f>
        <v>3580787.5</v>
      </c>
    </row>
    <row r="28" spans="3:17" x14ac:dyDescent="0.35">
      <c r="D28" s="3" t="str">
        <f t="shared" si="4"/>
        <v>Actual 2024-25</v>
      </c>
      <c r="E28" s="5">
        <f>SUM($E21:E21)</f>
        <v>295062.90000000002</v>
      </c>
      <c r="F28" s="5">
        <f>SUM($E21:F21)</f>
        <v>681645.65</v>
      </c>
      <c r="G28" s="5">
        <f>SUM($E21:G21)</f>
        <v>1034059.4</v>
      </c>
      <c r="H28" s="5">
        <f>SUM($E21:H21)</f>
        <v>1386358.15</v>
      </c>
      <c r="I28" s="5">
        <f>SUM($E21:I21)</f>
        <v>1755493.65</v>
      </c>
      <c r="J28" s="5">
        <f>SUM($E21:J21)</f>
        <v>1953963.15</v>
      </c>
      <c r="K28" s="5">
        <f>SUM($E21:K21)</f>
        <v>2320086.15</v>
      </c>
      <c r="L28" s="5">
        <f>SUM($E21:L21)</f>
        <v>2720381.4</v>
      </c>
      <c r="M28" s="5">
        <f>SUM($E21:M21)</f>
        <v>3147864.15</v>
      </c>
      <c r="N28" s="5">
        <f>SUM($E21:N21)</f>
        <v>3505776.65</v>
      </c>
      <c r="O28" s="5">
        <f>SUM($E21:O21)</f>
        <v>4018634.15</v>
      </c>
      <c r="P28" s="5">
        <f>SUM($E21:P21)</f>
        <v>4595256.6500000004</v>
      </c>
    </row>
    <row r="29" spans="3:17" x14ac:dyDescent="0.35">
      <c r="D29" s="3" t="str">
        <f t="shared" si="4"/>
        <v>Difference</v>
      </c>
      <c r="E29" s="5">
        <f>SUM($E22:E22)</f>
        <v>-14847.016733960656</v>
      </c>
      <c r="F29" s="5">
        <f>SUM($E22:F22)</f>
        <v>-19187.315336433705</v>
      </c>
      <c r="G29" s="5">
        <f>SUM($E22:G22)</f>
        <v>-23381.019442187622</v>
      </c>
      <c r="H29" s="5">
        <f>SUM($E22:H22)</f>
        <v>-52328.250825719966</v>
      </c>
      <c r="I29" s="5">
        <f>SUM($E22:I22)</f>
        <v>-161134.1294383909</v>
      </c>
      <c r="J29" s="5">
        <f>SUM($E22:J22)</f>
        <v>-320916.27344463638</v>
      </c>
      <c r="K29" s="5">
        <f>SUM($E22:K22)</f>
        <v>-233697.29925728572</v>
      </c>
      <c r="L29" s="5">
        <f>SUM($E22:L22)</f>
        <v>-256667.32157201128</v>
      </c>
      <c r="M29" s="5">
        <f>SUM($E22:M22)</f>
        <v>-256667.32157201128</v>
      </c>
      <c r="N29" s="5">
        <f>SUM($E22:N22)</f>
        <v>-256667.32157201128</v>
      </c>
      <c r="O29" s="5">
        <f>SUM($E22:O22)</f>
        <v>-256667.32157201128</v>
      </c>
      <c r="P29" s="5">
        <f>SUM($E22:P22)</f>
        <v>-256667.32157201128</v>
      </c>
    </row>
    <row r="30" spans="3:17" x14ac:dyDescent="0.35">
      <c r="D30" s="3" t="str">
        <f t="shared" si="4"/>
        <v>Realisation</v>
      </c>
      <c r="E30" s="9">
        <f>E28/E26</f>
        <v>0.6244789929829726</v>
      </c>
      <c r="F30" s="9">
        <f t="shared" ref="F30:P30" si="5">F27/F26</f>
        <v>0.97973974866200408</v>
      </c>
      <c r="G30" s="9">
        <f t="shared" si="5"/>
        <v>0.98357663338969237</v>
      </c>
      <c r="H30" s="9">
        <f t="shared" si="5"/>
        <v>0.97249208908066542</v>
      </c>
      <c r="I30" s="9">
        <f t="shared" si="5"/>
        <v>0.93238200538436355</v>
      </c>
      <c r="J30" s="9">
        <f t="shared" si="5"/>
        <v>0.88801738771865502</v>
      </c>
      <c r="K30" s="9">
        <f t="shared" si="5"/>
        <v>0.93025178789413465</v>
      </c>
      <c r="L30" s="9">
        <f t="shared" si="5"/>
        <v>0.93311521998143887</v>
      </c>
      <c r="M30" s="9">
        <f t="shared" si="5"/>
        <v>0.82766385898423644</v>
      </c>
      <c r="N30" s="9">
        <f t="shared" si="5"/>
        <v>0.74330951027065895</v>
      </c>
      <c r="O30" s="9">
        <f t="shared" si="5"/>
        <v>0.67429840503779281</v>
      </c>
      <c r="P30" s="9">
        <f t="shared" si="5"/>
        <v>0.61679469769885431</v>
      </c>
    </row>
  </sheetData>
  <mergeCells count="2">
    <mergeCell ref="J4:Q8"/>
    <mergeCell ref="J10:Q15"/>
  </mergeCells>
  <conditionalFormatting sqref="C3">
    <cfRule type="expression" dxfId="107" priority="2">
      <formula>S4&lt;S6</formula>
    </cfRule>
  </conditionalFormatting>
  <conditionalFormatting sqref="C5">
    <cfRule type="expression" dxfId="106" priority="3">
      <formula>S4&gt;=S5</formula>
    </cfRule>
  </conditionalFormatting>
  <conditionalFormatting sqref="C4">
    <cfRule type="expression" dxfId="105" priority="1">
      <formula>AND(S4&gt;=S6,S4&lt;S5)</formula>
    </cfRule>
  </conditionalFormatting>
  <hyperlinks>
    <hyperlink ref="L1" location="Dashboard!A1" display="Dashboard"/>
  </hyperlinks>
  <pageMargins left="0.7" right="0.7" top="0.75" bottom="0.75" header="0.3" footer="0.3"/>
  <pageSetup orientation="portrait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64961" r:id="rId4" name="Spinner 1">
              <controlPr defaultSize="0" autoPict="0">
                <anchor moveWithCells="1" sizeWithCells="1">
                  <from>
                    <xdr:col>9</xdr:col>
                    <xdr:colOff>19050</xdr:colOff>
                    <xdr:row>0</xdr:row>
                    <xdr:rowOff>38100</xdr:rowOff>
                  </from>
                  <to>
                    <xdr:col>9</xdr:col>
                    <xdr:colOff>400050</xdr:colOff>
                    <xdr:row>1</xdr:row>
                    <xdr:rowOff>152400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16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129"/>
  <dimension ref="A1:S30"/>
  <sheetViews>
    <sheetView zoomScale="90" zoomScaleNormal="90" workbookViewId="0">
      <selection activeCell="L1" sqref="L1"/>
    </sheetView>
  </sheetViews>
  <sheetFormatPr defaultColWidth="9.1796875" defaultRowHeight="14.5" x14ac:dyDescent="0.35"/>
  <cols>
    <col min="1" max="1" width="9.1796875" style="3"/>
    <col min="2" max="2" width="5.7265625" style="3" bestFit="1" customWidth="1"/>
    <col min="3" max="3" width="6.26953125" style="3" customWidth="1"/>
    <col min="4" max="4" width="21.26953125" style="3" bestFit="1" customWidth="1"/>
    <col min="5" max="16" width="11.1796875" style="3" customWidth="1"/>
    <col min="17" max="17" width="12" style="3" bestFit="1" customWidth="1"/>
    <col min="18" max="18" width="9.1796875" style="3" customWidth="1"/>
    <col min="19" max="16384" width="9.1796875" style="3"/>
  </cols>
  <sheetData>
    <row r="1" spans="1:19" ht="21" x14ac:dyDescent="0.5">
      <c r="A1" s="4" t="s">
        <v>4</v>
      </c>
      <c r="B1" s="4">
        <f>Dashboard!A178</f>
        <v>3</v>
      </c>
      <c r="C1" s="4" t="str">
        <f>Dashboard!B178</f>
        <v>MAI-MAHIU- SEWER(KES)</v>
      </c>
      <c r="D1" s="4"/>
      <c r="G1" s="3" t="s">
        <v>9</v>
      </c>
      <c r="I1" s="12">
        <f>INDEX($E$18:$P$18,Actual_month)</f>
        <v>46054</v>
      </c>
      <c r="L1" s="16" t="s">
        <v>19</v>
      </c>
      <c r="R1" s="5"/>
    </row>
    <row r="2" spans="1:19" x14ac:dyDescent="0.35">
      <c r="A2" s="3" t="s">
        <v>13</v>
      </c>
      <c r="C2" s="3" t="s">
        <v>27</v>
      </c>
      <c r="R2" s="6"/>
    </row>
    <row r="3" spans="1:19" ht="25.5" customHeight="1" thickBot="1" x14ac:dyDescent="0.4">
      <c r="C3" s="1" t="s">
        <v>5</v>
      </c>
      <c r="E3" s="10"/>
      <c r="F3" s="10"/>
      <c r="G3" s="10"/>
      <c r="H3" s="10"/>
      <c r="I3" s="10"/>
      <c r="J3" s="3" t="s">
        <v>6</v>
      </c>
      <c r="K3" s="10"/>
      <c r="M3" s="10"/>
      <c r="N3" s="10"/>
      <c r="O3" s="10"/>
      <c r="P3" s="10"/>
    </row>
    <row r="4" spans="1:19" ht="25.5" customHeight="1" x14ac:dyDescent="0.35">
      <c r="C4" s="1" t="s">
        <v>5</v>
      </c>
      <c r="E4" s="10"/>
      <c r="F4" s="10"/>
      <c r="G4" s="10"/>
      <c r="H4" s="10"/>
      <c r="I4" s="10"/>
      <c r="J4" s="401"/>
      <c r="K4" s="402"/>
      <c r="L4" s="402"/>
      <c r="M4" s="402"/>
      <c r="N4" s="402"/>
      <c r="O4" s="402"/>
      <c r="P4" s="402"/>
      <c r="Q4" s="403"/>
      <c r="R4" s="3" t="s">
        <v>22</v>
      </c>
      <c r="S4" s="5">
        <f>INDEX(E27:P27,Actual_month)</f>
        <v>0</v>
      </c>
    </row>
    <row r="5" spans="1:19" ht="25.5" customHeight="1" x14ac:dyDescent="0.35">
      <c r="C5" s="1" t="s">
        <v>5</v>
      </c>
      <c r="E5" s="10"/>
      <c r="F5" s="10"/>
      <c r="G5" s="10"/>
      <c r="H5" s="10"/>
      <c r="I5" s="10"/>
      <c r="J5" s="404"/>
      <c r="K5" s="405"/>
      <c r="L5" s="405"/>
      <c r="M5" s="405"/>
      <c r="N5" s="405"/>
      <c r="O5" s="405"/>
      <c r="P5" s="405"/>
      <c r="Q5" s="406"/>
      <c r="R5" s="3" t="s">
        <v>23</v>
      </c>
      <c r="S5" s="5">
        <f>INDEX(E26:P26,Actual_month)</f>
        <v>0</v>
      </c>
    </row>
    <row r="6" spans="1:19" x14ac:dyDescent="0.35">
      <c r="J6" s="404"/>
      <c r="K6" s="405"/>
      <c r="L6" s="405"/>
      <c r="M6" s="405"/>
      <c r="N6" s="405"/>
      <c r="O6" s="405"/>
      <c r="P6" s="405"/>
      <c r="Q6" s="406"/>
      <c r="R6" s="6">
        <v>0.9</v>
      </c>
      <c r="S6" s="5">
        <f>+S5*R6</f>
        <v>0</v>
      </c>
    </row>
    <row r="7" spans="1:19" x14ac:dyDescent="0.35">
      <c r="J7" s="404"/>
      <c r="K7" s="405"/>
      <c r="L7" s="405"/>
      <c r="M7" s="405"/>
      <c r="N7" s="405"/>
      <c r="O7" s="405"/>
      <c r="P7" s="405"/>
      <c r="Q7" s="406"/>
    </row>
    <row r="8" spans="1:19" ht="15" thickBot="1" x14ac:dyDescent="0.4">
      <c r="J8" s="407"/>
      <c r="K8" s="408"/>
      <c r="L8" s="408"/>
      <c r="M8" s="408"/>
      <c r="N8" s="408"/>
      <c r="O8" s="408"/>
      <c r="P8" s="408"/>
      <c r="Q8" s="409"/>
    </row>
    <row r="9" spans="1:19" ht="15" thickBot="1" x14ac:dyDescent="0.4">
      <c r="J9" s="3" t="s">
        <v>12</v>
      </c>
    </row>
    <row r="10" spans="1:19" x14ac:dyDescent="0.35">
      <c r="J10" s="401"/>
      <c r="K10" s="402"/>
      <c r="L10" s="402"/>
      <c r="M10" s="402"/>
      <c r="N10" s="402"/>
      <c r="O10" s="402"/>
      <c r="P10" s="402"/>
      <c r="Q10" s="403"/>
    </row>
    <row r="11" spans="1:19" x14ac:dyDescent="0.35">
      <c r="J11" s="404"/>
      <c r="K11" s="405"/>
      <c r="L11" s="405"/>
      <c r="M11" s="405"/>
      <c r="N11" s="405"/>
      <c r="O11" s="405"/>
      <c r="P11" s="405"/>
      <c r="Q11" s="406"/>
    </row>
    <row r="12" spans="1:19" x14ac:dyDescent="0.35">
      <c r="J12" s="404"/>
      <c r="K12" s="405"/>
      <c r="L12" s="405"/>
      <c r="M12" s="405"/>
      <c r="N12" s="405"/>
      <c r="O12" s="405"/>
      <c r="P12" s="405"/>
      <c r="Q12" s="406"/>
    </row>
    <row r="13" spans="1:19" x14ac:dyDescent="0.35">
      <c r="J13" s="404"/>
      <c r="K13" s="405"/>
      <c r="L13" s="405"/>
      <c r="M13" s="405"/>
      <c r="N13" s="405"/>
      <c r="O13" s="405"/>
      <c r="P13" s="405"/>
      <c r="Q13" s="406"/>
    </row>
    <row r="14" spans="1:19" x14ac:dyDescent="0.35">
      <c r="J14" s="404"/>
      <c r="K14" s="405"/>
      <c r="L14" s="405"/>
      <c r="M14" s="405"/>
      <c r="N14" s="405"/>
      <c r="O14" s="405"/>
      <c r="P14" s="405"/>
      <c r="Q14" s="406"/>
    </row>
    <row r="15" spans="1:19" ht="15" thickBot="1" x14ac:dyDescent="0.4">
      <c r="J15" s="407"/>
      <c r="K15" s="408"/>
      <c r="L15" s="408"/>
      <c r="M15" s="408"/>
      <c r="N15" s="408"/>
      <c r="O15" s="408"/>
      <c r="P15" s="408"/>
      <c r="Q15" s="409"/>
    </row>
    <row r="18" spans="3:17" x14ac:dyDescent="0.35">
      <c r="C18" s="7" t="s">
        <v>8</v>
      </c>
      <c r="E18" s="11">
        <v>45839</v>
      </c>
      <c r="F18" s="11">
        <v>45870</v>
      </c>
      <c r="G18" s="11">
        <v>45901</v>
      </c>
      <c r="H18" s="11">
        <v>45931</v>
      </c>
      <c r="I18" s="11">
        <v>45962</v>
      </c>
      <c r="J18" s="11">
        <v>45992</v>
      </c>
      <c r="K18" s="11">
        <v>46023</v>
      </c>
      <c r="L18" s="11">
        <v>46054</v>
      </c>
      <c r="M18" s="11">
        <v>46082</v>
      </c>
      <c r="N18" s="11">
        <v>46113</v>
      </c>
      <c r="O18" s="11">
        <v>46143</v>
      </c>
      <c r="P18" s="11">
        <v>46174</v>
      </c>
      <c r="Q18" s="8" t="s">
        <v>0</v>
      </c>
    </row>
    <row r="19" spans="3:17" x14ac:dyDescent="0.35">
      <c r="D19" s="3" t="s">
        <v>501</v>
      </c>
      <c r="E19" s="49">
        <f>'budget 2025-26'!D168</f>
        <v>0</v>
      </c>
      <c r="F19" s="49">
        <f>'budget 2025-26'!E168</f>
        <v>0</v>
      </c>
      <c r="G19" s="49">
        <f>'budget 2025-26'!F168</f>
        <v>0</v>
      </c>
      <c r="H19" s="49">
        <f>'budget 2025-26'!G168</f>
        <v>0</v>
      </c>
      <c r="I19" s="49">
        <f>'budget 2025-26'!H168</f>
        <v>0</v>
      </c>
      <c r="J19" s="49">
        <f>'budget 2025-26'!I168</f>
        <v>0</v>
      </c>
      <c r="K19" s="49">
        <f>'budget 2025-26'!J168</f>
        <v>0</v>
      </c>
      <c r="L19" s="49">
        <f>'budget 2025-26'!K168</f>
        <v>0</v>
      </c>
      <c r="M19" s="49">
        <f>'budget 2025-26'!L168</f>
        <v>0</v>
      </c>
      <c r="N19" s="49">
        <f>'budget 2025-26'!M168</f>
        <v>0</v>
      </c>
      <c r="O19" s="49">
        <f>'budget 2025-26'!N168</f>
        <v>0</v>
      </c>
      <c r="P19" s="49">
        <f>'budget 2025-26'!O168</f>
        <v>0</v>
      </c>
      <c r="Q19" s="5">
        <f>SUM(E19:P19)</f>
        <v>0</v>
      </c>
    </row>
    <row r="20" spans="3:17" x14ac:dyDescent="0.35">
      <c r="D20" s="3" t="s">
        <v>502</v>
      </c>
      <c r="E20" s="49">
        <f>'Input Actual2025-26'!E171</f>
        <v>0</v>
      </c>
      <c r="F20" s="49">
        <f>'Input Actual2025-26'!F171</f>
        <v>0</v>
      </c>
      <c r="G20" s="49">
        <f>'Input Actual2025-26'!G171</f>
        <v>0</v>
      </c>
      <c r="H20" s="49">
        <f>'Input Actual2025-26'!H171</f>
        <v>0</v>
      </c>
      <c r="I20" s="49">
        <f>'Input Actual2025-26'!I171</f>
        <v>0</v>
      </c>
      <c r="J20" s="49">
        <f>'Input Actual2025-26'!J171</f>
        <v>0</v>
      </c>
      <c r="K20" s="49">
        <f>'Input Actual2025-26'!K171</f>
        <v>0</v>
      </c>
      <c r="L20" s="49">
        <f>'Input Actual2025-26'!L171</f>
        <v>0</v>
      </c>
      <c r="M20" s="49">
        <f>'Input Actual2025-26'!M171</f>
        <v>0</v>
      </c>
      <c r="N20" s="49">
        <f>'Input Actual2025-26'!N171</f>
        <v>0</v>
      </c>
      <c r="O20" s="49">
        <f>'Input Actual2025-26'!O171</f>
        <v>0</v>
      </c>
      <c r="P20" s="49">
        <f>'Input Actual2025-26'!P171</f>
        <v>0</v>
      </c>
      <c r="Q20" s="5">
        <f t="shared" ref="Q20:Q22" si="0">SUM(E20:P20)</f>
        <v>0</v>
      </c>
    </row>
    <row r="21" spans="3:17" x14ac:dyDescent="0.35">
      <c r="D21" s="3" t="s">
        <v>424</v>
      </c>
      <c r="E21" s="49">
        <f>'Input Actual2024-25'!E158</f>
        <v>0</v>
      </c>
      <c r="F21" s="49">
        <f>'Input Actual2024-25'!F158</f>
        <v>0</v>
      </c>
      <c r="G21" s="49">
        <f>'Input Actual2024-25'!G158</f>
        <v>0</v>
      </c>
      <c r="H21" s="49">
        <f>'Input Actual2024-25'!H158</f>
        <v>0</v>
      </c>
      <c r="I21" s="49">
        <f>'Input Actual2024-25'!I158</f>
        <v>0</v>
      </c>
      <c r="J21" s="49">
        <f>'Input Actual2024-25'!J158</f>
        <v>0</v>
      </c>
      <c r="K21" s="49">
        <f>'Input Actual2024-25'!K158</f>
        <v>0</v>
      </c>
      <c r="L21" s="49">
        <f>'Input Actual2024-25'!L158</f>
        <v>0</v>
      </c>
      <c r="M21" s="49">
        <f>'Input Actual2024-25'!M158</f>
        <v>0</v>
      </c>
      <c r="N21" s="49">
        <f>'Input Actual2024-25'!N158</f>
        <v>0</v>
      </c>
      <c r="O21" s="49">
        <f>'Input Actual2024-25'!O158</f>
        <v>0</v>
      </c>
      <c r="P21" s="49">
        <f>'Input Actual2024-25'!P158</f>
        <v>0</v>
      </c>
      <c r="Q21" s="5">
        <f t="shared" si="0"/>
        <v>0</v>
      </c>
    </row>
    <row r="22" spans="3:17" x14ac:dyDescent="0.35">
      <c r="D22" s="3" t="s">
        <v>7</v>
      </c>
      <c r="E22" s="5">
        <f t="shared" ref="E22:P22" si="1">IF(E20=0,0,E20-E19)</f>
        <v>0</v>
      </c>
      <c r="F22" s="5">
        <f t="shared" si="1"/>
        <v>0</v>
      </c>
      <c r="G22" s="5">
        <f t="shared" si="1"/>
        <v>0</v>
      </c>
      <c r="H22" s="5">
        <f t="shared" si="1"/>
        <v>0</v>
      </c>
      <c r="I22" s="5">
        <f t="shared" si="1"/>
        <v>0</v>
      </c>
      <c r="J22" s="5">
        <f t="shared" si="1"/>
        <v>0</v>
      </c>
      <c r="K22" s="5">
        <f t="shared" si="1"/>
        <v>0</v>
      </c>
      <c r="L22" s="5">
        <f t="shared" si="1"/>
        <v>0</v>
      </c>
      <c r="M22" s="5">
        <f t="shared" si="1"/>
        <v>0</v>
      </c>
      <c r="N22" s="5">
        <f t="shared" si="1"/>
        <v>0</v>
      </c>
      <c r="O22" s="5">
        <f t="shared" si="1"/>
        <v>0</v>
      </c>
      <c r="P22" s="5">
        <f t="shared" si="1"/>
        <v>0</v>
      </c>
      <c r="Q22" s="5">
        <f t="shared" si="0"/>
        <v>0</v>
      </c>
    </row>
    <row r="23" spans="3:17" x14ac:dyDescent="0.35">
      <c r="D23" s="3" t="s">
        <v>43</v>
      </c>
      <c r="E23" s="9" t="e">
        <f>E21/E19</f>
        <v>#DIV/0!</v>
      </c>
      <c r="F23" s="9" t="e">
        <f t="shared" ref="F23:P23" si="2">F20/F19</f>
        <v>#DIV/0!</v>
      </c>
      <c r="G23" s="9" t="e">
        <f t="shared" si="2"/>
        <v>#DIV/0!</v>
      </c>
      <c r="H23" s="9" t="e">
        <f t="shared" si="2"/>
        <v>#DIV/0!</v>
      </c>
      <c r="I23" s="9" t="e">
        <f t="shared" si="2"/>
        <v>#DIV/0!</v>
      </c>
      <c r="J23" s="9" t="e">
        <f t="shared" si="2"/>
        <v>#DIV/0!</v>
      </c>
      <c r="K23" s="9" t="e">
        <f t="shared" si="2"/>
        <v>#DIV/0!</v>
      </c>
      <c r="L23" s="9" t="e">
        <f t="shared" si="2"/>
        <v>#DIV/0!</v>
      </c>
      <c r="M23" s="9" t="e">
        <f t="shared" si="2"/>
        <v>#DIV/0!</v>
      </c>
      <c r="N23" s="9" t="e">
        <f t="shared" si="2"/>
        <v>#DIV/0!</v>
      </c>
      <c r="O23" s="9" t="e">
        <f t="shared" si="2"/>
        <v>#DIV/0!</v>
      </c>
      <c r="P23" s="9" t="e">
        <f t="shared" si="2"/>
        <v>#DIV/0!</v>
      </c>
    </row>
    <row r="25" spans="3:17" x14ac:dyDescent="0.35">
      <c r="C25" s="7" t="s">
        <v>3</v>
      </c>
      <c r="E25" s="11">
        <f>E18</f>
        <v>45839</v>
      </c>
      <c r="F25" s="11">
        <f t="shared" ref="F25:P25" si="3">F18</f>
        <v>45870</v>
      </c>
      <c r="G25" s="11">
        <f t="shared" si="3"/>
        <v>45901</v>
      </c>
      <c r="H25" s="11">
        <f t="shared" si="3"/>
        <v>45931</v>
      </c>
      <c r="I25" s="11">
        <f t="shared" si="3"/>
        <v>45962</v>
      </c>
      <c r="J25" s="11">
        <f t="shared" si="3"/>
        <v>45992</v>
      </c>
      <c r="K25" s="11">
        <f t="shared" si="3"/>
        <v>46023</v>
      </c>
      <c r="L25" s="11">
        <f t="shared" si="3"/>
        <v>46054</v>
      </c>
      <c r="M25" s="11">
        <f t="shared" si="3"/>
        <v>46082</v>
      </c>
      <c r="N25" s="11">
        <f t="shared" si="3"/>
        <v>46113</v>
      </c>
      <c r="O25" s="11">
        <f t="shared" si="3"/>
        <v>46143</v>
      </c>
      <c r="P25" s="11">
        <f t="shared" si="3"/>
        <v>46174</v>
      </c>
    </row>
    <row r="26" spans="3:17" x14ac:dyDescent="0.35">
      <c r="D26" s="3" t="str">
        <f>D19</f>
        <v>Budget 2025-26</v>
      </c>
      <c r="E26" s="5">
        <f>SUM($E19:E19)</f>
        <v>0</v>
      </c>
      <c r="F26" s="5">
        <f>SUM($E19:F19)</f>
        <v>0</v>
      </c>
      <c r="G26" s="5">
        <f>SUM($E19:G19)</f>
        <v>0</v>
      </c>
      <c r="H26" s="5">
        <f>SUM($E19:H19)</f>
        <v>0</v>
      </c>
      <c r="I26" s="5">
        <f>SUM($E19:I19)</f>
        <v>0</v>
      </c>
      <c r="J26" s="5">
        <f>SUM($E19:J19)</f>
        <v>0</v>
      </c>
      <c r="K26" s="5">
        <f>SUM($E19:K19)</f>
        <v>0</v>
      </c>
      <c r="L26" s="5">
        <f>SUM($E19:L19)</f>
        <v>0</v>
      </c>
      <c r="M26" s="5">
        <f>SUM($E19:M19)</f>
        <v>0</v>
      </c>
      <c r="N26" s="5">
        <f>SUM($E19:N19)</f>
        <v>0</v>
      </c>
      <c r="O26" s="5">
        <f>SUM($E19:O19)</f>
        <v>0</v>
      </c>
      <c r="P26" s="5">
        <f>SUM($E19:P19)</f>
        <v>0</v>
      </c>
    </row>
    <row r="27" spans="3:17" x14ac:dyDescent="0.35">
      <c r="D27" s="3" t="str">
        <f t="shared" ref="D27:D30" si="4">D20</f>
        <v>Actual 2025-26</v>
      </c>
      <c r="E27" s="5">
        <f>SUM($E20:E20)</f>
        <v>0</v>
      </c>
      <c r="F27" s="5">
        <f>SUM($E20:F20)</f>
        <v>0</v>
      </c>
      <c r="G27" s="5">
        <f>SUM($E20:G20)</f>
        <v>0</v>
      </c>
      <c r="H27" s="5">
        <f>SUM($E20:H20)</f>
        <v>0</v>
      </c>
      <c r="I27" s="5">
        <f>SUM($E20:I20)</f>
        <v>0</v>
      </c>
      <c r="J27" s="5">
        <f>SUM($E20:J20)</f>
        <v>0</v>
      </c>
      <c r="K27" s="5">
        <f>SUM($E20:K20)</f>
        <v>0</v>
      </c>
      <c r="L27" s="5">
        <f>SUM($E20:L20)</f>
        <v>0</v>
      </c>
      <c r="M27" s="5">
        <f>SUM($E20:M20)</f>
        <v>0</v>
      </c>
      <c r="N27" s="5">
        <f>SUM($E20:N20)</f>
        <v>0</v>
      </c>
      <c r="O27" s="5">
        <f>SUM($E20:O20)</f>
        <v>0</v>
      </c>
      <c r="P27" s="5">
        <f>SUM($E20:P20)</f>
        <v>0</v>
      </c>
    </row>
    <row r="28" spans="3:17" x14ac:dyDescent="0.35">
      <c r="D28" s="3" t="str">
        <f t="shared" si="4"/>
        <v>Actual 2024-25</v>
      </c>
      <c r="E28" s="5">
        <f>SUM($E21:E21)</f>
        <v>0</v>
      </c>
      <c r="F28" s="5">
        <f>SUM($E21:F21)</f>
        <v>0</v>
      </c>
      <c r="G28" s="5">
        <f>SUM($E21:G21)</f>
        <v>0</v>
      </c>
      <c r="H28" s="5">
        <f>SUM($E21:H21)</f>
        <v>0</v>
      </c>
      <c r="I28" s="5">
        <f>SUM($E21:I21)</f>
        <v>0</v>
      </c>
      <c r="J28" s="5">
        <f>SUM($E21:J21)</f>
        <v>0</v>
      </c>
      <c r="K28" s="5">
        <f>SUM($E21:K21)</f>
        <v>0</v>
      </c>
      <c r="L28" s="5">
        <f>SUM($E21:L21)</f>
        <v>0</v>
      </c>
      <c r="M28" s="5">
        <f>SUM($E21:M21)</f>
        <v>0</v>
      </c>
      <c r="N28" s="5">
        <f>SUM($E21:N21)</f>
        <v>0</v>
      </c>
      <c r="O28" s="5">
        <f>SUM($E21:O21)</f>
        <v>0</v>
      </c>
      <c r="P28" s="5">
        <f>SUM($E21:P21)</f>
        <v>0</v>
      </c>
    </row>
    <row r="29" spans="3:17" x14ac:dyDescent="0.35">
      <c r="D29" s="3" t="str">
        <f t="shared" si="4"/>
        <v>Difference</v>
      </c>
      <c r="E29" s="5">
        <f>SUM($E22:E22)</f>
        <v>0</v>
      </c>
      <c r="F29" s="5">
        <f>SUM($E22:F22)</f>
        <v>0</v>
      </c>
      <c r="G29" s="5">
        <f>SUM($E22:G22)</f>
        <v>0</v>
      </c>
      <c r="H29" s="5">
        <f>SUM($E22:H22)</f>
        <v>0</v>
      </c>
      <c r="I29" s="5">
        <f>SUM($E22:I22)</f>
        <v>0</v>
      </c>
      <c r="J29" s="5">
        <f>SUM($E22:J22)</f>
        <v>0</v>
      </c>
      <c r="K29" s="5">
        <f>SUM($E22:K22)</f>
        <v>0</v>
      </c>
      <c r="L29" s="5">
        <f>SUM($E22:L22)</f>
        <v>0</v>
      </c>
      <c r="M29" s="5">
        <f>SUM($E22:M22)</f>
        <v>0</v>
      </c>
      <c r="N29" s="5">
        <f>SUM($E22:N22)</f>
        <v>0</v>
      </c>
      <c r="O29" s="5">
        <f>SUM($E22:O22)</f>
        <v>0</v>
      </c>
      <c r="P29" s="5">
        <f>SUM($E22:P22)</f>
        <v>0</v>
      </c>
    </row>
    <row r="30" spans="3:17" x14ac:dyDescent="0.35">
      <c r="D30" s="3" t="str">
        <f t="shared" si="4"/>
        <v>Realisation</v>
      </c>
      <c r="E30" s="9" t="e">
        <f>E28/E26</f>
        <v>#DIV/0!</v>
      </c>
      <c r="F30" s="9" t="e">
        <f t="shared" ref="F30:P30" si="5">F27/F26</f>
        <v>#DIV/0!</v>
      </c>
      <c r="G30" s="9" t="e">
        <f t="shared" si="5"/>
        <v>#DIV/0!</v>
      </c>
      <c r="H30" s="9" t="e">
        <f t="shared" si="5"/>
        <v>#DIV/0!</v>
      </c>
      <c r="I30" s="9" t="e">
        <f t="shared" si="5"/>
        <v>#DIV/0!</v>
      </c>
      <c r="J30" s="9" t="e">
        <f t="shared" si="5"/>
        <v>#DIV/0!</v>
      </c>
      <c r="K30" s="9" t="e">
        <f t="shared" si="5"/>
        <v>#DIV/0!</v>
      </c>
      <c r="L30" s="9" t="e">
        <f t="shared" si="5"/>
        <v>#DIV/0!</v>
      </c>
      <c r="M30" s="9" t="e">
        <f t="shared" si="5"/>
        <v>#DIV/0!</v>
      </c>
      <c r="N30" s="9" t="e">
        <f t="shared" si="5"/>
        <v>#DIV/0!</v>
      </c>
      <c r="O30" s="9" t="e">
        <f t="shared" si="5"/>
        <v>#DIV/0!</v>
      </c>
      <c r="P30" s="9" t="e">
        <f t="shared" si="5"/>
        <v>#DIV/0!</v>
      </c>
    </row>
  </sheetData>
  <mergeCells count="2">
    <mergeCell ref="J4:Q8"/>
    <mergeCell ref="J10:Q15"/>
  </mergeCells>
  <conditionalFormatting sqref="C3">
    <cfRule type="expression" dxfId="104" priority="2">
      <formula>S4&lt;S6</formula>
    </cfRule>
  </conditionalFormatting>
  <conditionalFormatting sqref="C5">
    <cfRule type="expression" dxfId="103" priority="3">
      <formula>S4&gt;=S5</formula>
    </cfRule>
  </conditionalFormatting>
  <conditionalFormatting sqref="C4">
    <cfRule type="expression" dxfId="102" priority="1">
      <formula>AND(S4&gt;=S6,S4&lt;S5)</formula>
    </cfRule>
  </conditionalFormatting>
  <hyperlinks>
    <hyperlink ref="L1" location="Dashboard!A1" display="Dashboard"/>
  </hyperlinks>
  <pageMargins left="0.7" right="0.7" top="0.75" bottom="0.75" header="0.3" footer="0.3"/>
  <pageSetup orientation="portrait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65985" r:id="rId4" name="Spinner 1">
              <controlPr defaultSize="0" autoPict="0">
                <anchor moveWithCells="1" sizeWithCells="1">
                  <from>
                    <xdr:col>9</xdr:col>
                    <xdr:colOff>19050</xdr:colOff>
                    <xdr:row>0</xdr:row>
                    <xdr:rowOff>38100</xdr:rowOff>
                  </from>
                  <to>
                    <xdr:col>9</xdr:col>
                    <xdr:colOff>400050</xdr:colOff>
                    <xdr:row>1</xdr:row>
                    <xdr:rowOff>152400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16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130"/>
  <dimension ref="A1:S30"/>
  <sheetViews>
    <sheetView zoomScale="90" zoomScaleNormal="90" workbookViewId="0">
      <selection activeCell="L1" sqref="L1"/>
    </sheetView>
  </sheetViews>
  <sheetFormatPr defaultColWidth="9.1796875" defaultRowHeight="14.5" x14ac:dyDescent="0.35"/>
  <cols>
    <col min="1" max="1" width="9.1796875" style="3"/>
    <col min="2" max="2" width="5.7265625" style="3" bestFit="1" customWidth="1"/>
    <col min="3" max="3" width="6.26953125" style="3" customWidth="1"/>
    <col min="4" max="4" width="21.26953125" style="3" bestFit="1" customWidth="1"/>
    <col min="5" max="16" width="11.1796875" style="3" customWidth="1"/>
    <col min="17" max="17" width="12" style="3" bestFit="1" customWidth="1"/>
    <col min="18" max="18" width="9.1796875" style="3" customWidth="1"/>
    <col min="19" max="16384" width="9.1796875" style="3"/>
  </cols>
  <sheetData>
    <row r="1" spans="1:19" ht="21" x14ac:dyDescent="0.5">
      <c r="A1" s="4" t="s">
        <v>4</v>
      </c>
      <c r="B1" s="4">
        <f>Dashboard!A179</f>
        <v>0</v>
      </c>
      <c r="C1" s="4" t="str">
        <f>Dashboard!B179</f>
        <v>TOTAL SEWER SALES-SOUTHERN</v>
      </c>
      <c r="D1" s="4"/>
      <c r="G1" s="3" t="s">
        <v>9</v>
      </c>
      <c r="I1" s="12">
        <f>INDEX($E$18:$P$18,Actual_month)</f>
        <v>46054</v>
      </c>
      <c r="L1" s="16" t="s">
        <v>19</v>
      </c>
      <c r="R1" s="5"/>
    </row>
    <row r="2" spans="1:19" x14ac:dyDescent="0.35">
      <c r="A2" s="3" t="s">
        <v>13</v>
      </c>
      <c r="C2" s="3" t="s">
        <v>27</v>
      </c>
      <c r="R2" s="6"/>
    </row>
    <row r="3" spans="1:19" ht="25.5" customHeight="1" thickBot="1" x14ac:dyDescent="0.4">
      <c r="C3" s="1" t="s">
        <v>5</v>
      </c>
      <c r="E3" s="10"/>
      <c r="F3" s="10"/>
      <c r="G3" s="10"/>
      <c r="H3" s="10"/>
      <c r="I3" s="10"/>
      <c r="J3" s="3" t="s">
        <v>6</v>
      </c>
      <c r="K3" s="10"/>
      <c r="M3" s="10"/>
      <c r="N3" s="10"/>
      <c r="O3" s="10"/>
      <c r="P3" s="10"/>
    </row>
    <row r="4" spans="1:19" ht="25.5" customHeight="1" x14ac:dyDescent="0.35">
      <c r="C4" s="1" t="s">
        <v>5</v>
      </c>
      <c r="E4" s="10"/>
      <c r="F4" s="10"/>
      <c r="G4" s="10"/>
      <c r="H4" s="10"/>
      <c r="I4" s="10"/>
      <c r="J4" s="401"/>
      <c r="K4" s="402"/>
      <c r="L4" s="402"/>
      <c r="M4" s="402"/>
      <c r="N4" s="402"/>
      <c r="O4" s="402"/>
      <c r="P4" s="402"/>
      <c r="Q4" s="403"/>
      <c r="R4" s="3" t="s">
        <v>22</v>
      </c>
      <c r="S4" s="5">
        <f>INDEX(E27:P27,Actual_month)</f>
        <v>0</v>
      </c>
    </row>
    <row r="5" spans="1:19" ht="25.5" customHeight="1" x14ac:dyDescent="0.35">
      <c r="C5" s="1" t="s">
        <v>5</v>
      </c>
      <c r="E5" s="10"/>
      <c r="F5" s="10"/>
      <c r="G5" s="10"/>
      <c r="H5" s="10"/>
      <c r="I5" s="10"/>
      <c r="J5" s="404"/>
      <c r="K5" s="405"/>
      <c r="L5" s="405"/>
      <c r="M5" s="405"/>
      <c r="N5" s="405"/>
      <c r="O5" s="405"/>
      <c r="P5" s="405"/>
      <c r="Q5" s="406"/>
      <c r="R5" s="3" t="s">
        <v>23</v>
      </c>
      <c r="S5" s="5">
        <f>INDEX(E26:P26,Actual_month)</f>
        <v>0</v>
      </c>
    </row>
    <row r="6" spans="1:19" x14ac:dyDescent="0.35">
      <c r="J6" s="404"/>
      <c r="K6" s="405"/>
      <c r="L6" s="405"/>
      <c r="M6" s="405"/>
      <c r="N6" s="405"/>
      <c r="O6" s="405"/>
      <c r="P6" s="405"/>
      <c r="Q6" s="406"/>
      <c r="R6" s="6">
        <v>0.9</v>
      </c>
      <c r="S6" s="5">
        <f>+S5*R6</f>
        <v>0</v>
      </c>
    </row>
    <row r="7" spans="1:19" x14ac:dyDescent="0.35">
      <c r="J7" s="404"/>
      <c r="K7" s="405"/>
      <c r="L7" s="405"/>
      <c r="M7" s="405"/>
      <c r="N7" s="405"/>
      <c r="O7" s="405"/>
      <c r="P7" s="405"/>
      <c r="Q7" s="406"/>
    </row>
    <row r="8" spans="1:19" ht="15" thickBot="1" x14ac:dyDescent="0.4">
      <c r="J8" s="407"/>
      <c r="K8" s="408"/>
      <c r="L8" s="408"/>
      <c r="M8" s="408"/>
      <c r="N8" s="408"/>
      <c r="O8" s="408"/>
      <c r="P8" s="408"/>
      <c r="Q8" s="409"/>
    </row>
    <row r="9" spans="1:19" ht="15" thickBot="1" x14ac:dyDescent="0.4">
      <c r="J9" s="3" t="s">
        <v>12</v>
      </c>
    </row>
    <row r="10" spans="1:19" x14ac:dyDescent="0.35">
      <c r="J10" s="401"/>
      <c r="K10" s="402"/>
      <c r="L10" s="402"/>
      <c r="M10" s="402"/>
      <c r="N10" s="402"/>
      <c r="O10" s="402"/>
      <c r="P10" s="402"/>
      <c r="Q10" s="403"/>
    </row>
    <row r="11" spans="1:19" x14ac:dyDescent="0.35">
      <c r="J11" s="404"/>
      <c r="K11" s="405"/>
      <c r="L11" s="405"/>
      <c r="M11" s="405"/>
      <c r="N11" s="405"/>
      <c r="O11" s="405"/>
      <c r="P11" s="405"/>
      <c r="Q11" s="406"/>
    </row>
    <row r="12" spans="1:19" x14ac:dyDescent="0.35">
      <c r="J12" s="404"/>
      <c r="K12" s="405"/>
      <c r="L12" s="405"/>
      <c r="M12" s="405"/>
      <c r="N12" s="405"/>
      <c r="O12" s="405"/>
      <c r="P12" s="405"/>
      <c r="Q12" s="406"/>
    </row>
    <row r="13" spans="1:19" x14ac:dyDescent="0.35">
      <c r="J13" s="404"/>
      <c r="K13" s="405"/>
      <c r="L13" s="405"/>
      <c r="M13" s="405"/>
      <c r="N13" s="405"/>
      <c r="O13" s="405"/>
      <c r="P13" s="405"/>
      <c r="Q13" s="406"/>
    </row>
    <row r="14" spans="1:19" x14ac:dyDescent="0.35">
      <c r="J14" s="404"/>
      <c r="K14" s="405"/>
      <c r="L14" s="405"/>
      <c r="M14" s="405"/>
      <c r="N14" s="405"/>
      <c r="O14" s="405"/>
      <c r="P14" s="405"/>
      <c r="Q14" s="406"/>
    </row>
    <row r="15" spans="1:19" ht="15" thickBot="1" x14ac:dyDescent="0.4">
      <c r="J15" s="407"/>
      <c r="K15" s="408"/>
      <c r="L15" s="408"/>
      <c r="M15" s="408"/>
      <c r="N15" s="408"/>
      <c r="O15" s="408"/>
      <c r="P15" s="408"/>
      <c r="Q15" s="409"/>
    </row>
    <row r="18" spans="3:17" x14ac:dyDescent="0.35">
      <c r="C18" s="7" t="s">
        <v>8</v>
      </c>
      <c r="E18" s="11">
        <v>45839</v>
      </c>
      <c r="F18" s="11">
        <v>45870</v>
      </c>
      <c r="G18" s="11">
        <v>45901</v>
      </c>
      <c r="H18" s="11">
        <v>45931</v>
      </c>
      <c r="I18" s="11">
        <v>45962</v>
      </c>
      <c r="J18" s="11">
        <v>45992</v>
      </c>
      <c r="K18" s="11">
        <v>46023</v>
      </c>
      <c r="L18" s="11">
        <v>46054</v>
      </c>
      <c r="M18" s="11">
        <v>46082</v>
      </c>
      <c r="N18" s="11">
        <v>46113</v>
      </c>
      <c r="O18" s="11">
        <v>46143</v>
      </c>
      <c r="P18" s="11">
        <v>46174</v>
      </c>
      <c r="Q18" s="8" t="s">
        <v>0</v>
      </c>
    </row>
    <row r="19" spans="3:17" x14ac:dyDescent="0.35">
      <c r="D19" s="3" t="s">
        <v>501</v>
      </c>
      <c r="E19" s="49">
        <f>'budget 2025-26'!D169</f>
        <v>0</v>
      </c>
      <c r="F19" s="49">
        <f>'budget 2025-26'!E169</f>
        <v>0</v>
      </c>
      <c r="G19" s="49">
        <f>'budget 2025-26'!F169</f>
        <v>0</v>
      </c>
      <c r="H19" s="49">
        <f>'budget 2025-26'!G169</f>
        <v>0</v>
      </c>
      <c r="I19" s="49">
        <f>'budget 2025-26'!H169</f>
        <v>0</v>
      </c>
      <c r="J19" s="49">
        <f>'budget 2025-26'!I169</f>
        <v>0</v>
      </c>
      <c r="K19" s="49">
        <f>'budget 2025-26'!J169</f>
        <v>0</v>
      </c>
      <c r="L19" s="49">
        <f>'budget 2025-26'!K169</f>
        <v>0</v>
      </c>
      <c r="M19" s="49">
        <f>'budget 2025-26'!L169</f>
        <v>0</v>
      </c>
      <c r="N19" s="49">
        <f>'budget 2025-26'!M169</f>
        <v>0</v>
      </c>
      <c r="O19" s="49">
        <f>'budget 2025-26'!N169</f>
        <v>0</v>
      </c>
      <c r="P19" s="49">
        <f>'budget 2025-26'!O169</f>
        <v>0</v>
      </c>
      <c r="Q19" s="5">
        <f>SUM(E19:P19)</f>
        <v>0</v>
      </c>
    </row>
    <row r="20" spans="3:17" x14ac:dyDescent="0.35">
      <c r="D20" s="3" t="s">
        <v>502</v>
      </c>
      <c r="E20" s="49">
        <f>'Input Actual2025-26'!E172</f>
        <v>0</v>
      </c>
      <c r="F20" s="49">
        <f>'Input Actual2025-26'!F172</f>
        <v>0</v>
      </c>
      <c r="G20" s="49">
        <f>'Input Actual2025-26'!G172</f>
        <v>0</v>
      </c>
      <c r="H20" s="49">
        <f>'Input Actual2025-26'!H172</f>
        <v>0</v>
      </c>
      <c r="I20" s="49">
        <f>'Input Actual2025-26'!I172</f>
        <v>0</v>
      </c>
      <c r="J20" s="49">
        <f>'Input Actual2025-26'!J172</f>
        <v>0</v>
      </c>
      <c r="K20" s="49">
        <f>'Input Actual2025-26'!K172</f>
        <v>0</v>
      </c>
      <c r="L20" s="49">
        <f>'Input Actual2025-26'!L172</f>
        <v>0</v>
      </c>
      <c r="M20" s="49">
        <f>'Input Actual2025-26'!M172</f>
        <v>0</v>
      </c>
      <c r="N20" s="49">
        <f>'Input Actual2025-26'!N172</f>
        <v>0</v>
      </c>
      <c r="O20" s="49">
        <f>'Input Actual2025-26'!O172</f>
        <v>0</v>
      </c>
      <c r="P20" s="49">
        <f>'Input Actual2025-26'!P172</f>
        <v>0</v>
      </c>
      <c r="Q20" s="5">
        <f t="shared" ref="Q20:Q22" si="0">SUM(E20:P20)</f>
        <v>0</v>
      </c>
    </row>
    <row r="21" spans="3:17" x14ac:dyDescent="0.35">
      <c r="D21" s="3" t="s">
        <v>424</v>
      </c>
      <c r="E21" s="49">
        <f>'Input Actual2024-25'!E159</f>
        <v>0</v>
      </c>
      <c r="F21" s="49">
        <f>'Input Actual2024-25'!F159</f>
        <v>0</v>
      </c>
      <c r="G21" s="49">
        <f>'Input Actual2024-25'!G159</f>
        <v>0</v>
      </c>
      <c r="H21" s="49">
        <f>'Input Actual2024-25'!H159</f>
        <v>0</v>
      </c>
      <c r="I21" s="49">
        <f>'Input Actual2024-25'!I159</f>
        <v>0</v>
      </c>
      <c r="J21" s="49">
        <f>'Input Actual2024-25'!J159</f>
        <v>0</v>
      </c>
      <c r="K21" s="49">
        <f>'Input Actual2024-25'!K159</f>
        <v>0</v>
      </c>
      <c r="L21" s="49">
        <f>'Input Actual2024-25'!L159</f>
        <v>0</v>
      </c>
      <c r="M21" s="49">
        <f>'Input Actual2024-25'!M159</f>
        <v>0</v>
      </c>
      <c r="N21" s="49">
        <f>'Input Actual2024-25'!N159</f>
        <v>0</v>
      </c>
      <c r="O21" s="49">
        <f>'Input Actual2024-25'!O159</f>
        <v>0</v>
      </c>
      <c r="P21" s="49">
        <f>'Input Actual2024-25'!P159</f>
        <v>0</v>
      </c>
      <c r="Q21" s="5">
        <f t="shared" si="0"/>
        <v>0</v>
      </c>
    </row>
    <row r="22" spans="3:17" x14ac:dyDescent="0.35">
      <c r="D22" s="3" t="s">
        <v>7</v>
      </c>
      <c r="E22" s="5">
        <f t="shared" ref="E22:P22" si="1">IF(E20=0,0,E20-E19)</f>
        <v>0</v>
      </c>
      <c r="F22" s="5">
        <f t="shared" si="1"/>
        <v>0</v>
      </c>
      <c r="G22" s="5">
        <f t="shared" si="1"/>
        <v>0</v>
      </c>
      <c r="H22" s="5">
        <f t="shared" si="1"/>
        <v>0</v>
      </c>
      <c r="I22" s="5">
        <f t="shared" si="1"/>
        <v>0</v>
      </c>
      <c r="J22" s="5">
        <f t="shared" si="1"/>
        <v>0</v>
      </c>
      <c r="K22" s="5">
        <f t="shared" si="1"/>
        <v>0</v>
      </c>
      <c r="L22" s="5">
        <f t="shared" si="1"/>
        <v>0</v>
      </c>
      <c r="M22" s="5">
        <f t="shared" si="1"/>
        <v>0</v>
      </c>
      <c r="N22" s="5">
        <f t="shared" si="1"/>
        <v>0</v>
      </c>
      <c r="O22" s="5">
        <f t="shared" si="1"/>
        <v>0</v>
      </c>
      <c r="P22" s="5">
        <f t="shared" si="1"/>
        <v>0</v>
      </c>
      <c r="Q22" s="5">
        <f t="shared" si="0"/>
        <v>0</v>
      </c>
    </row>
    <row r="23" spans="3:17" x14ac:dyDescent="0.35">
      <c r="D23" s="3" t="s">
        <v>43</v>
      </c>
      <c r="E23" s="9" t="e">
        <f>E21/E19</f>
        <v>#DIV/0!</v>
      </c>
      <c r="F23" s="9" t="e">
        <f t="shared" ref="F23:P23" si="2">F20/F19</f>
        <v>#DIV/0!</v>
      </c>
      <c r="G23" s="9" t="e">
        <f t="shared" si="2"/>
        <v>#DIV/0!</v>
      </c>
      <c r="H23" s="9" t="e">
        <f t="shared" si="2"/>
        <v>#DIV/0!</v>
      </c>
      <c r="I23" s="9" t="e">
        <f t="shared" si="2"/>
        <v>#DIV/0!</v>
      </c>
      <c r="J23" s="9" t="e">
        <f t="shared" si="2"/>
        <v>#DIV/0!</v>
      </c>
      <c r="K23" s="9" t="e">
        <f t="shared" si="2"/>
        <v>#DIV/0!</v>
      </c>
      <c r="L23" s="9" t="e">
        <f t="shared" si="2"/>
        <v>#DIV/0!</v>
      </c>
      <c r="M23" s="9" t="e">
        <f t="shared" si="2"/>
        <v>#DIV/0!</v>
      </c>
      <c r="N23" s="9" t="e">
        <f t="shared" si="2"/>
        <v>#DIV/0!</v>
      </c>
      <c r="O23" s="9" t="e">
        <f t="shared" si="2"/>
        <v>#DIV/0!</v>
      </c>
      <c r="P23" s="9" t="e">
        <f t="shared" si="2"/>
        <v>#DIV/0!</v>
      </c>
    </row>
    <row r="25" spans="3:17" x14ac:dyDescent="0.35">
      <c r="C25" s="7" t="s">
        <v>3</v>
      </c>
      <c r="E25" s="11">
        <f>E18</f>
        <v>45839</v>
      </c>
      <c r="F25" s="11">
        <f t="shared" ref="F25:P25" si="3">F18</f>
        <v>45870</v>
      </c>
      <c r="G25" s="11">
        <f t="shared" si="3"/>
        <v>45901</v>
      </c>
      <c r="H25" s="11">
        <f t="shared" si="3"/>
        <v>45931</v>
      </c>
      <c r="I25" s="11">
        <f t="shared" si="3"/>
        <v>45962</v>
      </c>
      <c r="J25" s="11">
        <f t="shared" si="3"/>
        <v>45992</v>
      </c>
      <c r="K25" s="11">
        <f t="shared" si="3"/>
        <v>46023</v>
      </c>
      <c r="L25" s="11">
        <f t="shared" si="3"/>
        <v>46054</v>
      </c>
      <c r="M25" s="11">
        <f t="shared" si="3"/>
        <v>46082</v>
      </c>
      <c r="N25" s="11">
        <f t="shared" si="3"/>
        <v>46113</v>
      </c>
      <c r="O25" s="11">
        <f t="shared" si="3"/>
        <v>46143</v>
      </c>
      <c r="P25" s="11">
        <f t="shared" si="3"/>
        <v>46174</v>
      </c>
    </row>
    <row r="26" spans="3:17" x14ac:dyDescent="0.35">
      <c r="D26" s="3" t="str">
        <f>D19</f>
        <v>Budget 2025-26</v>
      </c>
      <c r="E26" s="5">
        <f>SUM($E19:E19)</f>
        <v>0</v>
      </c>
      <c r="F26" s="5">
        <f>SUM($E19:F19)</f>
        <v>0</v>
      </c>
      <c r="G26" s="5">
        <f>SUM($E19:G19)</f>
        <v>0</v>
      </c>
      <c r="H26" s="5">
        <f>SUM($E19:H19)</f>
        <v>0</v>
      </c>
      <c r="I26" s="5">
        <f>SUM($E19:I19)</f>
        <v>0</v>
      </c>
      <c r="J26" s="5">
        <f>SUM($E19:J19)</f>
        <v>0</v>
      </c>
      <c r="K26" s="5">
        <f>SUM($E19:K19)</f>
        <v>0</v>
      </c>
      <c r="L26" s="5">
        <f>SUM($E19:L19)</f>
        <v>0</v>
      </c>
      <c r="M26" s="5">
        <f>SUM($E19:M19)</f>
        <v>0</v>
      </c>
      <c r="N26" s="5">
        <f>SUM($E19:N19)</f>
        <v>0</v>
      </c>
      <c r="O26" s="5">
        <f>SUM($E19:O19)</f>
        <v>0</v>
      </c>
      <c r="P26" s="5">
        <f>SUM($E19:P19)</f>
        <v>0</v>
      </c>
    </row>
    <row r="27" spans="3:17" x14ac:dyDescent="0.35">
      <c r="D27" s="3" t="str">
        <f t="shared" ref="D27:D30" si="4">D20</f>
        <v>Actual 2025-26</v>
      </c>
      <c r="E27" s="5">
        <f>SUM($E20:E20)</f>
        <v>0</v>
      </c>
      <c r="F27" s="5">
        <f>SUM($E20:F20)</f>
        <v>0</v>
      </c>
      <c r="G27" s="5">
        <f>SUM($E20:G20)</f>
        <v>0</v>
      </c>
      <c r="H27" s="5">
        <f>SUM($E20:H20)</f>
        <v>0</v>
      </c>
      <c r="I27" s="5">
        <f>SUM($E20:I20)</f>
        <v>0</v>
      </c>
      <c r="J27" s="5">
        <f>SUM($E20:J20)</f>
        <v>0</v>
      </c>
      <c r="K27" s="5">
        <f>SUM($E20:K20)</f>
        <v>0</v>
      </c>
      <c r="L27" s="5">
        <f>SUM($E20:L20)</f>
        <v>0</v>
      </c>
      <c r="M27" s="5">
        <f>SUM($E20:M20)</f>
        <v>0</v>
      </c>
      <c r="N27" s="5">
        <f>SUM($E20:N20)</f>
        <v>0</v>
      </c>
      <c r="O27" s="5">
        <f>SUM($E20:O20)</f>
        <v>0</v>
      </c>
      <c r="P27" s="5">
        <f>SUM($E20:P20)</f>
        <v>0</v>
      </c>
    </row>
    <row r="28" spans="3:17" x14ac:dyDescent="0.35">
      <c r="D28" s="3" t="str">
        <f t="shared" si="4"/>
        <v>Actual 2024-25</v>
      </c>
      <c r="E28" s="5">
        <f>SUM($E21:E21)</f>
        <v>0</v>
      </c>
      <c r="F28" s="5">
        <f>SUM($E21:F21)</f>
        <v>0</v>
      </c>
      <c r="G28" s="5">
        <f>SUM($E21:G21)</f>
        <v>0</v>
      </c>
      <c r="H28" s="5">
        <f>SUM($E21:H21)</f>
        <v>0</v>
      </c>
      <c r="I28" s="5">
        <f>SUM($E21:I21)</f>
        <v>0</v>
      </c>
      <c r="J28" s="5">
        <f>SUM($E21:J21)</f>
        <v>0</v>
      </c>
      <c r="K28" s="5">
        <f>SUM($E21:K21)</f>
        <v>0</v>
      </c>
      <c r="L28" s="5">
        <f>SUM($E21:L21)</f>
        <v>0</v>
      </c>
      <c r="M28" s="5">
        <f>SUM($E21:M21)</f>
        <v>0</v>
      </c>
      <c r="N28" s="5">
        <f>SUM($E21:N21)</f>
        <v>0</v>
      </c>
      <c r="O28" s="5">
        <f>SUM($E21:O21)</f>
        <v>0</v>
      </c>
      <c r="P28" s="5">
        <f>SUM($E21:P21)</f>
        <v>0</v>
      </c>
    </row>
    <row r="29" spans="3:17" x14ac:dyDescent="0.35">
      <c r="D29" s="3" t="str">
        <f t="shared" si="4"/>
        <v>Difference</v>
      </c>
      <c r="E29" s="5">
        <f>SUM($E22:E22)</f>
        <v>0</v>
      </c>
      <c r="F29" s="5">
        <f>SUM($E22:F22)</f>
        <v>0</v>
      </c>
      <c r="G29" s="5">
        <f>SUM($E22:G22)</f>
        <v>0</v>
      </c>
      <c r="H29" s="5">
        <f>SUM($E22:H22)</f>
        <v>0</v>
      </c>
      <c r="I29" s="5">
        <f>SUM($E22:I22)</f>
        <v>0</v>
      </c>
      <c r="J29" s="5">
        <f>SUM($E22:J22)</f>
        <v>0</v>
      </c>
      <c r="K29" s="5">
        <f>SUM($E22:K22)</f>
        <v>0</v>
      </c>
      <c r="L29" s="5">
        <f>SUM($E22:L22)</f>
        <v>0</v>
      </c>
      <c r="M29" s="5">
        <f>SUM($E22:M22)</f>
        <v>0</v>
      </c>
      <c r="N29" s="5">
        <f>SUM($E22:N22)</f>
        <v>0</v>
      </c>
      <c r="O29" s="5">
        <f>SUM($E22:O22)</f>
        <v>0</v>
      </c>
      <c r="P29" s="5">
        <f>SUM($E22:P22)</f>
        <v>0</v>
      </c>
    </row>
    <row r="30" spans="3:17" x14ac:dyDescent="0.35">
      <c r="D30" s="3" t="str">
        <f t="shared" si="4"/>
        <v>Realisation</v>
      </c>
      <c r="E30" s="9" t="e">
        <f>E28/E26</f>
        <v>#DIV/0!</v>
      </c>
      <c r="F30" s="9" t="e">
        <f t="shared" ref="F30:P30" si="5">F27/F26</f>
        <v>#DIV/0!</v>
      </c>
      <c r="G30" s="9" t="e">
        <f t="shared" si="5"/>
        <v>#DIV/0!</v>
      </c>
      <c r="H30" s="9" t="e">
        <f t="shared" si="5"/>
        <v>#DIV/0!</v>
      </c>
      <c r="I30" s="9" t="e">
        <f t="shared" si="5"/>
        <v>#DIV/0!</v>
      </c>
      <c r="J30" s="9" t="e">
        <f t="shared" si="5"/>
        <v>#DIV/0!</v>
      </c>
      <c r="K30" s="9" t="e">
        <f t="shared" si="5"/>
        <v>#DIV/0!</v>
      </c>
      <c r="L30" s="9" t="e">
        <f t="shared" si="5"/>
        <v>#DIV/0!</v>
      </c>
      <c r="M30" s="9" t="e">
        <f t="shared" si="5"/>
        <v>#DIV/0!</v>
      </c>
      <c r="N30" s="9" t="e">
        <f t="shared" si="5"/>
        <v>#DIV/0!</v>
      </c>
      <c r="O30" s="9" t="e">
        <f t="shared" si="5"/>
        <v>#DIV/0!</v>
      </c>
      <c r="P30" s="9" t="e">
        <f t="shared" si="5"/>
        <v>#DIV/0!</v>
      </c>
    </row>
  </sheetData>
  <mergeCells count="2">
    <mergeCell ref="J4:Q8"/>
    <mergeCell ref="J10:Q15"/>
  </mergeCells>
  <conditionalFormatting sqref="C3">
    <cfRule type="expression" dxfId="101" priority="2">
      <formula>S4&lt;S6</formula>
    </cfRule>
  </conditionalFormatting>
  <conditionalFormatting sqref="C5">
    <cfRule type="expression" dxfId="100" priority="3">
      <formula>S4&gt;=S5</formula>
    </cfRule>
  </conditionalFormatting>
  <conditionalFormatting sqref="C4">
    <cfRule type="expression" dxfId="99" priority="1">
      <formula>AND(S4&gt;=S6,S4&lt;S5)</formula>
    </cfRule>
  </conditionalFormatting>
  <hyperlinks>
    <hyperlink ref="L1" location="Dashboard!A1" display="Dashboard"/>
  </hyperlinks>
  <pageMargins left="0.7" right="0.7" top="0.75" bottom="0.75" header="0.3" footer="0.3"/>
  <pageSetup orientation="portrait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67009" r:id="rId4" name="Spinner 1">
              <controlPr defaultSize="0" autoPict="0">
                <anchor moveWithCells="1" sizeWithCells="1">
                  <from>
                    <xdr:col>9</xdr:col>
                    <xdr:colOff>19050</xdr:colOff>
                    <xdr:row>0</xdr:row>
                    <xdr:rowOff>38100</xdr:rowOff>
                  </from>
                  <to>
                    <xdr:col>9</xdr:col>
                    <xdr:colOff>400050</xdr:colOff>
                    <xdr:row>1</xdr:row>
                    <xdr:rowOff>152400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16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S30"/>
  <sheetViews>
    <sheetView topLeftCell="D1" workbookViewId="0">
      <selection activeCell="L1" sqref="L1"/>
    </sheetView>
  </sheetViews>
  <sheetFormatPr defaultColWidth="9.1796875" defaultRowHeight="14.5" x14ac:dyDescent="0.35"/>
  <cols>
    <col min="1" max="1" width="9.1796875" style="3"/>
    <col min="2" max="2" width="5.7265625" style="3" bestFit="1" customWidth="1"/>
    <col min="3" max="3" width="6.26953125" style="3" customWidth="1"/>
    <col min="4" max="4" width="21.26953125" style="3" bestFit="1" customWidth="1"/>
    <col min="5" max="16" width="11.1796875" style="3" customWidth="1"/>
    <col min="17" max="17" width="12" style="3" bestFit="1" customWidth="1"/>
    <col min="18" max="18" width="9.1796875" style="3" customWidth="1"/>
    <col min="19" max="16384" width="9.1796875" style="3"/>
  </cols>
  <sheetData>
    <row r="1" spans="1:19" ht="21" x14ac:dyDescent="0.5">
      <c r="A1" s="4" t="s">
        <v>4</v>
      </c>
      <c r="B1" s="4">
        <f>Dashboard!A183</f>
        <v>1</v>
      </c>
      <c r="C1" s="4" t="str">
        <f>Dashboard!B190</f>
        <v>Meters Read</v>
      </c>
      <c r="D1" s="4"/>
      <c r="G1" s="3" t="s">
        <v>9</v>
      </c>
      <c r="I1" s="12">
        <f>INDEX($E$18:$P$18,Actual_month)</f>
        <v>46054</v>
      </c>
      <c r="L1" s="16" t="s">
        <v>19</v>
      </c>
      <c r="R1" s="5"/>
    </row>
    <row r="2" spans="1:19" x14ac:dyDescent="0.35">
      <c r="A2" s="3" t="s">
        <v>13</v>
      </c>
      <c r="C2" s="3" t="s">
        <v>27</v>
      </c>
      <c r="R2" s="6"/>
    </row>
    <row r="3" spans="1:19" ht="25.5" customHeight="1" thickBot="1" x14ac:dyDescent="0.4">
      <c r="C3" s="1" t="s">
        <v>5</v>
      </c>
      <c r="E3" s="10"/>
      <c r="F3" s="10"/>
      <c r="G3" s="10"/>
      <c r="H3" s="10"/>
      <c r="I3" s="10"/>
      <c r="J3" s="3" t="s">
        <v>6</v>
      </c>
      <c r="K3" s="10"/>
      <c r="M3" s="10"/>
      <c r="N3" s="10"/>
      <c r="O3" s="10"/>
      <c r="P3" s="10"/>
    </row>
    <row r="4" spans="1:19" ht="25.5" customHeight="1" x14ac:dyDescent="0.35">
      <c r="C4" s="1" t="s">
        <v>5</v>
      </c>
      <c r="E4" s="10"/>
      <c r="F4" s="10"/>
      <c r="G4" s="10"/>
      <c r="H4" s="10"/>
      <c r="I4" s="10"/>
      <c r="J4" s="401"/>
      <c r="K4" s="402"/>
      <c r="L4" s="402"/>
      <c r="M4" s="402"/>
      <c r="N4" s="402"/>
      <c r="O4" s="402"/>
      <c r="P4" s="402"/>
      <c r="Q4" s="403"/>
      <c r="R4" s="3" t="s">
        <v>22</v>
      </c>
      <c r="S4" s="5">
        <f>INDEX(E27:P27,Actual_month)</f>
        <v>10971</v>
      </c>
    </row>
    <row r="5" spans="1:19" ht="25.5" customHeight="1" x14ac:dyDescent="0.35">
      <c r="C5" s="1" t="s">
        <v>5</v>
      </c>
      <c r="E5" s="10"/>
      <c r="F5" s="10"/>
      <c r="G5" s="10"/>
      <c r="H5" s="10"/>
      <c r="I5" s="10"/>
      <c r="J5" s="404"/>
      <c r="K5" s="405"/>
      <c r="L5" s="405"/>
      <c r="M5" s="405"/>
      <c r="N5" s="405"/>
      <c r="O5" s="405"/>
      <c r="P5" s="405"/>
      <c r="Q5" s="406"/>
      <c r="R5" s="3" t="s">
        <v>23</v>
      </c>
      <c r="S5" s="5">
        <f>INDEX(E26:P26,Actual_month)</f>
        <v>11689</v>
      </c>
    </row>
    <row r="6" spans="1:19" x14ac:dyDescent="0.35">
      <c r="J6" s="404"/>
      <c r="K6" s="405"/>
      <c r="L6" s="405"/>
      <c r="M6" s="405"/>
      <c r="N6" s="405"/>
      <c r="O6" s="405"/>
      <c r="P6" s="405"/>
      <c r="Q6" s="406"/>
      <c r="R6" s="6">
        <v>0.9</v>
      </c>
      <c r="S6" s="5">
        <f>+S5*R6</f>
        <v>10520.1</v>
      </c>
    </row>
    <row r="7" spans="1:19" x14ac:dyDescent="0.35">
      <c r="J7" s="404"/>
      <c r="K7" s="405"/>
      <c r="L7" s="405"/>
      <c r="M7" s="405"/>
      <c r="N7" s="405"/>
      <c r="O7" s="405"/>
      <c r="P7" s="405"/>
      <c r="Q7" s="406"/>
    </row>
    <row r="8" spans="1:19" ht="15" thickBot="1" x14ac:dyDescent="0.4">
      <c r="J8" s="407"/>
      <c r="K8" s="408"/>
      <c r="L8" s="408"/>
      <c r="M8" s="408"/>
      <c r="N8" s="408"/>
      <c r="O8" s="408"/>
      <c r="P8" s="408"/>
      <c r="Q8" s="409"/>
    </row>
    <row r="9" spans="1:19" ht="15" thickBot="1" x14ac:dyDescent="0.4">
      <c r="J9" s="3" t="s">
        <v>12</v>
      </c>
    </row>
    <row r="10" spans="1:19" x14ac:dyDescent="0.35">
      <c r="J10" s="401"/>
      <c r="K10" s="402"/>
      <c r="L10" s="402"/>
      <c r="M10" s="402"/>
      <c r="N10" s="402"/>
      <c r="O10" s="402"/>
      <c r="P10" s="402"/>
      <c r="Q10" s="403"/>
    </row>
    <row r="11" spans="1:19" x14ac:dyDescent="0.35">
      <c r="J11" s="404"/>
      <c r="K11" s="405"/>
      <c r="L11" s="405"/>
      <c r="M11" s="405"/>
      <c r="N11" s="405"/>
      <c r="O11" s="405"/>
      <c r="P11" s="405"/>
      <c r="Q11" s="406"/>
    </row>
    <row r="12" spans="1:19" x14ac:dyDescent="0.35">
      <c r="J12" s="404"/>
      <c r="K12" s="405"/>
      <c r="L12" s="405"/>
      <c r="M12" s="405"/>
      <c r="N12" s="405"/>
      <c r="O12" s="405"/>
      <c r="P12" s="405"/>
      <c r="Q12" s="406"/>
    </row>
    <row r="13" spans="1:19" x14ac:dyDescent="0.35">
      <c r="J13" s="404"/>
      <c r="K13" s="405"/>
      <c r="L13" s="405"/>
      <c r="M13" s="405"/>
      <c r="N13" s="405"/>
      <c r="O13" s="405"/>
      <c r="P13" s="405"/>
      <c r="Q13" s="406"/>
    </row>
    <row r="14" spans="1:19" x14ac:dyDescent="0.35">
      <c r="J14" s="404"/>
      <c r="K14" s="405"/>
      <c r="L14" s="405"/>
      <c r="M14" s="405"/>
      <c r="N14" s="405"/>
      <c r="O14" s="405"/>
      <c r="P14" s="405"/>
      <c r="Q14" s="406"/>
    </row>
    <row r="15" spans="1:19" ht="15" thickBot="1" x14ac:dyDescent="0.4">
      <c r="J15" s="407"/>
      <c r="K15" s="408"/>
      <c r="L15" s="408"/>
      <c r="M15" s="408"/>
      <c r="N15" s="408"/>
      <c r="O15" s="408"/>
      <c r="P15" s="408"/>
      <c r="Q15" s="409"/>
    </row>
    <row r="16" spans="1:19" x14ac:dyDescent="0.35">
      <c r="K16" s="60"/>
    </row>
    <row r="17" spans="3:17" x14ac:dyDescent="0.35">
      <c r="K17" s="60"/>
    </row>
    <row r="18" spans="3:17" x14ac:dyDescent="0.35">
      <c r="C18" s="7" t="s">
        <v>8</v>
      </c>
      <c r="E18" s="11">
        <v>45839</v>
      </c>
      <c r="F18" s="11">
        <v>45870</v>
      </c>
      <c r="G18" s="11">
        <v>45901</v>
      </c>
      <c r="H18" s="11">
        <v>45931</v>
      </c>
      <c r="I18" s="11">
        <v>45962</v>
      </c>
      <c r="J18" s="11">
        <v>45992</v>
      </c>
      <c r="K18" s="11">
        <v>46023</v>
      </c>
      <c r="L18" s="11">
        <v>46054</v>
      </c>
      <c r="M18" s="11">
        <v>46082</v>
      </c>
      <c r="N18" s="11">
        <v>46113</v>
      </c>
      <c r="O18" s="11">
        <v>46143</v>
      </c>
      <c r="P18" s="11">
        <v>46174</v>
      </c>
      <c r="Q18" s="8" t="s">
        <v>0</v>
      </c>
    </row>
    <row r="19" spans="3:17" x14ac:dyDescent="0.35">
      <c r="D19" s="3" t="s">
        <v>501</v>
      </c>
      <c r="E19" s="49">
        <f>'budget 2025-26'!D179</f>
        <v>10373</v>
      </c>
      <c r="F19" s="49">
        <f>'budget 2025-26'!E179</f>
        <v>10520</v>
      </c>
      <c r="G19" s="49">
        <f>'budget 2025-26'!F179</f>
        <v>10669</v>
      </c>
      <c r="H19" s="49">
        <f>'budget 2025-26'!G179</f>
        <v>10888</v>
      </c>
      <c r="I19" s="49">
        <f>'budget 2025-26'!H179</f>
        <v>11097</v>
      </c>
      <c r="J19" s="49">
        <f>'budget 2025-26'!I179</f>
        <v>11296</v>
      </c>
      <c r="K19" s="49">
        <f>'budget 2025-26'!J179</f>
        <v>11500</v>
      </c>
      <c r="L19" s="49">
        <f>'budget 2025-26'!K179</f>
        <v>11689</v>
      </c>
      <c r="M19" s="49">
        <f>'budget 2025-26'!L179</f>
        <v>11863</v>
      </c>
      <c r="N19" s="49">
        <f>'budget 2025-26'!M179</f>
        <v>12017</v>
      </c>
      <c r="O19" s="49">
        <f>'budget 2025-26'!N179</f>
        <v>12171</v>
      </c>
      <c r="P19" s="49">
        <f>'budget 2025-26'!O179</f>
        <v>12323</v>
      </c>
      <c r="Q19" s="5">
        <f>SUM(E19:P19)</f>
        <v>136406</v>
      </c>
    </row>
    <row r="20" spans="3:17" x14ac:dyDescent="0.35">
      <c r="D20" s="3" t="s">
        <v>502</v>
      </c>
      <c r="E20" s="49">
        <f>'Input Actual2025-26'!E182</f>
        <v>10244</v>
      </c>
      <c r="F20" s="49">
        <f>'Input Actual2025-26'!F182</f>
        <v>10292</v>
      </c>
      <c r="G20" s="49">
        <f>'Input Actual2025-26'!G182</f>
        <v>10460</v>
      </c>
      <c r="H20" s="49">
        <f>'Input Actual2025-26'!H182</f>
        <v>10599</v>
      </c>
      <c r="I20" s="49">
        <f>'Input Actual2025-26'!I182</f>
        <v>10672</v>
      </c>
      <c r="J20" s="49">
        <f>'Input Actual2025-26'!J182</f>
        <v>10742</v>
      </c>
      <c r="K20" s="49">
        <f>'Input Actual2025-26'!K182</f>
        <v>10867</v>
      </c>
      <c r="L20" s="49">
        <f>'Input Actual2025-26'!L182</f>
        <v>10971</v>
      </c>
      <c r="M20" s="49">
        <f>'Input Actual2025-26'!M182</f>
        <v>0</v>
      </c>
      <c r="N20" s="49">
        <f>'Input Actual2025-26'!N182</f>
        <v>0</v>
      </c>
      <c r="O20" s="49">
        <f>'Input Actual2025-26'!O182</f>
        <v>0</v>
      </c>
      <c r="P20" s="49">
        <f>'Input Actual2025-26'!P182</f>
        <v>0</v>
      </c>
      <c r="Q20" s="5">
        <f t="shared" ref="Q20:Q22" si="0">SUM(E20:P20)</f>
        <v>84847</v>
      </c>
    </row>
    <row r="21" spans="3:17" x14ac:dyDescent="0.35">
      <c r="D21" s="3" t="s">
        <v>424</v>
      </c>
      <c r="E21" s="49">
        <f>'Input Actual2024-25'!E169</f>
        <v>9605</v>
      </c>
      <c r="F21" s="49">
        <f>'Input Actual2024-25'!F169</f>
        <v>9656</v>
      </c>
      <c r="G21" s="49">
        <f>'Input Actual2024-25'!G169</f>
        <v>9689</v>
      </c>
      <c r="H21" s="49">
        <f>'Input Actual2024-25'!H169</f>
        <v>9709</v>
      </c>
      <c r="I21" s="49">
        <f>'Input Actual2024-25'!I169</f>
        <v>9710</v>
      </c>
      <c r="J21" s="49">
        <f>'Input Actual2024-25'!J169</f>
        <v>9760</v>
      </c>
      <c r="K21" s="49">
        <f>'Input Actual2024-25'!K169</f>
        <v>9792</v>
      </c>
      <c r="L21" s="49">
        <f>'Input Actual2024-25'!L169</f>
        <v>9875</v>
      </c>
      <c r="M21" s="49">
        <f>'Input Actual2024-25'!M169</f>
        <v>9938</v>
      </c>
      <c r="N21" s="49">
        <f>'Input Actual2024-25'!N169</f>
        <v>10005</v>
      </c>
      <c r="O21" s="49">
        <f>'Input Actual2024-25'!O169</f>
        <v>10100</v>
      </c>
      <c r="P21" s="49">
        <f>'Input Actual2024-25'!P169</f>
        <v>10148</v>
      </c>
      <c r="Q21" s="5">
        <f t="shared" si="0"/>
        <v>117987</v>
      </c>
    </row>
    <row r="22" spans="3:17" x14ac:dyDescent="0.35">
      <c r="D22" s="3" t="s">
        <v>7</v>
      </c>
      <c r="E22" s="5">
        <f t="shared" ref="E22:P22" si="1">IF(E20=0,0,E20-E19)</f>
        <v>-129</v>
      </c>
      <c r="F22" s="5">
        <f t="shared" si="1"/>
        <v>-228</v>
      </c>
      <c r="G22" s="5">
        <f t="shared" si="1"/>
        <v>-209</v>
      </c>
      <c r="H22" s="5">
        <f t="shared" si="1"/>
        <v>-289</v>
      </c>
      <c r="I22" s="5">
        <f t="shared" si="1"/>
        <v>-425</v>
      </c>
      <c r="J22" s="5">
        <f t="shared" si="1"/>
        <v>-554</v>
      </c>
      <c r="K22" s="5">
        <f t="shared" si="1"/>
        <v>-633</v>
      </c>
      <c r="L22" s="5">
        <f t="shared" si="1"/>
        <v>-718</v>
      </c>
      <c r="M22" s="5">
        <f t="shared" si="1"/>
        <v>0</v>
      </c>
      <c r="N22" s="5">
        <f t="shared" si="1"/>
        <v>0</v>
      </c>
      <c r="O22" s="5">
        <f t="shared" si="1"/>
        <v>0</v>
      </c>
      <c r="P22" s="5">
        <f t="shared" si="1"/>
        <v>0</v>
      </c>
      <c r="Q22" s="5">
        <f t="shared" si="0"/>
        <v>-3185</v>
      </c>
    </row>
    <row r="23" spans="3:17" x14ac:dyDescent="0.35">
      <c r="D23" s="3" t="s">
        <v>43</v>
      </c>
      <c r="E23" s="9">
        <f>E21/E19</f>
        <v>0.9259616311578136</v>
      </c>
      <c r="F23" s="9">
        <f t="shared" ref="F23:P23" si="2">F20/F19</f>
        <v>0.97832699619771868</v>
      </c>
      <c r="G23" s="9">
        <f t="shared" si="2"/>
        <v>0.98041053519542598</v>
      </c>
      <c r="H23" s="9">
        <f t="shared" si="2"/>
        <v>0.97345701689933872</v>
      </c>
      <c r="I23" s="9">
        <f t="shared" si="2"/>
        <v>0.96170136072812473</v>
      </c>
      <c r="J23" s="9">
        <f t="shared" si="2"/>
        <v>0.95095609065155806</v>
      </c>
      <c r="K23" s="9">
        <f t="shared" si="2"/>
        <v>0.94495652173913047</v>
      </c>
      <c r="L23" s="9">
        <f t="shared" si="2"/>
        <v>0.93857472837710665</v>
      </c>
      <c r="M23" s="9">
        <f t="shared" si="2"/>
        <v>0</v>
      </c>
      <c r="N23" s="9">
        <f t="shared" si="2"/>
        <v>0</v>
      </c>
      <c r="O23" s="9">
        <f t="shared" si="2"/>
        <v>0</v>
      </c>
      <c r="P23" s="9">
        <f t="shared" si="2"/>
        <v>0</v>
      </c>
    </row>
    <row r="25" spans="3:17" x14ac:dyDescent="0.35">
      <c r="C25" s="7" t="s">
        <v>3</v>
      </c>
      <c r="E25" s="11">
        <f>E18</f>
        <v>45839</v>
      </c>
      <c r="F25" s="11">
        <f t="shared" ref="F25:P25" si="3">F18</f>
        <v>45870</v>
      </c>
      <c r="G25" s="11">
        <f t="shared" si="3"/>
        <v>45901</v>
      </c>
      <c r="H25" s="11">
        <f t="shared" si="3"/>
        <v>45931</v>
      </c>
      <c r="I25" s="11">
        <f t="shared" si="3"/>
        <v>45962</v>
      </c>
      <c r="J25" s="11">
        <f t="shared" si="3"/>
        <v>45992</v>
      </c>
      <c r="K25" s="11">
        <f t="shared" si="3"/>
        <v>46023</v>
      </c>
      <c r="L25" s="11">
        <f t="shared" si="3"/>
        <v>46054</v>
      </c>
      <c r="M25" s="11">
        <f t="shared" si="3"/>
        <v>46082</v>
      </c>
      <c r="N25" s="11">
        <f t="shared" si="3"/>
        <v>46113</v>
      </c>
      <c r="O25" s="11">
        <f t="shared" si="3"/>
        <v>46143</v>
      </c>
      <c r="P25" s="11">
        <f t="shared" si="3"/>
        <v>46174</v>
      </c>
    </row>
    <row r="26" spans="3:17" x14ac:dyDescent="0.35">
      <c r="D26" s="3" t="str">
        <f>D19</f>
        <v>Budget 2025-26</v>
      </c>
      <c r="E26" s="5">
        <f>E19</f>
        <v>10373</v>
      </c>
      <c r="F26" s="5">
        <f t="shared" ref="F26:P26" si="4">F19</f>
        <v>10520</v>
      </c>
      <c r="G26" s="5">
        <f t="shared" si="4"/>
        <v>10669</v>
      </c>
      <c r="H26" s="5">
        <f t="shared" si="4"/>
        <v>10888</v>
      </c>
      <c r="I26" s="5">
        <f t="shared" si="4"/>
        <v>11097</v>
      </c>
      <c r="J26" s="5">
        <f t="shared" si="4"/>
        <v>11296</v>
      </c>
      <c r="K26" s="5">
        <f t="shared" si="4"/>
        <v>11500</v>
      </c>
      <c r="L26" s="5">
        <f t="shared" si="4"/>
        <v>11689</v>
      </c>
      <c r="M26" s="5">
        <f t="shared" si="4"/>
        <v>11863</v>
      </c>
      <c r="N26" s="5">
        <f t="shared" si="4"/>
        <v>12017</v>
      </c>
      <c r="O26" s="5">
        <f t="shared" si="4"/>
        <v>12171</v>
      </c>
      <c r="P26" s="5">
        <f t="shared" si="4"/>
        <v>12323</v>
      </c>
    </row>
    <row r="27" spans="3:17" x14ac:dyDescent="0.35">
      <c r="D27" s="3" t="str">
        <f t="shared" ref="D27:D30" si="5">D20</f>
        <v>Actual 2025-26</v>
      </c>
      <c r="E27" s="5">
        <f>E20</f>
        <v>10244</v>
      </c>
      <c r="F27" s="5">
        <f t="shared" ref="F27:P27" si="6">F20</f>
        <v>10292</v>
      </c>
      <c r="G27" s="5">
        <f t="shared" si="6"/>
        <v>10460</v>
      </c>
      <c r="H27" s="5">
        <f t="shared" si="6"/>
        <v>10599</v>
      </c>
      <c r="I27" s="5">
        <f t="shared" si="6"/>
        <v>10672</v>
      </c>
      <c r="J27" s="5">
        <f t="shared" si="6"/>
        <v>10742</v>
      </c>
      <c r="K27" s="5">
        <f t="shared" si="6"/>
        <v>10867</v>
      </c>
      <c r="L27" s="5">
        <f t="shared" si="6"/>
        <v>10971</v>
      </c>
      <c r="M27" s="5">
        <f t="shared" si="6"/>
        <v>0</v>
      </c>
      <c r="N27" s="5">
        <f t="shared" si="6"/>
        <v>0</v>
      </c>
      <c r="O27" s="5">
        <f t="shared" si="6"/>
        <v>0</v>
      </c>
      <c r="P27" s="5">
        <f t="shared" si="6"/>
        <v>0</v>
      </c>
    </row>
    <row r="28" spans="3:17" x14ac:dyDescent="0.35">
      <c r="D28" s="3" t="str">
        <f t="shared" si="5"/>
        <v>Actual 2024-25</v>
      </c>
      <c r="E28" s="5">
        <f>SUM($E21:E21)</f>
        <v>9605</v>
      </c>
      <c r="F28" s="5">
        <f>SUM($E21:F21)</f>
        <v>19261</v>
      </c>
      <c r="G28" s="5">
        <f>SUM($E21:G21)</f>
        <v>28950</v>
      </c>
      <c r="H28" s="5">
        <f>SUM($E21:H21)</f>
        <v>38659</v>
      </c>
      <c r="I28" s="5">
        <f>SUM($E21:I21)</f>
        <v>48369</v>
      </c>
      <c r="J28" s="5">
        <f>SUM($E21:J21)</f>
        <v>58129</v>
      </c>
      <c r="K28" s="5">
        <f>SUM($E21:K21)</f>
        <v>67921</v>
      </c>
      <c r="L28" s="5">
        <f>SUM($E21:L21)</f>
        <v>77796</v>
      </c>
      <c r="M28" s="5">
        <f>SUM($E21:M21)</f>
        <v>87734</v>
      </c>
      <c r="N28" s="5">
        <f>SUM($E21:N21)</f>
        <v>97739</v>
      </c>
      <c r="O28" s="5">
        <f>SUM($E21:O21)</f>
        <v>107839</v>
      </c>
      <c r="P28" s="5">
        <f>SUM($E21:P21)</f>
        <v>117987</v>
      </c>
    </row>
    <row r="29" spans="3:17" x14ac:dyDescent="0.35">
      <c r="D29" s="3" t="str">
        <f t="shared" si="5"/>
        <v>Difference</v>
      </c>
      <c r="E29" s="5">
        <f>SUM($E22:E22)</f>
        <v>-129</v>
      </c>
      <c r="F29" s="5">
        <f>SUM($E22:F22)</f>
        <v>-357</v>
      </c>
      <c r="G29" s="5">
        <f>SUM($E22:G22)</f>
        <v>-566</v>
      </c>
      <c r="H29" s="5">
        <f>SUM($E22:H22)</f>
        <v>-855</v>
      </c>
      <c r="I29" s="5">
        <f>SUM($E22:I22)</f>
        <v>-1280</v>
      </c>
      <c r="J29" s="5">
        <f>SUM($E22:J22)</f>
        <v>-1834</v>
      </c>
      <c r="K29" s="5">
        <f>SUM($E22:K22)</f>
        <v>-2467</v>
      </c>
      <c r="L29" s="5">
        <f>SUM($E22:L22)</f>
        <v>-3185</v>
      </c>
      <c r="M29" s="5">
        <f>SUM($E22:M22)</f>
        <v>-3185</v>
      </c>
      <c r="N29" s="5">
        <f>SUM($E22:N22)</f>
        <v>-3185</v>
      </c>
      <c r="O29" s="5">
        <f>SUM($E22:O22)</f>
        <v>-3185</v>
      </c>
      <c r="P29" s="5">
        <f>SUM($E22:P22)</f>
        <v>-3185</v>
      </c>
    </row>
    <row r="30" spans="3:17" x14ac:dyDescent="0.35">
      <c r="D30" s="3" t="str">
        <f t="shared" si="5"/>
        <v>Realisation</v>
      </c>
      <c r="E30" s="9">
        <f>E28/E26</f>
        <v>0.9259616311578136</v>
      </c>
      <c r="F30" s="9">
        <f t="shared" ref="F30:P30" si="7">F27/F26</f>
        <v>0.97832699619771868</v>
      </c>
      <c r="G30" s="9">
        <f t="shared" si="7"/>
        <v>0.98041053519542598</v>
      </c>
      <c r="H30" s="9">
        <f t="shared" si="7"/>
        <v>0.97345701689933872</v>
      </c>
      <c r="I30" s="9">
        <f t="shared" si="7"/>
        <v>0.96170136072812473</v>
      </c>
      <c r="J30" s="9">
        <f t="shared" si="7"/>
        <v>0.95095609065155806</v>
      </c>
      <c r="K30" s="9">
        <f t="shared" si="7"/>
        <v>0.94495652173913047</v>
      </c>
      <c r="L30" s="9">
        <f t="shared" si="7"/>
        <v>0.93857472837710665</v>
      </c>
      <c r="M30" s="9">
        <f t="shared" si="7"/>
        <v>0</v>
      </c>
      <c r="N30" s="9">
        <f t="shared" si="7"/>
        <v>0</v>
      </c>
      <c r="O30" s="9">
        <f t="shared" si="7"/>
        <v>0</v>
      </c>
      <c r="P30" s="9">
        <f t="shared" si="7"/>
        <v>0</v>
      </c>
    </row>
  </sheetData>
  <mergeCells count="2">
    <mergeCell ref="J4:Q8"/>
    <mergeCell ref="J10:Q15"/>
  </mergeCells>
  <conditionalFormatting sqref="C3">
    <cfRule type="expression" dxfId="98" priority="2">
      <formula>S4&lt;S6</formula>
    </cfRule>
  </conditionalFormatting>
  <conditionalFormatting sqref="C5">
    <cfRule type="expression" dxfId="97" priority="3">
      <formula>S4&gt;=S5</formula>
    </cfRule>
  </conditionalFormatting>
  <conditionalFormatting sqref="C4">
    <cfRule type="expression" dxfId="96" priority="1">
      <formula>AND(S4&gt;=S6,S4&lt;S5)</formula>
    </cfRule>
  </conditionalFormatting>
  <hyperlinks>
    <hyperlink ref="L1" location="Dashboard!A1" display="Dashboard"/>
  </hyperlinks>
  <pageMargins left="0.7" right="0.7" top="0.75" bottom="0.75" header="0.3" footer="0.3"/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509377" r:id="rId3" name="Spinner 1">
              <controlPr defaultSize="0" autoPict="0">
                <anchor moveWithCells="1" sizeWithCells="1">
                  <from>
                    <xdr:col>9</xdr:col>
                    <xdr:colOff>19050</xdr:colOff>
                    <xdr:row>0</xdr:row>
                    <xdr:rowOff>38100</xdr:rowOff>
                  </from>
                  <to>
                    <xdr:col>9</xdr:col>
                    <xdr:colOff>400050</xdr:colOff>
                    <xdr:row>1</xdr:row>
                    <xdr:rowOff>152400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16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S30"/>
  <sheetViews>
    <sheetView topLeftCell="E1" workbookViewId="0">
      <selection activeCell="L1" sqref="L1"/>
    </sheetView>
  </sheetViews>
  <sheetFormatPr defaultColWidth="9.1796875" defaultRowHeight="14.5" x14ac:dyDescent="0.35"/>
  <cols>
    <col min="1" max="1" width="9.1796875" style="3"/>
    <col min="2" max="2" width="5.7265625" style="3" bestFit="1" customWidth="1"/>
    <col min="3" max="3" width="6.26953125" style="3" customWidth="1"/>
    <col min="4" max="4" width="21.26953125" style="3" bestFit="1" customWidth="1"/>
    <col min="5" max="16" width="11.1796875" style="3" customWidth="1"/>
    <col min="17" max="17" width="12" style="3" bestFit="1" customWidth="1"/>
    <col min="18" max="18" width="9.1796875" style="3" customWidth="1"/>
    <col min="19" max="16384" width="9.1796875" style="3"/>
  </cols>
  <sheetData>
    <row r="1" spans="1:19" ht="21" x14ac:dyDescent="0.5">
      <c r="A1" s="4" t="s">
        <v>4</v>
      </c>
      <c r="B1" s="4">
        <f>Dashboard!A183</f>
        <v>1</v>
      </c>
      <c r="C1" s="4" t="str">
        <f>Dashboard!B191</f>
        <v>Meter Reading Efficiency (%)</v>
      </c>
      <c r="D1" s="4"/>
      <c r="G1" s="3" t="s">
        <v>9</v>
      </c>
      <c r="I1" s="12">
        <f>INDEX($E$18:$P$18,Actual_month)</f>
        <v>46054</v>
      </c>
      <c r="L1" s="16" t="s">
        <v>19</v>
      </c>
      <c r="R1" s="5"/>
    </row>
    <row r="2" spans="1:19" x14ac:dyDescent="0.35">
      <c r="A2" s="3" t="s">
        <v>13</v>
      </c>
      <c r="C2" s="3" t="s">
        <v>27</v>
      </c>
      <c r="R2" s="6"/>
    </row>
    <row r="3" spans="1:19" ht="25.5" customHeight="1" thickBot="1" x14ac:dyDescent="0.4">
      <c r="C3" s="1" t="s">
        <v>5</v>
      </c>
      <c r="E3" s="10"/>
      <c r="F3" s="10"/>
      <c r="G3" s="10"/>
      <c r="H3" s="10"/>
      <c r="I3" s="10"/>
      <c r="J3" s="3" t="s">
        <v>6</v>
      </c>
      <c r="K3" s="10"/>
      <c r="M3" s="10"/>
      <c r="N3" s="10"/>
      <c r="O3" s="10"/>
      <c r="P3" s="10"/>
    </row>
    <row r="4" spans="1:19" ht="25.5" customHeight="1" x14ac:dyDescent="0.35">
      <c r="C4" s="1" t="s">
        <v>5</v>
      </c>
      <c r="E4" s="10"/>
      <c r="F4" s="10"/>
      <c r="G4" s="10"/>
      <c r="H4" s="10"/>
      <c r="I4" s="10"/>
      <c r="J4" s="401"/>
      <c r="K4" s="402"/>
      <c r="L4" s="402"/>
      <c r="M4" s="402"/>
      <c r="N4" s="402"/>
      <c r="O4" s="402"/>
      <c r="P4" s="402"/>
      <c r="Q4" s="403"/>
      <c r="R4" s="3" t="s">
        <v>22</v>
      </c>
      <c r="S4" s="5">
        <f>INDEX(E27:P27,Actual_month)</f>
        <v>0.99106516833606972</v>
      </c>
    </row>
    <row r="5" spans="1:19" ht="25.5" customHeight="1" x14ac:dyDescent="0.35">
      <c r="C5" s="1" t="s">
        <v>5</v>
      </c>
      <c r="E5" s="10"/>
      <c r="F5" s="10"/>
      <c r="G5" s="10"/>
      <c r="H5" s="10"/>
      <c r="I5" s="10"/>
      <c r="J5" s="404"/>
      <c r="K5" s="405"/>
      <c r="L5" s="405"/>
      <c r="M5" s="405"/>
      <c r="N5" s="405"/>
      <c r="O5" s="405"/>
      <c r="P5" s="405"/>
      <c r="Q5" s="406"/>
      <c r="R5" s="3" t="s">
        <v>23</v>
      </c>
      <c r="S5" s="5">
        <f>INDEX(E26:P26,Actual_month)</f>
        <v>1</v>
      </c>
    </row>
    <row r="6" spans="1:19" x14ac:dyDescent="0.35">
      <c r="J6" s="404"/>
      <c r="K6" s="405"/>
      <c r="L6" s="405"/>
      <c r="M6" s="405"/>
      <c r="N6" s="405"/>
      <c r="O6" s="405"/>
      <c r="P6" s="405"/>
      <c r="Q6" s="406"/>
      <c r="R6" s="6">
        <v>0.9</v>
      </c>
      <c r="S6" s="5">
        <f>+S5*R6</f>
        <v>0.9</v>
      </c>
    </row>
    <row r="7" spans="1:19" x14ac:dyDescent="0.35">
      <c r="J7" s="404"/>
      <c r="K7" s="405"/>
      <c r="L7" s="405"/>
      <c r="M7" s="405"/>
      <c r="N7" s="405"/>
      <c r="O7" s="405"/>
      <c r="P7" s="405"/>
      <c r="Q7" s="406"/>
    </row>
    <row r="8" spans="1:19" ht="15" thickBot="1" x14ac:dyDescent="0.4">
      <c r="J8" s="407"/>
      <c r="K8" s="408"/>
      <c r="L8" s="408"/>
      <c r="M8" s="408"/>
      <c r="N8" s="408"/>
      <c r="O8" s="408"/>
      <c r="P8" s="408"/>
      <c r="Q8" s="409"/>
    </row>
    <row r="9" spans="1:19" ht="15" thickBot="1" x14ac:dyDescent="0.4">
      <c r="J9" s="3" t="s">
        <v>12</v>
      </c>
    </row>
    <row r="10" spans="1:19" x14ac:dyDescent="0.35">
      <c r="J10" s="401"/>
      <c r="K10" s="402"/>
      <c r="L10" s="402"/>
      <c r="M10" s="402"/>
      <c r="N10" s="402"/>
      <c r="O10" s="402"/>
      <c r="P10" s="402"/>
      <c r="Q10" s="403"/>
    </row>
    <row r="11" spans="1:19" x14ac:dyDescent="0.35">
      <c r="J11" s="404"/>
      <c r="K11" s="405"/>
      <c r="L11" s="405"/>
      <c r="M11" s="405"/>
      <c r="N11" s="405"/>
      <c r="O11" s="405"/>
      <c r="P11" s="405"/>
      <c r="Q11" s="406"/>
    </row>
    <row r="12" spans="1:19" x14ac:dyDescent="0.35">
      <c r="J12" s="404"/>
      <c r="K12" s="405"/>
      <c r="L12" s="405"/>
      <c r="M12" s="405"/>
      <c r="N12" s="405"/>
      <c r="O12" s="405"/>
      <c r="P12" s="405"/>
      <c r="Q12" s="406"/>
    </row>
    <row r="13" spans="1:19" x14ac:dyDescent="0.35">
      <c r="J13" s="404"/>
      <c r="K13" s="405"/>
      <c r="L13" s="405"/>
      <c r="M13" s="405"/>
      <c r="N13" s="405"/>
      <c r="O13" s="405"/>
      <c r="P13" s="405"/>
      <c r="Q13" s="406"/>
    </row>
    <row r="14" spans="1:19" x14ac:dyDescent="0.35">
      <c r="J14" s="404"/>
      <c r="K14" s="405"/>
      <c r="L14" s="405"/>
      <c r="M14" s="405"/>
      <c r="N14" s="405"/>
      <c r="O14" s="405"/>
      <c r="P14" s="405"/>
      <c r="Q14" s="406"/>
    </row>
    <row r="15" spans="1:19" ht="15" thickBot="1" x14ac:dyDescent="0.4">
      <c r="J15" s="407"/>
      <c r="K15" s="408"/>
      <c r="L15" s="408"/>
      <c r="M15" s="408"/>
      <c r="N15" s="408"/>
      <c r="O15" s="408"/>
      <c r="P15" s="408"/>
      <c r="Q15" s="409"/>
    </row>
    <row r="16" spans="1:19" x14ac:dyDescent="0.35">
      <c r="K16" s="60"/>
    </row>
    <row r="17" spans="3:17" x14ac:dyDescent="0.35">
      <c r="K17" s="60"/>
    </row>
    <row r="18" spans="3:17" x14ac:dyDescent="0.35">
      <c r="C18" s="7" t="s">
        <v>8</v>
      </c>
      <c r="E18" s="11">
        <v>45839</v>
      </c>
      <c r="F18" s="11">
        <v>45870</v>
      </c>
      <c r="G18" s="11">
        <v>45901</v>
      </c>
      <c r="H18" s="11">
        <v>45931</v>
      </c>
      <c r="I18" s="11">
        <v>45962</v>
      </c>
      <c r="J18" s="11">
        <v>45992</v>
      </c>
      <c r="K18" s="11">
        <v>46023</v>
      </c>
      <c r="L18" s="11">
        <v>46054</v>
      </c>
      <c r="M18" s="11">
        <v>46082</v>
      </c>
      <c r="N18" s="11">
        <v>46113</v>
      </c>
      <c r="O18" s="11">
        <v>46143</v>
      </c>
      <c r="P18" s="11">
        <v>46174</v>
      </c>
      <c r="Q18" s="8" t="s">
        <v>0</v>
      </c>
    </row>
    <row r="19" spans="3:17" x14ac:dyDescent="0.35">
      <c r="D19" s="3" t="s">
        <v>501</v>
      </c>
      <c r="E19" s="9">
        <f>'budget 2025-26'!D180</f>
        <v>1</v>
      </c>
      <c r="F19" s="9">
        <f>'budget 2025-26'!E180</f>
        <v>1</v>
      </c>
      <c r="G19" s="9">
        <f>'budget 2025-26'!F180</f>
        <v>1</v>
      </c>
      <c r="H19" s="9">
        <f>'budget 2025-26'!G180</f>
        <v>1</v>
      </c>
      <c r="I19" s="9">
        <f>'budget 2025-26'!H180</f>
        <v>1</v>
      </c>
      <c r="J19" s="9">
        <f>'budget 2025-26'!I180</f>
        <v>1</v>
      </c>
      <c r="K19" s="9">
        <f>'budget 2025-26'!J180</f>
        <v>1</v>
      </c>
      <c r="L19" s="9">
        <f>'budget 2025-26'!K180</f>
        <v>1</v>
      </c>
      <c r="M19" s="9">
        <f>'budget 2025-26'!L180</f>
        <v>1</v>
      </c>
      <c r="N19" s="9">
        <f>'budget 2025-26'!M180</f>
        <v>1</v>
      </c>
      <c r="O19" s="9">
        <f>'budget 2025-26'!N180</f>
        <v>1</v>
      </c>
      <c r="P19" s="9">
        <f>'budget 2025-26'!O180</f>
        <v>1</v>
      </c>
      <c r="Q19" s="5">
        <f>SUM(E19:P19)</f>
        <v>12</v>
      </c>
    </row>
    <row r="20" spans="3:17" x14ac:dyDescent="0.35">
      <c r="D20" s="3" t="s">
        <v>502</v>
      </c>
      <c r="E20" s="49">
        <f>'Input Actual2025-26'!E183</f>
        <v>0.99388764917046668</v>
      </c>
      <c r="F20" s="49">
        <f>'Input Actual2025-26'!F183</f>
        <v>0.98800038398771239</v>
      </c>
      <c r="G20" s="49">
        <f>'Input Actual2025-26'!G183</f>
        <v>0.99175120887456147</v>
      </c>
      <c r="H20" s="49">
        <f>'Input Actual2025-26'!H183</f>
        <v>0.99427767354596619</v>
      </c>
      <c r="I20" s="49">
        <f>'Input Actual2025-26'!I183</f>
        <v>0.99339104533184397</v>
      </c>
      <c r="J20" s="49">
        <f>'Input Actual2025-26'!J183</f>
        <v>0.98886127220841391</v>
      </c>
      <c r="K20" s="49">
        <f>'Input Actual2025-26'!K183</f>
        <v>0.98952831906756511</v>
      </c>
      <c r="L20" s="49">
        <f>'Input Actual2025-26'!L183</f>
        <v>0.98882379450202795</v>
      </c>
      <c r="M20" s="49" t="e">
        <f>'Input Actual2025-26'!M183</f>
        <v>#DIV/0!</v>
      </c>
      <c r="N20" s="49" t="e">
        <f>'Input Actual2025-26'!N183</f>
        <v>#DIV/0!</v>
      </c>
      <c r="O20" s="49" t="e">
        <f>'Input Actual2025-26'!O183</f>
        <v>#DIV/0!</v>
      </c>
      <c r="P20" s="49" t="e">
        <f>'Input Actual2025-26'!P183</f>
        <v>#DIV/0!</v>
      </c>
      <c r="Q20" s="5" t="e">
        <f t="shared" ref="Q20:Q22" si="0">SUM(E20:P20)</f>
        <v>#DIV/0!</v>
      </c>
    </row>
    <row r="21" spans="3:17" x14ac:dyDescent="0.35">
      <c r="D21" s="3" t="s">
        <v>424</v>
      </c>
      <c r="E21" s="49">
        <f>'Input Actual2024-25'!E170</f>
        <v>0.99844074844074848</v>
      </c>
      <c r="F21" s="49">
        <f>'Input Actual2024-25'!F170</f>
        <v>1</v>
      </c>
      <c r="G21" s="49">
        <f>'Input Actual2024-25'!G170</f>
        <v>0.99866007008864155</v>
      </c>
      <c r="H21" s="49">
        <f>'Input Actual2024-25'!H170</f>
        <v>1</v>
      </c>
      <c r="I21" s="49">
        <f>'Input Actual2024-25'!I170</f>
        <v>0.99528495284952845</v>
      </c>
      <c r="J21" s="49">
        <f>'Input Actual2024-25'!J170</f>
        <v>0.99713935431140177</v>
      </c>
      <c r="K21" s="49">
        <f>'Input Actual2024-25'!K170</f>
        <v>0.99877600979192172</v>
      </c>
      <c r="L21" s="49">
        <f>'Input Actual2024-25'!L170</f>
        <v>0.99747474747474751</v>
      </c>
      <c r="M21" s="49">
        <f>'Input Actual2024-25'!M170</f>
        <v>0.99689036011636067</v>
      </c>
      <c r="N21" s="49">
        <f>'Input Actual2024-25'!N170</f>
        <v>0.99522530587884217</v>
      </c>
      <c r="O21" s="49">
        <f>'Input Actual2024-25'!O170</f>
        <v>0.99625172617873348</v>
      </c>
      <c r="P21" s="49">
        <f>'Input Actual2024-25'!P170</f>
        <v>0.99538989700833747</v>
      </c>
      <c r="Q21" s="5">
        <f t="shared" si="0"/>
        <v>11.969533172139263</v>
      </c>
    </row>
    <row r="22" spans="3:17" x14ac:dyDescent="0.35">
      <c r="D22" s="3" t="s">
        <v>7</v>
      </c>
      <c r="E22" s="5">
        <f t="shared" ref="E22:P22" si="1">IF(E20=0,0,E20-E19)</f>
        <v>-6.1123508295333195E-3</v>
      </c>
      <c r="F22" s="5">
        <f t="shared" si="1"/>
        <v>-1.1999616012287606E-2</v>
      </c>
      <c r="G22" s="5">
        <f t="shared" si="1"/>
        <v>-8.248791125438526E-3</v>
      </c>
      <c r="H22" s="5">
        <f t="shared" si="1"/>
        <v>-5.7223264540338104E-3</v>
      </c>
      <c r="I22" s="5">
        <f t="shared" si="1"/>
        <v>-6.6089546681560307E-3</v>
      </c>
      <c r="J22" s="5">
        <f t="shared" si="1"/>
        <v>-1.1138727791586089E-2</v>
      </c>
      <c r="K22" s="5">
        <f t="shared" si="1"/>
        <v>-1.047168093243489E-2</v>
      </c>
      <c r="L22" s="5">
        <f t="shared" si="1"/>
        <v>-1.1176205497972047E-2</v>
      </c>
      <c r="M22" s="5" t="e">
        <f t="shared" si="1"/>
        <v>#DIV/0!</v>
      </c>
      <c r="N22" s="5" t="e">
        <f t="shared" si="1"/>
        <v>#DIV/0!</v>
      </c>
      <c r="O22" s="5" t="e">
        <f t="shared" si="1"/>
        <v>#DIV/0!</v>
      </c>
      <c r="P22" s="5" t="e">
        <f t="shared" si="1"/>
        <v>#DIV/0!</v>
      </c>
      <c r="Q22" s="5" t="e">
        <f t="shared" si="0"/>
        <v>#DIV/0!</v>
      </c>
    </row>
    <row r="23" spans="3:17" x14ac:dyDescent="0.35">
      <c r="D23" s="3" t="s">
        <v>43</v>
      </c>
      <c r="E23" s="9">
        <f>E21/E19</f>
        <v>0.99844074844074848</v>
      </c>
      <c r="F23" s="9">
        <f t="shared" ref="F23:P23" si="2">F20/F19</f>
        <v>0.98800038398771239</v>
      </c>
      <c r="G23" s="9">
        <f t="shared" si="2"/>
        <v>0.99175120887456147</v>
      </c>
      <c r="H23" s="9">
        <f t="shared" si="2"/>
        <v>0.99427767354596619</v>
      </c>
      <c r="I23" s="9">
        <f t="shared" si="2"/>
        <v>0.99339104533184397</v>
      </c>
      <c r="J23" s="9">
        <f t="shared" si="2"/>
        <v>0.98886127220841391</v>
      </c>
      <c r="K23" s="9">
        <f t="shared" si="2"/>
        <v>0.98952831906756511</v>
      </c>
      <c r="L23" s="9">
        <f t="shared" si="2"/>
        <v>0.98882379450202795</v>
      </c>
      <c r="M23" s="9" t="e">
        <f t="shared" si="2"/>
        <v>#DIV/0!</v>
      </c>
      <c r="N23" s="9" t="e">
        <f t="shared" si="2"/>
        <v>#DIV/0!</v>
      </c>
      <c r="O23" s="9" t="e">
        <f t="shared" si="2"/>
        <v>#DIV/0!</v>
      </c>
      <c r="P23" s="9" t="e">
        <f t="shared" si="2"/>
        <v>#DIV/0!</v>
      </c>
    </row>
    <row r="25" spans="3:17" x14ac:dyDescent="0.35">
      <c r="C25" s="7" t="s">
        <v>3</v>
      </c>
      <c r="E25" s="11">
        <f>E18</f>
        <v>45839</v>
      </c>
      <c r="F25" s="11">
        <f t="shared" ref="F25:P25" si="3">F18</f>
        <v>45870</v>
      </c>
      <c r="G25" s="11">
        <f t="shared" si="3"/>
        <v>45901</v>
      </c>
      <c r="H25" s="11">
        <f t="shared" si="3"/>
        <v>45931</v>
      </c>
      <c r="I25" s="11">
        <f t="shared" si="3"/>
        <v>45962</v>
      </c>
      <c r="J25" s="11">
        <f t="shared" si="3"/>
        <v>45992</v>
      </c>
      <c r="K25" s="11">
        <f t="shared" si="3"/>
        <v>46023</v>
      </c>
      <c r="L25" s="11">
        <f t="shared" si="3"/>
        <v>46054</v>
      </c>
      <c r="M25" s="11">
        <f t="shared" si="3"/>
        <v>46082</v>
      </c>
      <c r="N25" s="11">
        <f t="shared" si="3"/>
        <v>46113</v>
      </c>
      <c r="O25" s="11">
        <f t="shared" si="3"/>
        <v>46143</v>
      </c>
      <c r="P25" s="11">
        <f t="shared" si="3"/>
        <v>46174</v>
      </c>
    </row>
    <row r="26" spans="3:17" x14ac:dyDescent="0.35">
      <c r="D26" s="3" t="str">
        <f>D19</f>
        <v>Budget 2025-26</v>
      </c>
      <c r="E26" s="9">
        <f>E19</f>
        <v>1</v>
      </c>
      <c r="F26" s="9">
        <f t="shared" ref="F26:P26" si="4">F19</f>
        <v>1</v>
      </c>
      <c r="G26" s="9">
        <f t="shared" si="4"/>
        <v>1</v>
      </c>
      <c r="H26" s="9">
        <f t="shared" si="4"/>
        <v>1</v>
      </c>
      <c r="I26" s="9">
        <f t="shared" si="4"/>
        <v>1</v>
      </c>
      <c r="J26" s="9">
        <f t="shared" si="4"/>
        <v>1</v>
      </c>
      <c r="K26" s="9">
        <f t="shared" si="4"/>
        <v>1</v>
      </c>
      <c r="L26" s="9">
        <f t="shared" si="4"/>
        <v>1</v>
      </c>
      <c r="M26" s="9">
        <f t="shared" si="4"/>
        <v>1</v>
      </c>
      <c r="N26" s="9">
        <f t="shared" si="4"/>
        <v>1</v>
      </c>
      <c r="O26" s="9">
        <f t="shared" si="4"/>
        <v>1</v>
      </c>
      <c r="P26" s="9">
        <f t="shared" si="4"/>
        <v>1</v>
      </c>
    </row>
    <row r="27" spans="3:17" x14ac:dyDescent="0.35">
      <c r="D27" s="3" t="str">
        <f t="shared" ref="D27:D30" si="5">D20</f>
        <v>Actual 2025-26</v>
      </c>
      <c r="E27" s="5">
        <f>SUM($E20:E20)</f>
        <v>0.99388764917046668</v>
      </c>
      <c r="F27" s="5">
        <f>AVERAGE($E20:F20)</f>
        <v>0.99094401657908948</v>
      </c>
      <c r="G27" s="5">
        <f>AVERAGE($E20:G20)</f>
        <v>0.99121308067758018</v>
      </c>
      <c r="H27" s="5">
        <f>AVERAGE($E20:H20)</f>
        <v>0.99197922889467671</v>
      </c>
      <c r="I27" s="5">
        <f>AVERAGE($E20:I20)</f>
        <v>0.99226159218211019</v>
      </c>
      <c r="J27" s="5">
        <f>AVERAGE($E20:J20)</f>
        <v>0.9916948721864941</v>
      </c>
      <c r="K27" s="5">
        <f>AVERAGE($E20:K20)</f>
        <v>0.99138536459807569</v>
      </c>
      <c r="L27" s="5">
        <f>AVERAGE($E20:L20)</f>
        <v>0.99106516833606972</v>
      </c>
      <c r="M27" s="5" t="e">
        <f>AVERAGE($E20:M20)</f>
        <v>#DIV/0!</v>
      </c>
      <c r="N27" s="5" t="e">
        <f>AVERAGE($E20:N20)</f>
        <v>#DIV/0!</v>
      </c>
      <c r="O27" s="5" t="e">
        <f>AVERAGE($E20:O20)</f>
        <v>#DIV/0!</v>
      </c>
      <c r="P27" s="5" t="e">
        <f>AVERAGE($E20:P20)</f>
        <v>#DIV/0!</v>
      </c>
    </row>
    <row r="28" spans="3:17" x14ac:dyDescent="0.35">
      <c r="D28" s="3" t="str">
        <f t="shared" si="5"/>
        <v>Actual 2024-25</v>
      </c>
      <c r="E28" s="5">
        <f>SUM($E21:E21)</f>
        <v>0.99844074844074848</v>
      </c>
      <c r="F28" s="5">
        <f>SUM($E21:F21)</f>
        <v>1.9984407484407485</v>
      </c>
      <c r="G28" s="5">
        <f>SUM($E21:G21)</f>
        <v>2.9971008185293901</v>
      </c>
      <c r="H28" s="5">
        <f>SUM($E21:H21)</f>
        <v>3.9971008185293901</v>
      </c>
      <c r="I28" s="5">
        <f>SUM($E21:I21)</f>
        <v>4.9923857713789186</v>
      </c>
      <c r="J28" s="5">
        <f>SUM($E21:J21)</f>
        <v>5.9895251256903208</v>
      </c>
      <c r="K28" s="5">
        <f>SUM($E21:K21)</f>
        <v>6.9883011354822422</v>
      </c>
      <c r="L28" s="5">
        <f>SUM($E21:L21)</f>
        <v>7.9857758829569896</v>
      </c>
      <c r="M28" s="5">
        <f>SUM($E21:M21)</f>
        <v>8.9826662430733499</v>
      </c>
      <c r="N28" s="5">
        <f>SUM($E21:N21)</f>
        <v>9.9778915489521918</v>
      </c>
      <c r="O28" s="5">
        <f>SUM($E21:O21)</f>
        <v>10.974143275130926</v>
      </c>
      <c r="P28" s="5">
        <f>SUM($E21:P21)</f>
        <v>11.969533172139263</v>
      </c>
    </row>
    <row r="29" spans="3:17" x14ac:dyDescent="0.35">
      <c r="D29" s="3" t="str">
        <f t="shared" si="5"/>
        <v>Difference</v>
      </c>
      <c r="E29" s="5">
        <f>SUM($E22:E22)</f>
        <v>-6.1123508295333195E-3</v>
      </c>
      <c r="F29" s="5">
        <f>SUM($E22:F22)</f>
        <v>-1.8111966841820926E-2</v>
      </c>
      <c r="G29" s="5">
        <f>SUM($E22:G22)</f>
        <v>-2.6360757967259452E-2</v>
      </c>
      <c r="H29" s="5">
        <f>SUM($E22:H22)</f>
        <v>-3.2083084421293262E-2</v>
      </c>
      <c r="I29" s="5">
        <f>SUM($E22:I22)</f>
        <v>-3.8692039089449293E-2</v>
      </c>
      <c r="J29" s="5">
        <f>SUM($E22:J22)</f>
        <v>-4.9830766881035382E-2</v>
      </c>
      <c r="K29" s="5">
        <f>SUM($E22:K22)</f>
        <v>-6.0302447813470272E-2</v>
      </c>
      <c r="L29" s="5">
        <f>SUM($E22:L22)</f>
        <v>-7.1478653311442319E-2</v>
      </c>
      <c r="M29" s="5" t="e">
        <f>SUM($E22:M22)</f>
        <v>#DIV/0!</v>
      </c>
      <c r="N29" s="5" t="e">
        <f>SUM($E22:N22)</f>
        <v>#DIV/0!</v>
      </c>
      <c r="O29" s="5" t="e">
        <f>SUM($E22:O22)</f>
        <v>#DIV/0!</v>
      </c>
      <c r="P29" s="5" t="e">
        <f>SUM($E22:P22)</f>
        <v>#DIV/0!</v>
      </c>
    </row>
    <row r="30" spans="3:17" x14ac:dyDescent="0.35">
      <c r="D30" s="3" t="str">
        <f t="shared" si="5"/>
        <v>Realisation</v>
      </c>
      <c r="E30" s="9">
        <f>E28/E26</f>
        <v>0.99844074844074848</v>
      </c>
      <c r="F30" s="9">
        <f t="shared" ref="F30:P30" si="6">F27/F26</f>
        <v>0.99094401657908948</v>
      </c>
      <c r="G30" s="9">
        <f t="shared" si="6"/>
        <v>0.99121308067758018</v>
      </c>
      <c r="H30" s="9">
        <f t="shared" si="6"/>
        <v>0.99197922889467671</v>
      </c>
      <c r="I30" s="9">
        <f t="shared" si="6"/>
        <v>0.99226159218211019</v>
      </c>
      <c r="J30" s="9">
        <f t="shared" si="6"/>
        <v>0.9916948721864941</v>
      </c>
      <c r="K30" s="9">
        <f t="shared" si="6"/>
        <v>0.99138536459807569</v>
      </c>
      <c r="L30" s="9">
        <f t="shared" si="6"/>
        <v>0.99106516833606972</v>
      </c>
      <c r="M30" s="9" t="e">
        <f t="shared" si="6"/>
        <v>#DIV/0!</v>
      </c>
      <c r="N30" s="9" t="e">
        <f t="shared" si="6"/>
        <v>#DIV/0!</v>
      </c>
      <c r="O30" s="9" t="e">
        <f t="shared" si="6"/>
        <v>#DIV/0!</v>
      </c>
      <c r="P30" s="9" t="e">
        <f t="shared" si="6"/>
        <v>#DIV/0!</v>
      </c>
    </row>
  </sheetData>
  <mergeCells count="2">
    <mergeCell ref="J4:Q8"/>
    <mergeCell ref="J10:Q15"/>
  </mergeCells>
  <conditionalFormatting sqref="C3">
    <cfRule type="expression" dxfId="95" priority="2">
      <formula>S4&lt;S6</formula>
    </cfRule>
  </conditionalFormatting>
  <conditionalFormatting sqref="C5">
    <cfRule type="expression" dxfId="94" priority="3">
      <formula>S4&gt;=S5</formula>
    </cfRule>
  </conditionalFormatting>
  <conditionalFormatting sqref="C4">
    <cfRule type="expression" dxfId="93" priority="1">
      <formula>AND(S4&gt;=S6,S4&lt;S5)</formula>
    </cfRule>
  </conditionalFormatting>
  <hyperlinks>
    <hyperlink ref="L1" location="Dashboard!A1" display="Dashboard"/>
  </hyperlinks>
  <pageMargins left="0.7" right="0.7" top="0.75" bottom="0.75" header="0.3" footer="0.3"/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510401" r:id="rId3" name="Spinner 1">
              <controlPr defaultSize="0" autoPict="0">
                <anchor moveWithCells="1" sizeWithCells="1">
                  <from>
                    <xdr:col>9</xdr:col>
                    <xdr:colOff>19050</xdr:colOff>
                    <xdr:row>0</xdr:row>
                    <xdr:rowOff>38100</xdr:rowOff>
                  </from>
                  <to>
                    <xdr:col>9</xdr:col>
                    <xdr:colOff>400050</xdr:colOff>
                    <xdr:row>1</xdr:row>
                    <xdr:rowOff>152400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16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S30"/>
  <sheetViews>
    <sheetView topLeftCell="D1" workbookViewId="0">
      <selection activeCell="L1" sqref="L1"/>
    </sheetView>
  </sheetViews>
  <sheetFormatPr defaultColWidth="9.1796875" defaultRowHeight="14.5" x14ac:dyDescent="0.35"/>
  <cols>
    <col min="1" max="1" width="9.1796875" style="3"/>
    <col min="2" max="2" width="5.7265625" style="3" bestFit="1" customWidth="1"/>
    <col min="3" max="3" width="6.26953125" style="3" customWidth="1"/>
    <col min="4" max="4" width="21.26953125" style="3" bestFit="1" customWidth="1"/>
    <col min="5" max="16" width="11.1796875" style="3" customWidth="1"/>
    <col min="17" max="17" width="12" style="3" bestFit="1" customWidth="1"/>
    <col min="18" max="18" width="9.1796875" style="3" customWidth="1"/>
    <col min="19" max="16384" width="9.1796875" style="3"/>
  </cols>
  <sheetData>
    <row r="1" spans="1:19" ht="21" x14ac:dyDescent="0.5">
      <c r="A1" s="4" t="s">
        <v>4</v>
      </c>
      <c r="B1" s="4">
        <f>Dashboard!A183</f>
        <v>1</v>
      </c>
      <c r="C1" s="4" t="str">
        <f>Dashboard!B193</f>
        <v>No. of Active accounts W,W&amp;S &amp;S</v>
      </c>
      <c r="D1" s="4"/>
      <c r="G1" s="3" t="s">
        <v>9</v>
      </c>
      <c r="I1" s="12">
        <f>INDEX($E$18:$P$18,Actual_month)</f>
        <v>46054</v>
      </c>
      <c r="L1" s="16" t="s">
        <v>19</v>
      </c>
      <c r="R1" s="5"/>
    </row>
    <row r="2" spans="1:19" x14ac:dyDescent="0.35">
      <c r="A2" s="3" t="s">
        <v>13</v>
      </c>
      <c r="C2" s="3" t="s">
        <v>27</v>
      </c>
      <c r="R2" s="6"/>
    </row>
    <row r="3" spans="1:19" ht="25.5" customHeight="1" thickBot="1" x14ac:dyDescent="0.4">
      <c r="C3" s="1" t="s">
        <v>5</v>
      </c>
      <c r="E3" s="10"/>
      <c r="F3" s="10"/>
      <c r="G3" s="10"/>
      <c r="H3" s="10"/>
      <c r="I3" s="10"/>
      <c r="J3" s="3" t="s">
        <v>6</v>
      </c>
      <c r="K3" s="10"/>
      <c r="M3" s="10"/>
      <c r="N3" s="10"/>
      <c r="O3" s="10"/>
      <c r="P3" s="10"/>
    </row>
    <row r="4" spans="1:19" ht="25.5" customHeight="1" x14ac:dyDescent="0.35">
      <c r="C4" s="1" t="s">
        <v>5</v>
      </c>
      <c r="E4" s="10"/>
      <c r="F4" s="10"/>
      <c r="G4" s="10"/>
      <c r="H4" s="10"/>
      <c r="I4" s="10"/>
      <c r="J4" s="401"/>
      <c r="K4" s="402"/>
      <c r="L4" s="402"/>
      <c r="M4" s="402"/>
      <c r="N4" s="402"/>
      <c r="O4" s="402"/>
      <c r="P4" s="402"/>
      <c r="Q4" s="403"/>
      <c r="R4" s="3" t="s">
        <v>22</v>
      </c>
      <c r="S4" s="5">
        <f>INDEX(E27:P27,Actual_month)</f>
        <v>11234</v>
      </c>
    </row>
    <row r="5" spans="1:19" ht="25.5" customHeight="1" x14ac:dyDescent="0.35">
      <c r="C5" s="1" t="s">
        <v>5</v>
      </c>
      <c r="E5" s="10"/>
      <c r="F5" s="10"/>
      <c r="G5" s="10"/>
      <c r="H5" s="10"/>
      <c r="I5" s="10"/>
      <c r="J5" s="404"/>
      <c r="K5" s="405"/>
      <c r="L5" s="405"/>
      <c r="M5" s="405"/>
      <c r="N5" s="405"/>
      <c r="O5" s="405"/>
      <c r="P5" s="405"/>
      <c r="Q5" s="406"/>
      <c r="R5" s="3" t="s">
        <v>23</v>
      </c>
      <c r="S5" s="5">
        <f>INDEX(E26:P26,Actual_month)</f>
        <v>13635</v>
      </c>
    </row>
    <row r="6" spans="1:19" x14ac:dyDescent="0.35">
      <c r="J6" s="404"/>
      <c r="K6" s="405"/>
      <c r="L6" s="405"/>
      <c r="M6" s="405"/>
      <c r="N6" s="405"/>
      <c r="O6" s="405"/>
      <c r="P6" s="405"/>
      <c r="Q6" s="406"/>
      <c r="R6" s="6">
        <v>0.9</v>
      </c>
      <c r="S6" s="5">
        <f>+S5*R6</f>
        <v>12271.5</v>
      </c>
    </row>
    <row r="7" spans="1:19" x14ac:dyDescent="0.35">
      <c r="J7" s="404"/>
      <c r="K7" s="405"/>
      <c r="L7" s="405"/>
      <c r="M7" s="405"/>
      <c r="N7" s="405"/>
      <c r="O7" s="405"/>
      <c r="P7" s="405"/>
      <c r="Q7" s="406"/>
    </row>
    <row r="8" spans="1:19" ht="15" thickBot="1" x14ac:dyDescent="0.4">
      <c r="J8" s="407"/>
      <c r="K8" s="408"/>
      <c r="L8" s="408"/>
      <c r="M8" s="408"/>
      <c r="N8" s="408"/>
      <c r="O8" s="408"/>
      <c r="P8" s="408"/>
      <c r="Q8" s="409"/>
    </row>
    <row r="9" spans="1:19" ht="15" thickBot="1" x14ac:dyDescent="0.4">
      <c r="J9" s="3" t="s">
        <v>12</v>
      </c>
    </row>
    <row r="10" spans="1:19" x14ac:dyDescent="0.35">
      <c r="J10" s="401"/>
      <c r="K10" s="402"/>
      <c r="L10" s="402"/>
      <c r="M10" s="402"/>
      <c r="N10" s="402"/>
      <c r="O10" s="402"/>
      <c r="P10" s="402"/>
      <c r="Q10" s="403"/>
    </row>
    <row r="11" spans="1:19" x14ac:dyDescent="0.35">
      <c r="J11" s="404"/>
      <c r="K11" s="405"/>
      <c r="L11" s="405"/>
      <c r="M11" s="405"/>
      <c r="N11" s="405"/>
      <c r="O11" s="405"/>
      <c r="P11" s="405"/>
      <c r="Q11" s="406"/>
    </row>
    <row r="12" spans="1:19" x14ac:dyDescent="0.35">
      <c r="J12" s="404"/>
      <c r="K12" s="405"/>
      <c r="L12" s="405"/>
      <c r="M12" s="405"/>
      <c r="N12" s="405"/>
      <c r="O12" s="405"/>
      <c r="P12" s="405"/>
      <c r="Q12" s="406"/>
    </row>
    <row r="13" spans="1:19" x14ac:dyDescent="0.35">
      <c r="J13" s="404"/>
      <c r="K13" s="405"/>
      <c r="L13" s="405"/>
      <c r="M13" s="405"/>
      <c r="N13" s="405"/>
      <c r="O13" s="405"/>
      <c r="P13" s="405"/>
      <c r="Q13" s="406"/>
    </row>
    <row r="14" spans="1:19" x14ac:dyDescent="0.35">
      <c r="J14" s="404"/>
      <c r="K14" s="405"/>
      <c r="L14" s="405"/>
      <c r="M14" s="405"/>
      <c r="N14" s="405"/>
      <c r="O14" s="405"/>
      <c r="P14" s="405"/>
      <c r="Q14" s="406"/>
    </row>
    <row r="15" spans="1:19" ht="15" thickBot="1" x14ac:dyDescent="0.4">
      <c r="J15" s="407"/>
      <c r="K15" s="408"/>
      <c r="L15" s="408"/>
      <c r="M15" s="408"/>
      <c r="N15" s="408"/>
      <c r="O15" s="408"/>
      <c r="P15" s="408"/>
      <c r="Q15" s="409"/>
    </row>
    <row r="16" spans="1:19" x14ac:dyDescent="0.35">
      <c r="K16" s="60"/>
    </row>
    <row r="17" spans="3:17" x14ac:dyDescent="0.35">
      <c r="K17" s="60"/>
    </row>
    <row r="18" spans="3:17" x14ac:dyDescent="0.35">
      <c r="C18" s="7" t="s">
        <v>8</v>
      </c>
      <c r="E18" s="11">
        <v>45839</v>
      </c>
      <c r="F18" s="11">
        <v>45870</v>
      </c>
      <c r="G18" s="11">
        <v>45901</v>
      </c>
      <c r="H18" s="11">
        <v>45931</v>
      </c>
      <c r="I18" s="11">
        <v>45962</v>
      </c>
      <c r="J18" s="11">
        <v>45992</v>
      </c>
      <c r="K18" s="11">
        <v>46023</v>
      </c>
      <c r="L18" s="11">
        <v>46054</v>
      </c>
      <c r="M18" s="11">
        <v>46082</v>
      </c>
      <c r="N18" s="11">
        <v>46113</v>
      </c>
      <c r="O18" s="11">
        <v>46143</v>
      </c>
      <c r="P18" s="11">
        <v>46174</v>
      </c>
      <c r="Q18" s="8" t="s">
        <v>0</v>
      </c>
    </row>
    <row r="19" spans="3:17" x14ac:dyDescent="0.35">
      <c r="D19" s="3" t="s">
        <v>501</v>
      </c>
      <c r="E19" s="360">
        <f>'budget 2025-26'!D182</f>
        <v>12221</v>
      </c>
      <c r="F19" s="360">
        <f>'budget 2025-26'!E182</f>
        <v>12382</v>
      </c>
      <c r="G19" s="360">
        <f>'budget 2025-26'!F182</f>
        <v>12545</v>
      </c>
      <c r="H19" s="360">
        <f>'budget 2025-26'!G182</f>
        <v>12778</v>
      </c>
      <c r="I19" s="360">
        <f>'budget 2025-26'!H182</f>
        <v>13001</v>
      </c>
      <c r="J19" s="360">
        <f>'budget 2025-26'!I182</f>
        <v>13214</v>
      </c>
      <c r="K19" s="360">
        <f>'budget 2025-26'!J182</f>
        <v>13432</v>
      </c>
      <c r="L19" s="360">
        <f>'budget 2025-26'!K182</f>
        <v>13635</v>
      </c>
      <c r="M19" s="360">
        <f>'budget 2025-26'!L182</f>
        <v>13823</v>
      </c>
      <c r="N19" s="360">
        <f>'budget 2025-26'!M182</f>
        <v>13991</v>
      </c>
      <c r="O19" s="360">
        <f>'budget 2025-26'!N182</f>
        <v>14159</v>
      </c>
      <c r="P19" s="360">
        <f>'budget 2025-26'!O182</f>
        <v>14325</v>
      </c>
      <c r="Q19" s="5">
        <f>SUM(E19:P19)</f>
        <v>159506</v>
      </c>
    </row>
    <row r="20" spans="3:17" x14ac:dyDescent="0.35">
      <c r="D20" s="3" t="s">
        <v>502</v>
      </c>
      <c r="E20" s="49">
        <f>'Input Actual2025-26'!E185</f>
        <v>10450</v>
      </c>
      <c r="F20" s="49">
        <f>'Input Actual2025-26'!F185</f>
        <v>10560</v>
      </c>
      <c r="G20" s="49">
        <f>'Input Actual2025-26'!G185</f>
        <v>10690</v>
      </c>
      <c r="H20" s="49">
        <f>'Input Actual2025-26'!H185</f>
        <v>10800</v>
      </c>
      <c r="I20" s="49">
        <f>'Input Actual2025-26'!I185</f>
        <v>10882</v>
      </c>
      <c r="J20" s="49">
        <f>'Input Actual2025-26'!J185</f>
        <v>11001</v>
      </c>
      <c r="K20" s="49">
        <f>'Input Actual2025-26'!K185</f>
        <v>11123</v>
      </c>
      <c r="L20" s="49">
        <f>'Input Actual2025-26'!L185</f>
        <v>11234</v>
      </c>
      <c r="M20" s="49">
        <f>'Input Actual2025-26'!M185</f>
        <v>0</v>
      </c>
      <c r="N20" s="49">
        <f>'Input Actual2025-26'!N185</f>
        <v>0</v>
      </c>
      <c r="O20" s="49">
        <f>'Input Actual2025-26'!O185</f>
        <v>0</v>
      </c>
      <c r="P20" s="49">
        <f>'Input Actual2025-26'!P185</f>
        <v>0</v>
      </c>
      <c r="Q20" s="5">
        <f t="shared" ref="Q20:Q22" si="0">SUM(E20:P20)</f>
        <v>86740</v>
      </c>
    </row>
    <row r="21" spans="3:17" x14ac:dyDescent="0.35">
      <c r="D21" s="3" t="s">
        <v>424</v>
      </c>
      <c r="E21" s="49">
        <f>'Input Actual2024-25'!E172</f>
        <v>9754</v>
      </c>
      <c r="F21" s="49">
        <f>'Input Actual2024-25'!F172</f>
        <v>9806</v>
      </c>
      <c r="G21" s="49">
        <f>'Input Actual2024-25'!G172</f>
        <v>9837</v>
      </c>
      <c r="H21" s="49">
        <f>'Input Actual2024-25'!H172</f>
        <v>9857</v>
      </c>
      <c r="I21" s="49">
        <f>'Input Actual2024-25'!I172</f>
        <v>9857</v>
      </c>
      <c r="J21" s="49">
        <f>'Input Actual2024-25'!J172</f>
        <v>9936</v>
      </c>
      <c r="K21" s="49">
        <f>'Input Actual2024-25'!K172</f>
        <v>9949</v>
      </c>
      <c r="L21" s="49">
        <f>'Input Actual2024-25'!L172</f>
        <v>10043</v>
      </c>
      <c r="M21" s="49">
        <f>'Input Actual2024-25'!M172</f>
        <v>10110</v>
      </c>
      <c r="N21" s="49">
        <f>'Input Actual2024-25'!N172</f>
        <v>10198</v>
      </c>
      <c r="O21" s="49">
        <f>'Input Actual2024-25'!O172</f>
        <v>10285</v>
      </c>
      <c r="P21" s="49">
        <f>'Input Actual2024-25'!P172</f>
        <v>10339</v>
      </c>
      <c r="Q21" s="5">
        <f t="shared" si="0"/>
        <v>119971</v>
      </c>
    </row>
    <row r="22" spans="3:17" x14ac:dyDescent="0.35">
      <c r="D22" s="3" t="s">
        <v>7</v>
      </c>
      <c r="E22" s="5">
        <f t="shared" ref="E22:P22" si="1">IF(E20=0,0,E20-E19)</f>
        <v>-1771</v>
      </c>
      <c r="F22" s="5">
        <f t="shared" si="1"/>
        <v>-1822</v>
      </c>
      <c r="G22" s="5">
        <f t="shared" si="1"/>
        <v>-1855</v>
      </c>
      <c r="H22" s="5">
        <f t="shared" si="1"/>
        <v>-1978</v>
      </c>
      <c r="I22" s="5">
        <f t="shared" si="1"/>
        <v>-2119</v>
      </c>
      <c r="J22" s="5">
        <f t="shared" si="1"/>
        <v>-2213</v>
      </c>
      <c r="K22" s="5">
        <f t="shared" si="1"/>
        <v>-2309</v>
      </c>
      <c r="L22" s="5">
        <f t="shared" si="1"/>
        <v>-2401</v>
      </c>
      <c r="M22" s="5">
        <f t="shared" si="1"/>
        <v>0</v>
      </c>
      <c r="N22" s="5">
        <f t="shared" si="1"/>
        <v>0</v>
      </c>
      <c r="O22" s="5">
        <f t="shared" si="1"/>
        <v>0</v>
      </c>
      <c r="P22" s="5">
        <f t="shared" si="1"/>
        <v>0</v>
      </c>
      <c r="Q22" s="5">
        <f t="shared" si="0"/>
        <v>-16468</v>
      </c>
    </row>
    <row r="23" spans="3:17" x14ac:dyDescent="0.35">
      <c r="D23" s="3" t="s">
        <v>43</v>
      </c>
      <c r="E23" s="9">
        <f>E21/E19</f>
        <v>0.79813435889043449</v>
      </c>
      <c r="F23" s="9">
        <f t="shared" ref="F23:P23" si="2">F20/F19</f>
        <v>0.85285091261508639</v>
      </c>
      <c r="G23" s="9">
        <f t="shared" si="2"/>
        <v>0.85213232363491431</v>
      </c>
      <c r="H23" s="9">
        <f t="shared" si="2"/>
        <v>0.84520269212709342</v>
      </c>
      <c r="I23" s="9">
        <f t="shared" si="2"/>
        <v>0.83701253749711557</v>
      </c>
      <c r="J23" s="9">
        <f t="shared" si="2"/>
        <v>0.83252610867262</v>
      </c>
      <c r="K23" s="9">
        <f t="shared" si="2"/>
        <v>0.82809708159618822</v>
      </c>
      <c r="L23" s="9">
        <f t="shared" si="2"/>
        <v>0.82390905757242394</v>
      </c>
      <c r="M23" s="9">
        <f t="shared" si="2"/>
        <v>0</v>
      </c>
      <c r="N23" s="9">
        <f t="shared" si="2"/>
        <v>0</v>
      </c>
      <c r="O23" s="9">
        <f t="shared" si="2"/>
        <v>0</v>
      </c>
      <c r="P23" s="9">
        <f t="shared" si="2"/>
        <v>0</v>
      </c>
    </row>
    <row r="25" spans="3:17" x14ac:dyDescent="0.35">
      <c r="C25" s="7" t="s">
        <v>3</v>
      </c>
      <c r="E25" s="11">
        <f>E18</f>
        <v>45839</v>
      </c>
      <c r="F25" s="11">
        <f t="shared" ref="F25:P27" si="3">F18</f>
        <v>45870</v>
      </c>
      <c r="G25" s="11">
        <f t="shared" si="3"/>
        <v>45901</v>
      </c>
      <c r="H25" s="11">
        <f t="shared" si="3"/>
        <v>45931</v>
      </c>
      <c r="I25" s="11">
        <f t="shared" si="3"/>
        <v>45962</v>
      </c>
      <c r="J25" s="11">
        <f t="shared" si="3"/>
        <v>45992</v>
      </c>
      <c r="K25" s="11">
        <f t="shared" si="3"/>
        <v>46023</v>
      </c>
      <c r="L25" s="11">
        <f t="shared" si="3"/>
        <v>46054</v>
      </c>
      <c r="M25" s="11">
        <f t="shared" si="3"/>
        <v>46082</v>
      </c>
      <c r="N25" s="11">
        <f t="shared" si="3"/>
        <v>46113</v>
      </c>
      <c r="O25" s="11">
        <f t="shared" si="3"/>
        <v>46143</v>
      </c>
      <c r="P25" s="11">
        <f t="shared" si="3"/>
        <v>46174</v>
      </c>
    </row>
    <row r="26" spans="3:17" x14ac:dyDescent="0.35">
      <c r="D26" s="3" t="str">
        <f>D19</f>
        <v>Budget 2025-26</v>
      </c>
      <c r="E26" s="360">
        <f>E19</f>
        <v>12221</v>
      </c>
      <c r="F26" s="360">
        <f t="shared" si="3"/>
        <v>12382</v>
      </c>
      <c r="G26" s="360">
        <f t="shared" si="3"/>
        <v>12545</v>
      </c>
      <c r="H26" s="360">
        <f t="shared" si="3"/>
        <v>12778</v>
      </c>
      <c r="I26" s="360">
        <f t="shared" si="3"/>
        <v>13001</v>
      </c>
      <c r="J26" s="360">
        <f t="shared" si="3"/>
        <v>13214</v>
      </c>
      <c r="K26" s="360">
        <f t="shared" si="3"/>
        <v>13432</v>
      </c>
      <c r="L26" s="360">
        <f t="shared" si="3"/>
        <v>13635</v>
      </c>
      <c r="M26" s="360">
        <f t="shared" si="3"/>
        <v>13823</v>
      </c>
      <c r="N26" s="360">
        <f t="shared" si="3"/>
        <v>13991</v>
      </c>
      <c r="O26" s="360">
        <f t="shared" si="3"/>
        <v>14159</v>
      </c>
      <c r="P26" s="360">
        <f t="shared" si="3"/>
        <v>14325</v>
      </c>
    </row>
    <row r="27" spans="3:17" x14ac:dyDescent="0.35">
      <c r="D27" s="3" t="str">
        <f t="shared" ref="D27:D30" si="4">D20</f>
        <v>Actual 2025-26</v>
      </c>
      <c r="E27" s="5">
        <f>E20</f>
        <v>10450</v>
      </c>
      <c r="F27" s="5">
        <f t="shared" si="3"/>
        <v>10560</v>
      </c>
      <c r="G27" s="5">
        <f t="shared" si="3"/>
        <v>10690</v>
      </c>
      <c r="H27" s="5">
        <f t="shared" si="3"/>
        <v>10800</v>
      </c>
      <c r="I27" s="5">
        <f t="shared" si="3"/>
        <v>10882</v>
      </c>
      <c r="J27" s="5">
        <f t="shared" si="3"/>
        <v>11001</v>
      </c>
      <c r="K27" s="5">
        <f t="shared" si="3"/>
        <v>11123</v>
      </c>
      <c r="L27" s="5">
        <f t="shared" si="3"/>
        <v>11234</v>
      </c>
      <c r="M27" s="5">
        <f t="shared" si="3"/>
        <v>0</v>
      </c>
      <c r="N27" s="5">
        <f t="shared" si="3"/>
        <v>0</v>
      </c>
      <c r="O27" s="5">
        <f t="shared" si="3"/>
        <v>0</v>
      </c>
      <c r="P27" s="5">
        <f>P20</f>
        <v>0</v>
      </c>
    </row>
    <row r="28" spans="3:17" x14ac:dyDescent="0.35">
      <c r="D28" s="3" t="str">
        <f t="shared" si="4"/>
        <v>Actual 2024-25</v>
      </c>
      <c r="E28" s="5">
        <f>SUM($E21:E21)</f>
        <v>9754</v>
      </c>
      <c r="F28" s="5">
        <f>SUM($E21:F21)</f>
        <v>19560</v>
      </c>
      <c r="G28" s="5">
        <f>SUM($E21:G21)</f>
        <v>29397</v>
      </c>
      <c r="H28" s="5">
        <f>SUM($E21:H21)</f>
        <v>39254</v>
      </c>
      <c r="I28" s="5">
        <f>SUM($E21:I21)</f>
        <v>49111</v>
      </c>
      <c r="J28" s="5">
        <f>SUM($E21:J21)</f>
        <v>59047</v>
      </c>
      <c r="K28" s="5">
        <f>SUM($E21:K21)</f>
        <v>68996</v>
      </c>
      <c r="L28" s="5">
        <f>SUM($E21:L21)</f>
        <v>79039</v>
      </c>
      <c r="M28" s="5">
        <f>SUM($E21:M21)</f>
        <v>89149</v>
      </c>
      <c r="N28" s="5">
        <f>SUM($E21:N21)</f>
        <v>99347</v>
      </c>
      <c r="O28" s="5">
        <f>SUM($E21:O21)</f>
        <v>109632</v>
      </c>
      <c r="P28" s="5">
        <f>SUM($E21:P21)</f>
        <v>119971</v>
      </c>
    </row>
    <row r="29" spans="3:17" x14ac:dyDescent="0.35">
      <c r="D29" s="3" t="str">
        <f t="shared" si="4"/>
        <v>Difference</v>
      </c>
      <c r="E29" s="5">
        <f>SUM($E22:E22)</f>
        <v>-1771</v>
      </c>
      <c r="F29" s="5">
        <f>SUM($E22:F22)</f>
        <v>-3593</v>
      </c>
      <c r="G29" s="5">
        <f>SUM($E22:G22)</f>
        <v>-5448</v>
      </c>
      <c r="H29" s="5">
        <f>SUM($E22:H22)</f>
        <v>-7426</v>
      </c>
      <c r="I29" s="5">
        <f>SUM($E22:I22)</f>
        <v>-9545</v>
      </c>
      <c r="J29" s="5">
        <f>SUM($E22:J22)</f>
        <v>-11758</v>
      </c>
      <c r="K29" s="5">
        <f>SUM($E22:K22)</f>
        <v>-14067</v>
      </c>
      <c r="L29" s="5">
        <f>SUM($E22:L22)</f>
        <v>-16468</v>
      </c>
      <c r="M29" s="5">
        <f>SUM($E22:M22)</f>
        <v>-16468</v>
      </c>
      <c r="N29" s="5">
        <f>SUM($E22:N22)</f>
        <v>-16468</v>
      </c>
      <c r="O29" s="5">
        <f>SUM($E22:O22)</f>
        <v>-16468</v>
      </c>
      <c r="P29" s="5">
        <f>SUM($E22:P22)</f>
        <v>-16468</v>
      </c>
    </row>
    <row r="30" spans="3:17" x14ac:dyDescent="0.35">
      <c r="D30" s="3" t="str">
        <f t="shared" si="4"/>
        <v>Realisation</v>
      </c>
      <c r="E30" s="9">
        <f>E28/E26</f>
        <v>0.79813435889043449</v>
      </c>
      <c r="F30" s="9">
        <f t="shared" ref="F30:P30" si="5">F27/F26</f>
        <v>0.85285091261508639</v>
      </c>
      <c r="G30" s="9">
        <f t="shared" si="5"/>
        <v>0.85213232363491431</v>
      </c>
      <c r="H30" s="9">
        <f t="shared" si="5"/>
        <v>0.84520269212709342</v>
      </c>
      <c r="I30" s="9">
        <f t="shared" si="5"/>
        <v>0.83701253749711557</v>
      </c>
      <c r="J30" s="9">
        <f t="shared" si="5"/>
        <v>0.83252610867262</v>
      </c>
      <c r="K30" s="9">
        <f t="shared" si="5"/>
        <v>0.82809708159618822</v>
      </c>
      <c r="L30" s="9">
        <f t="shared" si="5"/>
        <v>0.82390905757242394</v>
      </c>
      <c r="M30" s="9">
        <f t="shared" si="5"/>
        <v>0</v>
      </c>
      <c r="N30" s="9">
        <f t="shared" si="5"/>
        <v>0</v>
      </c>
      <c r="O30" s="9">
        <f t="shared" si="5"/>
        <v>0</v>
      </c>
      <c r="P30" s="9">
        <f t="shared" si="5"/>
        <v>0</v>
      </c>
    </row>
  </sheetData>
  <mergeCells count="2">
    <mergeCell ref="J4:Q8"/>
    <mergeCell ref="J10:Q15"/>
  </mergeCells>
  <conditionalFormatting sqref="C3">
    <cfRule type="expression" dxfId="92" priority="2">
      <formula>S4&lt;S6</formula>
    </cfRule>
  </conditionalFormatting>
  <conditionalFormatting sqref="C5">
    <cfRule type="expression" dxfId="91" priority="3">
      <formula>S4&gt;=S5</formula>
    </cfRule>
  </conditionalFormatting>
  <conditionalFormatting sqref="C4">
    <cfRule type="expression" dxfId="90" priority="1">
      <formula>AND(S4&gt;=S6,S4&lt;S5)</formula>
    </cfRule>
  </conditionalFormatting>
  <hyperlinks>
    <hyperlink ref="L1" location="Dashboard!A1" display="Dashboard"/>
  </hyperlinks>
  <pageMargins left="0.7" right="0.7" top="0.75" bottom="0.75" header="0.3" footer="0.3"/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549313" r:id="rId3" name="Spinner 1">
              <controlPr defaultSize="0" autoPict="0">
                <anchor moveWithCells="1" sizeWithCells="1">
                  <from>
                    <xdr:col>9</xdr:col>
                    <xdr:colOff>19050</xdr:colOff>
                    <xdr:row>0</xdr:row>
                    <xdr:rowOff>38100</xdr:rowOff>
                  </from>
                  <to>
                    <xdr:col>9</xdr:col>
                    <xdr:colOff>400050</xdr:colOff>
                    <xdr:row>1</xdr:row>
                    <xdr:rowOff>152400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16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S30"/>
  <sheetViews>
    <sheetView topLeftCell="A10" workbookViewId="0"/>
  </sheetViews>
  <sheetFormatPr defaultColWidth="9.1796875" defaultRowHeight="14.5" x14ac:dyDescent="0.35"/>
  <cols>
    <col min="1" max="1" width="9.1796875" style="3"/>
    <col min="2" max="2" width="5.7265625" style="3" bestFit="1" customWidth="1"/>
    <col min="3" max="3" width="6.26953125" style="3" customWidth="1"/>
    <col min="4" max="4" width="21.26953125" style="3" bestFit="1" customWidth="1"/>
    <col min="5" max="16" width="11.1796875" style="3" customWidth="1"/>
    <col min="17" max="17" width="12" style="3" bestFit="1" customWidth="1"/>
    <col min="18" max="18" width="9.1796875" style="3" customWidth="1"/>
    <col min="19" max="16384" width="9.1796875" style="3"/>
  </cols>
  <sheetData>
    <row r="1" spans="1:19" ht="21" x14ac:dyDescent="0.5">
      <c r="A1" s="4" t="s">
        <v>4</v>
      </c>
      <c r="B1" s="4">
        <f>Dashboard!A183</f>
        <v>1</v>
      </c>
      <c r="C1" s="4" t="str">
        <f>Dashboard!B194</f>
        <v>Accounts Billed</v>
      </c>
      <c r="D1" s="4"/>
      <c r="G1" s="3" t="s">
        <v>9</v>
      </c>
      <c r="I1" s="12">
        <f>INDEX($E$18:$P$18,Actual_month)</f>
        <v>46054</v>
      </c>
      <c r="L1" s="16" t="s">
        <v>19</v>
      </c>
      <c r="R1" s="5"/>
    </row>
    <row r="2" spans="1:19" x14ac:dyDescent="0.35">
      <c r="A2" s="3" t="s">
        <v>13</v>
      </c>
      <c r="C2" s="3" t="s">
        <v>27</v>
      </c>
      <c r="R2" s="6"/>
    </row>
    <row r="3" spans="1:19" ht="25.5" customHeight="1" thickBot="1" x14ac:dyDescent="0.4">
      <c r="C3" s="1" t="s">
        <v>5</v>
      </c>
      <c r="E3" s="10"/>
      <c r="F3" s="10"/>
      <c r="G3" s="10"/>
      <c r="H3" s="10"/>
      <c r="I3" s="10"/>
      <c r="J3" s="3" t="s">
        <v>6</v>
      </c>
      <c r="K3" s="10"/>
      <c r="M3" s="10"/>
      <c r="N3" s="10"/>
      <c r="O3" s="10"/>
      <c r="P3" s="10"/>
    </row>
    <row r="4" spans="1:19" ht="25.5" customHeight="1" x14ac:dyDescent="0.35">
      <c r="C4" s="1" t="s">
        <v>5</v>
      </c>
      <c r="E4" s="10"/>
      <c r="F4" s="10"/>
      <c r="G4" s="10"/>
      <c r="H4" s="10"/>
      <c r="I4" s="10"/>
      <c r="J4" s="401"/>
      <c r="K4" s="402"/>
      <c r="L4" s="402"/>
      <c r="M4" s="402"/>
      <c r="N4" s="402"/>
      <c r="O4" s="402"/>
      <c r="P4" s="402"/>
      <c r="Q4" s="403"/>
      <c r="R4" s="3" t="s">
        <v>22</v>
      </c>
      <c r="S4" s="5">
        <f>INDEX(E27:P27,Actual_month)</f>
        <v>11110</v>
      </c>
    </row>
    <row r="5" spans="1:19" ht="25.5" customHeight="1" x14ac:dyDescent="0.35">
      <c r="C5" s="1" t="s">
        <v>5</v>
      </c>
      <c r="E5" s="10"/>
      <c r="F5" s="10"/>
      <c r="G5" s="10"/>
      <c r="H5" s="10"/>
      <c r="I5" s="10"/>
      <c r="J5" s="404"/>
      <c r="K5" s="405"/>
      <c r="L5" s="405"/>
      <c r="M5" s="405"/>
      <c r="N5" s="405"/>
      <c r="O5" s="405"/>
      <c r="P5" s="405"/>
      <c r="Q5" s="406"/>
      <c r="R5" s="3" t="s">
        <v>23</v>
      </c>
      <c r="S5" s="5">
        <f>INDEX(E26:P26,Actual_month)</f>
        <v>13635</v>
      </c>
    </row>
    <row r="6" spans="1:19" x14ac:dyDescent="0.35">
      <c r="J6" s="404"/>
      <c r="K6" s="405"/>
      <c r="L6" s="405"/>
      <c r="M6" s="405"/>
      <c r="N6" s="405"/>
      <c r="O6" s="405"/>
      <c r="P6" s="405"/>
      <c r="Q6" s="406"/>
      <c r="R6" s="6">
        <v>0.9</v>
      </c>
      <c r="S6" s="5">
        <f>+S5*R6</f>
        <v>12271.5</v>
      </c>
    </row>
    <row r="7" spans="1:19" x14ac:dyDescent="0.35">
      <c r="J7" s="404"/>
      <c r="K7" s="405"/>
      <c r="L7" s="405"/>
      <c r="M7" s="405"/>
      <c r="N7" s="405"/>
      <c r="O7" s="405"/>
      <c r="P7" s="405"/>
      <c r="Q7" s="406"/>
    </row>
    <row r="8" spans="1:19" ht="15" thickBot="1" x14ac:dyDescent="0.4">
      <c r="J8" s="407"/>
      <c r="K8" s="408"/>
      <c r="L8" s="408"/>
      <c r="M8" s="408"/>
      <c r="N8" s="408"/>
      <c r="O8" s="408"/>
      <c r="P8" s="408"/>
      <c r="Q8" s="409"/>
    </row>
    <row r="9" spans="1:19" ht="15" thickBot="1" x14ac:dyDescent="0.4">
      <c r="J9" s="3" t="s">
        <v>12</v>
      </c>
    </row>
    <row r="10" spans="1:19" x14ac:dyDescent="0.35">
      <c r="J10" s="401"/>
      <c r="K10" s="402"/>
      <c r="L10" s="402"/>
      <c r="M10" s="402"/>
      <c r="N10" s="402"/>
      <c r="O10" s="402"/>
      <c r="P10" s="402"/>
      <c r="Q10" s="403"/>
    </row>
    <row r="11" spans="1:19" x14ac:dyDescent="0.35">
      <c r="J11" s="404"/>
      <c r="K11" s="405"/>
      <c r="L11" s="405"/>
      <c r="M11" s="405"/>
      <c r="N11" s="405"/>
      <c r="O11" s="405"/>
      <c r="P11" s="405"/>
      <c r="Q11" s="406"/>
    </row>
    <row r="12" spans="1:19" x14ac:dyDescent="0.35">
      <c r="J12" s="404"/>
      <c r="K12" s="405"/>
      <c r="L12" s="405"/>
      <c r="M12" s="405"/>
      <c r="N12" s="405"/>
      <c r="O12" s="405"/>
      <c r="P12" s="405"/>
      <c r="Q12" s="406"/>
    </row>
    <row r="13" spans="1:19" x14ac:dyDescent="0.35">
      <c r="J13" s="404"/>
      <c r="K13" s="405"/>
      <c r="L13" s="405"/>
      <c r="M13" s="405"/>
      <c r="N13" s="405"/>
      <c r="O13" s="405"/>
      <c r="P13" s="405"/>
      <c r="Q13" s="406"/>
    </row>
    <row r="14" spans="1:19" x14ac:dyDescent="0.35">
      <c r="J14" s="404"/>
      <c r="K14" s="405"/>
      <c r="L14" s="405"/>
      <c r="M14" s="405"/>
      <c r="N14" s="405"/>
      <c r="O14" s="405"/>
      <c r="P14" s="405"/>
      <c r="Q14" s="406"/>
    </row>
    <row r="15" spans="1:19" ht="15" thickBot="1" x14ac:dyDescent="0.4">
      <c r="J15" s="407"/>
      <c r="K15" s="408"/>
      <c r="L15" s="408"/>
      <c r="M15" s="408"/>
      <c r="N15" s="408"/>
      <c r="O15" s="408"/>
      <c r="P15" s="408"/>
      <c r="Q15" s="409"/>
    </row>
    <row r="16" spans="1:19" x14ac:dyDescent="0.35">
      <c r="K16" s="60"/>
    </row>
    <row r="17" spans="3:17" x14ac:dyDescent="0.35">
      <c r="K17" s="60"/>
    </row>
    <row r="18" spans="3:17" x14ac:dyDescent="0.35">
      <c r="C18" s="7" t="s">
        <v>8</v>
      </c>
      <c r="E18" s="11">
        <v>45839</v>
      </c>
      <c r="F18" s="11">
        <v>45870</v>
      </c>
      <c r="G18" s="11">
        <v>45901</v>
      </c>
      <c r="H18" s="11">
        <v>45931</v>
      </c>
      <c r="I18" s="11">
        <v>45962</v>
      </c>
      <c r="J18" s="11">
        <v>45992</v>
      </c>
      <c r="K18" s="11">
        <v>46023</v>
      </c>
      <c r="L18" s="11">
        <v>46054</v>
      </c>
      <c r="M18" s="11">
        <v>46082</v>
      </c>
      <c r="N18" s="11">
        <v>46113</v>
      </c>
      <c r="O18" s="11">
        <v>46143</v>
      </c>
      <c r="P18" s="11">
        <v>46174</v>
      </c>
      <c r="Q18" s="8" t="s">
        <v>0</v>
      </c>
    </row>
    <row r="19" spans="3:17" x14ac:dyDescent="0.35">
      <c r="D19" s="3" t="s">
        <v>501</v>
      </c>
      <c r="E19" s="360">
        <f>'budget 2025-26'!D183</f>
        <v>12221</v>
      </c>
      <c r="F19" s="360">
        <f>'budget 2025-26'!E183</f>
        <v>12382</v>
      </c>
      <c r="G19" s="360">
        <f>'budget 2025-26'!F183</f>
        <v>12545</v>
      </c>
      <c r="H19" s="360">
        <f>'budget 2025-26'!G183</f>
        <v>12778</v>
      </c>
      <c r="I19" s="360">
        <f>'budget 2025-26'!H183</f>
        <v>13001</v>
      </c>
      <c r="J19" s="360">
        <f>'budget 2025-26'!I183</f>
        <v>13214</v>
      </c>
      <c r="K19" s="360">
        <f>'budget 2025-26'!J183</f>
        <v>13432</v>
      </c>
      <c r="L19" s="360">
        <f>'budget 2025-26'!K183</f>
        <v>13635</v>
      </c>
      <c r="M19" s="360">
        <f>'budget 2025-26'!L183</f>
        <v>13823</v>
      </c>
      <c r="N19" s="360">
        <f>'budget 2025-26'!M183</f>
        <v>13991</v>
      </c>
      <c r="O19" s="360">
        <f>'budget 2025-26'!N183</f>
        <v>14159</v>
      </c>
      <c r="P19" s="360">
        <f>'budget 2025-26'!O183</f>
        <v>14325</v>
      </c>
      <c r="Q19" s="5">
        <f>SUM(E19:P19)</f>
        <v>159506</v>
      </c>
    </row>
    <row r="20" spans="3:17" x14ac:dyDescent="0.35">
      <c r="D20" s="3" t="s">
        <v>502</v>
      </c>
      <c r="E20" s="49">
        <f>'Input Actual2025-26'!E186</f>
        <v>10387</v>
      </c>
      <c r="F20" s="49">
        <f>'Input Actual2025-26'!F186</f>
        <v>10434</v>
      </c>
      <c r="G20" s="49">
        <f>'Input Actual2025-26'!G186</f>
        <v>10603</v>
      </c>
      <c r="H20" s="49">
        <f>'Input Actual2025-26'!H186</f>
        <v>10739</v>
      </c>
      <c r="I20" s="49">
        <f>'Input Actual2025-26'!I186</f>
        <v>10811</v>
      </c>
      <c r="J20" s="49">
        <f>'Input Actual2025-26'!J186</f>
        <v>10880</v>
      </c>
      <c r="K20" s="49">
        <f>'Input Actual2025-26'!K186</f>
        <v>11008</v>
      </c>
      <c r="L20" s="49">
        <f>'Input Actual2025-26'!L186</f>
        <v>11110</v>
      </c>
      <c r="M20" s="49">
        <f>'Input Actual2025-26'!M186</f>
        <v>0</v>
      </c>
      <c r="N20" s="49">
        <f>'Input Actual2025-26'!N186</f>
        <v>0</v>
      </c>
      <c r="O20" s="49">
        <f>'Input Actual2025-26'!O186</f>
        <v>0</v>
      </c>
      <c r="P20" s="49">
        <f>'Input Actual2025-26'!P186</f>
        <v>0</v>
      </c>
      <c r="Q20" s="5">
        <f t="shared" ref="Q20:Q22" si="0">SUM(E20:P20)</f>
        <v>85972</v>
      </c>
    </row>
    <row r="21" spans="3:17" x14ac:dyDescent="0.35">
      <c r="D21" s="3" t="s">
        <v>424</v>
      </c>
      <c r="E21" s="49">
        <f>'Input Actual2024-25'!E173</f>
        <v>9754</v>
      </c>
      <c r="F21" s="49">
        <f>'Input Actual2024-25'!F173</f>
        <v>9806</v>
      </c>
      <c r="G21" s="49">
        <f>'Input Actual2024-25'!G173</f>
        <v>9837</v>
      </c>
      <c r="H21" s="49">
        <f>'Input Actual2024-25'!H173</f>
        <v>9857</v>
      </c>
      <c r="I21" s="49">
        <f>'Input Actual2024-25'!I173</f>
        <v>9857</v>
      </c>
      <c r="J21" s="49">
        <f>'Input Actual2024-25'!J173</f>
        <v>9913</v>
      </c>
      <c r="K21" s="49">
        <f>'Input Actual2024-25'!K173</f>
        <v>9937</v>
      </c>
      <c r="L21" s="49">
        <f>'Input Actual2024-25'!L173</f>
        <v>10019</v>
      </c>
      <c r="M21" s="49">
        <f>'Input Actual2024-25'!M173</f>
        <v>10081</v>
      </c>
      <c r="N21" s="49">
        <f>'Input Actual2024-25'!N173</f>
        <v>10150</v>
      </c>
      <c r="O21" s="49">
        <f>'Input Actual2024-25'!O173</f>
        <v>10245</v>
      </c>
      <c r="P21" s="49">
        <f>'Input Actual2024-25'!P173</f>
        <v>10291</v>
      </c>
      <c r="Q21" s="5">
        <f t="shared" si="0"/>
        <v>119747</v>
      </c>
    </row>
    <row r="22" spans="3:17" x14ac:dyDescent="0.35">
      <c r="D22" s="3" t="s">
        <v>7</v>
      </c>
      <c r="E22" s="5">
        <f t="shared" ref="E22:P22" si="1">IF(E20=0,0,E20-E19)</f>
        <v>-1834</v>
      </c>
      <c r="F22" s="5">
        <f t="shared" si="1"/>
        <v>-1948</v>
      </c>
      <c r="G22" s="5">
        <f t="shared" si="1"/>
        <v>-1942</v>
      </c>
      <c r="H22" s="5">
        <f t="shared" si="1"/>
        <v>-2039</v>
      </c>
      <c r="I22" s="5">
        <f t="shared" si="1"/>
        <v>-2190</v>
      </c>
      <c r="J22" s="5">
        <f t="shared" si="1"/>
        <v>-2334</v>
      </c>
      <c r="K22" s="5">
        <f t="shared" si="1"/>
        <v>-2424</v>
      </c>
      <c r="L22" s="5">
        <f t="shared" si="1"/>
        <v>-2525</v>
      </c>
      <c r="M22" s="5">
        <f t="shared" si="1"/>
        <v>0</v>
      </c>
      <c r="N22" s="5">
        <f t="shared" si="1"/>
        <v>0</v>
      </c>
      <c r="O22" s="5">
        <f t="shared" si="1"/>
        <v>0</v>
      </c>
      <c r="P22" s="5">
        <f t="shared" si="1"/>
        <v>0</v>
      </c>
      <c r="Q22" s="5">
        <f t="shared" si="0"/>
        <v>-17236</v>
      </c>
    </row>
    <row r="23" spans="3:17" x14ac:dyDescent="0.35">
      <c r="D23" s="3" t="s">
        <v>43</v>
      </c>
      <c r="E23" s="9">
        <f>E21/E19</f>
        <v>0.79813435889043449</v>
      </c>
      <c r="F23" s="9">
        <f t="shared" ref="F23:P23" si="2">F20/F19</f>
        <v>0.84267485058956548</v>
      </c>
      <c r="G23" s="9">
        <f t="shared" si="2"/>
        <v>0.84519728975687525</v>
      </c>
      <c r="H23" s="9">
        <f t="shared" si="2"/>
        <v>0.84042886210674594</v>
      </c>
      <c r="I23" s="9">
        <f t="shared" si="2"/>
        <v>0.83155141912160602</v>
      </c>
      <c r="J23" s="9">
        <f t="shared" si="2"/>
        <v>0.82336915392765253</v>
      </c>
      <c r="K23" s="9">
        <f t="shared" si="2"/>
        <v>0.81953543776057181</v>
      </c>
      <c r="L23" s="9">
        <f t="shared" si="2"/>
        <v>0.81481481481481477</v>
      </c>
      <c r="M23" s="9">
        <f t="shared" si="2"/>
        <v>0</v>
      </c>
      <c r="N23" s="9">
        <f t="shared" si="2"/>
        <v>0</v>
      </c>
      <c r="O23" s="9">
        <f t="shared" si="2"/>
        <v>0</v>
      </c>
      <c r="P23" s="9">
        <f t="shared" si="2"/>
        <v>0</v>
      </c>
    </row>
    <row r="25" spans="3:17" x14ac:dyDescent="0.35">
      <c r="C25" s="7" t="s">
        <v>3</v>
      </c>
      <c r="E25" s="11">
        <f>E18</f>
        <v>45839</v>
      </c>
      <c r="F25" s="11">
        <f t="shared" ref="F25:P26" si="3">F18</f>
        <v>45870</v>
      </c>
      <c r="G25" s="11">
        <f t="shared" si="3"/>
        <v>45901</v>
      </c>
      <c r="H25" s="11">
        <f t="shared" si="3"/>
        <v>45931</v>
      </c>
      <c r="I25" s="11">
        <f t="shared" si="3"/>
        <v>45962</v>
      </c>
      <c r="J25" s="11">
        <f t="shared" si="3"/>
        <v>45992</v>
      </c>
      <c r="K25" s="11">
        <f t="shared" si="3"/>
        <v>46023</v>
      </c>
      <c r="L25" s="11">
        <f t="shared" si="3"/>
        <v>46054</v>
      </c>
      <c r="M25" s="11">
        <f t="shared" si="3"/>
        <v>46082</v>
      </c>
      <c r="N25" s="11">
        <f t="shared" si="3"/>
        <v>46113</v>
      </c>
      <c r="O25" s="11">
        <f t="shared" si="3"/>
        <v>46143</v>
      </c>
      <c r="P25" s="11">
        <f t="shared" si="3"/>
        <v>46174</v>
      </c>
    </row>
    <row r="26" spans="3:17" x14ac:dyDescent="0.35">
      <c r="D26" s="3" t="str">
        <f>D19</f>
        <v>Budget 2025-26</v>
      </c>
      <c r="E26" s="360">
        <f>E19</f>
        <v>12221</v>
      </c>
      <c r="F26" s="360">
        <f t="shared" si="3"/>
        <v>12382</v>
      </c>
      <c r="G26" s="360">
        <f t="shared" si="3"/>
        <v>12545</v>
      </c>
      <c r="H26" s="360">
        <f t="shared" si="3"/>
        <v>12778</v>
      </c>
      <c r="I26" s="360">
        <f t="shared" si="3"/>
        <v>13001</v>
      </c>
      <c r="J26" s="360">
        <f t="shared" si="3"/>
        <v>13214</v>
      </c>
      <c r="K26" s="360">
        <f t="shared" si="3"/>
        <v>13432</v>
      </c>
      <c r="L26" s="360">
        <f t="shared" si="3"/>
        <v>13635</v>
      </c>
      <c r="M26" s="360">
        <f t="shared" si="3"/>
        <v>13823</v>
      </c>
      <c r="N26" s="360">
        <f t="shared" si="3"/>
        <v>13991</v>
      </c>
      <c r="O26" s="360">
        <f t="shared" si="3"/>
        <v>14159</v>
      </c>
      <c r="P26" s="360">
        <f t="shared" si="3"/>
        <v>14325</v>
      </c>
    </row>
    <row r="27" spans="3:17" x14ac:dyDescent="0.35">
      <c r="D27" s="3" t="str">
        <f t="shared" ref="D27:D30" si="4">D20</f>
        <v>Actual 2025-26</v>
      </c>
      <c r="E27" s="5">
        <f>E20</f>
        <v>10387</v>
      </c>
      <c r="F27" s="5">
        <f t="shared" ref="F27:O27" si="5">F20</f>
        <v>10434</v>
      </c>
      <c r="G27" s="5">
        <f t="shared" si="5"/>
        <v>10603</v>
      </c>
      <c r="H27" s="5">
        <f t="shared" si="5"/>
        <v>10739</v>
      </c>
      <c r="I27" s="5">
        <f t="shared" si="5"/>
        <v>10811</v>
      </c>
      <c r="J27" s="5">
        <f t="shared" si="5"/>
        <v>10880</v>
      </c>
      <c r="K27" s="5">
        <f t="shared" si="5"/>
        <v>11008</v>
      </c>
      <c r="L27" s="5">
        <f t="shared" si="5"/>
        <v>11110</v>
      </c>
      <c r="M27" s="5">
        <f t="shared" si="5"/>
        <v>0</v>
      </c>
      <c r="N27" s="5">
        <f t="shared" si="5"/>
        <v>0</v>
      </c>
      <c r="O27" s="5">
        <f t="shared" si="5"/>
        <v>0</v>
      </c>
      <c r="P27" s="5">
        <f>P20</f>
        <v>0</v>
      </c>
    </row>
    <row r="28" spans="3:17" x14ac:dyDescent="0.35">
      <c r="D28" s="3" t="str">
        <f t="shared" si="4"/>
        <v>Actual 2024-25</v>
      </c>
      <c r="E28" s="5">
        <f>SUM($E21:E21)</f>
        <v>9754</v>
      </c>
      <c r="F28" s="5">
        <f>SUM($E21:F21)</f>
        <v>19560</v>
      </c>
      <c r="G28" s="5">
        <f>SUM($E21:G21)</f>
        <v>29397</v>
      </c>
      <c r="H28" s="5">
        <f>SUM($E21:H21)</f>
        <v>39254</v>
      </c>
      <c r="I28" s="5">
        <f>SUM($E21:I21)</f>
        <v>49111</v>
      </c>
      <c r="J28" s="5">
        <f>SUM($E21:J21)</f>
        <v>59024</v>
      </c>
      <c r="K28" s="5">
        <f>SUM($E21:K21)</f>
        <v>68961</v>
      </c>
      <c r="L28" s="5">
        <f>SUM($E21:L21)</f>
        <v>78980</v>
      </c>
      <c r="M28" s="5">
        <f>SUM($E21:M21)</f>
        <v>89061</v>
      </c>
      <c r="N28" s="5">
        <f>SUM($E21:N21)</f>
        <v>99211</v>
      </c>
      <c r="O28" s="5">
        <f>SUM($E21:O21)</f>
        <v>109456</v>
      </c>
      <c r="P28" s="5">
        <f>SUM($E21:P21)</f>
        <v>119747</v>
      </c>
    </row>
    <row r="29" spans="3:17" x14ac:dyDescent="0.35">
      <c r="D29" s="3" t="str">
        <f t="shared" si="4"/>
        <v>Difference</v>
      </c>
      <c r="E29" s="5">
        <f>SUM($E22:E22)</f>
        <v>-1834</v>
      </c>
      <c r="F29" s="5">
        <f>SUM($E22:F22)</f>
        <v>-3782</v>
      </c>
      <c r="G29" s="5">
        <f>SUM($E22:G22)</f>
        <v>-5724</v>
      </c>
      <c r="H29" s="5">
        <f>SUM($E22:H22)</f>
        <v>-7763</v>
      </c>
      <c r="I29" s="5">
        <f>SUM($E22:I22)</f>
        <v>-9953</v>
      </c>
      <c r="J29" s="5">
        <f>SUM($E22:J22)</f>
        <v>-12287</v>
      </c>
      <c r="K29" s="5">
        <f>SUM($E22:K22)</f>
        <v>-14711</v>
      </c>
      <c r="L29" s="5">
        <f>SUM($E22:L22)</f>
        <v>-17236</v>
      </c>
      <c r="M29" s="5">
        <f>SUM($E22:M22)</f>
        <v>-17236</v>
      </c>
      <c r="N29" s="5">
        <f>SUM($E22:N22)</f>
        <v>-17236</v>
      </c>
      <c r="O29" s="5">
        <f>SUM($E22:O22)</f>
        <v>-17236</v>
      </c>
      <c r="P29" s="5">
        <f>SUM($E22:P22)</f>
        <v>-17236</v>
      </c>
    </row>
    <row r="30" spans="3:17" x14ac:dyDescent="0.35">
      <c r="D30" s="3" t="str">
        <f t="shared" si="4"/>
        <v>Realisation</v>
      </c>
      <c r="E30" s="9">
        <f>E28/E26</f>
        <v>0.79813435889043449</v>
      </c>
      <c r="F30" s="9">
        <f t="shared" ref="F30:P30" si="6">F27/F26</f>
        <v>0.84267485058956548</v>
      </c>
      <c r="G30" s="9">
        <f t="shared" si="6"/>
        <v>0.84519728975687525</v>
      </c>
      <c r="H30" s="9">
        <f t="shared" si="6"/>
        <v>0.84042886210674594</v>
      </c>
      <c r="I30" s="9">
        <f t="shared" si="6"/>
        <v>0.83155141912160602</v>
      </c>
      <c r="J30" s="9">
        <f t="shared" si="6"/>
        <v>0.82336915392765253</v>
      </c>
      <c r="K30" s="9">
        <f t="shared" si="6"/>
        <v>0.81953543776057181</v>
      </c>
      <c r="L30" s="9">
        <f t="shared" si="6"/>
        <v>0.81481481481481477</v>
      </c>
      <c r="M30" s="9">
        <f t="shared" si="6"/>
        <v>0</v>
      </c>
      <c r="N30" s="9">
        <f t="shared" si="6"/>
        <v>0</v>
      </c>
      <c r="O30" s="9">
        <f t="shared" si="6"/>
        <v>0</v>
      </c>
      <c r="P30" s="9">
        <f t="shared" si="6"/>
        <v>0</v>
      </c>
    </row>
  </sheetData>
  <mergeCells count="2">
    <mergeCell ref="J4:Q8"/>
    <mergeCell ref="J10:Q15"/>
  </mergeCells>
  <conditionalFormatting sqref="C3">
    <cfRule type="expression" dxfId="89" priority="2">
      <formula>S4&lt;S6</formula>
    </cfRule>
  </conditionalFormatting>
  <conditionalFormatting sqref="C5">
    <cfRule type="expression" dxfId="88" priority="3">
      <formula>S4&gt;=S5</formula>
    </cfRule>
  </conditionalFormatting>
  <conditionalFormatting sqref="C4">
    <cfRule type="expression" dxfId="87" priority="1">
      <formula>AND(S4&gt;=S6,S4&lt;S5)</formula>
    </cfRule>
  </conditionalFormatting>
  <hyperlinks>
    <hyperlink ref="L1" location="Dashboard!A1" display="Dashboard"/>
  </hyperlinks>
  <pageMargins left="0.7" right="0.7" top="0.75" bottom="0.75" header="0.3" footer="0.3"/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511425" r:id="rId3" name="Spinner 1">
              <controlPr defaultSize="0" autoPict="0">
                <anchor moveWithCells="1" sizeWithCells="1">
                  <from>
                    <xdr:col>9</xdr:col>
                    <xdr:colOff>19050</xdr:colOff>
                    <xdr:row>0</xdr:row>
                    <xdr:rowOff>38100</xdr:rowOff>
                  </from>
                  <to>
                    <xdr:col>9</xdr:col>
                    <xdr:colOff>400050</xdr:colOff>
                    <xdr:row>1</xdr:row>
                    <xdr:rowOff>152400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17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S30"/>
  <sheetViews>
    <sheetView topLeftCell="A7" workbookViewId="0">
      <selection activeCell="D1" sqref="D1"/>
    </sheetView>
  </sheetViews>
  <sheetFormatPr defaultColWidth="9.1796875" defaultRowHeight="14.5" x14ac:dyDescent="0.35"/>
  <cols>
    <col min="1" max="1" width="9.1796875" style="3"/>
    <col min="2" max="2" width="5.7265625" style="3" bestFit="1" customWidth="1"/>
    <col min="3" max="3" width="6.26953125" style="3" customWidth="1"/>
    <col min="4" max="4" width="21.26953125" style="3" bestFit="1" customWidth="1"/>
    <col min="5" max="16" width="11.1796875" style="3" customWidth="1"/>
    <col min="17" max="17" width="12" style="3" bestFit="1" customWidth="1"/>
    <col min="18" max="18" width="9.1796875" style="3" customWidth="1"/>
    <col min="19" max="16384" width="9.1796875" style="3"/>
  </cols>
  <sheetData>
    <row r="1" spans="1:19" ht="21" x14ac:dyDescent="0.5">
      <c r="A1" s="4" t="s">
        <v>4</v>
      </c>
      <c r="B1" s="4">
        <f>Dashboard!A183</f>
        <v>1</v>
      </c>
      <c r="C1" s="4" t="str">
        <f>Dashboard!B195</f>
        <v>Billing Efficiency (%)</v>
      </c>
      <c r="D1" s="4"/>
      <c r="G1" s="3" t="s">
        <v>9</v>
      </c>
      <c r="I1" s="12">
        <f>INDEX($E$18:$P$18,Actual_month)</f>
        <v>46054</v>
      </c>
      <c r="L1" s="16" t="s">
        <v>19</v>
      </c>
      <c r="R1" s="5"/>
    </row>
    <row r="2" spans="1:19" x14ac:dyDescent="0.35">
      <c r="A2" s="3" t="s">
        <v>13</v>
      </c>
      <c r="C2" s="3" t="s">
        <v>27</v>
      </c>
      <c r="R2" s="6"/>
    </row>
    <row r="3" spans="1:19" ht="25.5" customHeight="1" thickBot="1" x14ac:dyDescent="0.4">
      <c r="C3" s="1" t="s">
        <v>5</v>
      </c>
      <c r="E3" s="10"/>
      <c r="F3" s="10"/>
      <c r="G3" s="10"/>
      <c r="H3" s="10"/>
      <c r="I3" s="10"/>
      <c r="J3" s="3" t="s">
        <v>6</v>
      </c>
      <c r="K3" s="10"/>
      <c r="M3" s="10"/>
      <c r="N3" s="10"/>
      <c r="O3" s="10"/>
      <c r="P3" s="10"/>
    </row>
    <row r="4" spans="1:19" ht="25.5" customHeight="1" x14ac:dyDescent="0.35">
      <c r="C4" s="1" t="s">
        <v>5</v>
      </c>
      <c r="E4" s="10"/>
      <c r="F4" s="10"/>
      <c r="G4" s="10"/>
      <c r="H4" s="10"/>
      <c r="I4" s="10"/>
      <c r="J4" s="401"/>
      <c r="K4" s="402"/>
      <c r="L4" s="402"/>
      <c r="M4" s="402"/>
      <c r="N4" s="402"/>
      <c r="O4" s="402"/>
      <c r="P4" s="402"/>
      <c r="Q4" s="403"/>
      <c r="R4" s="3" t="s">
        <v>22</v>
      </c>
      <c r="S4" s="5">
        <f>INDEX(E27:P27,Actual_month)</f>
        <v>0.99116906055402076</v>
      </c>
    </row>
    <row r="5" spans="1:19" ht="25.5" customHeight="1" x14ac:dyDescent="0.35">
      <c r="C5" s="1" t="s">
        <v>5</v>
      </c>
      <c r="E5" s="10"/>
      <c r="F5" s="10"/>
      <c r="G5" s="10"/>
      <c r="H5" s="10"/>
      <c r="I5" s="10"/>
      <c r="J5" s="404"/>
      <c r="K5" s="405"/>
      <c r="L5" s="405"/>
      <c r="M5" s="405"/>
      <c r="N5" s="405"/>
      <c r="O5" s="405"/>
      <c r="P5" s="405"/>
      <c r="Q5" s="406"/>
      <c r="R5" s="3" t="s">
        <v>23</v>
      </c>
      <c r="S5" s="5">
        <f>INDEX(E26:P26,Actual_month)</f>
        <v>1</v>
      </c>
    </row>
    <row r="6" spans="1:19" x14ac:dyDescent="0.35">
      <c r="J6" s="404"/>
      <c r="K6" s="405"/>
      <c r="L6" s="405"/>
      <c r="M6" s="405"/>
      <c r="N6" s="405"/>
      <c r="O6" s="405"/>
      <c r="P6" s="405"/>
      <c r="Q6" s="406"/>
      <c r="R6" s="6">
        <v>0.9</v>
      </c>
      <c r="S6" s="5">
        <f>+S5*R6</f>
        <v>0.9</v>
      </c>
    </row>
    <row r="7" spans="1:19" x14ac:dyDescent="0.35">
      <c r="J7" s="404"/>
      <c r="K7" s="405"/>
      <c r="L7" s="405"/>
      <c r="M7" s="405"/>
      <c r="N7" s="405"/>
      <c r="O7" s="405"/>
      <c r="P7" s="405"/>
      <c r="Q7" s="406"/>
    </row>
    <row r="8" spans="1:19" ht="15" thickBot="1" x14ac:dyDescent="0.4">
      <c r="J8" s="407"/>
      <c r="K8" s="408"/>
      <c r="L8" s="408"/>
      <c r="M8" s="408"/>
      <c r="N8" s="408"/>
      <c r="O8" s="408"/>
      <c r="P8" s="408"/>
      <c r="Q8" s="409"/>
    </row>
    <row r="9" spans="1:19" ht="15" thickBot="1" x14ac:dyDescent="0.4">
      <c r="J9" s="3" t="s">
        <v>12</v>
      </c>
    </row>
    <row r="10" spans="1:19" x14ac:dyDescent="0.35">
      <c r="J10" s="401"/>
      <c r="K10" s="402"/>
      <c r="L10" s="402"/>
      <c r="M10" s="402"/>
      <c r="N10" s="402"/>
      <c r="O10" s="402"/>
      <c r="P10" s="402"/>
      <c r="Q10" s="403"/>
    </row>
    <row r="11" spans="1:19" x14ac:dyDescent="0.35">
      <c r="J11" s="404"/>
      <c r="K11" s="405"/>
      <c r="L11" s="405"/>
      <c r="M11" s="405"/>
      <c r="N11" s="405"/>
      <c r="O11" s="405"/>
      <c r="P11" s="405"/>
      <c r="Q11" s="406"/>
    </row>
    <row r="12" spans="1:19" x14ac:dyDescent="0.35">
      <c r="J12" s="404"/>
      <c r="K12" s="405"/>
      <c r="L12" s="405"/>
      <c r="M12" s="405"/>
      <c r="N12" s="405"/>
      <c r="O12" s="405"/>
      <c r="P12" s="405"/>
      <c r="Q12" s="406"/>
    </row>
    <row r="13" spans="1:19" x14ac:dyDescent="0.35">
      <c r="J13" s="404"/>
      <c r="K13" s="405"/>
      <c r="L13" s="405"/>
      <c r="M13" s="405"/>
      <c r="N13" s="405"/>
      <c r="O13" s="405"/>
      <c r="P13" s="405"/>
      <c r="Q13" s="406"/>
    </row>
    <row r="14" spans="1:19" x14ac:dyDescent="0.35">
      <c r="J14" s="404"/>
      <c r="K14" s="405"/>
      <c r="L14" s="405"/>
      <c r="M14" s="405"/>
      <c r="N14" s="405"/>
      <c r="O14" s="405"/>
      <c r="P14" s="405"/>
      <c r="Q14" s="406"/>
    </row>
    <row r="15" spans="1:19" ht="15" thickBot="1" x14ac:dyDescent="0.4">
      <c r="J15" s="407"/>
      <c r="K15" s="408"/>
      <c r="L15" s="408"/>
      <c r="M15" s="408"/>
      <c r="N15" s="408"/>
      <c r="O15" s="408"/>
      <c r="P15" s="408"/>
      <c r="Q15" s="409"/>
    </row>
    <row r="16" spans="1:19" x14ac:dyDescent="0.35">
      <c r="K16" s="60"/>
    </row>
    <row r="17" spans="3:17" x14ac:dyDescent="0.35">
      <c r="K17" s="60"/>
    </row>
    <row r="18" spans="3:17" x14ac:dyDescent="0.35">
      <c r="C18" s="7" t="s">
        <v>8</v>
      </c>
      <c r="E18" s="11">
        <v>45839</v>
      </c>
      <c r="F18" s="11">
        <v>45870</v>
      </c>
      <c r="G18" s="11">
        <v>45901</v>
      </c>
      <c r="H18" s="11">
        <v>45931</v>
      </c>
      <c r="I18" s="11">
        <v>45962</v>
      </c>
      <c r="J18" s="11">
        <v>45992</v>
      </c>
      <c r="K18" s="11">
        <v>46023</v>
      </c>
      <c r="L18" s="11">
        <v>46054</v>
      </c>
      <c r="M18" s="11">
        <v>46082</v>
      </c>
      <c r="N18" s="11">
        <v>46113</v>
      </c>
      <c r="O18" s="11">
        <v>46143</v>
      </c>
      <c r="P18" s="11">
        <v>46174</v>
      </c>
      <c r="Q18" s="8" t="s">
        <v>0</v>
      </c>
    </row>
    <row r="19" spans="3:17" x14ac:dyDescent="0.35">
      <c r="D19" s="3" t="s">
        <v>501</v>
      </c>
      <c r="E19" s="9">
        <f>'budget 2025-26'!D184</f>
        <v>1</v>
      </c>
      <c r="F19" s="9">
        <f>'budget 2025-26'!E184</f>
        <v>1</v>
      </c>
      <c r="G19" s="9">
        <f>'budget 2025-26'!F184</f>
        <v>1</v>
      </c>
      <c r="H19" s="9">
        <f>'budget 2025-26'!G184</f>
        <v>1</v>
      </c>
      <c r="I19" s="9">
        <f>'budget 2025-26'!H184</f>
        <v>1</v>
      </c>
      <c r="J19" s="9">
        <f>'budget 2025-26'!I184</f>
        <v>1</v>
      </c>
      <c r="K19" s="9">
        <f>'budget 2025-26'!J184</f>
        <v>1</v>
      </c>
      <c r="L19" s="9">
        <f>'budget 2025-26'!K184</f>
        <v>1</v>
      </c>
      <c r="M19" s="9">
        <f>'budget 2025-26'!L184</f>
        <v>1</v>
      </c>
      <c r="N19" s="9">
        <f>'budget 2025-26'!M184</f>
        <v>1</v>
      </c>
      <c r="O19" s="9">
        <f>'budget 2025-26'!N184</f>
        <v>1</v>
      </c>
      <c r="P19" s="9">
        <f>'budget 2025-26'!O184</f>
        <v>1</v>
      </c>
      <c r="Q19" s="5">
        <f>SUM(E19:P19)</f>
        <v>12</v>
      </c>
    </row>
    <row r="20" spans="3:17" x14ac:dyDescent="0.35">
      <c r="D20" s="3" t="s">
        <v>502</v>
      </c>
      <c r="E20" s="9">
        <f>'Input Actual2025-26'!E187</f>
        <v>0.99397129186602873</v>
      </c>
      <c r="F20" s="9">
        <f>'Input Actual2025-26'!F187</f>
        <v>0.98806818181818179</v>
      </c>
      <c r="G20" s="9">
        <f>'Input Actual2025-26'!G187</f>
        <v>0.99186155285313382</v>
      </c>
      <c r="H20" s="9">
        <f>'Input Actual2025-26'!H187</f>
        <v>0.99435185185185182</v>
      </c>
      <c r="I20" s="9">
        <f>'Input Actual2025-26'!I187</f>
        <v>0.99347546406910492</v>
      </c>
      <c r="J20" s="9">
        <f>'Input Actual2025-26'!J187</f>
        <v>0.98900099990909918</v>
      </c>
      <c r="K20" s="9">
        <f>'Input Actual2025-26'!K187</f>
        <v>0.98966106266295062</v>
      </c>
      <c r="L20" s="9">
        <f>'Input Actual2025-26'!L187</f>
        <v>0.98896207940181591</v>
      </c>
      <c r="M20" s="9" t="e">
        <f>'Input Actual2025-26'!M187</f>
        <v>#DIV/0!</v>
      </c>
      <c r="N20" s="9" t="e">
        <f>'Input Actual2025-26'!N187</f>
        <v>#DIV/0!</v>
      </c>
      <c r="O20" s="9" t="e">
        <f>'Input Actual2025-26'!O187</f>
        <v>#DIV/0!</v>
      </c>
      <c r="P20" s="9" t="e">
        <f>'Input Actual2025-26'!P187</f>
        <v>#DIV/0!</v>
      </c>
      <c r="Q20" s="5" t="e">
        <f t="shared" ref="Q20:Q22" si="0">SUM(E20:P20)</f>
        <v>#DIV/0!</v>
      </c>
    </row>
    <row r="21" spans="3:17" x14ac:dyDescent="0.35">
      <c r="D21" s="3" t="s">
        <v>424</v>
      </c>
      <c r="E21" s="49">
        <f>'Input Actual2024-25'!E174</f>
        <v>1</v>
      </c>
      <c r="F21" s="49">
        <f>'Input Actual2024-25'!F174</f>
        <v>1</v>
      </c>
      <c r="G21" s="49">
        <f>'Input Actual2024-25'!G174</f>
        <v>1</v>
      </c>
      <c r="H21" s="49">
        <f>'Input Actual2024-25'!H174</f>
        <v>1</v>
      </c>
      <c r="I21" s="49">
        <f>'Input Actual2024-25'!I174</f>
        <v>1</v>
      </c>
      <c r="J21" s="49">
        <f>'Input Actual2024-25'!J174</f>
        <v>0.99768518518518523</v>
      </c>
      <c r="K21" s="49">
        <f>'Input Actual2024-25'!K174</f>
        <v>0.9987938486280028</v>
      </c>
      <c r="L21" s="49">
        <f>'Input Actual2024-25'!L174</f>
        <v>0.99761027581399975</v>
      </c>
      <c r="M21" s="49">
        <f>'Input Actual2024-25'!M174</f>
        <v>0.99713155291790312</v>
      </c>
      <c r="N21" s="49">
        <f>'Input Actual2024-25'!N174</f>
        <v>0.99529319474406741</v>
      </c>
      <c r="O21" s="49">
        <f>'Input Actual2024-25'!O174</f>
        <v>0.99611084103062708</v>
      </c>
      <c r="P21" s="49">
        <f>'Input Actual2024-25'!P174</f>
        <v>0.9953573846600251</v>
      </c>
      <c r="Q21" s="5">
        <f t="shared" si="0"/>
        <v>11.977982282979811</v>
      </c>
    </row>
    <row r="22" spans="3:17" x14ac:dyDescent="0.35">
      <c r="D22" s="3" t="s">
        <v>7</v>
      </c>
      <c r="E22" s="5">
        <f t="shared" ref="E22:P22" si="1">IF(E20=0,0,E20-E19)</f>
        <v>-6.0287081339712723E-3</v>
      </c>
      <c r="F22" s="5">
        <f t="shared" si="1"/>
        <v>-1.193181818181821E-2</v>
      </c>
      <c r="G22" s="5">
        <f t="shared" si="1"/>
        <v>-8.138447146866179E-3</v>
      </c>
      <c r="H22" s="5">
        <f t="shared" si="1"/>
        <v>-5.6481481481481799E-3</v>
      </c>
      <c r="I22" s="5">
        <f t="shared" si="1"/>
        <v>-6.5245359308950812E-3</v>
      </c>
      <c r="J22" s="5">
        <f t="shared" si="1"/>
        <v>-1.0999000090900823E-2</v>
      </c>
      <c r="K22" s="5">
        <f t="shared" si="1"/>
        <v>-1.0338937337049381E-2</v>
      </c>
      <c r="L22" s="5">
        <f t="shared" si="1"/>
        <v>-1.1037920598184092E-2</v>
      </c>
      <c r="M22" s="5" t="e">
        <f t="shared" si="1"/>
        <v>#DIV/0!</v>
      </c>
      <c r="N22" s="5" t="e">
        <f t="shared" si="1"/>
        <v>#DIV/0!</v>
      </c>
      <c r="O22" s="5" t="e">
        <f t="shared" si="1"/>
        <v>#DIV/0!</v>
      </c>
      <c r="P22" s="5" t="e">
        <f t="shared" si="1"/>
        <v>#DIV/0!</v>
      </c>
      <c r="Q22" s="5" t="e">
        <f t="shared" si="0"/>
        <v>#DIV/0!</v>
      </c>
    </row>
    <row r="23" spans="3:17" x14ac:dyDescent="0.35">
      <c r="D23" s="3" t="s">
        <v>43</v>
      </c>
      <c r="E23" s="9">
        <f>E21/E19</f>
        <v>1</v>
      </c>
      <c r="F23" s="9">
        <f t="shared" ref="F23:P23" si="2">F20/F19</f>
        <v>0.98806818181818179</v>
      </c>
      <c r="G23" s="9">
        <f t="shared" si="2"/>
        <v>0.99186155285313382</v>
      </c>
      <c r="H23" s="9">
        <f t="shared" si="2"/>
        <v>0.99435185185185182</v>
      </c>
      <c r="I23" s="9">
        <f t="shared" si="2"/>
        <v>0.99347546406910492</v>
      </c>
      <c r="J23" s="9">
        <f t="shared" si="2"/>
        <v>0.98900099990909918</v>
      </c>
      <c r="K23" s="9">
        <f t="shared" si="2"/>
        <v>0.98966106266295062</v>
      </c>
      <c r="L23" s="9">
        <f t="shared" si="2"/>
        <v>0.98896207940181591</v>
      </c>
      <c r="M23" s="9" t="e">
        <f t="shared" si="2"/>
        <v>#DIV/0!</v>
      </c>
      <c r="N23" s="9" t="e">
        <f t="shared" si="2"/>
        <v>#DIV/0!</v>
      </c>
      <c r="O23" s="9" t="e">
        <f t="shared" si="2"/>
        <v>#DIV/0!</v>
      </c>
      <c r="P23" s="9" t="e">
        <f t="shared" si="2"/>
        <v>#DIV/0!</v>
      </c>
    </row>
    <row r="25" spans="3:17" x14ac:dyDescent="0.35">
      <c r="C25" s="7" t="s">
        <v>3</v>
      </c>
      <c r="E25" s="11">
        <f>E18</f>
        <v>45839</v>
      </c>
      <c r="F25" s="11">
        <f t="shared" ref="F25:P26" si="3">F18</f>
        <v>45870</v>
      </c>
      <c r="G25" s="11">
        <f t="shared" si="3"/>
        <v>45901</v>
      </c>
      <c r="H25" s="11">
        <f t="shared" si="3"/>
        <v>45931</v>
      </c>
      <c r="I25" s="11">
        <f t="shared" si="3"/>
        <v>45962</v>
      </c>
      <c r="J25" s="11">
        <f t="shared" si="3"/>
        <v>45992</v>
      </c>
      <c r="K25" s="11">
        <f t="shared" si="3"/>
        <v>46023</v>
      </c>
      <c r="L25" s="11">
        <f t="shared" si="3"/>
        <v>46054</v>
      </c>
      <c r="M25" s="11">
        <f t="shared" si="3"/>
        <v>46082</v>
      </c>
      <c r="N25" s="11">
        <f t="shared" si="3"/>
        <v>46113</v>
      </c>
      <c r="O25" s="11">
        <f t="shared" si="3"/>
        <v>46143</v>
      </c>
      <c r="P25" s="11">
        <f t="shared" si="3"/>
        <v>46174</v>
      </c>
    </row>
    <row r="26" spans="3:17" x14ac:dyDescent="0.35">
      <c r="D26" s="3" t="str">
        <f>D19</f>
        <v>Budget 2025-26</v>
      </c>
      <c r="E26" s="9">
        <f>E19</f>
        <v>1</v>
      </c>
      <c r="F26" s="9">
        <f t="shared" si="3"/>
        <v>1</v>
      </c>
      <c r="G26" s="9">
        <f t="shared" si="3"/>
        <v>1</v>
      </c>
      <c r="H26" s="9">
        <f t="shared" si="3"/>
        <v>1</v>
      </c>
      <c r="I26" s="9">
        <f t="shared" si="3"/>
        <v>1</v>
      </c>
      <c r="J26" s="9">
        <f t="shared" si="3"/>
        <v>1</v>
      </c>
      <c r="K26" s="9">
        <f t="shared" si="3"/>
        <v>1</v>
      </c>
      <c r="L26" s="9">
        <f t="shared" si="3"/>
        <v>1</v>
      </c>
      <c r="M26" s="9">
        <f t="shared" si="3"/>
        <v>1</v>
      </c>
      <c r="N26" s="9">
        <f t="shared" si="3"/>
        <v>1</v>
      </c>
      <c r="O26" s="9">
        <f t="shared" si="3"/>
        <v>1</v>
      </c>
      <c r="P26" s="9">
        <f t="shared" si="3"/>
        <v>1</v>
      </c>
    </row>
    <row r="27" spans="3:17" x14ac:dyDescent="0.35">
      <c r="D27" s="3" t="str">
        <f t="shared" ref="D27:D30" si="4">D20</f>
        <v>Actual 2025-26</v>
      </c>
      <c r="E27" s="5">
        <f>SUM($E20:E20)</f>
        <v>0.99397129186602873</v>
      </c>
      <c r="F27" s="5">
        <f>AVERAGE($E20:F20)</f>
        <v>0.9910197368421052</v>
      </c>
      <c r="G27" s="5">
        <f>AVERAGE($E20:G20)</f>
        <v>0.99130034217911478</v>
      </c>
      <c r="H27" s="5">
        <f>AVERAGE($E20:H20)</f>
        <v>0.99206321959729904</v>
      </c>
      <c r="I27" s="5">
        <f>AVERAGE($E20:I20)</f>
        <v>0.99234566849166017</v>
      </c>
      <c r="J27" s="5">
        <f>AVERAGE($E20:J20)</f>
        <v>0.99178822372789999</v>
      </c>
      <c r="K27" s="5">
        <f>AVERAGE($E20:K20)</f>
        <v>0.99148434357576432</v>
      </c>
      <c r="L27" s="5">
        <f>AVERAGE($E20:L20)</f>
        <v>0.99116906055402076</v>
      </c>
      <c r="M27" s="5" t="e">
        <f>AVERAGE($E20:M20)</f>
        <v>#DIV/0!</v>
      </c>
      <c r="N27" s="5" t="e">
        <f>AVERAGE($E20:N20)</f>
        <v>#DIV/0!</v>
      </c>
      <c r="O27" s="5" t="e">
        <f>AVERAGE($E20:O20)</f>
        <v>#DIV/0!</v>
      </c>
      <c r="P27" s="5" t="e">
        <f>AVERAGE($E20:P20)</f>
        <v>#DIV/0!</v>
      </c>
    </row>
    <row r="28" spans="3:17" x14ac:dyDescent="0.35">
      <c r="D28" s="3" t="str">
        <f t="shared" si="4"/>
        <v>Actual 2024-25</v>
      </c>
      <c r="E28" s="5">
        <f>SUM($E21:E21)</f>
        <v>1</v>
      </c>
      <c r="F28" s="5">
        <f>SUM($E21:F21)</f>
        <v>2</v>
      </c>
      <c r="G28" s="5">
        <f>SUM($E21:G21)</f>
        <v>3</v>
      </c>
      <c r="H28" s="5">
        <f>SUM($E21:H21)</f>
        <v>4</v>
      </c>
      <c r="I28" s="5">
        <f>SUM($E21:I21)</f>
        <v>5</v>
      </c>
      <c r="J28" s="5">
        <f>SUM($E21:J21)</f>
        <v>5.9976851851851851</v>
      </c>
      <c r="K28" s="5">
        <f>SUM($E21:K21)</f>
        <v>6.9964790338131877</v>
      </c>
      <c r="L28" s="5">
        <f>SUM($E21:L21)</f>
        <v>7.9940893096271877</v>
      </c>
      <c r="M28" s="5">
        <f>SUM($E21:M21)</f>
        <v>8.9912208625450916</v>
      </c>
      <c r="N28" s="5">
        <f>SUM($E21:N21)</f>
        <v>9.9865140572891598</v>
      </c>
      <c r="O28" s="5">
        <f>SUM($E21:O21)</f>
        <v>10.982624898319786</v>
      </c>
      <c r="P28" s="5">
        <f>SUM($E21:P21)</f>
        <v>11.977982282979811</v>
      </c>
    </row>
    <row r="29" spans="3:17" x14ac:dyDescent="0.35">
      <c r="D29" s="3" t="str">
        <f t="shared" si="4"/>
        <v>Difference</v>
      </c>
      <c r="E29" s="5">
        <f>SUM($E22:E22)</f>
        <v>-6.0287081339712723E-3</v>
      </c>
      <c r="F29" s="5">
        <f>SUM($E22:F22)</f>
        <v>-1.7960526315789482E-2</v>
      </c>
      <c r="G29" s="5">
        <f>SUM($E22:G22)</f>
        <v>-2.6098973462655661E-2</v>
      </c>
      <c r="H29" s="5">
        <f>SUM($E22:H22)</f>
        <v>-3.1747121610803841E-2</v>
      </c>
      <c r="I29" s="5">
        <f>SUM($E22:I22)</f>
        <v>-3.8271657541698922E-2</v>
      </c>
      <c r="J29" s="5">
        <f>SUM($E22:J22)</f>
        <v>-4.9270657632599746E-2</v>
      </c>
      <c r="K29" s="5">
        <f>SUM($E22:K22)</f>
        <v>-5.9609594969649127E-2</v>
      </c>
      <c r="L29" s="5">
        <f>SUM($E22:L22)</f>
        <v>-7.0647515567833219E-2</v>
      </c>
      <c r="M29" s="5" t="e">
        <f>SUM($E22:M22)</f>
        <v>#DIV/0!</v>
      </c>
      <c r="N29" s="5" t="e">
        <f>SUM($E22:N22)</f>
        <v>#DIV/0!</v>
      </c>
      <c r="O29" s="5" t="e">
        <f>SUM($E22:O22)</f>
        <v>#DIV/0!</v>
      </c>
      <c r="P29" s="5" t="e">
        <f>SUM($E22:P22)</f>
        <v>#DIV/0!</v>
      </c>
    </row>
    <row r="30" spans="3:17" x14ac:dyDescent="0.35">
      <c r="D30" s="3" t="str">
        <f t="shared" si="4"/>
        <v>Realisation</v>
      </c>
      <c r="E30" s="9">
        <f>E28/E26</f>
        <v>1</v>
      </c>
      <c r="F30" s="9">
        <f t="shared" ref="F30:P30" si="5">F27/F26</f>
        <v>0.9910197368421052</v>
      </c>
      <c r="G30" s="9">
        <f t="shared" si="5"/>
        <v>0.99130034217911478</v>
      </c>
      <c r="H30" s="9">
        <f t="shared" si="5"/>
        <v>0.99206321959729904</v>
      </c>
      <c r="I30" s="9">
        <f t="shared" si="5"/>
        <v>0.99234566849166017</v>
      </c>
      <c r="J30" s="9">
        <f t="shared" si="5"/>
        <v>0.99178822372789999</v>
      </c>
      <c r="K30" s="9">
        <f t="shared" si="5"/>
        <v>0.99148434357576432</v>
      </c>
      <c r="L30" s="9">
        <f t="shared" si="5"/>
        <v>0.99116906055402076</v>
      </c>
      <c r="M30" s="9" t="e">
        <f t="shared" si="5"/>
        <v>#DIV/0!</v>
      </c>
      <c r="N30" s="9" t="e">
        <f t="shared" si="5"/>
        <v>#DIV/0!</v>
      </c>
      <c r="O30" s="9" t="e">
        <f t="shared" si="5"/>
        <v>#DIV/0!</v>
      </c>
      <c r="P30" s="9" t="e">
        <f t="shared" si="5"/>
        <v>#DIV/0!</v>
      </c>
    </row>
  </sheetData>
  <mergeCells count="2">
    <mergeCell ref="J4:Q8"/>
    <mergeCell ref="J10:Q15"/>
  </mergeCells>
  <conditionalFormatting sqref="C3">
    <cfRule type="expression" dxfId="86" priority="2">
      <formula>S4&lt;S6</formula>
    </cfRule>
  </conditionalFormatting>
  <conditionalFormatting sqref="C5">
    <cfRule type="expression" dxfId="85" priority="3">
      <formula>S4&gt;=S5</formula>
    </cfRule>
  </conditionalFormatting>
  <conditionalFormatting sqref="C4">
    <cfRule type="expression" dxfId="84" priority="1">
      <formula>AND(S4&gt;=S6,S4&lt;S5)</formula>
    </cfRule>
  </conditionalFormatting>
  <hyperlinks>
    <hyperlink ref="L1" location="Dashboard!A1" display="Dashboard"/>
  </hyperlinks>
  <pageMargins left="0.7" right="0.7" top="0.75" bottom="0.75" header="0.3" footer="0.3"/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512449" r:id="rId3" name="Spinner 1">
              <controlPr defaultSize="0" autoPict="0">
                <anchor moveWithCells="1" sizeWithCells="1">
                  <from>
                    <xdr:col>9</xdr:col>
                    <xdr:colOff>19050</xdr:colOff>
                    <xdr:row>0</xdr:row>
                    <xdr:rowOff>38100</xdr:rowOff>
                  </from>
                  <to>
                    <xdr:col>9</xdr:col>
                    <xdr:colOff>400050</xdr:colOff>
                    <xdr:row>1</xdr:row>
                    <xdr:rowOff>152400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17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131">
    <tabColor rgb="FFFFC000"/>
  </sheetPr>
  <dimension ref="A1:S30"/>
  <sheetViews>
    <sheetView zoomScale="90" zoomScaleNormal="90" workbookViewId="0">
      <selection activeCell="L1" sqref="L1"/>
    </sheetView>
  </sheetViews>
  <sheetFormatPr defaultColWidth="9.1796875" defaultRowHeight="14.5" x14ac:dyDescent="0.35"/>
  <cols>
    <col min="1" max="1" width="9.1796875" style="3"/>
    <col min="2" max="2" width="5.7265625" style="3" bestFit="1" customWidth="1"/>
    <col min="3" max="3" width="6.26953125" style="3" customWidth="1"/>
    <col min="4" max="4" width="21.26953125" style="3" bestFit="1" customWidth="1"/>
    <col min="5" max="16" width="11.1796875" style="3" customWidth="1"/>
    <col min="17" max="17" width="12" style="3" bestFit="1" customWidth="1"/>
    <col min="18" max="18" width="9.1796875" style="3" customWidth="1"/>
    <col min="19" max="16384" width="9.1796875" style="3"/>
  </cols>
  <sheetData>
    <row r="1" spans="1:19" ht="21" x14ac:dyDescent="0.5">
      <c r="A1" s="4" t="s">
        <v>4</v>
      </c>
      <c r="B1" s="4">
        <f>Dashboard!A183</f>
        <v>1</v>
      </c>
      <c r="C1" s="4" t="str">
        <f>Dashboard!B183</f>
        <v>TOTAL VOLUME BILLED</v>
      </c>
      <c r="D1" s="4"/>
      <c r="G1" s="3" t="s">
        <v>9</v>
      </c>
      <c r="I1" s="12">
        <f>INDEX($E$18:$P$18,Actual_month)</f>
        <v>46054</v>
      </c>
      <c r="L1" s="16" t="s">
        <v>19</v>
      </c>
      <c r="R1" s="5"/>
    </row>
    <row r="2" spans="1:19" x14ac:dyDescent="0.35">
      <c r="A2" s="3" t="s">
        <v>13</v>
      </c>
      <c r="C2" s="3" t="s">
        <v>27</v>
      </c>
      <c r="R2" s="6"/>
    </row>
    <row r="3" spans="1:19" ht="25.5" customHeight="1" thickBot="1" x14ac:dyDescent="0.4">
      <c r="C3" s="1" t="s">
        <v>5</v>
      </c>
      <c r="E3" s="10"/>
      <c r="F3" s="10"/>
      <c r="G3" s="10"/>
      <c r="H3" s="10"/>
      <c r="I3" s="10"/>
      <c r="J3" s="3" t="s">
        <v>6</v>
      </c>
      <c r="K3" s="10"/>
      <c r="M3" s="10"/>
      <c r="N3" s="10"/>
      <c r="O3" s="10"/>
      <c r="P3" s="10"/>
    </row>
    <row r="4" spans="1:19" ht="25.5" customHeight="1" x14ac:dyDescent="0.35">
      <c r="C4" s="1" t="s">
        <v>5</v>
      </c>
      <c r="E4" s="10"/>
      <c r="F4" s="10"/>
      <c r="G4" s="10"/>
      <c r="H4" s="10"/>
      <c r="I4" s="10"/>
      <c r="J4" s="401"/>
      <c r="K4" s="402"/>
      <c r="L4" s="402"/>
      <c r="M4" s="402"/>
      <c r="N4" s="402"/>
      <c r="O4" s="402"/>
      <c r="P4" s="402"/>
      <c r="Q4" s="403"/>
      <c r="R4" s="3" t="s">
        <v>22</v>
      </c>
      <c r="S4" s="5">
        <f>INDEX(E27:P27,Actual_month)</f>
        <v>1275846</v>
      </c>
    </row>
    <row r="5" spans="1:19" ht="25.5" customHeight="1" x14ac:dyDescent="0.35">
      <c r="C5" s="1" t="s">
        <v>5</v>
      </c>
      <c r="E5" s="10"/>
      <c r="F5" s="10"/>
      <c r="G5" s="10"/>
      <c r="H5" s="10"/>
      <c r="I5" s="10"/>
      <c r="J5" s="404"/>
      <c r="K5" s="405"/>
      <c r="L5" s="405"/>
      <c r="M5" s="405"/>
      <c r="N5" s="405"/>
      <c r="O5" s="405"/>
      <c r="P5" s="405"/>
      <c r="Q5" s="406"/>
      <c r="R5" s="3" t="s">
        <v>23</v>
      </c>
      <c r="S5" s="5">
        <f>INDEX(E26:P26,Actual_month)</f>
        <v>1382493.6966631464</v>
      </c>
    </row>
    <row r="6" spans="1:19" x14ac:dyDescent="0.35">
      <c r="J6" s="404"/>
      <c r="K6" s="405"/>
      <c r="L6" s="405"/>
      <c r="M6" s="405"/>
      <c r="N6" s="405"/>
      <c r="O6" s="405"/>
      <c r="P6" s="405"/>
      <c r="Q6" s="406"/>
      <c r="R6" s="6">
        <v>0.9</v>
      </c>
      <c r="S6" s="5">
        <f>+S5*R6</f>
        <v>1244244.3269968317</v>
      </c>
    </row>
    <row r="7" spans="1:19" x14ac:dyDescent="0.35">
      <c r="J7" s="404"/>
      <c r="K7" s="405"/>
      <c r="L7" s="405"/>
      <c r="M7" s="405"/>
      <c r="N7" s="405"/>
      <c r="O7" s="405"/>
      <c r="P7" s="405"/>
      <c r="Q7" s="406"/>
    </row>
    <row r="8" spans="1:19" ht="15" thickBot="1" x14ac:dyDescent="0.4">
      <c r="J8" s="407"/>
      <c r="K8" s="408"/>
      <c r="L8" s="408"/>
      <c r="M8" s="408"/>
      <c r="N8" s="408"/>
      <c r="O8" s="408"/>
      <c r="P8" s="408"/>
      <c r="Q8" s="409"/>
    </row>
    <row r="9" spans="1:19" ht="15" thickBot="1" x14ac:dyDescent="0.4">
      <c r="J9" s="3" t="s">
        <v>12</v>
      </c>
    </row>
    <row r="10" spans="1:19" x14ac:dyDescent="0.35">
      <c r="J10" s="401"/>
      <c r="K10" s="402"/>
      <c r="L10" s="402"/>
      <c r="M10" s="402"/>
      <c r="N10" s="402"/>
      <c r="O10" s="402"/>
      <c r="P10" s="402"/>
      <c r="Q10" s="403"/>
    </row>
    <row r="11" spans="1:19" x14ac:dyDescent="0.35">
      <c r="J11" s="404"/>
      <c r="K11" s="405"/>
      <c r="L11" s="405"/>
      <c r="M11" s="405"/>
      <c r="N11" s="405"/>
      <c r="O11" s="405"/>
      <c r="P11" s="405"/>
      <c r="Q11" s="406"/>
    </row>
    <row r="12" spans="1:19" x14ac:dyDescent="0.35">
      <c r="J12" s="404"/>
      <c r="K12" s="405"/>
      <c r="L12" s="405"/>
      <c r="M12" s="405"/>
      <c r="N12" s="405"/>
      <c r="O12" s="405"/>
      <c r="P12" s="405"/>
      <c r="Q12" s="406"/>
    </row>
    <row r="13" spans="1:19" x14ac:dyDescent="0.35">
      <c r="J13" s="404"/>
      <c r="K13" s="405"/>
      <c r="L13" s="405"/>
      <c r="M13" s="405"/>
      <c r="N13" s="405"/>
      <c r="O13" s="405"/>
      <c r="P13" s="405"/>
      <c r="Q13" s="406"/>
    </row>
    <row r="14" spans="1:19" x14ac:dyDescent="0.35">
      <c r="J14" s="404"/>
      <c r="K14" s="405"/>
      <c r="L14" s="405"/>
      <c r="M14" s="405"/>
      <c r="N14" s="405"/>
      <c r="O14" s="405"/>
      <c r="P14" s="405"/>
      <c r="Q14" s="406"/>
    </row>
    <row r="15" spans="1:19" ht="15" thickBot="1" x14ac:dyDescent="0.4">
      <c r="J15" s="407"/>
      <c r="K15" s="408"/>
      <c r="L15" s="408"/>
      <c r="M15" s="408"/>
      <c r="N15" s="408"/>
      <c r="O15" s="408"/>
      <c r="P15" s="408"/>
      <c r="Q15" s="409"/>
    </row>
    <row r="16" spans="1:19" x14ac:dyDescent="0.35">
      <c r="K16" s="60"/>
    </row>
    <row r="17" spans="3:17" x14ac:dyDescent="0.35">
      <c r="K17" s="60"/>
    </row>
    <row r="18" spans="3:17" x14ac:dyDescent="0.35">
      <c r="C18" s="7" t="s">
        <v>8</v>
      </c>
      <c r="E18" s="11">
        <v>45839</v>
      </c>
      <c r="F18" s="11">
        <v>45870</v>
      </c>
      <c r="G18" s="11">
        <v>45901</v>
      </c>
      <c r="H18" s="11">
        <v>45931</v>
      </c>
      <c r="I18" s="11">
        <v>45962</v>
      </c>
      <c r="J18" s="11">
        <v>45992</v>
      </c>
      <c r="K18" s="11">
        <v>46023</v>
      </c>
      <c r="L18" s="11">
        <v>46054</v>
      </c>
      <c r="M18" s="11">
        <v>46082</v>
      </c>
      <c r="N18" s="11">
        <v>46113</v>
      </c>
      <c r="O18" s="11">
        <v>46143</v>
      </c>
      <c r="P18" s="11">
        <v>46174</v>
      </c>
      <c r="Q18" s="8" t="s">
        <v>0</v>
      </c>
    </row>
    <row r="19" spans="3:17" x14ac:dyDescent="0.35">
      <c r="D19" s="3" t="s">
        <v>501</v>
      </c>
      <c r="E19" s="49">
        <f>'budget 2025-26'!D172</f>
        <v>162967.7442335966</v>
      </c>
      <c r="F19" s="49">
        <f>'budget 2025-26'!E172</f>
        <v>164996.22762758762</v>
      </c>
      <c r="G19" s="49">
        <f>'budget 2025-26'!F172</f>
        <v>167133.6122432423</v>
      </c>
      <c r="H19" s="49">
        <f>'budget 2025-26'!G172</f>
        <v>170794.24754748362</v>
      </c>
      <c r="I19" s="49">
        <f>'budget 2025-26'!H172</f>
        <v>174251.4018390667</v>
      </c>
      <c r="J19" s="49">
        <f>'budget 2025-26'!I172</f>
        <v>177638.11139871617</v>
      </c>
      <c r="K19" s="49">
        <f>'budget 2025-26'!J172</f>
        <v>180823.43914382733</v>
      </c>
      <c r="L19" s="49">
        <f>'budget 2025-26'!K172</f>
        <v>183888.91262962579</v>
      </c>
      <c r="M19" s="49">
        <f>'budget 2025-26'!L172</f>
        <v>186764.48642215959</v>
      </c>
      <c r="N19" s="49">
        <f>'budget 2025-26'!M172</f>
        <v>189206.27401245051</v>
      </c>
      <c r="O19" s="49">
        <f>'budget 2025-26'!N172</f>
        <v>191648.06160274136</v>
      </c>
      <c r="P19" s="49">
        <f>'budget 2025-26'!O172</f>
        <v>194059.95820076609</v>
      </c>
      <c r="Q19" s="5">
        <f>SUM(E19:P19)</f>
        <v>2144172.4769012644</v>
      </c>
    </row>
    <row r="20" spans="3:17" x14ac:dyDescent="0.35">
      <c r="D20" s="3" t="s">
        <v>502</v>
      </c>
      <c r="E20" s="49">
        <f>'Input Actual2025-26'!E175</f>
        <v>146435</v>
      </c>
      <c r="F20" s="49">
        <f>'Input Actual2025-26'!F175</f>
        <v>173295</v>
      </c>
      <c r="G20" s="49">
        <f>'Input Actual2025-26'!G175</f>
        <v>145988</v>
      </c>
      <c r="H20" s="49">
        <f>'Input Actual2025-26'!H175</f>
        <v>171125</v>
      </c>
      <c r="I20" s="49">
        <f>'Input Actual2025-26'!I175</f>
        <v>135132</v>
      </c>
      <c r="J20" s="49">
        <f>'Input Actual2025-26'!J175</f>
        <v>131036</v>
      </c>
      <c r="K20" s="49">
        <f>'Input Actual2025-26'!K175</f>
        <v>200570</v>
      </c>
      <c r="L20" s="49">
        <f>'Input Actual2025-26'!L175</f>
        <v>172265</v>
      </c>
      <c r="M20" s="49">
        <f>'Input Actual2025-26'!M175</f>
        <v>0</v>
      </c>
      <c r="N20" s="49">
        <f>'Input Actual2025-26'!N175</f>
        <v>0</v>
      </c>
      <c r="O20" s="49">
        <f>'Input Actual2025-26'!O175</f>
        <v>0</v>
      </c>
      <c r="P20" s="49">
        <f>'Input Actual2025-26'!P175</f>
        <v>0</v>
      </c>
      <c r="Q20" s="5">
        <f t="shared" ref="Q20:Q22" si="0">SUM(E20:P20)</f>
        <v>1275846</v>
      </c>
    </row>
    <row r="21" spans="3:17" x14ac:dyDescent="0.35">
      <c r="D21" s="3" t="s">
        <v>424</v>
      </c>
      <c r="E21" s="49">
        <f>'Input Actual2024-25'!E162</f>
        <v>141416</v>
      </c>
      <c r="F21" s="49">
        <f>'Input Actual2024-25'!F162</f>
        <v>168508</v>
      </c>
      <c r="G21" s="49">
        <f>'Input Actual2024-25'!G162</f>
        <v>163668</v>
      </c>
      <c r="H21" s="49">
        <f>'Input Actual2024-25'!H162</f>
        <v>160893</v>
      </c>
      <c r="I21" s="49">
        <f>'Input Actual2024-25'!I162</f>
        <v>179892</v>
      </c>
      <c r="J21" s="49">
        <f>'Input Actual2024-25'!J162</f>
        <v>116560</v>
      </c>
      <c r="K21" s="49">
        <f>'Input Actual2024-25'!K162</f>
        <v>184451</v>
      </c>
      <c r="L21" s="49">
        <f>'Input Actual2024-25'!L162</f>
        <v>165478</v>
      </c>
      <c r="M21" s="49">
        <f>'Input Actual2024-25'!M162</f>
        <v>175998</v>
      </c>
      <c r="N21" s="49">
        <f>'Input Actual2024-25'!N162</f>
        <v>135488</v>
      </c>
      <c r="O21" s="49">
        <f>'Input Actual2024-25'!O162</f>
        <v>153694</v>
      </c>
      <c r="P21" s="49">
        <f>'Input Actual2024-25'!P162</f>
        <v>164911</v>
      </c>
      <c r="Q21" s="5">
        <f t="shared" si="0"/>
        <v>1910957</v>
      </c>
    </row>
    <row r="22" spans="3:17" x14ac:dyDescent="0.35">
      <c r="D22" s="3" t="s">
        <v>7</v>
      </c>
      <c r="E22" s="5">
        <f t="shared" ref="E22:P22" si="1">IF(E20=0,0,E20-E19)</f>
        <v>-16532.744233596604</v>
      </c>
      <c r="F22" s="5">
        <f t="shared" si="1"/>
        <v>8298.7723724123789</v>
      </c>
      <c r="G22" s="5">
        <f t="shared" si="1"/>
        <v>-21145.6122432423</v>
      </c>
      <c r="H22" s="5">
        <f t="shared" si="1"/>
        <v>330.75245251637534</v>
      </c>
      <c r="I22" s="5">
        <f t="shared" si="1"/>
        <v>-39119.401839066704</v>
      </c>
      <c r="J22" s="5">
        <f t="shared" si="1"/>
        <v>-46602.111398716166</v>
      </c>
      <c r="K22" s="5">
        <f t="shared" si="1"/>
        <v>19746.560856172669</v>
      </c>
      <c r="L22" s="5">
        <f t="shared" si="1"/>
        <v>-11623.912629625789</v>
      </c>
      <c r="M22" s="5">
        <f t="shared" si="1"/>
        <v>0</v>
      </c>
      <c r="N22" s="5">
        <f t="shared" si="1"/>
        <v>0</v>
      </c>
      <c r="O22" s="5">
        <f t="shared" si="1"/>
        <v>0</v>
      </c>
      <c r="P22" s="5">
        <f t="shared" si="1"/>
        <v>0</v>
      </c>
      <c r="Q22" s="5">
        <f t="shared" si="0"/>
        <v>-106647.69666314614</v>
      </c>
    </row>
    <row r="23" spans="3:17" x14ac:dyDescent="0.35">
      <c r="D23" s="3" t="s">
        <v>43</v>
      </c>
      <c r="E23" s="9">
        <f>E21/E19</f>
        <v>0.86775454041565114</v>
      </c>
      <c r="F23" s="9">
        <f t="shared" ref="F23:P23" si="2">F20/F19</f>
        <v>1.0502967400633154</v>
      </c>
      <c r="G23" s="9">
        <f t="shared" si="2"/>
        <v>0.87348079204757767</v>
      </c>
      <c r="H23" s="9">
        <f t="shared" si="2"/>
        <v>1.001936554990966</v>
      </c>
      <c r="I23" s="9">
        <f t="shared" si="2"/>
        <v>0.77550021735150121</v>
      </c>
      <c r="J23" s="9">
        <f t="shared" si="2"/>
        <v>0.73765702060344596</v>
      </c>
      <c r="K23" s="9">
        <f t="shared" si="2"/>
        <v>1.1092035465627119</v>
      </c>
      <c r="L23" s="9">
        <f t="shared" si="2"/>
        <v>0.93678839869460895</v>
      </c>
      <c r="M23" s="9">
        <f t="shared" si="2"/>
        <v>0</v>
      </c>
      <c r="N23" s="9">
        <f t="shared" si="2"/>
        <v>0</v>
      </c>
      <c r="O23" s="9">
        <f t="shared" si="2"/>
        <v>0</v>
      </c>
      <c r="P23" s="9">
        <f t="shared" si="2"/>
        <v>0</v>
      </c>
    </row>
    <row r="25" spans="3:17" x14ac:dyDescent="0.35">
      <c r="C25" s="7" t="s">
        <v>3</v>
      </c>
      <c r="E25" s="11">
        <f>E18</f>
        <v>45839</v>
      </c>
      <c r="F25" s="11">
        <f t="shared" ref="F25:P25" si="3">F18</f>
        <v>45870</v>
      </c>
      <c r="G25" s="11">
        <f t="shared" si="3"/>
        <v>45901</v>
      </c>
      <c r="H25" s="11">
        <f t="shared" si="3"/>
        <v>45931</v>
      </c>
      <c r="I25" s="11">
        <f t="shared" si="3"/>
        <v>45962</v>
      </c>
      <c r="J25" s="11">
        <f t="shared" si="3"/>
        <v>45992</v>
      </c>
      <c r="K25" s="11">
        <f t="shared" si="3"/>
        <v>46023</v>
      </c>
      <c r="L25" s="11">
        <f t="shared" si="3"/>
        <v>46054</v>
      </c>
      <c r="M25" s="11">
        <f t="shared" si="3"/>
        <v>46082</v>
      </c>
      <c r="N25" s="11">
        <f t="shared" si="3"/>
        <v>46113</v>
      </c>
      <c r="O25" s="11">
        <f t="shared" si="3"/>
        <v>46143</v>
      </c>
      <c r="P25" s="11">
        <f t="shared" si="3"/>
        <v>46174</v>
      </c>
    </row>
    <row r="26" spans="3:17" x14ac:dyDescent="0.35">
      <c r="D26" s="3" t="str">
        <f>D19</f>
        <v>Budget 2025-26</v>
      </c>
      <c r="E26" s="5">
        <f>SUM($E19:E19)</f>
        <v>162967.7442335966</v>
      </c>
      <c r="F26" s="5">
        <f>SUM($E19:F19)</f>
        <v>327963.97186118423</v>
      </c>
      <c r="G26" s="5">
        <f>SUM($E19:G19)</f>
        <v>495097.58410442655</v>
      </c>
      <c r="H26" s="5">
        <f>SUM($E19:H19)</f>
        <v>665891.83165191021</v>
      </c>
      <c r="I26" s="5">
        <f>SUM($E19:I19)</f>
        <v>840143.23349097697</v>
      </c>
      <c r="J26" s="5">
        <f>SUM($E19:J19)</f>
        <v>1017781.3448896932</v>
      </c>
      <c r="K26" s="5">
        <f>SUM($E19:K19)</f>
        <v>1198604.7840335206</v>
      </c>
      <c r="L26" s="5">
        <f>SUM($E19:L19)</f>
        <v>1382493.6966631464</v>
      </c>
      <c r="M26" s="5">
        <f>SUM($E19:M19)</f>
        <v>1569258.1830853061</v>
      </c>
      <c r="N26" s="5">
        <f>SUM($E19:N19)</f>
        <v>1758464.4570977567</v>
      </c>
      <c r="O26" s="5">
        <f>SUM($E19:O19)</f>
        <v>1950112.5187004982</v>
      </c>
      <c r="P26" s="5">
        <f>SUM($E19:P19)</f>
        <v>2144172.4769012644</v>
      </c>
    </row>
    <row r="27" spans="3:17" x14ac:dyDescent="0.35">
      <c r="D27" s="3" t="str">
        <f t="shared" ref="D27:D30" si="4">D20</f>
        <v>Actual 2025-26</v>
      </c>
      <c r="E27" s="5">
        <f>SUM($E20:E20)</f>
        <v>146435</v>
      </c>
      <c r="F27" s="5">
        <f>SUM($E20:F20)</f>
        <v>319730</v>
      </c>
      <c r="G27" s="5">
        <f>SUM($E20:G20)</f>
        <v>465718</v>
      </c>
      <c r="H27" s="5">
        <f>SUM($E20:H20)</f>
        <v>636843</v>
      </c>
      <c r="I27" s="5">
        <f>SUM($E20:I20)</f>
        <v>771975</v>
      </c>
      <c r="J27" s="5">
        <f>SUM($E20:J20)</f>
        <v>903011</v>
      </c>
      <c r="K27" s="5">
        <f>SUM($E20:K20)</f>
        <v>1103581</v>
      </c>
      <c r="L27" s="5">
        <f>SUM($E20:L20)</f>
        <v>1275846</v>
      </c>
      <c r="M27" s="5">
        <f>SUM($E20:M20)</f>
        <v>1275846</v>
      </c>
      <c r="N27" s="5">
        <f>SUM($E20:N20)</f>
        <v>1275846</v>
      </c>
      <c r="O27" s="5">
        <f>SUM($E20:O20)</f>
        <v>1275846</v>
      </c>
      <c r="P27" s="5">
        <f>SUM($E20:P20)</f>
        <v>1275846</v>
      </c>
    </row>
    <row r="28" spans="3:17" x14ac:dyDescent="0.35">
      <c r="D28" s="3" t="str">
        <f t="shared" si="4"/>
        <v>Actual 2024-25</v>
      </c>
      <c r="E28" s="5">
        <f>SUM($E21:E21)</f>
        <v>141416</v>
      </c>
      <c r="F28" s="5">
        <f>SUM($E21:F21)</f>
        <v>309924</v>
      </c>
      <c r="G28" s="5">
        <f>SUM($E21:G21)</f>
        <v>473592</v>
      </c>
      <c r="H28" s="5">
        <f>SUM($E21:H21)</f>
        <v>634485</v>
      </c>
      <c r="I28" s="5">
        <f>SUM($E21:I21)</f>
        <v>814377</v>
      </c>
      <c r="J28" s="5">
        <f>SUM($E21:J21)</f>
        <v>930937</v>
      </c>
      <c r="K28" s="5">
        <f>SUM($E21:K21)</f>
        <v>1115388</v>
      </c>
      <c r="L28" s="5">
        <f>SUM($E21:L21)</f>
        <v>1280866</v>
      </c>
      <c r="M28" s="5">
        <f>SUM($E21:M21)</f>
        <v>1456864</v>
      </c>
      <c r="N28" s="5">
        <f>SUM($E21:N21)</f>
        <v>1592352</v>
      </c>
      <c r="O28" s="5">
        <f>SUM($E21:O21)</f>
        <v>1746046</v>
      </c>
      <c r="P28" s="5">
        <f>SUM($E21:P21)</f>
        <v>1910957</v>
      </c>
    </row>
    <row r="29" spans="3:17" x14ac:dyDescent="0.35">
      <c r="D29" s="3" t="str">
        <f t="shared" si="4"/>
        <v>Difference</v>
      </c>
      <c r="E29" s="5">
        <f>SUM($E22:E22)</f>
        <v>-16532.744233596604</v>
      </c>
      <c r="F29" s="5">
        <f>SUM($E22:F22)</f>
        <v>-8233.9718611842254</v>
      </c>
      <c r="G29" s="5">
        <f>SUM($E22:G22)</f>
        <v>-29379.584104426525</v>
      </c>
      <c r="H29" s="5">
        <f>SUM($E22:H22)</f>
        <v>-29048.83165191015</v>
      </c>
      <c r="I29" s="5">
        <f>SUM($E22:I22)</f>
        <v>-68168.233490976854</v>
      </c>
      <c r="J29" s="5">
        <f>SUM($E22:J22)</f>
        <v>-114770.34488969302</v>
      </c>
      <c r="K29" s="5">
        <f>SUM($E22:K22)</f>
        <v>-95023.784033520351</v>
      </c>
      <c r="L29" s="5">
        <f>SUM($E22:L22)</f>
        <v>-106647.69666314614</v>
      </c>
      <c r="M29" s="5">
        <f>SUM($E22:M22)</f>
        <v>-106647.69666314614</v>
      </c>
      <c r="N29" s="5">
        <f>SUM($E22:N22)</f>
        <v>-106647.69666314614</v>
      </c>
      <c r="O29" s="5">
        <f>SUM($E22:O22)</f>
        <v>-106647.69666314614</v>
      </c>
      <c r="P29" s="5">
        <f>SUM($E22:P22)</f>
        <v>-106647.69666314614</v>
      </c>
    </row>
    <row r="30" spans="3:17" x14ac:dyDescent="0.35">
      <c r="D30" s="3" t="str">
        <f t="shared" si="4"/>
        <v>Realisation</v>
      </c>
      <c r="E30" s="9">
        <f>E28/E26</f>
        <v>0.86775454041565114</v>
      </c>
      <c r="F30" s="9">
        <f t="shared" ref="F30:P30" si="5">F27/F26</f>
        <v>0.97489366952578138</v>
      </c>
      <c r="G30" s="9">
        <f t="shared" si="5"/>
        <v>0.94065900330018626</v>
      </c>
      <c r="H30" s="9">
        <f t="shared" si="5"/>
        <v>0.95637605047677587</v>
      </c>
      <c r="I30" s="9">
        <f t="shared" si="5"/>
        <v>0.91886117655471289</v>
      </c>
      <c r="J30" s="9">
        <f t="shared" si="5"/>
        <v>0.88723477251183847</v>
      </c>
      <c r="K30" s="9">
        <f t="shared" si="5"/>
        <v>0.92072133759240593</v>
      </c>
      <c r="L30" s="9">
        <f t="shared" si="5"/>
        <v>0.92285845720631032</v>
      </c>
      <c r="M30" s="9">
        <f t="shared" si="5"/>
        <v>0.81302491441629399</v>
      </c>
      <c r="N30" s="9">
        <f t="shared" si="5"/>
        <v>0.72554551492369068</v>
      </c>
      <c r="O30" s="9">
        <f t="shared" si="5"/>
        <v>0.65424224898068395</v>
      </c>
      <c r="P30" s="9">
        <f t="shared" si="5"/>
        <v>0.59502955743739383</v>
      </c>
    </row>
  </sheetData>
  <mergeCells count="2">
    <mergeCell ref="J4:Q8"/>
    <mergeCell ref="J10:Q15"/>
  </mergeCells>
  <conditionalFormatting sqref="C3">
    <cfRule type="expression" dxfId="83" priority="2">
      <formula>S4&lt;S6</formula>
    </cfRule>
  </conditionalFormatting>
  <conditionalFormatting sqref="C5">
    <cfRule type="expression" dxfId="82" priority="3">
      <formula>S4&gt;=S5</formula>
    </cfRule>
  </conditionalFormatting>
  <conditionalFormatting sqref="C4">
    <cfRule type="expression" dxfId="81" priority="1">
      <formula>AND(S4&gt;=S6,S4&lt;S5)</formula>
    </cfRule>
  </conditionalFormatting>
  <hyperlinks>
    <hyperlink ref="L1" location="Dashboard!A1" display="Dashboard"/>
  </hyperlinks>
  <pageMargins left="0.7" right="0.7" top="0.75" bottom="0.75" header="0.3" footer="0.3"/>
  <pageSetup orientation="portrait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68033" r:id="rId4" name="Spinner 1">
              <controlPr defaultSize="0" autoPict="0">
                <anchor moveWithCells="1" sizeWithCells="1">
                  <from>
                    <xdr:col>9</xdr:col>
                    <xdr:colOff>19050</xdr:colOff>
                    <xdr:row>0</xdr:row>
                    <xdr:rowOff>38100</xdr:rowOff>
                  </from>
                  <to>
                    <xdr:col>9</xdr:col>
                    <xdr:colOff>400050</xdr:colOff>
                    <xdr:row>1</xdr:row>
                    <xdr:rowOff>152400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17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FFC000"/>
  </sheetPr>
  <dimension ref="A1:S30"/>
  <sheetViews>
    <sheetView topLeftCell="E1" workbookViewId="0">
      <selection activeCell="L1" sqref="L1"/>
    </sheetView>
  </sheetViews>
  <sheetFormatPr defaultColWidth="9.1796875" defaultRowHeight="14.5" x14ac:dyDescent="0.35"/>
  <cols>
    <col min="1" max="1" width="9.1796875" style="3"/>
    <col min="2" max="2" width="5.7265625" style="3" bestFit="1" customWidth="1"/>
    <col min="3" max="3" width="6.26953125" style="3" customWidth="1"/>
    <col min="4" max="4" width="21.26953125" style="3" bestFit="1" customWidth="1"/>
    <col min="5" max="16" width="11.1796875" style="3" customWidth="1"/>
    <col min="17" max="17" width="12" style="3" bestFit="1" customWidth="1"/>
    <col min="18" max="18" width="9.1796875" style="3" customWidth="1"/>
    <col min="19" max="16384" width="9.1796875" style="3"/>
  </cols>
  <sheetData>
    <row r="1" spans="1:19" ht="21" x14ac:dyDescent="0.5">
      <c r="A1" s="4" t="s">
        <v>4</v>
      </c>
      <c r="B1" s="4">
        <f>Dashboard!A183</f>
        <v>1</v>
      </c>
      <c r="C1" s="4" t="str">
        <f>Dashboard!B197</f>
        <v>Eastern</v>
      </c>
      <c r="D1" s="4"/>
      <c r="G1" s="3" t="s">
        <v>9</v>
      </c>
      <c r="I1" s="12">
        <f>INDEX($E$18:$P$18,Actual_month)</f>
        <v>46054</v>
      </c>
      <c r="L1" s="16" t="s">
        <v>19</v>
      </c>
      <c r="R1" s="5"/>
    </row>
    <row r="2" spans="1:19" x14ac:dyDescent="0.35">
      <c r="A2" s="3" t="s">
        <v>13</v>
      </c>
      <c r="C2" s="3" t="s">
        <v>27</v>
      </c>
      <c r="R2" s="6"/>
    </row>
    <row r="3" spans="1:19" ht="25.5" customHeight="1" thickBot="1" x14ac:dyDescent="0.4">
      <c r="C3" s="1" t="s">
        <v>5</v>
      </c>
      <c r="E3" s="10"/>
      <c r="F3" s="10"/>
      <c r="G3" s="10"/>
      <c r="H3" s="10"/>
      <c r="I3" s="10"/>
      <c r="J3" s="3" t="s">
        <v>6</v>
      </c>
      <c r="K3" s="10"/>
      <c r="M3" s="10"/>
      <c r="N3" s="10"/>
      <c r="O3" s="10"/>
      <c r="P3" s="10"/>
    </row>
    <row r="4" spans="1:19" ht="25.5" customHeight="1" x14ac:dyDescent="0.35">
      <c r="C4" s="1" t="s">
        <v>5</v>
      </c>
      <c r="E4" s="10"/>
      <c r="F4" s="10"/>
      <c r="G4" s="10"/>
      <c r="H4" s="10"/>
      <c r="I4" s="10"/>
      <c r="J4" s="401"/>
      <c r="K4" s="402"/>
      <c r="L4" s="402"/>
      <c r="M4" s="402"/>
      <c r="N4" s="402"/>
      <c r="O4" s="402"/>
      <c r="P4" s="402"/>
      <c r="Q4" s="403"/>
      <c r="R4" s="3" t="s">
        <v>22</v>
      </c>
      <c r="S4" s="5" t="str">
        <f>INDEX(E27:P27,Actual_month)</f>
        <v>2nd - 6th</v>
      </c>
    </row>
    <row r="5" spans="1:19" ht="25.5" customHeight="1" x14ac:dyDescent="0.35">
      <c r="C5" s="1" t="s">
        <v>5</v>
      </c>
      <c r="E5" s="10"/>
      <c r="F5" s="10"/>
      <c r="G5" s="10"/>
      <c r="H5" s="10"/>
      <c r="I5" s="10"/>
      <c r="J5" s="404"/>
      <c r="K5" s="405"/>
      <c r="L5" s="405"/>
      <c r="M5" s="405"/>
      <c r="N5" s="405"/>
      <c r="O5" s="405"/>
      <c r="P5" s="405"/>
      <c r="Q5" s="406"/>
      <c r="R5" s="3" t="s">
        <v>23</v>
      </c>
      <c r="S5" s="5" t="str">
        <f>INDEX(E26:P26,Actual_month)</f>
        <v>1st-5th</v>
      </c>
    </row>
    <row r="6" spans="1:19" x14ac:dyDescent="0.35">
      <c r="J6" s="404"/>
      <c r="K6" s="405"/>
      <c r="L6" s="405"/>
      <c r="M6" s="405"/>
      <c r="N6" s="405"/>
      <c r="O6" s="405"/>
      <c r="P6" s="405"/>
      <c r="Q6" s="406"/>
      <c r="R6" s="6">
        <v>0.9</v>
      </c>
      <c r="S6" s="5" t="e">
        <f>+S5*R6</f>
        <v>#VALUE!</v>
      </c>
    </row>
    <row r="7" spans="1:19" x14ac:dyDescent="0.35">
      <c r="J7" s="404"/>
      <c r="K7" s="405"/>
      <c r="L7" s="405"/>
      <c r="M7" s="405"/>
      <c r="N7" s="405"/>
      <c r="O7" s="405"/>
      <c r="P7" s="405"/>
      <c r="Q7" s="406"/>
    </row>
    <row r="8" spans="1:19" ht="15" thickBot="1" x14ac:dyDescent="0.4">
      <c r="J8" s="407"/>
      <c r="K8" s="408"/>
      <c r="L8" s="408"/>
      <c r="M8" s="408"/>
      <c r="N8" s="408"/>
      <c r="O8" s="408"/>
      <c r="P8" s="408"/>
      <c r="Q8" s="409"/>
    </row>
    <row r="9" spans="1:19" ht="15" thickBot="1" x14ac:dyDescent="0.4">
      <c r="J9" s="3" t="s">
        <v>12</v>
      </c>
    </row>
    <row r="10" spans="1:19" x14ac:dyDescent="0.35">
      <c r="J10" s="401"/>
      <c r="K10" s="402"/>
      <c r="L10" s="402"/>
      <c r="M10" s="402"/>
      <c r="N10" s="402"/>
      <c r="O10" s="402"/>
      <c r="P10" s="402"/>
      <c r="Q10" s="403"/>
    </row>
    <row r="11" spans="1:19" x14ac:dyDescent="0.35">
      <c r="J11" s="404"/>
      <c r="K11" s="405"/>
      <c r="L11" s="405"/>
      <c r="M11" s="405"/>
      <c r="N11" s="405"/>
      <c r="O11" s="405"/>
      <c r="P11" s="405"/>
      <c r="Q11" s="406"/>
    </row>
    <row r="12" spans="1:19" x14ac:dyDescent="0.35">
      <c r="J12" s="404"/>
      <c r="K12" s="405"/>
      <c r="L12" s="405"/>
      <c r="M12" s="405"/>
      <c r="N12" s="405"/>
      <c r="O12" s="405"/>
      <c r="P12" s="405"/>
      <c r="Q12" s="406"/>
    </row>
    <row r="13" spans="1:19" x14ac:dyDescent="0.35">
      <c r="J13" s="404"/>
      <c r="K13" s="405"/>
      <c r="L13" s="405"/>
      <c r="M13" s="405"/>
      <c r="N13" s="405"/>
      <c r="O13" s="405"/>
      <c r="P13" s="405"/>
      <c r="Q13" s="406"/>
    </row>
    <row r="14" spans="1:19" x14ac:dyDescent="0.35">
      <c r="J14" s="404"/>
      <c r="K14" s="405"/>
      <c r="L14" s="405"/>
      <c r="M14" s="405"/>
      <c r="N14" s="405"/>
      <c r="O14" s="405"/>
      <c r="P14" s="405"/>
      <c r="Q14" s="406"/>
    </row>
    <row r="15" spans="1:19" ht="15" thickBot="1" x14ac:dyDescent="0.4">
      <c r="J15" s="407"/>
      <c r="K15" s="408"/>
      <c r="L15" s="408"/>
      <c r="M15" s="408"/>
      <c r="N15" s="408"/>
      <c r="O15" s="408"/>
      <c r="P15" s="408"/>
      <c r="Q15" s="409"/>
    </row>
    <row r="16" spans="1:19" x14ac:dyDescent="0.35">
      <c r="K16" s="60"/>
    </row>
    <row r="17" spans="3:17" x14ac:dyDescent="0.35">
      <c r="K17" s="60"/>
    </row>
    <row r="18" spans="3:17" x14ac:dyDescent="0.35">
      <c r="C18" s="7" t="s">
        <v>8</v>
      </c>
      <c r="E18" s="11">
        <v>45839</v>
      </c>
      <c r="F18" s="11">
        <v>45870</v>
      </c>
      <c r="G18" s="11">
        <v>45901</v>
      </c>
      <c r="H18" s="11">
        <v>45931</v>
      </c>
      <c r="I18" s="11">
        <v>45962</v>
      </c>
      <c r="J18" s="11">
        <v>45992</v>
      </c>
      <c r="K18" s="11">
        <v>46023</v>
      </c>
      <c r="L18" s="11">
        <v>46054</v>
      </c>
      <c r="M18" s="11">
        <v>46082</v>
      </c>
      <c r="N18" s="11">
        <v>46113</v>
      </c>
      <c r="O18" s="11">
        <v>46143</v>
      </c>
      <c r="P18" s="11">
        <v>46174</v>
      </c>
      <c r="Q18" s="8" t="s">
        <v>0</v>
      </c>
    </row>
    <row r="19" spans="3:17" x14ac:dyDescent="0.35">
      <c r="D19" s="3" t="s">
        <v>501</v>
      </c>
      <c r="E19" s="360" t="str">
        <f>'budget 2025-26'!D186</f>
        <v>1st-5th</v>
      </c>
      <c r="F19" s="360" t="str">
        <f>'budget 2025-26'!E186</f>
        <v>1st-5th</v>
      </c>
      <c r="G19" s="360" t="str">
        <f>'budget 2025-26'!F186</f>
        <v>1st-5th</v>
      </c>
      <c r="H19" s="360" t="str">
        <f>'budget 2025-26'!G186</f>
        <v>1st-5th</v>
      </c>
      <c r="I19" s="360" t="str">
        <f>'budget 2025-26'!H186</f>
        <v>1st-5th</v>
      </c>
      <c r="J19" s="360" t="str">
        <f>'budget 2025-26'!I186</f>
        <v>1st-5th</v>
      </c>
      <c r="K19" s="360" t="str">
        <f>'budget 2025-26'!J186</f>
        <v>1st-5th</v>
      </c>
      <c r="L19" s="360" t="str">
        <f>'budget 2025-26'!K186</f>
        <v>1st-5th</v>
      </c>
      <c r="M19" s="360" t="str">
        <f>'budget 2025-26'!L186</f>
        <v>1st-5th</v>
      </c>
      <c r="N19" s="360" t="str">
        <f>'budget 2025-26'!M186</f>
        <v>1st-5th</v>
      </c>
      <c r="O19" s="360" t="str">
        <f>'budget 2025-26'!N186</f>
        <v>1st-5th</v>
      </c>
      <c r="P19" s="360" t="str">
        <f>'budget 2025-26'!O186</f>
        <v>1st-5th</v>
      </c>
      <c r="Q19" s="5">
        <f>SUM(E19:P19)</f>
        <v>0</v>
      </c>
    </row>
    <row r="20" spans="3:17" x14ac:dyDescent="0.35">
      <c r="D20" s="3" t="s">
        <v>502</v>
      </c>
      <c r="E20" s="382" t="str">
        <f>'Input Actual2025-26'!E189</f>
        <v>1st - 8th</v>
      </c>
      <c r="F20" s="382" t="str">
        <f>'Input Actual2025-26'!F189</f>
        <v>1st - 7th</v>
      </c>
      <c r="G20" s="382" t="str">
        <f>'Input Actual2025-26'!G189</f>
        <v>1st - 6th</v>
      </c>
      <c r="H20" s="382" t="str">
        <f>'Input Actual2025-26'!H189</f>
        <v>3rd - 13th</v>
      </c>
      <c r="I20" s="382" t="str">
        <f>'Input Actual2025-26'!I189</f>
        <v>3rd - 7th</v>
      </c>
      <c r="J20" s="382" t="str">
        <f>'Input Actual2025-26'!J189</f>
        <v>1st - 4th</v>
      </c>
      <c r="K20" s="382" t="str">
        <f>'Input Actual2025-26'!K189</f>
        <v>5th - 9th</v>
      </c>
      <c r="L20" s="382" t="str">
        <f>'Input Actual2025-26'!L189</f>
        <v>2nd - 6th</v>
      </c>
      <c r="M20" s="382">
        <f>'Input Actual2025-26'!M189</f>
        <v>0</v>
      </c>
      <c r="N20" s="382">
        <f>'Input Actual2025-26'!N189</f>
        <v>0</v>
      </c>
      <c r="O20" s="382">
        <f>'Input Actual2025-26'!O189</f>
        <v>0</v>
      </c>
      <c r="P20" s="382">
        <f>'Input Actual2025-26'!P189</f>
        <v>0</v>
      </c>
      <c r="Q20" s="5">
        <f t="shared" ref="Q20:Q22" si="0">SUM(E20:P20)</f>
        <v>0</v>
      </c>
    </row>
    <row r="21" spans="3:17" x14ac:dyDescent="0.35">
      <c r="D21" s="3" t="s">
        <v>424</v>
      </c>
      <c r="E21" s="49" t="str">
        <f>'Input Actual2024-25'!E176</f>
        <v>1st - 6th</v>
      </c>
      <c r="F21" s="49" t="str">
        <f>'Input Actual2024-25'!F176</f>
        <v>1st - 8th</v>
      </c>
      <c r="G21" s="49" t="str">
        <f>'Input Actual2024-25'!G176</f>
        <v>2nd - 7th</v>
      </c>
      <c r="H21" s="49" t="str">
        <f>'Input Actual2024-25'!H176</f>
        <v>1st - 7th</v>
      </c>
      <c r="I21" s="49" t="str">
        <f>'Input Actual2024-25'!I176</f>
        <v>4th - 8th</v>
      </c>
      <c r="J21" s="49" t="str">
        <f>'Input Actual2024-25'!J176</f>
        <v>1st - 5th</v>
      </c>
      <c r="K21" s="49" t="str">
        <f>'Input Actual2024-25'!K176</f>
        <v>2nd - 7th</v>
      </c>
      <c r="L21" s="49" t="str">
        <f>'Input Actual2024-25'!L176</f>
        <v>3rd - 6th</v>
      </c>
      <c r="M21" s="49" t="str">
        <f>'Input Actual2024-25'!M176</f>
        <v>3rd - 10th</v>
      </c>
      <c r="N21" s="49" t="str">
        <f>'Input Actual2024-25'!N176</f>
        <v>1st - 7th</v>
      </c>
      <c r="O21" s="49" t="str">
        <f>'Input Actual2024-25'!O176</f>
        <v>2nd - 8th</v>
      </c>
      <c r="P21" s="49" t="str">
        <f>'Input Actual2024-25'!P176</f>
        <v xml:space="preserve">3rd - 11th </v>
      </c>
      <c r="Q21" s="5">
        <f t="shared" si="0"/>
        <v>0</v>
      </c>
    </row>
    <row r="22" spans="3:17" x14ac:dyDescent="0.35">
      <c r="D22" s="3" t="s">
        <v>7</v>
      </c>
      <c r="E22" s="5" t="e">
        <f t="shared" ref="E22:P22" si="1">IF(E20=0,0,E20-E19)</f>
        <v>#VALUE!</v>
      </c>
      <c r="F22" s="5" t="e">
        <f t="shared" si="1"/>
        <v>#VALUE!</v>
      </c>
      <c r="G22" s="5" t="e">
        <f t="shared" si="1"/>
        <v>#VALUE!</v>
      </c>
      <c r="H22" s="5" t="e">
        <f t="shared" si="1"/>
        <v>#VALUE!</v>
      </c>
      <c r="I22" s="5" t="e">
        <f t="shared" si="1"/>
        <v>#VALUE!</v>
      </c>
      <c r="J22" s="5" t="e">
        <f t="shared" si="1"/>
        <v>#VALUE!</v>
      </c>
      <c r="K22" s="5" t="e">
        <f t="shared" si="1"/>
        <v>#VALUE!</v>
      </c>
      <c r="L22" s="5" t="e">
        <f t="shared" si="1"/>
        <v>#VALUE!</v>
      </c>
      <c r="M22" s="5">
        <f t="shared" si="1"/>
        <v>0</v>
      </c>
      <c r="N22" s="5">
        <f t="shared" si="1"/>
        <v>0</v>
      </c>
      <c r="O22" s="5">
        <f t="shared" si="1"/>
        <v>0</v>
      </c>
      <c r="P22" s="5">
        <f t="shared" si="1"/>
        <v>0</v>
      </c>
      <c r="Q22" s="5" t="e">
        <f t="shared" si="0"/>
        <v>#VALUE!</v>
      </c>
    </row>
    <row r="23" spans="3:17" x14ac:dyDescent="0.35">
      <c r="D23" s="3" t="s">
        <v>43</v>
      </c>
      <c r="E23" s="9">
        <f>IFERROR(E21/E19,0)</f>
        <v>0</v>
      </c>
      <c r="F23" s="9">
        <f t="shared" ref="F23:P23" si="2">IFERROR(F21/F19,0)</f>
        <v>0</v>
      </c>
      <c r="G23" s="9">
        <f t="shared" si="2"/>
        <v>0</v>
      </c>
      <c r="H23" s="9">
        <f t="shared" si="2"/>
        <v>0</v>
      </c>
      <c r="I23" s="9">
        <f t="shared" si="2"/>
        <v>0</v>
      </c>
      <c r="J23" s="9">
        <f t="shared" si="2"/>
        <v>0</v>
      </c>
      <c r="K23" s="9">
        <f t="shared" si="2"/>
        <v>0</v>
      </c>
      <c r="L23" s="9">
        <f t="shared" si="2"/>
        <v>0</v>
      </c>
      <c r="M23" s="9">
        <f t="shared" si="2"/>
        <v>0</v>
      </c>
      <c r="N23" s="9">
        <f t="shared" si="2"/>
        <v>0</v>
      </c>
      <c r="O23" s="9">
        <f t="shared" si="2"/>
        <v>0</v>
      </c>
      <c r="P23" s="9">
        <f t="shared" si="2"/>
        <v>0</v>
      </c>
    </row>
    <row r="25" spans="3:17" x14ac:dyDescent="0.35">
      <c r="C25" s="7" t="s">
        <v>3</v>
      </c>
      <c r="E25" s="11">
        <f>E18</f>
        <v>45839</v>
      </c>
      <c r="F25" s="11">
        <f t="shared" ref="F25:P27" si="3">F18</f>
        <v>45870</v>
      </c>
      <c r="G25" s="11">
        <f t="shared" si="3"/>
        <v>45901</v>
      </c>
      <c r="H25" s="11">
        <f t="shared" si="3"/>
        <v>45931</v>
      </c>
      <c r="I25" s="11">
        <f t="shared" si="3"/>
        <v>45962</v>
      </c>
      <c r="J25" s="11">
        <f t="shared" si="3"/>
        <v>45992</v>
      </c>
      <c r="K25" s="11">
        <f t="shared" si="3"/>
        <v>46023</v>
      </c>
      <c r="L25" s="11">
        <f t="shared" si="3"/>
        <v>46054</v>
      </c>
      <c r="M25" s="11">
        <f t="shared" si="3"/>
        <v>46082</v>
      </c>
      <c r="N25" s="11">
        <f t="shared" si="3"/>
        <v>46113</v>
      </c>
      <c r="O25" s="11">
        <f t="shared" si="3"/>
        <v>46143</v>
      </c>
      <c r="P25" s="11">
        <f t="shared" si="3"/>
        <v>46174</v>
      </c>
    </row>
    <row r="26" spans="3:17" x14ac:dyDescent="0.35">
      <c r="D26" s="3" t="str">
        <f>D19</f>
        <v>Budget 2025-26</v>
      </c>
      <c r="E26" s="360" t="str">
        <f>E19</f>
        <v>1st-5th</v>
      </c>
      <c r="F26" s="360" t="str">
        <f t="shared" si="3"/>
        <v>1st-5th</v>
      </c>
      <c r="G26" s="360" t="str">
        <f t="shared" si="3"/>
        <v>1st-5th</v>
      </c>
      <c r="H26" s="360" t="str">
        <f t="shared" si="3"/>
        <v>1st-5th</v>
      </c>
      <c r="I26" s="360" t="str">
        <f t="shared" si="3"/>
        <v>1st-5th</v>
      </c>
      <c r="J26" s="360" t="str">
        <f t="shared" si="3"/>
        <v>1st-5th</v>
      </c>
      <c r="K26" s="360" t="str">
        <f t="shared" si="3"/>
        <v>1st-5th</v>
      </c>
      <c r="L26" s="360" t="str">
        <f t="shared" si="3"/>
        <v>1st-5th</v>
      </c>
      <c r="M26" s="360" t="str">
        <f t="shared" si="3"/>
        <v>1st-5th</v>
      </c>
      <c r="N26" s="360" t="str">
        <f t="shared" si="3"/>
        <v>1st-5th</v>
      </c>
      <c r="O26" s="360" t="str">
        <f t="shared" si="3"/>
        <v>1st-5th</v>
      </c>
      <c r="P26" s="360" t="str">
        <f t="shared" si="3"/>
        <v>1st-5th</v>
      </c>
    </row>
    <row r="27" spans="3:17" x14ac:dyDescent="0.35">
      <c r="D27" s="3" t="str">
        <f t="shared" ref="D27:D30" si="4">D20</f>
        <v>Actual 2025-26</v>
      </c>
      <c r="E27" s="5" t="str">
        <f>E20</f>
        <v>1st - 8th</v>
      </c>
      <c r="F27" s="5" t="str">
        <f t="shared" si="3"/>
        <v>1st - 7th</v>
      </c>
      <c r="G27" s="5" t="str">
        <f t="shared" si="3"/>
        <v>1st - 6th</v>
      </c>
      <c r="H27" s="5" t="str">
        <f t="shared" si="3"/>
        <v>3rd - 13th</v>
      </c>
      <c r="I27" s="5" t="str">
        <f t="shared" si="3"/>
        <v>3rd - 7th</v>
      </c>
      <c r="J27" s="5" t="str">
        <f t="shared" si="3"/>
        <v>1st - 4th</v>
      </c>
      <c r="K27" s="5" t="str">
        <f t="shared" si="3"/>
        <v>5th - 9th</v>
      </c>
      <c r="L27" s="5" t="str">
        <f t="shared" si="3"/>
        <v>2nd - 6th</v>
      </c>
      <c r="M27" s="5">
        <f t="shared" si="3"/>
        <v>0</v>
      </c>
      <c r="N27" s="5">
        <f t="shared" si="3"/>
        <v>0</v>
      </c>
      <c r="O27" s="5">
        <f t="shared" si="3"/>
        <v>0</v>
      </c>
      <c r="P27" s="5">
        <f>P20</f>
        <v>0</v>
      </c>
    </row>
    <row r="28" spans="3:17" x14ac:dyDescent="0.35">
      <c r="D28" s="3" t="str">
        <f t="shared" si="4"/>
        <v>Actual 2024-25</v>
      </c>
      <c r="E28" s="5">
        <f>SUM($E21:E21)</f>
        <v>0</v>
      </c>
      <c r="F28" s="5">
        <f>SUM($E21:F21)</f>
        <v>0</v>
      </c>
      <c r="G28" s="5">
        <f>SUM($E21:G21)</f>
        <v>0</v>
      </c>
      <c r="H28" s="5">
        <f>SUM($E21:H21)</f>
        <v>0</v>
      </c>
      <c r="I28" s="5">
        <f>SUM($E21:I21)</f>
        <v>0</v>
      </c>
      <c r="J28" s="5">
        <f>SUM($E21:J21)</f>
        <v>0</v>
      </c>
      <c r="K28" s="5">
        <f>SUM($E21:K21)</f>
        <v>0</v>
      </c>
      <c r="L28" s="5">
        <f>SUM($E21:L21)</f>
        <v>0</v>
      </c>
      <c r="M28" s="5">
        <f>SUM($E21:M21)</f>
        <v>0</v>
      </c>
      <c r="N28" s="5">
        <f>SUM($E21:N21)</f>
        <v>0</v>
      </c>
      <c r="O28" s="5">
        <f>SUM($E21:O21)</f>
        <v>0</v>
      </c>
      <c r="P28" s="5">
        <f>SUM($E21:P21)</f>
        <v>0</v>
      </c>
    </row>
    <row r="29" spans="3:17" x14ac:dyDescent="0.35">
      <c r="D29" s="3" t="str">
        <f t="shared" si="4"/>
        <v>Difference</v>
      </c>
      <c r="E29" s="5" t="e">
        <f>SUM($E22:E22)</f>
        <v>#VALUE!</v>
      </c>
      <c r="F29" s="5" t="e">
        <f>SUM($E22:F22)</f>
        <v>#VALUE!</v>
      </c>
      <c r="G29" s="5" t="e">
        <f>SUM($E22:G22)</f>
        <v>#VALUE!</v>
      </c>
      <c r="H29" s="5" t="e">
        <f>SUM($E22:H22)</f>
        <v>#VALUE!</v>
      </c>
      <c r="I29" s="5" t="e">
        <f>SUM($E22:I22)</f>
        <v>#VALUE!</v>
      </c>
      <c r="J29" s="5" t="e">
        <f>SUM($E22:J22)</f>
        <v>#VALUE!</v>
      </c>
      <c r="K29" s="5" t="e">
        <f>SUM($E22:K22)</f>
        <v>#VALUE!</v>
      </c>
      <c r="L29" s="5" t="e">
        <f>SUM($E22:L22)</f>
        <v>#VALUE!</v>
      </c>
      <c r="M29" s="5" t="e">
        <f>SUM($E22:M22)</f>
        <v>#VALUE!</v>
      </c>
      <c r="N29" s="5" t="e">
        <f>SUM($E22:N22)</f>
        <v>#VALUE!</v>
      </c>
      <c r="O29" s="5" t="e">
        <f>SUM($E22:O22)</f>
        <v>#VALUE!</v>
      </c>
      <c r="P29" s="5" t="e">
        <f>SUM($E22:P22)</f>
        <v>#VALUE!</v>
      </c>
    </row>
    <row r="30" spans="3:17" x14ac:dyDescent="0.35">
      <c r="D30" s="3" t="str">
        <f t="shared" si="4"/>
        <v>Realisation</v>
      </c>
      <c r="E30" s="9">
        <f>IFERROR(E28/E26,0)</f>
        <v>0</v>
      </c>
      <c r="F30" s="9">
        <f t="shared" ref="F30:P30" si="5">IFERROR(F28/F26,0)</f>
        <v>0</v>
      </c>
      <c r="G30" s="9">
        <f t="shared" si="5"/>
        <v>0</v>
      </c>
      <c r="H30" s="9">
        <f t="shared" si="5"/>
        <v>0</v>
      </c>
      <c r="I30" s="9">
        <f t="shared" si="5"/>
        <v>0</v>
      </c>
      <c r="J30" s="9">
        <f t="shared" si="5"/>
        <v>0</v>
      </c>
      <c r="K30" s="9">
        <f t="shared" si="5"/>
        <v>0</v>
      </c>
      <c r="L30" s="9">
        <f t="shared" si="5"/>
        <v>0</v>
      </c>
      <c r="M30" s="9">
        <f t="shared" si="5"/>
        <v>0</v>
      </c>
      <c r="N30" s="9">
        <f t="shared" si="5"/>
        <v>0</v>
      </c>
      <c r="O30" s="9">
        <f t="shared" si="5"/>
        <v>0</v>
      </c>
      <c r="P30" s="9">
        <f t="shared" si="5"/>
        <v>0</v>
      </c>
    </row>
  </sheetData>
  <mergeCells count="2">
    <mergeCell ref="J4:Q8"/>
    <mergeCell ref="J10:Q15"/>
  </mergeCells>
  <conditionalFormatting sqref="C3">
    <cfRule type="expression" dxfId="80" priority="2">
      <formula>S4&lt;S6</formula>
    </cfRule>
  </conditionalFormatting>
  <conditionalFormatting sqref="C5">
    <cfRule type="expression" dxfId="79" priority="3">
      <formula>S4&gt;=S5</formula>
    </cfRule>
  </conditionalFormatting>
  <conditionalFormatting sqref="C4">
    <cfRule type="expression" dxfId="78" priority="1">
      <formula>AND(S4&gt;=S6,S4&lt;S5)</formula>
    </cfRule>
  </conditionalFormatting>
  <hyperlinks>
    <hyperlink ref="L1" location="Dashboard!A1" display="Dashboard"/>
  </hyperlinks>
  <pageMargins left="0.7" right="0.7" top="0.75" bottom="0.75" header="0.3" footer="0.3"/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513473" r:id="rId3" name="Spinner 1">
              <controlPr defaultSize="0" autoPict="0">
                <anchor moveWithCells="1" sizeWithCells="1">
                  <from>
                    <xdr:col>9</xdr:col>
                    <xdr:colOff>19050</xdr:colOff>
                    <xdr:row>0</xdr:row>
                    <xdr:rowOff>38100</xdr:rowOff>
                  </from>
                  <to>
                    <xdr:col>9</xdr:col>
                    <xdr:colOff>400050</xdr:colOff>
                    <xdr:row>1</xdr:row>
                    <xdr:rowOff>152400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17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FFC000"/>
  </sheetPr>
  <dimension ref="A1:S30"/>
  <sheetViews>
    <sheetView topLeftCell="E1" workbookViewId="0">
      <selection activeCell="L1" sqref="L1"/>
    </sheetView>
  </sheetViews>
  <sheetFormatPr defaultColWidth="9.1796875" defaultRowHeight="14.5" x14ac:dyDescent="0.35"/>
  <cols>
    <col min="1" max="1" width="9.1796875" style="3"/>
    <col min="2" max="2" width="5.7265625" style="3" bestFit="1" customWidth="1"/>
    <col min="3" max="3" width="6.26953125" style="3" customWidth="1"/>
    <col min="4" max="4" width="21.26953125" style="3" bestFit="1" customWidth="1"/>
    <col min="5" max="16" width="11.1796875" style="3" customWidth="1"/>
    <col min="17" max="17" width="12" style="3" bestFit="1" customWidth="1"/>
    <col min="18" max="18" width="9.1796875" style="3" customWidth="1"/>
    <col min="19" max="16384" width="9.1796875" style="3"/>
  </cols>
  <sheetData>
    <row r="1" spans="1:19" ht="21" x14ac:dyDescent="0.5">
      <c r="A1" s="4" t="s">
        <v>4</v>
      </c>
      <c r="B1" s="4">
        <f>Dashboard!A183</f>
        <v>1</v>
      </c>
      <c r="C1" s="4" t="str">
        <f>Dashboard!B198</f>
        <v>Southern</v>
      </c>
      <c r="D1" s="4"/>
      <c r="G1" s="3" t="s">
        <v>9</v>
      </c>
      <c r="I1" s="12">
        <f>INDEX($E$18:$P$18,Actual_month)</f>
        <v>46054</v>
      </c>
      <c r="L1" s="16" t="s">
        <v>19</v>
      </c>
      <c r="R1" s="5"/>
    </row>
    <row r="2" spans="1:19" x14ac:dyDescent="0.35">
      <c r="A2" s="3" t="s">
        <v>13</v>
      </c>
      <c r="C2" s="3" t="s">
        <v>27</v>
      </c>
      <c r="R2" s="6"/>
    </row>
    <row r="3" spans="1:19" ht="25.5" customHeight="1" thickBot="1" x14ac:dyDescent="0.4">
      <c r="C3" s="1" t="s">
        <v>5</v>
      </c>
      <c r="E3" s="10"/>
      <c r="F3" s="10"/>
      <c r="G3" s="10"/>
      <c r="H3" s="10"/>
      <c r="I3" s="10"/>
      <c r="J3" s="3" t="s">
        <v>6</v>
      </c>
      <c r="K3" s="10"/>
      <c r="M3" s="10"/>
      <c r="N3" s="10"/>
      <c r="O3" s="10"/>
      <c r="P3" s="10"/>
    </row>
    <row r="4" spans="1:19" ht="25.5" customHeight="1" x14ac:dyDescent="0.35">
      <c r="C4" s="1" t="s">
        <v>5</v>
      </c>
      <c r="E4" s="10"/>
      <c r="F4" s="10"/>
      <c r="G4" s="10"/>
      <c r="H4" s="10"/>
      <c r="I4" s="10"/>
      <c r="J4" s="401"/>
      <c r="K4" s="402"/>
      <c r="L4" s="402"/>
      <c r="M4" s="402"/>
      <c r="N4" s="402"/>
      <c r="O4" s="402"/>
      <c r="P4" s="402"/>
      <c r="Q4" s="403"/>
      <c r="R4" s="3" t="s">
        <v>22</v>
      </c>
      <c r="S4" s="5" t="str">
        <f>INDEX(E27:P27,Actual_month)</f>
        <v>6th - 25th</v>
      </c>
    </row>
    <row r="5" spans="1:19" ht="25.5" customHeight="1" x14ac:dyDescent="0.35">
      <c r="C5" s="1" t="s">
        <v>5</v>
      </c>
      <c r="E5" s="10"/>
      <c r="F5" s="10"/>
      <c r="G5" s="10"/>
      <c r="H5" s="10"/>
      <c r="I5" s="10"/>
      <c r="J5" s="404"/>
      <c r="K5" s="405"/>
      <c r="L5" s="405"/>
      <c r="M5" s="405"/>
      <c r="N5" s="405"/>
      <c r="O5" s="405"/>
      <c r="P5" s="405"/>
      <c r="Q5" s="406"/>
      <c r="R5" s="3" t="s">
        <v>23</v>
      </c>
      <c r="S5" s="5" t="str">
        <f>INDEX(E26:P26,Actual_month)</f>
        <v xml:space="preserve">7th-13th </v>
      </c>
    </row>
    <row r="6" spans="1:19" x14ac:dyDescent="0.35">
      <c r="J6" s="404"/>
      <c r="K6" s="405"/>
      <c r="L6" s="405"/>
      <c r="M6" s="405"/>
      <c r="N6" s="405"/>
      <c r="O6" s="405"/>
      <c r="P6" s="405"/>
      <c r="Q6" s="406"/>
      <c r="R6" s="6">
        <v>0.9</v>
      </c>
      <c r="S6" s="5" t="e">
        <f>+S5*R6</f>
        <v>#VALUE!</v>
      </c>
    </row>
    <row r="7" spans="1:19" x14ac:dyDescent="0.35">
      <c r="J7" s="404"/>
      <c r="K7" s="405"/>
      <c r="L7" s="405"/>
      <c r="M7" s="405"/>
      <c r="N7" s="405"/>
      <c r="O7" s="405"/>
      <c r="P7" s="405"/>
      <c r="Q7" s="406"/>
    </row>
    <row r="8" spans="1:19" ht="15" thickBot="1" x14ac:dyDescent="0.4">
      <c r="J8" s="407"/>
      <c r="K8" s="408"/>
      <c r="L8" s="408"/>
      <c r="M8" s="408"/>
      <c r="N8" s="408"/>
      <c r="O8" s="408"/>
      <c r="P8" s="408"/>
      <c r="Q8" s="409"/>
    </row>
    <row r="9" spans="1:19" ht="15" thickBot="1" x14ac:dyDescent="0.4">
      <c r="J9" s="3" t="s">
        <v>12</v>
      </c>
    </row>
    <row r="10" spans="1:19" x14ac:dyDescent="0.35">
      <c r="J10" s="401"/>
      <c r="K10" s="402"/>
      <c r="L10" s="402"/>
      <c r="M10" s="402"/>
      <c r="N10" s="402"/>
      <c r="O10" s="402"/>
      <c r="P10" s="402"/>
      <c r="Q10" s="403"/>
    </row>
    <row r="11" spans="1:19" x14ac:dyDescent="0.35">
      <c r="J11" s="404"/>
      <c r="K11" s="405"/>
      <c r="L11" s="405"/>
      <c r="M11" s="405"/>
      <c r="N11" s="405"/>
      <c r="O11" s="405"/>
      <c r="P11" s="405"/>
      <c r="Q11" s="406"/>
    </row>
    <row r="12" spans="1:19" x14ac:dyDescent="0.35">
      <c r="J12" s="404"/>
      <c r="K12" s="405"/>
      <c r="L12" s="405"/>
      <c r="M12" s="405"/>
      <c r="N12" s="405"/>
      <c r="O12" s="405"/>
      <c r="P12" s="405"/>
      <c r="Q12" s="406"/>
    </row>
    <row r="13" spans="1:19" x14ac:dyDescent="0.35">
      <c r="J13" s="404"/>
      <c r="K13" s="405"/>
      <c r="L13" s="405"/>
      <c r="M13" s="405"/>
      <c r="N13" s="405"/>
      <c r="O13" s="405"/>
      <c r="P13" s="405"/>
      <c r="Q13" s="406"/>
    </row>
    <row r="14" spans="1:19" x14ac:dyDescent="0.35">
      <c r="J14" s="404"/>
      <c r="K14" s="405"/>
      <c r="L14" s="405"/>
      <c r="M14" s="405"/>
      <c r="N14" s="405"/>
      <c r="O14" s="405"/>
      <c r="P14" s="405"/>
      <c r="Q14" s="406"/>
    </row>
    <row r="15" spans="1:19" ht="15" thickBot="1" x14ac:dyDescent="0.4">
      <c r="J15" s="407"/>
      <c r="K15" s="408"/>
      <c r="L15" s="408"/>
      <c r="M15" s="408"/>
      <c r="N15" s="408"/>
      <c r="O15" s="408"/>
      <c r="P15" s="408"/>
      <c r="Q15" s="409"/>
    </row>
    <row r="16" spans="1:19" x14ac:dyDescent="0.35">
      <c r="K16" s="60"/>
    </row>
    <row r="17" spans="3:17" x14ac:dyDescent="0.35">
      <c r="K17" s="60"/>
    </row>
    <row r="18" spans="3:17" x14ac:dyDescent="0.35">
      <c r="C18" s="7" t="s">
        <v>8</v>
      </c>
      <c r="E18" s="11">
        <v>45839</v>
      </c>
      <c r="F18" s="11">
        <v>45870</v>
      </c>
      <c r="G18" s="11">
        <v>45901</v>
      </c>
      <c r="H18" s="11">
        <v>45931</v>
      </c>
      <c r="I18" s="11">
        <v>45962</v>
      </c>
      <c r="J18" s="11">
        <v>45992</v>
      </c>
      <c r="K18" s="11">
        <v>46023</v>
      </c>
      <c r="L18" s="11">
        <v>46054</v>
      </c>
      <c r="M18" s="11">
        <v>46082</v>
      </c>
      <c r="N18" s="11">
        <v>46113</v>
      </c>
      <c r="O18" s="11">
        <v>46143</v>
      </c>
      <c r="P18" s="11">
        <v>46174</v>
      </c>
      <c r="Q18" s="8" t="s">
        <v>0</v>
      </c>
    </row>
    <row r="19" spans="3:17" x14ac:dyDescent="0.35">
      <c r="D19" s="3" t="s">
        <v>501</v>
      </c>
      <c r="E19" s="360" t="str">
        <f>'budget 2025-26'!D187</f>
        <v xml:space="preserve">7th-13th </v>
      </c>
      <c r="F19" s="360" t="str">
        <f>'budget 2025-26'!E187</f>
        <v xml:space="preserve">7th-13th </v>
      </c>
      <c r="G19" s="360" t="str">
        <f>'budget 2025-26'!F187</f>
        <v xml:space="preserve">7th-13th </v>
      </c>
      <c r="H19" s="360" t="str">
        <f>'budget 2025-26'!G187</f>
        <v xml:space="preserve">7th-13th </v>
      </c>
      <c r="I19" s="360" t="str">
        <f>'budget 2025-26'!H187</f>
        <v xml:space="preserve">7th-13th </v>
      </c>
      <c r="J19" s="360" t="str">
        <f>'budget 2025-26'!I187</f>
        <v xml:space="preserve">7th-13th </v>
      </c>
      <c r="K19" s="360" t="str">
        <f>'budget 2025-26'!J187</f>
        <v xml:space="preserve">7th-13th </v>
      </c>
      <c r="L19" s="360" t="str">
        <f>'budget 2025-26'!K187</f>
        <v xml:space="preserve">7th-13th </v>
      </c>
      <c r="M19" s="360" t="str">
        <f>'budget 2025-26'!L187</f>
        <v xml:space="preserve">7th-13th </v>
      </c>
      <c r="N19" s="360" t="str">
        <f>'budget 2025-26'!M187</f>
        <v xml:space="preserve">7th-13th </v>
      </c>
      <c r="O19" s="360" t="str">
        <f>'budget 2025-26'!N187</f>
        <v xml:space="preserve">7th-13th </v>
      </c>
      <c r="P19" s="360" t="str">
        <f>'budget 2025-26'!O187</f>
        <v xml:space="preserve">7th-13th </v>
      </c>
      <c r="Q19" s="5">
        <f>SUM(E19:P19)</f>
        <v>0</v>
      </c>
    </row>
    <row r="20" spans="3:17" x14ac:dyDescent="0.35">
      <c r="D20" s="3" t="s">
        <v>502</v>
      </c>
      <c r="E20" s="382" t="str">
        <f>'Input Actual2025-26'!E190</f>
        <v>9th - 15th</v>
      </c>
      <c r="F20" s="382" t="str">
        <f>'Input Actual2025-26'!F190</f>
        <v>8th - 18th</v>
      </c>
      <c r="G20" s="382" t="str">
        <f>'Input Actual2025-26'!G190</f>
        <v>8th - 17th</v>
      </c>
      <c r="H20" s="382" t="str">
        <f>'Input Actual2025-26'!H190</f>
        <v>13th - 21st</v>
      </c>
      <c r="I20" s="382" t="str">
        <f>'Input Actual2025-26'!I190</f>
        <v>10th - 18th</v>
      </c>
      <c r="J20" s="382" t="str">
        <f>'Input Actual2025-26'!J190</f>
        <v>5th - 12th</v>
      </c>
      <c r="K20" s="382" t="str">
        <f>'Input Actual2025-26'!K190</f>
        <v>9th - 19th</v>
      </c>
      <c r="L20" s="382" t="str">
        <f>'Input Actual2025-26'!L190</f>
        <v>6th - 25th</v>
      </c>
      <c r="M20" s="382">
        <f>'Input Actual2025-26'!M190</f>
        <v>0</v>
      </c>
      <c r="N20" s="382">
        <f>'Input Actual2025-26'!N190</f>
        <v>0</v>
      </c>
      <c r="O20" s="382">
        <f>'Input Actual2025-26'!O190</f>
        <v>0</v>
      </c>
      <c r="P20" s="382">
        <f>'Input Actual2025-26'!P190</f>
        <v>0</v>
      </c>
      <c r="Q20" s="5">
        <f t="shared" ref="Q20:Q22" si="0">SUM(E20:P20)</f>
        <v>0</v>
      </c>
    </row>
    <row r="21" spans="3:17" x14ac:dyDescent="0.35">
      <c r="D21" s="3" t="s">
        <v>424</v>
      </c>
      <c r="E21" s="49" t="str">
        <f>'Input Actual2024-25'!E177</f>
        <v>8th - 13th</v>
      </c>
      <c r="F21" s="49" t="str">
        <f>'Input Actual2024-25'!F177</f>
        <v>8th - 16th</v>
      </c>
      <c r="G21" s="49" t="str">
        <f>'Input Actual2024-25'!G177</f>
        <v>9th - 14th</v>
      </c>
      <c r="H21" s="49" t="str">
        <f>'Input Actual2024-25'!H177</f>
        <v>7th - 12th</v>
      </c>
      <c r="I21" s="49" t="str">
        <f>'Input Actual2024-25'!I177</f>
        <v>11th - 18th</v>
      </c>
      <c r="J21" s="49" t="str">
        <f>'Input Actual2024-25'!J177</f>
        <v>5th - 10th</v>
      </c>
      <c r="K21" s="49" t="str">
        <f>'Input Actual2024-25'!K177</f>
        <v>8th - 15th</v>
      </c>
      <c r="L21" s="49" t="str">
        <f>'Input Actual2024-25'!L177</f>
        <v>10th - 15th</v>
      </c>
      <c r="M21" s="49" t="str">
        <f>'Input Actual2024-25'!M177</f>
        <v>11th - 21st</v>
      </c>
      <c r="N21" s="49" t="str">
        <f>'Input Actual2024-25'!N177</f>
        <v>8th - 15th</v>
      </c>
      <c r="O21" s="49" t="str">
        <f>'Input Actual2024-25'!O177</f>
        <v>12th - 19th</v>
      </c>
      <c r="P21" s="49" t="str">
        <f>'Input Actual2024-25'!P177</f>
        <v>12th - 19th</v>
      </c>
      <c r="Q21" s="5">
        <f t="shared" si="0"/>
        <v>0</v>
      </c>
    </row>
    <row r="22" spans="3:17" x14ac:dyDescent="0.35">
      <c r="D22" s="3" t="s">
        <v>7</v>
      </c>
      <c r="E22" s="5" t="e">
        <f t="shared" ref="E22:P22" si="1">IF(E20=0,0,E20-E19)</f>
        <v>#VALUE!</v>
      </c>
      <c r="F22" s="5" t="e">
        <f t="shared" si="1"/>
        <v>#VALUE!</v>
      </c>
      <c r="G22" s="5" t="e">
        <f t="shared" si="1"/>
        <v>#VALUE!</v>
      </c>
      <c r="H22" s="5" t="e">
        <f t="shared" si="1"/>
        <v>#VALUE!</v>
      </c>
      <c r="I22" s="5" t="e">
        <f t="shared" si="1"/>
        <v>#VALUE!</v>
      </c>
      <c r="J22" s="5" t="e">
        <f t="shared" si="1"/>
        <v>#VALUE!</v>
      </c>
      <c r="K22" s="5" t="e">
        <f t="shared" si="1"/>
        <v>#VALUE!</v>
      </c>
      <c r="L22" s="5" t="e">
        <f t="shared" si="1"/>
        <v>#VALUE!</v>
      </c>
      <c r="M22" s="5">
        <f t="shared" si="1"/>
        <v>0</v>
      </c>
      <c r="N22" s="5">
        <f t="shared" si="1"/>
        <v>0</v>
      </c>
      <c r="O22" s="5">
        <f t="shared" si="1"/>
        <v>0</v>
      </c>
      <c r="P22" s="5">
        <f t="shared" si="1"/>
        <v>0</v>
      </c>
      <c r="Q22" s="5" t="e">
        <f t="shared" si="0"/>
        <v>#VALUE!</v>
      </c>
    </row>
    <row r="23" spans="3:17" x14ac:dyDescent="0.35">
      <c r="D23" s="3" t="s">
        <v>43</v>
      </c>
      <c r="E23" s="9">
        <f>IFERROR(E21/E19,0)</f>
        <v>0</v>
      </c>
      <c r="F23" s="9">
        <f t="shared" ref="F23:P23" si="2">IFERROR(F21/F19,0)</f>
        <v>0</v>
      </c>
      <c r="G23" s="9">
        <f t="shared" si="2"/>
        <v>0</v>
      </c>
      <c r="H23" s="9">
        <f t="shared" si="2"/>
        <v>0</v>
      </c>
      <c r="I23" s="9">
        <f t="shared" si="2"/>
        <v>0</v>
      </c>
      <c r="J23" s="9">
        <f t="shared" si="2"/>
        <v>0</v>
      </c>
      <c r="K23" s="9">
        <f t="shared" si="2"/>
        <v>0</v>
      </c>
      <c r="L23" s="9">
        <f t="shared" si="2"/>
        <v>0</v>
      </c>
      <c r="M23" s="9">
        <f t="shared" si="2"/>
        <v>0</v>
      </c>
      <c r="N23" s="9">
        <f t="shared" si="2"/>
        <v>0</v>
      </c>
      <c r="O23" s="9">
        <f t="shared" si="2"/>
        <v>0</v>
      </c>
      <c r="P23" s="9">
        <f t="shared" si="2"/>
        <v>0</v>
      </c>
    </row>
    <row r="25" spans="3:17" x14ac:dyDescent="0.35">
      <c r="C25" s="7" t="s">
        <v>3</v>
      </c>
      <c r="E25" s="11">
        <f>E18</f>
        <v>45839</v>
      </c>
      <c r="F25" s="11">
        <f t="shared" ref="F25:P27" si="3">F18</f>
        <v>45870</v>
      </c>
      <c r="G25" s="11">
        <f t="shared" si="3"/>
        <v>45901</v>
      </c>
      <c r="H25" s="11">
        <f t="shared" si="3"/>
        <v>45931</v>
      </c>
      <c r="I25" s="11">
        <f t="shared" si="3"/>
        <v>45962</v>
      </c>
      <c r="J25" s="11">
        <f t="shared" si="3"/>
        <v>45992</v>
      </c>
      <c r="K25" s="11">
        <f t="shared" si="3"/>
        <v>46023</v>
      </c>
      <c r="L25" s="11">
        <f t="shared" si="3"/>
        <v>46054</v>
      </c>
      <c r="M25" s="11">
        <f t="shared" si="3"/>
        <v>46082</v>
      </c>
      <c r="N25" s="11">
        <f t="shared" si="3"/>
        <v>46113</v>
      </c>
      <c r="O25" s="11">
        <f t="shared" si="3"/>
        <v>46143</v>
      </c>
      <c r="P25" s="11">
        <f t="shared" si="3"/>
        <v>46174</v>
      </c>
    </row>
    <row r="26" spans="3:17" x14ac:dyDescent="0.35">
      <c r="D26" s="3" t="str">
        <f>D19</f>
        <v>Budget 2025-26</v>
      </c>
      <c r="E26" s="360" t="str">
        <f>E19</f>
        <v xml:space="preserve">7th-13th </v>
      </c>
      <c r="F26" s="360" t="str">
        <f t="shared" si="3"/>
        <v xml:space="preserve">7th-13th </v>
      </c>
      <c r="G26" s="360" t="str">
        <f t="shared" si="3"/>
        <v xml:space="preserve">7th-13th </v>
      </c>
      <c r="H26" s="360" t="str">
        <f t="shared" si="3"/>
        <v xml:space="preserve">7th-13th </v>
      </c>
      <c r="I26" s="360" t="str">
        <f t="shared" si="3"/>
        <v xml:space="preserve">7th-13th </v>
      </c>
      <c r="J26" s="360" t="str">
        <f t="shared" si="3"/>
        <v xml:space="preserve">7th-13th </v>
      </c>
      <c r="K26" s="360" t="str">
        <f t="shared" si="3"/>
        <v xml:space="preserve">7th-13th </v>
      </c>
      <c r="L26" s="360" t="str">
        <f t="shared" si="3"/>
        <v xml:space="preserve">7th-13th </v>
      </c>
      <c r="M26" s="360" t="str">
        <f t="shared" si="3"/>
        <v xml:space="preserve">7th-13th </v>
      </c>
      <c r="N26" s="360" t="str">
        <f t="shared" si="3"/>
        <v xml:space="preserve">7th-13th </v>
      </c>
      <c r="O26" s="360" t="str">
        <f t="shared" si="3"/>
        <v xml:space="preserve">7th-13th </v>
      </c>
      <c r="P26" s="360" t="str">
        <f t="shared" si="3"/>
        <v xml:space="preserve">7th-13th </v>
      </c>
    </row>
    <row r="27" spans="3:17" x14ac:dyDescent="0.35">
      <c r="D27" s="3" t="str">
        <f t="shared" ref="D27:D30" si="4">D20</f>
        <v>Actual 2025-26</v>
      </c>
      <c r="E27" s="5" t="str">
        <f>E20</f>
        <v>9th - 15th</v>
      </c>
      <c r="F27" s="5" t="str">
        <f t="shared" si="3"/>
        <v>8th - 18th</v>
      </c>
      <c r="G27" s="5" t="str">
        <f t="shared" si="3"/>
        <v>8th - 17th</v>
      </c>
      <c r="H27" s="5" t="str">
        <f t="shared" si="3"/>
        <v>13th - 21st</v>
      </c>
      <c r="I27" s="5" t="str">
        <f t="shared" si="3"/>
        <v>10th - 18th</v>
      </c>
      <c r="J27" s="5" t="str">
        <f t="shared" si="3"/>
        <v>5th - 12th</v>
      </c>
      <c r="K27" s="5" t="str">
        <f t="shared" si="3"/>
        <v>9th - 19th</v>
      </c>
      <c r="L27" s="5" t="str">
        <f t="shared" si="3"/>
        <v>6th - 25th</v>
      </c>
      <c r="M27" s="5">
        <f t="shared" si="3"/>
        <v>0</v>
      </c>
      <c r="N27" s="5">
        <f t="shared" si="3"/>
        <v>0</v>
      </c>
      <c r="O27" s="5">
        <f t="shared" si="3"/>
        <v>0</v>
      </c>
      <c r="P27" s="5">
        <f>P20</f>
        <v>0</v>
      </c>
    </row>
    <row r="28" spans="3:17" x14ac:dyDescent="0.35">
      <c r="D28" s="3" t="str">
        <f t="shared" si="4"/>
        <v>Actual 2024-25</v>
      </c>
      <c r="E28" s="5">
        <f>SUM($E21:E21)</f>
        <v>0</v>
      </c>
      <c r="F28" s="5">
        <f>SUM($E21:F21)</f>
        <v>0</v>
      </c>
      <c r="G28" s="5">
        <f>SUM($E21:G21)</f>
        <v>0</v>
      </c>
      <c r="H28" s="5">
        <f>SUM($E21:H21)</f>
        <v>0</v>
      </c>
      <c r="I28" s="5">
        <f>SUM($E21:I21)</f>
        <v>0</v>
      </c>
      <c r="J28" s="5">
        <f>SUM($E21:J21)</f>
        <v>0</v>
      </c>
      <c r="K28" s="5">
        <f>SUM($E21:K21)</f>
        <v>0</v>
      </c>
      <c r="L28" s="5">
        <f>SUM($E21:L21)</f>
        <v>0</v>
      </c>
      <c r="M28" s="5">
        <f>SUM($E21:M21)</f>
        <v>0</v>
      </c>
      <c r="N28" s="5">
        <f>SUM($E21:N21)</f>
        <v>0</v>
      </c>
      <c r="O28" s="5">
        <f>SUM($E21:O21)</f>
        <v>0</v>
      </c>
      <c r="P28" s="5">
        <f>SUM($E21:P21)</f>
        <v>0</v>
      </c>
    </row>
    <row r="29" spans="3:17" x14ac:dyDescent="0.35">
      <c r="D29" s="3" t="str">
        <f t="shared" si="4"/>
        <v>Difference</v>
      </c>
      <c r="E29" s="5" t="e">
        <f>SUM($E22:E22)</f>
        <v>#VALUE!</v>
      </c>
      <c r="F29" s="5" t="e">
        <f>SUM($E22:F22)</f>
        <v>#VALUE!</v>
      </c>
      <c r="G29" s="5" t="e">
        <f>SUM($E22:G22)</f>
        <v>#VALUE!</v>
      </c>
      <c r="H29" s="5" t="e">
        <f>SUM($E22:H22)</f>
        <v>#VALUE!</v>
      </c>
      <c r="I29" s="5" t="e">
        <f>SUM($E22:I22)</f>
        <v>#VALUE!</v>
      </c>
      <c r="J29" s="5" t="e">
        <f>SUM($E22:J22)</f>
        <v>#VALUE!</v>
      </c>
      <c r="K29" s="5" t="e">
        <f>SUM($E22:K22)</f>
        <v>#VALUE!</v>
      </c>
      <c r="L29" s="5" t="e">
        <f>SUM($E22:L22)</f>
        <v>#VALUE!</v>
      </c>
      <c r="M29" s="5" t="e">
        <f>SUM($E22:M22)</f>
        <v>#VALUE!</v>
      </c>
      <c r="N29" s="5" t="e">
        <f>SUM($E22:N22)</f>
        <v>#VALUE!</v>
      </c>
      <c r="O29" s="5" t="e">
        <f>SUM($E22:O22)</f>
        <v>#VALUE!</v>
      </c>
      <c r="P29" s="5" t="e">
        <f>SUM($E22:P22)</f>
        <v>#VALUE!</v>
      </c>
    </row>
    <row r="30" spans="3:17" x14ac:dyDescent="0.35">
      <c r="D30" s="3" t="str">
        <f t="shared" si="4"/>
        <v>Realisation</v>
      </c>
      <c r="E30" s="9">
        <f>IFERROR(E28/E26,0)</f>
        <v>0</v>
      </c>
      <c r="F30" s="9">
        <f t="shared" ref="F30:P30" si="5">IFERROR(F28/F26,0)</f>
        <v>0</v>
      </c>
      <c r="G30" s="9">
        <f t="shared" si="5"/>
        <v>0</v>
      </c>
      <c r="H30" s="9">
        <f t="shared" si="5"/>
        <v>0</v>
      </c>
      <c r="I30" s="9">
        <f t="shared" si="5"/>
        <v>0</v>
      </c>
      <c r="J30" s="9">
        <f t="shared" si="5"/>
        <v>0</v>
      </c>
      <c r="K30" s="9">
        <f t="shared" si="5"/>
        <v>0</v>
      </c>
      <c r="L30" s="9">
        <f t="shared" si="5"/>
        <v>0</v>
      </c>
      <c r="M30" s="9">
        <f t="shared" si="5"/>
        <v>0</v>
      </c>
      <c r="N30" s="9">
        <f t="shared" si="5"/>
        <v>0</v>
      </c>
      <c r="O30" s="9">
        <f t="shared" si="5"/>
        <v>0</v>
      </c>
      <c r="P30" s="9">
        <f t="shared" si="5"/>
        <v>0</v>
      </c>
    </row>
  </sheetData>
  <mergeCells count="2">
    <mergeCell ref="J4:Q8"/>
    <mergeCell ref="J10:Q15"/>
  </mergeCells>
  <conditionalFormatting sqref="C3">
    <cfRule type="expression" dxfId="77" priority="2">
      <formula>S4&lt;S6</formula>
    </cfRule>
  </conditionalFormatting>
  <conditionalFormatting sqref="C5">
    <cfRule type="expression" dxfId="76" priority="3">
      <formula>S4&gt;=S5</formula>
    </cfRule>
  </conditionalFormatting>
  <conditionalFormatting sqref="C4">
    <cfRule type="expression" dxfId="75" priority="1">
      <formula>AND(S4&gt;=S6,S4&lt;S5)</formula>
    </cfRule>
  </conditionalFormatting>
  <hyperlinks>
    <hyperlink ref="L1" location="Dashboard!A1" display="Dashboard"/>
  </hyperlinks>
  <pageMargins left="0.7" right="0.7" top="0.75" bottom="0.75" header="0.3" footer="0.3"/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514498" r:id="rId3" name="Spinner 2">
              <controlPr defaultSize="0" autoPict="0">
                <anchor moveWithCells="1" sizeWithCells="1">
                  <from>
                    <xdr:col>9</xdr:col>
                    <xdr:colOff>19050</xdr:colOff>
                    <xdr:row>0</xdr:row>
                    <xdr:rowOff>38100</xdr:rowOff>
                  </from>
                  <to>
                    <xdr:col>9</xdr:col>
                    <xdr:colOff>400050</xdr:colOff>
                    <xdr:row>1</xdr:row>
                    <xdr:rowOff>152400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17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FFC000"/>
  </sheetPr>
  <dimension ref="A1:S30"/>
  <sheetViews>
    <sheetView workbookViewId="0">
      <selection activeCell="L1" sqref="L1"/>
    </sheetView>
  </sheetViews>
  <sheetFormatPr defaultColWidth="9.1796875" defaultRowHeight="14.5" x14ac:dyDescent="0.35"/>
  <cols>
    <col min="1" max="1" width="9.1796875" style="3"/>
    <col min="2" max="2" width="5.7265625" style="3" bestFit="1" customWidth="1"/>
    <col min="3" max="3" width="6.26953125" style="3" customWidth="1"/>
    <col min="4" max="4" width="21.26953125" style="3" bestFit="1" customWidth="1"/>
    <col min="5" max="16" width="11.1796875" style="3" customWidth="1"/>
    <col min="17" max="17" width="12" style="3" bestFit="1" customWidth="1"/>
    <col min="18" max="18" width="9.1796875" style="3" customWidth="1"/>
    <col min="19" max="16384" width="9.1796875" style="3"/>
  </cols>
  <sheetData>
    <row r="1" spans="1:19" ht="21" x14ac:dyDescent="0.5">
      <c r="A1" s="4" t="s">
        <v>4</v>
      </c>
      <c r="B1" s="4">
        <f>Dashboard!A183</f>
        <v>1</v>
      </c>
      <c r="C1" s="4" t="str">
        <f>Dashboard!B199</f>
        <v>Lakeview</v>
      </c>
      <c r="D1" s="4"/>
      <c r="G1" s="3" t="s">
        <v>9</v>
      </c>
      <c r="I1" s="12">
        <f>INDEX($E$18:$P$18,Actual_month)</f>
        <v>46054</v>
      </c>
      <c r="L1" s="16" t="s">
        <v>19</v>
      </c>
      <c r="R1" s="5"/>
    </row>
    <row r="2" spans="1:19" x14ac:dyDescent="0.35">
      <c r="A2" s="3" t="s">
        <v>13</v>
      </c>
      <c r="C2" s="3" t="s">
        <v>27</v>
      </c>
      <c r="R2" s="6"/>
    </row>
    <row r="3" spans="1:19" ht="25.5" customHeight="1" thickBot="1" x14ac:dyDescent="0.4">
      <c r="C3" s="1" t="s">
        <v>5</v>
      </c>
      <c r="E3" s="10"/>
      <c r="F3" s="10"/>
      <c r="G3" s="10"/>
      <c r="H3" s="10"/>
      <c r="I3" s="10"/>
      <c r="J3" s="3" t="s">
        <v>6</v>
      </c>
      <c r="K3" s="10"/>
      <c r="M3" s="10"/>
      <c r="N3" s="10"/>
      <c r="O3" s="10"/>
      <c r="P3" s="10"/>
    </row>
    <row r="4" spans="1:19" ht="25.5" customHeight="1" x14ac:dyDescent="0.35">
      <c r="C4" s="1" t="s">
        <v>5</v>
      </c>
      <c r="E4" s="10"/>
      <c r="F4" s="10"/>
      <c r="G4" s="10"/>
      <c r="H4" s="10"/>
      <c r="I4" s="10"/>
      <c r="J4" s="401"/>
      <c r="K4" s="402"/>
      <c r="L4" s="402"/>
      <c r="M4" s="402"/>
      <c r="N4" s="402"/>
      <c r="O4" s="402"/>
      <c r="P4" s="402"/>
      <c r="Q4" s="403"/>
      <c r="R4" s="3" t="s">
        <v>22</v>
      </c>
      <c r="S4" s="5" t="str">
        <f>INDEX(E27:P27,Actual_month)</f>
        <v>17th - 18th</v>
      </c>
    </row>
    <row r="5" spans="1:19" ht="25.5" customHeight="1" x14ac:dyDescent="0.35">
      <c r="C5" s="1" t="s">
        <v>5</v>
      </c>
      <c r="E5" s="10"/>
      <c r="F5" s="10"/>
      <c r="G5" s="10"/>
      <c r="H5" s="10"/>
      <c r="I5" s="10"/>
      <c r="J5" s="404"/>
      <c r="K5" s="405"/>
      <c r="L5" s="405"/>
      <c r="M5" s="405"/>
      <c r="N5" s="405"/>
      <c r="O5" s="405"/>
      <c r="P5" s="405"/>
      <c r="Q5" s="406"/>
      <c r="R5" s="3" t="s">
        <v>23</v>
      </c>
      <c r="S5" s="5" t="str">
        <f>INDEX(E26:P26,Actual_month)</f>
        <v>15th-17th</v>
      </c>
    </row>
    <row r="6" spans="1:19" x14ac:dyDescent="0.35">
      <c r="J6" s="404"/>
      <c r="K6" s="405"/>
      <c r="L6" s="405"/>
      <c r="M6" s="405"/>
      <c r="N6" s="405"/>
      <c r="O6" s="405"/>
      <c r="P6" s="405"/>
      <c r="Q6" s="406"/>
      <c r="R6" s="6">
        <v>0.9</v>
      </c>
      <c r="S6" s="5" t="e">
        <f>+S5*R6</f>
        <v>#VALUE!</v>
      </c>
    </row>
    <row r="7" spans="1:19" x14ac:dyDescent="0.35">
      <c r="J7" s="404"/>
      <c r="K7" s="405"/>
      <c r="L7" s="405"/>
      <c r="M7" s="405"/>
      <c r="N7" s="405"/>
      <c r="O7" s="405"/>
      <c r="P7" s="405"/>
      <c r="Q7" s="406"/>
    </row>
    <row r="8" spans="1:19" ht="15" thickBot="1" x14ac:dyDescent="0.4">
      <c r="J8" s="407"/>
      <c r="K8" s="408"/>
      <c r="L8" s="408"/>
      <c r="M8" s="408"/>
      <c r="N8" s="408"/>
      <c r="O8" s="408"/>
      <c r="P8" s="408"/>
      <c r="Q8" s="409"/>
    </row>
    <row r="9" spans="1:19" ht="15" thickBot="1" x14ac:dyDescent="0.4">
      <c r="J9" s="3" t="s">
        <v>12</v>
      </c>
    </row>
    <row r="10" spans="1:19" x14ac:dyDescent="0.35">
      <c r="J10" s="401"/>
      <c r="K10" s="402"/>
      <c r="L10" s="402"/>
      <c r="M10" s="402"/>
      <c r="N10" s="402"/>
      <c r="O10" s="402"/>
      <c r="P10" s="402"/>
      <c r="Q10" s="403"/>
    </row>
    <row r="11" spans="1:19" x14ac:dyDescent="0.35">
      <c r="J11" s="404"/>
      <c r="K11" s="405"/>
      <c r="L11" s="405"/>
      <c r="M11" s="405"/>
      <c r="N11" s="405"/>
      <c r="O11" s="405"/>
      <c r="P11" s="405"/>
      <c r="Q11" s="406"/>
    </row>
    <row r="12" spans="1:19" x14ac:dyDescent="0.35">
      <c r="J12" s="404"/>
      <c r="K12" s="405"/>
      <c r="L12" s="405"/>
      <c r="M12" s="405"/>
      <c r="N12" s="405"/>
      <c r="O12" s="405"/>
      <c r="P12" s="405"/>
      <c r="Q12" s="406"/>
    </row>
    <row r="13" spans="1:19" x14ac:dyDescent="0.35">
      <c r="J13" s="404"/>
      <c r="K13" s="405"/>
      <c r="L13" s="405"/>
      <c r="M13" s="405"/>
      <c r="N13" s="405"/>
      <c r="O13" s="405"/>
      <c r="P13" s="405"/>
      <c r="Q13" s="406"/>
    </row>
    <row r="14" spans="1:19" x14ac:dyDescent="0.35">
      <c r="J14" s="404"/>
      <c r="K14" s="405"/>
      <c r="L14" s="405"/>
      <c r="M14" s="405"/>
      <c r="N14" s="405"/>
      <c r="O14" s="405"/>
      <c r="P14" s="405"/>
      <c r="Q14" s="406"/>
    </row>
    <row r="15" spans="1:19" ht="15" thickBot="1" x14ac:dyDescent="0.4">
      <c r="J15" s="407"/>
      <c r="K15" s="408"/>
      <c r="L15" s="408"/>
      <c r="M15" s="408"/>
      <c r="N15" s="408"/>
      <c r="O15" s="408"/>
      <c r="P15" s="408"/>
      <c r="Q15" s="409"/>
    </row>
    <row r="16" spans="1:19" x14ac:dyDescent="0.35">
      <c r="K16" s="60"/>
    </row>
    <row r="17" spans="3:17" x14ac:dyDescent="0.35">
      <c r="K17" s="60"/>
    </row>
    <row r="18" spans="3:17" x14ac:dyDescent="0.35">
      <c r="C18" s="7" t="s">
        <v>8</v>
      </c>
      <c r="E18" s="11">
        <v>45839</v>
      </c>
      <c r="F18" s="11">
        <v>45870</v>
      </c>
      <c r="G18" s="11">
        <v>45901</v>
      </c>
      <c r="H18" s="11">
        <v>45931</v>
      </c>
      <c r="I18" s="11">
        <v>45962</v>
      </c>
      <c r="J18" s="11">
        <v>45992</v>
      </c>
      <c r="K18" s="11">
        <v>46023</v>
      </c>
      <c r="L18" s="11">
        <v>46054</v>
      </c>
      <c r="M18" s="11">
        <v>46082</v>
      </c>
      <c r="N18" s="11">
        <v>46113</v>
      </c>
      <c r="O18" s="11">
        <v>46143</v>
      </c>
      <c r="P18" s="11">
        <v>46174</v>
      </c>
      <c r="Q18" s="8" t="s">
        <v>0</v>
      </c>
    </row>
    <row r="19" spans="3:17" x14ac:dyDescent="0.35">
      <c r="D19" s="3" t="s">
        <v>501</v>
      </c>
      <c r="E19" s="360" t="str">
        <f>'budget 2025-26'!D188</f>
        <v>15th-17th</v>
      </c>
      <c r="F19" s="360" t="str">
        <f>'budget 2025-26'!E188</f>
        <v>15th-17th</v>
      </c>
      <c r="G19" s="360" t="str">
        <f>'budget 2025-26'!F188</f>
        <v>15th-17th</v>
      </c>
      <c r="H19" s="360" t="str">
        <f>'budget 2025-26'!G188</f>
        <v>15th-17th</v>
      </c>
      <c r="I19" s="360" t="str">
        <f>'budget 2025-26'!H188</f>
        <v>15th-17th</v>
      </c>
      <c r="J19" s="360" t="str">
        <f>'budget 2025-26'!I188</f>
        <v>15th-17th</v>
      </c>
      <c r="K19" s="360" t="str">
        <f>'budget 2025-26'!J188</f>
        <v>15th-17th</v>
      </c>
      <c r="L19" s="360" t="str">
        <f>'budget 2025-26'!K188</f>
        <v>15th-17th</v>
      </c>
      <c r="M19" s="360" t="str">
        <f>'budget 2025-26'!L188</f>
        <v>15th-17th</v>
      </c>
      <c r="N19" s="360" t="str">
        <f>'budget 2025-26'!M188</f>
        <v>15th-17th</v>
      </c>
      <c r="O19" s="360" t="str">
        <f>'budget 2025-26'!N188</f>
        <v>15th-17th</v>
      </c>
      <c r="P19" s="360" t="str">
        <f>'budget 2025-26'!O188</f>
        <v>15th-17th</v>
      </c>
      <c r="Q19" s="5">
        <f>SUM(E19:P19)</f>
        <v>0</v>
      </c>
    </row>
    <row r="20" spans="3:17" x14ac:dyDescent="0.35">
      <c r="D20" s="3" t="s">
        <v>502</v>
      </c>
      <c r="E20" s="382" t="str">
        <f>'Input Actual2025-26'!E191</f>
        <v>16th - 18th</v>
      </c>
      <c r="F20" s="382" t="str">
        <f>'Input Actual2025-26'!F191</f>
        <v>18th - 20th</v>
      </c>
      <c r="G20" s="382" t="str">
        <f>'Input Actual2025-26'!G191</f>
        <v>17th - 19th</v>
      </c>
      <c r="H20" s="382" t="str">
        <f>'Input Actual2025-26'!H191</f>
        <v>22nd - 23rd</v>
      </c>
      <c r="I20" s="382" t="str">
        <f>'Input Actual2025-26'!I191</f>
        <v>19th - 21st</v>
      </c>
      <c r="J20" s="382" t="str">
        <f>'Input Actual2025-26'!J191</f>
        <v>12th - 15th</v>
      </c>
      <c r="K20" s="382" t="str">
        <f>'Input Actual2025-26'!K191</f>
        <v>19th - 22nd</v>
      </c>
      <c r="L20" s="382" t="str">
        <f>'Input Actual2025-26'!L191</f>
        <v>17th - 18th</v>
      </c>
      <c r="M20" s="382">
        <f>'Input Actual2025-26'!M191</f>
        <v>0</v>
      </c>
      <c r="N20" s="382">
        <f>'Input Actual2025-26'!N191</f>
        <v>0</v>
      </c>
      <c r="O20" s="382">
        <f>'Input Actual2025-26'!O191</f>
        <v>0</v>
      </c>
      <c r="P20" s="382">
        <f>'Input Actual2025-26'!P191</f>
        <v>0</v>
      </c>
      <c r="Q20" s="5">
        <f t="shared" ref="Q20:Q22" si="0">SUM(E20:P20)</f>
        <v>0</v>
      </c>
    </row>
    <row r="21" spans="3:17" x14ac:dyDescent="0.35">
      <c r="D21" s="3" t="s">
        <v>424</v>
      </c>
      <c r="E21" s="49" t="str">
        <f>'Input Actual2024-25'!E178</f>
        <v>15th - 18th</v>
      </c>
      <c r="F21" s="49" t="str">
        <f>'Input Actual2024-25'!F178</f>
        <v>15th - 21st</v>
      </c>
      <c r="G21" s="49" t="str">
        <f>'Input Actual2024-25'!G178</f>
        <v>16th - 18th</v>
      </c>
      <c r="H21" s="49" t="str">
        <f>'Input Actual2024-25'!H178</f>
        <v>15th - 17th</v>
      </c>
      <c r="I21" s="49" t="str">
        <f>'Input Actual2024-25'!I178</f>
        <v xml:space="preserve">15th - 19th </v>
      </c>
      <c r="J21" s="49" t="str">
        <f>'Input Actual2024-25'!J178</f>
        <v>10th - 13th</v>
      </c>
      <c r="K21" s="49" t="str">
        <f>'Input Actual2024-25'!K178</f>
        <v>15th - 18th</v>
      </c>
      <c r="L21" s="49" t="str">
        <f>'Input Actual2024-25'!L178</f>
        <v>17th - 19th</v>
      </c>
      <c r="M21" s="49" t="str">
        <f>'Input Actual2024-25'!M178</f>
        <v>21st - 25th</v>
      </c>
      <c r="N21" s="49" t="str">
        <f>'Input Actual2024-25'!N178</f>
        <v>16th - 18th</v>
      </c>
      <c r="O21" s="49" t="str">
        <f>'Input Actual2024-25'!O178</f>
        <v>20th - 21st</v>
      </c>
      <c r="P21" s="49" t="str">
        <f>'Input Actual2024-25'!P178</f>
        <v>19th - 23rd</v>
      </c>
      <c r="Q21" s="5">
        <f t="shared" si="0"/>
        <v>0</v>
      </c>
    </row>
    <row r="22" spans="3:17" x14ac:dyDescent="0.35">
      <c r="D22" s="3" t="s">
        <v>7</v>
      </c>
      <c r="E22" s="5" t="e">
        <f t="shared" ref="E22:P22" si="1">IF(E20=0,0,E20-E19)</f>
        <v>#VALUE!</v>
      </c>
      <c r="F22" s="5" t="e">
        <f t="shared" si="1"/>
        <v>#VALUE!</v>
      </c>
      <c r="G22" s="5" t="e">
        <f t="shared" si="1"/>
        <v>#VALUE!</v>
      </c>
      <c r="H22" s="5" t="e">
        <f t="shared" si="1"/>
        <v>#VALUE!</v>
      </c>
      <c r="I22" s="5" t="e">
        <f t="shared" si="1"/>
        <v>#VALUE!</v>
      </c>
      <c r="J22" s="5" t="e">
        <f t="shared" si="1"/>
        <v>#VALUE!</v>
      </c>
      <c r="K22" s="5" t="e">
        <f t="shared" si="1"/>
        <v>#VALUE!</v>
      </c>
      <c r="L22" s="5" t="e">
        <f t="shared" si="1"/>
        <v>#VALUE!</v>
      </c>
      <c r="M22" s="5">
        <f t="shared" si="1"/>
        <v>0</v>
      </c>
      <c r="N22" s="5">
        <f t="shared" si="1"/>
        <v>0</v>
      </c>
      <c r="O22" s="5">
        <f t="shared" si="1"/>
        <v>0</v>
      </c>
      <c r="P22" s="5">
        <f t="shared" si="1"/>
        <v>0</v>
      </c>
      <c r="Q22" s="5" t="e">
        <f t="shared" si="0"/>
        <v>#VALUE!</v>
      </c>
    </row>
    <row r="23" spans="3:17" x14ac:dyDescent="0.35">
      <c r="D23" s="3" t="s">
        <v>43</v>
      </c>
      <c r="E23" s="9">
        <f>IFERROR(E21/E19,0)</f>
        <v>0</v>
      </c>
      <c r="F23" s="9">
        <f t="shared" ref="F23:P23" si="2">IFERROR(F21/F19,0)</f>
        <v>0</v>
      </c>
      <c r="G23" s="9">
        <f t="shared" si="2"/>
        <v>0</v>
      </c>
      <c r="H23" s="9">
        <f t="shared" si="2"/>
        <v>0</v>
      </c>
      <c r="I23" s="9">
        <f t="shared" si="2"/>
        <v>0</v>
      </c>
      <c r="J23" s="9">
        <f t="shared" si="2"/>
        <v>0</v>
      </c>
      <c r="K23" s="9">
        <f t="shared" si="2"/>
        <v>0</v>
      </c>
      <c r="L23" s="9">
        <f t="shared" si="2"/>
        <v>0</v>
      </c>
      <c r="M23" s="9">
        <f t="shared" si="2"/>
        <v>0</v>
      </c>
      <c r="N23" s="9">
        <f t="shared" si="2"/>
        <v>0</v>
      </c>
      <c r="O23" s="9">
        <f t="shared" si="2"/>
        <v>0</v>
      </c>
      <c r="P23" s="9">
        <f t="shared" si="2"/>
        <v>0</v>
      </c>
    </row>
    <row r="25" spans="3:17" x14ac:dyDescent="0.35">
      <c r="C25" s="7" t="s">
        <v>3</v>
      </c>
      <c r="E25" s="11">
        <f>E18</f>
        <v>45839</v>
      </c>
      <c r="F25" s="11">
        <f t="shared" ref="F25:P27" si="3">F18</f>
        <v>45870</v>
      </c>
      <c r="G25" s="11">
        <f t="shared" si="3"/>
        <v>45901</v>
      </c>
      <c r="H25" s="11">
        <f t="shared" si="3"/>
        <v>45931</v>
      </c>
      <c r="I25" s="11">
        <f t="shared" si="3"/>
        <v>45962</v>
      </c>
      <c r="J25" s="11">
        <f t="shared" si="3"/>
        <v>45992</v>
      </c>
      <c r="K25" s="11">
        <f t="shared" si="3"/>
        <v>46023</v>
      </c>
      <c r="L25" s="11">
        <f t="shared" si="3"/>
        <v>46054</v>
      </c>
      <c r="M25" s="11">
        <f t="shared" si="3"/>
        <v>46082</v>
      </c>
      <c r="N25" s="11">
        <f t="shared" si="3"/>
        <v>46113</v>
      </c>
      <c r="O25" s="11">
        <f t="shared" si="3"/>
        <v>46143</v>
      </c>
      <c r="P25" s="11">
        <f t="shared" si="3"/>
        <v>46174</v>
      </c>
    </row>
    <row r="26" spans="3:17" x14ac:dyDescent="0.35">
      <c r="D26" s="3" t="str">
        <f>D19</f>
        <v>Budget 2025-26</v>
      </c>
      <c r="E26" s="360" t="str">
        <f>E19</f>
        <v>15th-17th</v>
      </c>
      <c r="F26" s="360" t="str">
        <f t="shared" si="3"/>
        <v>15th-17th</v>
      </c>
      <c r="G26" s="360" t="str">
        <f t="shared" si="3"/>
        <v>15th-17th</v>
      </c>
      <c r="H26" s="360" t="str">
        <f t="shared" si="3"/>
        <v>15th-17th</v>
      </c>
      <c r="I26" s="360" t="str">
        <f t="shared" si="3"/>
        <v>15th-17th</v>
      </c>
      <c r="J26" s="360" t="str">
        <f t="shared" si="3"/>
        <v>15th-17th</v>
      </c>
      <c r="K26" s="360" t="str">
        <f t="shared" si="3"/>
        <v>15th-17th</v>
      </c>
      <c r="L26" s="360" t="str">
        <f t="shared" si="3"/>
        <v>15th-17th</v>
      </c>
      <c r="M26" s="360" t="str">
        <f t="shared" si="3"/>
        <v>15th-17th</v>
      </c>
      <c r="N26" s="360" t="str">
        <f t="shared" si="3"/>
        <v>15th-17th</v>
      </c>
      <c r="O26" s="360" t="str">
        <f t="shared" si="3"/>
        <v>15th-17th</v>
      </c>
      <c r="P26" s="360" t="str">
        <f t="shared" si="3"/>
        <v>15th-17th</v>
      </c>
    </row>
    <row r="27" spans="3:17" x14ac:dyDescent="0.35">
      <c r="D27" s="3" t="str">
        <f t="shared" ref="D27:D30" si="4">D20</f>
        <v>Actual 2025-26</v>
      </c>
      <c r="E27" s="5" t="str">
        <f>E20</f>
        <v>16th - 18th</v>
      </c>
      <c r="F27" s="5" t="str">
        <f t="shared" si="3"/>
        <v>18th - 20th</v>
      </c>
      <c r="G27" s="5" t="str">
        <f t="shared" si="3"/>
        <v>17th - 19th</v>
      </c>
      <c r="H27" s="5" t="str">
        <f t="shared" si="3"/>
        <v>22nd - 23rd</v>
      </c>
      <c r="I27" s="5" t="str">
        <f t="shared" si="3"/>
        <v>19th - 21st</v>
      </c>
      <c r="J27" s="5" t="str">
        <f t="shared" si="3"/>
        <v>12th - 15th</v>
      </c>
      <c r="K27" s="5" t="str">
        <f t="shared" si="3"/>
        <v>19th - 22nd</v>
      </c>
      <c r="L27" s="5" t="str">
        <f t="shared" si="3"/>
        <v>17th - 18th</v>
      </c>
      <c r="M27" s="5">
        <f t="shared" si="3"/>
        <v>0</v>
      </c>
      <c r="N27" s="5">
        <f t="shared" si="3"/>
        <v>0</v>
      </c>
      <c r="O27" s="5">
        <f t="shared" si="3"/>
        <v>0</v>
      </c>
      <c r="P27" s="5">
        <f>P20</f>
        <v>0</v>
      </c>
    </row>
    <row r="28" spans="3:17" x14ac:dyDescent="0.35">
      <c r="D28" s="3" t="str">
        <f t="shared" si="4"/>
        <v>Actual 2024-25</v>
      </c>
      <c r="E28" s="5">
        <f>SUM($E21:E21)</f>
        <v>0</v>
      </c>
      <c r="F28" s="5">
        <f>SUM($E21:F21)</f>
        <v>0</v>
      </c>
      <c r="G28" s="5">
        <f>SUM($E21:G21)</f>
        <v>0</v>
      </c>
      <c r="H28" s="5">
        <f>SUM($E21:H21)</f>
        <v>0</v>
      </c>
      <c r="I28" s="5">
        <f>SUM($E21:I21)</f>
        <v>0</v>
      </c>
      <c r="J28" s="5">
        <f>SUM($E21:J21)</f>
        <v>0</v>
      </c>
      <c r="K28" s="5">
        <f>SUM($E21:K21)</f>
        <v>0</v>
      </c>
      <c r="L28" s="5">
        <f>SUM($E21:L21)</f>
        <v>0</v>
      </c>
      <c r="M28" s="5">
        <f>SUM($E21:M21)</f>
        <v>0</v>
      </c>
      <c r="N28" s="5">
        <f>SUM($E21:N21)</f>
        <v>0</v>
      </c>
      <c r="O28" s="5">
        <f>SUM($E21:O21)</f>
        <v>0</v>
      </c>
      <c r="P28" s="5">
        <f>SUM($E21:P21)</f>
        <v>0</v>
      </c>
    </row>
    <row r="29" spans="3:17" x14ac:dyDescent="0.35">
      <c r="D29" s="3" t="str">
        <f t="shared" si="4"/>
        <v>Difference</v>
      </c>
      <c r="E29" s="5" t="e">
        <f>SUM($E22:E22)</f>
        <v>#VALUE!</v>
      </c>
      <c r="F29" s="5" t="e">
        <f>SUM($E22:F22)</f>
        <v>#VALUE!</v>
      </c>
      <c r="G29" s="5" t="e">
        <f>SUM($E22:G22)</f>
        <v>#VALUE!</v>
      </c>
      <c r="H29" s="5" t="e">
        <f>SUM($E22:H22)</f>
        <v>#VALUE!</v>
      </c>
      <c r="I29" s="5" t="e">
        <f>SUM($E22:I22)</f>
        <v>#VALUE!</v>
      </c>
      <c r="J29" s="5" t="e">
        <f>SUM($E22:J22)</f>
        <v>#VALUE!</v>
      </c>
      <c r="K29" s="5" t="e">
        <f>SUM($E22:K22)</f>
        <v>#VALUE!</v>
      </c>
      <c r="L29" s="5" t="e">
        <f>SUM($E22:L22)</f>
        <v>#VALUE!</v>
      </c>
      <c r="M29" s="5" t="e">
        <f>SUM($E22:M22)</f>
        <v>#VALUE!</v>
      </c>
      <c r="N29" s="5" t="e">
        <f>SUM($E22:N22)</f>
        <v>#VALUE!</v>
      </c>
      <c r="O29" s="5" t="e">
        <f>SUM($E22:O22)</f>
        <v>#VALUE!</v>
      </c>
      <c r="P29" s="5" t="e">
        <f>SUM($E22:P22)</f>
        <v>#VALUE!</v>
      </c>
    </row>
    <row r="30" spans="3:17" x14ac:dyDescent="0.35">
      <c r="D30" s="3" t="str">
        <f t="shared" si="4"/>
        <v>Realisation</v>
      </c>
      <c r="E30" s="9">
        <f>IFERROR(E28/E26,0)</f>
        <v>0</v>
      </c>
      <c r="F30" s="9">
        <f t="shared" ref="F30:P30" si="5">IFERROR(F28/F26,0)</f>
        <v>0</v>
      </c>
      <c r="G30" s="9">
        <f t="shared" si="5"/>
        <v>0</v>
      </c>
      <c r="H30" s="9">
        <f t="shared" si="5"/>
        <v>0</v>
      </c>
      <c r="I30" s="9">
        <f t="shared" si="5"/>
        <v>0</v>
      </c>
      <c r="J30" s="9">
        <f t="shared" si="5"/>
        <v>0</v>
      </c>
      <c r="K30" s="9">
        <f t="shared" si="5"/>
        <v>0</v>
      </c>
      <c r="L30" s="9">
        <f t="shared" si="5"/>
        <v>0</v>
      </c>
      <c r="M30" s="9">
        <f t="shared" si="5"/>
        <v>0</v>
      </c>
      <c r="N30" s="9">
        <f t="shared" si="5"/>
        <v>0</v>
      </c>
      <c r="O30" s="9">
        <f t="shared" si="5"/>
        <v>0</v>
      </c>
      <c r="P30" s="9">
        <f t="shared" si="5"/>
        <v>0</v>
      </c>
    </row>
  </sheetData>
  <mergeCells count="2">
    <mergeCell ref="J4:Q8"/>
    <mergeCell ref="J10:Q15"/>
  </mergeCells>
  <conditionalFormatting sqref="C3">
    <cfRule type="expression" dxfId="74" priority="2">
      <formula>S4&lt;S6</formula>
    </cfRule>
  </conditionalFormatting>
  <conditionalFormatting sqref="C5">
    <cfRule type="expression" dxfId="73" priority="3">
      <formula>S4&gt;=S5</formula>
    </cfRule>
  </conditionalFormatting>
  <conditionalFormatting sqref="C4">
    <cfRule type="expression" dxfId="72" priority="1">
      <formula>AND(S4&gt;=S6,S4&lt;S5)</formula>
    </cfRule>
  </conditionalFormatting>
  <hyperlinks>
    <hyperlink ref="L1" location="Dashboard!A1" display="Dashboard"/>
  </hyperlinks>
  <pageMargins left="0.7" right="0.7" top="0.75" bottom="0.75" header="0.3" footer="0.3"/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515521" r:id="rId3" name="Spinner 1">
              <controlPr defaultSize="0" autoPict="0">
                <anchor moveWithCells="1" sizeWithCells="1">
                  <from>
                    <xdr:col>9</xdr:col>
                    <xdr:colOff>19050</xdr:colOff>
                    <xdr:row>0</xdr:row>
                    <xdr:rowOff>38100</xdr:rowOff>
                  </from>
                  <to>
                    <xdr:col>9</xdr:col>
                    <xdr:colOff>400050</xdr:colOff>
                    <xdr:row>1</xdr:row>
                    <xdr:rowOff>152400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17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FFC000"/>
  </sheetPr>
  <dimension ref="A1:S30"/>
  <sheetViews>
    <sheetView topLeftCell="E1" workbookViewId="0">
      <selection activeCell="L1" sqref="L1"/>
    </sheetView>
  </sheetViews>
  <sheetFormatPr defaultColWidth="9.1796875" defaultRowHeight="14.5" x14ac:dyDescent="0.35"/>
  <cols>
    <col min="1" max="1" width="9.1796875" style="3"/>
    <col min="2" max="2" width="5.7265625" style="3" bestFit="1" customWidth="1"/>
    <col min="3" max="3" width="6.26953125" style="3" customWidth="1"/>
    <col min="4" max="4" width="21.26953125" style="3" bestFit="1" customWidth="1"/>
    <col min="5" max="16" width="11.1796875" style="3" customWidth="1"/>
    <col min="17" max="17" width="12" style="3" bestFit="1" customWidth="1"/>
    <col min="18" max="18" width="9.1796875" style="3" customWidth="1"/>
    <col min="19" max="16384" width="9.1796875" style="3"/>
  </cols>
  <sheetData>
    <row r="1" spans="1:19" ht="21" x14ac:dyDescent="0.5">
      <c r="A1" s="4" t="s">
        <v>4</v>
      </c>
      <c r="B1" s="4">
        <f>Dashboard!A183</f>
        <v>1</v>
      </c>
      <c r="C1" s="4" t="str">
        <f>Dashboard!B200</f>
        <v>Central</v>
      </c>
      <c r="D1" s="4"/>
      <c r="G1" s="3" t="s">
        <v>9</v>
      </c>
      <c r="I1" s="12">
        <f>INDEX($E$18:$P$18,Actual_month)</f>
        <v>46054</v>
      </c>
      <c r="L1" s="16" t="s">
        <v>19</v>
      </c>
      <c r="R1" s="5"/>
    </row>
    <row r="2" spans="1:19" x14ac:dyDescent="0.35">
      <c r="A2" s="3" t="s">
        <v>13</v>
      </c>
      <c r="C2" s="3" t="s">
        <v>27</v>
      </c>
      <c r="R2" s="6"/>
    </row>
    <row r="3" spans="1:19" ht="25.5" customHeight="1" thickBot="1" x14ac:dyDescent="0.4">
      <c r="C3" s="1" t="s">
        <v>5</v>
      </c>
      <c r="E3" s="10"/>
      <c r="F3" s="10"/>
      <c r="G3" s="10"/>
      <c r="H3" s="10"/>
      <c r="I3" s="10"/>
      <c r="J3" s="3" t="s">
        <v>6</v>
      </c>
      <c r="K3" s="10"/>
      <c r="M3" s="10"/>
      <c r="N3" s="10"/>
      <c r="O3" s="10"/>
      <c r="P3" s="10"/>
    </row>
    <row r="4" spans="1:19" ht="25.5" customHeight="1" x14ac:dyDescent="0.35">
      <c r="C4" s="1" t="s">
        <v>5</v>
      </c>
      <c r="E4" s="10"/>
      <c r="F4" s="10"/>
      <c r="G4" s="10"/>
      <c r="H4" s="10"/>
      <c r="I4" s="10"/>
      <c r="J4" s="401"/>
      <c r="K4" s="402"/>
      <c r="L4" s="402"/>
      <c r="M4" s="402"/>
      <c r="N4" s="402"/>
      <c r="O4" s="402"/>
      <c r="P4" s="402"/>
      <c r="Q4" s="403"/>
      <c r="R4" s="3" t="s">
        <v>22</v>
      </c>
      <c r="S4" s="5" t="str">
        <f>INDEX(E27:P27,Actual_month)</f>
        <v>18th - 27th</v>
      </c>
    </row>
    <row r="5" spans="1:19" ht="25.5" customHeight="1" x14ac:dyDescent="0.35">
      <c r="C5" s="1" t="s">
        <v>5</v>
      </c>
      <c r="E5" s="10"/>
      <c r="F5" s="10"/>
      <c r="G5" s="10"/>
      <c r="H5" s="10"/>
      <c r="I5" s="10"/>
      <c r="J5" s="404"/>
      <c r="K5" s="405"/>
      <c r="L5" s="405"/>
      <c r="M5" s="405"/>
      <c r="N5" s="405"/>
      <c r="O5" s="405"/>
      <c r="P5" s="405"/>
      <c r="Q5" s="406"/>
      <c r="R5" s="3" t="s">
        <v>23</v>
      </c>
      <c r="S5" s="5" t="str">
        <f>INDEX(E26:P26,Actual_month)</f>
        <v>18th-28th</v>
      </c>
    </row>
    <row r="6" spans="1:19" x14ac:dyDescent="0.35">
      <c r="J6" s="404"/>
      <c r="K6" s="405"/>
      <c r="L6" s="405"/>
      <c r="M6" s="405"/>
      <c r="N6" s="405"/>
      <c r="O6" s="405"/>
      <c r="P6" s="405"/>
      <c r="Q6" s="406"/>
      <c r="R6" s="6">
        <v>0.9</v>
      </c>
      <c r="S6" s="5" t="e">
        <f>+S5*R6</f>
        <v>#VALUE!</v>
      </c>
    </row>
    <row r="7" spans="1:19" x14ac:dyDescent="0.35">
      <c r="J7" s="404"/>
      <c r="K7" s="405"/>
      <c r="L7" s="405"/>
      <c r="M7" s="405"/>
      <c r="N7" s="405"/>
      <c r="O7" s="405"/>
      <c r="P7" s="405"/>
      <c r="Q7" s="406"/>
    </row>
    <row r="8" spans="1:19" ht="15" thickBot="1" x14ac:dyDescent="0.4">
      <c r="J8" s="407"/>
      <c r="K8" s="408"/>
      <c r="L8" s="408"/>
      <c r="M8" s="408"/>
      <c r="N8" s="408"/>
      <c r="O8" s="408"/>
      <c r="P8" s="408"/>
      <c r="Q8" s="409"/>
    </row>
    <row r="9" spans="1:19" ht="15" thickBot="1" x14ac:dyDescent="0.4">
      <c r="J9" s="3" t="s">
        <v>12</v>
      </c>
    </row>
    <row r="10" spans="1:19" x14ac:dyDescent="0.35">
      <c r="J10" s="401"/>
      <c r="K10" s="402"/>
      <c r="L10" s="402"/>
      <c r="M10" s="402"/>
      <c r="N10" s="402"/>
      <c r="O10" s="402"/>
      <c r="P10" s="402"/>
      <c r="Q10" s="403"/>
    </row>
    <row r="11" spans="1:19" x14ac:dyDescent="0.35">
      <c r="J11" s="404"/>
      <c r="K11" s="405"/>
      <c r="L11" s="405"/>
      <c r="M11" s="405"/>
      <c r="N11" s="405"/>
      <c r="O11" s="405"/>
      <c r="P11" s="405"/>
      <c r="Q11" s="406"/>
    </row>
    <row r="12" spans="1:19" x14ac:dyDescent="0.35">
      <c r="J12" s="404"/>
      <c r="K12" s="405"/>
      <c r="L12" s="405"/>
      <c r="M12" s="405"/>
      <c r="N12" s="405"/>
      <c r="O12" s="405"/>
      <c r="P12" s="405"/>
      <c r="Q12" s="406"/>
    </row>
    <row r="13" spans="1:19" x14ac:dyDescent="0.35">
      <c r="J13" s="404"/>
      <c r="K13" s="405"/>
      <c r="L13" s="405"/>
      <c r="M13" s="405"/>
      <c r="N13" s="405"/>
      <c r="O13" s="405"/>
      <c r="P13" s="405"/>
      <c r="Q13" s="406"/>
    </row>
    <row r="14" spans="1:19" x14ac:dyDescent="0.35">
      <c r="J14" s="404"/>
      <c r="K14" s="405"/>
      <c r="L14" s="405"/>
      <c r="M14" s="405"/>
      <c r="N14" s="405"/>
      <c r="O14" s="405"/>
      <c r="P14" s="405"/>
      <c r="Q14" s="406"/>
    </row>
    <row r="15" spans="1:19" ht="15" thickBot="1" x14ac:dyDescent="0.4">
      <c r="J15" s="407"/>
      <c r="K15" s="408"/>
      <c r="L15" s="408"/>
      <c r="M15" s="408"/>
      <c r="N15" s="408"/>
      <c r="O15" s="408"/>
      <c r="P15" s="408"/>
      <c r="Q15" s="409"/>
    </row>
    <row r="16" spans="1:19" x14ac:dyDescent="0.35">
      <c r="K16" s="60"/>
    </row>
    <row r="17" spans="3:17" x14ac:dyDescent="0.35">
      <c r="K17" s="60"/>
    </row>
    <row r="18" spans="3:17" x14ac:dyDescent="0.35">
      <c r="C18" s="7" t="s">
        <v>8</v>
      </c>
      <c r="E18" s="11">
        <v>45839</v>
      </c>
      <c r="F18" s="11">
        <v>45870</v>
      </c>
      <c r="G18" s="11">
        <v>45901</v>
      </c>
      <c r="H18" s="11">
        <v>45931</v>
      </c>
      <c r="I18" s="11">
        <v>45962</v>
      </c>
      <c r="J18" s="11">
        <v>45992</v>
      </c>
      <c r="K18" s="11">
        <v>46023</v>
      </c>
      <c r="L18" s="11">
        <v>46054</v>
      </c>
      <c r="M18" s="11">
        <v>46082</v>
      </c>
      <c r="N18" s="11">
        <v>46113</v>
      </c>
      <c r="O18" s="11">
        <v>46143</v>
      </c>
      <c r="P18" s="11">
        <v>46174</v>
      </c>
      <c r="Q18" s="8" t="s">
        <v>0</v>
      </c>
    </row>
    <row r="19" spans="3:17" x14ac:dyDescent="0.35">
      <c r="D19" s="3" t="s">
        <v>501</v>
      </c>
      <c r="E19" s="360" t="str">
        <f>'budget 2025-26'!D189</f>
        <v>18th-28th</v>
      </c>
      <c r="F19" s="360" t="str">
        <f>'budget 2025-26'!E189</f>
        <v>18th-28th</v>
      </c>
      <c r="G19" s="360" t="str">
        <f>'budget 2025-26'!F189</f>
        <v>18th-28th</v>
      </c>
      <c r="H19" s="360" t="str">
        <f>'budget 2025-26'!G189</f>
        <v>18th-28th</v>
      </c>
      <c r="I19" s="360" t="str">
        <f>'budget 2025-26'!H189</f>
        <v>18th-28th</v>
      </c>
      <c r="J19" s="360" t="str">
        <f>'budget 2025-26'!I189</f>
        <v>18th-28th</v>
      </c>
      <c r="K19" s="360" t="str">
        <f>'budget 2025-26'!J189</f>
        <v>18th-28th</v>
      </c>
      <c r="L19" s="360" t="str">
        <f>'budget 2025-26'!K189</f>
        <v>18th-28th</v>
      </c>
      <c r="M19" s="360" t="str">
        <f>'budget 2025-26'!L189</f>
        <v>18th-28th</v>
      </c>
      <c r="N19" s="360" t="str">
        <f>'budget 2025-26'!M189</f>
        <v>18th-28th</v>
      </c>
      <c r="O19" s="360" t="str">
        <f>'budget 2025-26'!N189</f>
        <v>18th-28th</v>
      </c>
      <c r="P19" s="360" t="str">
        <f>'budget 2025-26'!O189</f>
        <v>18th-28th</v>
      </c>
      <c r="Q19" s="5">
        <f>SUM(E19:P19)</f>
        <v>0</v>
      </c>
    </row>
    <row r="20" spans="3:17" x14ac:dyDescent="0.35">
      <c r="D20" s="3" t="s">
        <v>502</v>
      </c>
      <c r="E20" s="382" t="str">
        <f>'Input Actual2025-26'!E192</f>
        <v>21st - 25th</v>
      </c>
      <c r="F20" s="382" t="str">
        <f>'Input Actual2025-26'!F192</f>
        <v>20th - 28th</v>
      </c>
      <c r="G20" s="382" t="str">
        <f>'Input Actual2025-26'!G192</f>
        <v>22nd - 29th</v>
      </c>
      <c r="H20" s="382" t="str">
        <f>'Input Actual2025-26'!H192</f>
        <v>23rd - 30th</v>
      </c>
      <c r="I20" s="382" t="str">
        <f>'Input Actual2025-26'!I192</f>
        <v>21st - 27th</v>
      </c>
      <c r="J20" s="382" t="str">
        <f>'Input Actual2025-26'!J192</f>
        <v>13th - 19th</v>
      </c>
      <c r="K20" s="382" t="str">
        <f>'Input Actual2025-26'!K192</f>
        <v>21st - 28th</v>
      </c>
      <c r="L20" s="382" t="str">
        <f>'Input Actual2025-26'!L192</f>
        <v>18th - 27th</v>
      </c>
      <c r="M20" s="382">
        <f>'Input Actual2025-26'!M192</f>
        <v>0</v>
      </c>
      <c r="N20" s="382">
        <f>'Input Actual2025-26'!N192</f>
        <v>0</v>
      </c>
      <c r="O20" s="382">
        <f>'Input Actual2025-26'!O192</f>
        <v>0</v>
      </c>
      <c r="P20" s="382">
        <f>'Input Actual2025-26'!P192</f>
        <v>0</v>
      </c>
      <c r="Q20" s="5">
        <f t="shared" ref="Q20:Q22" si="0">SUM(E20:P20)</f>
        <v>0</v>
      </c>
    </row>
    <row r="21" spans="3:17" x14ac:dyDescent="0.35">
      <c r="D21" s="3" t="s">
        <v>424</v>
      </c>
      <c r="E21" s="49" t="str">
        <f>'Input Actual2024-25'!E179</f>
        <v>18th - 26th</v>
      </c>
      <c r="F21" s="49" t="str">
        <f>'Input Actual2024-25'!F179</f>
        <v>21st - 29th</v>
      </c>
      <c r="G21" s="49" t="str">
        <f>'Input Actual2024-25'!G179</f>
        <v>19th - 25th</v>
      </c>
      <c r="H21" s="49" t="str">
        <f>'Input Actual2024-25'!H179</f>
        <v>18th - 26th</v>
      </c>
      <c r="I21" s="49" t="str">
        <f>'Input Actual2024-25'!I179</f>
        <v>20th - 27th</v>
      </c>
      <c r="J21" s="49" t="str">
        <f>'Input Actual2024-25'!J179</f>
        <v xml:space="preserve">13th - 18th </v>
      </c>
      <c r="K21" s="49" t="str">
        <f>'Input Actual2024-25'!K179</f>
        <v xml:space="preserve">20th - 28th </v>
      </c>
      <c r="L21" s="49" t="str">
        <f>'Input Actual2024-25'!L179</f>
        <v>20th - 26th</v>
      </c>
      <c r="M21" s="49" t="str">
        <f>'Input Actual2024-25'!M179</f>
        <v>25th - 29th</v>
      </c>
      <c r="N21" s="49" t="str">
        <f>'Input Actual2024-25'!N179</f>
        <v>22nd - 26th</v>
      </c>
      <c r="O21" s="49" t="str">
        <f>'Input Actual2024-25'!O179</f>
        <v>22nd - 28th</v>
      </c>
      <c r="P21" s="49" t="str">
        <f>'Input Actual2024-25'!P179</f>
        <v>24th - 27th</v>
      </c>
      <c r="Q21" s="5">
        <f t="shared" si="0"/>
        <v>0</v>
      </c>
    </row>
    <row r="22" spans="3:17" x14ac:dyDescent="0.35">
      <c r="D22" s="3" t="s">
        <v>7</v>
      </c>
      <c r="E22" s="5" t="e">
        <f t="shared" ref="E22:P22" si="1">IF(E20=0,0,E20-E19)</f>
        <v>#VALUE!</v>
      </c>
      <c r="F22" s="5" t="e">
        <f t="shared" si="1"/>
        <v>#VALUE!</v>
      </c>
      <c r="G22" s="5" t="e">
        <f t="shared" si="1"/>
        <v>#VALUE!</v>
      </c>
      <c r="H22" s="5" t="e">
        <f t="shared" si="1"/>
        <v>#VALUE!</v>
      </c>
      <c r="I22" s="5" t="e">
        <f t="shared" si="1"/>
        <v>#VALUE!</v>
      </c>
      <c r="J22" s="5" t="e">
        <f t="shared" si="1"/>
        <v>#VALUE!</v>
      </c>
      <c r="K22" s="5" t="e">
        <f t="shared" si="1"/>
        <v>#VALUE!</v>
      </c>
      <c r="L22" s="5" t="e">
        <f t="shared" si="1"/>
        <v>#VALUE!</v>
      </c>
      <c r="M22" s="5">
        <f t="shared" si="1"/>
        <v>0</v>
      </c>
      <c r="N22" s="5">
        <f t="shared" si="1"/>
        <v>0</v>
      </c>
      <c r="O22" s="5">
        <f t="shared" si="1"/>
        <v>0</v>
      </c>
      <c r="P22" s="5">
        <f t="shared" si="1"/>
        <v>0</v>
      </c>
      <c r="Q22" s="5" t="e">
        <f t="shared" si="0"/>
        <v>#VALUE!</v>
      </c>
    </row>
    <row r="23" spans="3:17" x14ac:dyDescent="0.35">
      <c r="D23" s="3" t="s">
        <v>43</v>
      </c>
      <c r="E23" s="9">
        <f>IFERROR(E21/E19,0)</f>
        <v>0</v>
      </c>
      <c r="F23" s="9">
        <f t="shared" ref="F23:P23" si="2">IFERROR(F21/F19,0)</f>
        <v>0</v>
      </c>
      <c r="G23" s="9">
        <f t="shared" si="2"/>
        <v>0</v>
      </c>
      <c r="H23" s="9">
        <f t="shared" si="2"/>
        <v>0</v>
      </c>
      <c r="I23" s="9">
        <f t="shared" si="2"/>
        <v>0</v>
      </c>
      <c r="J23" s="9">
        <f t="shared" si="2"/>
        <v>0</v>
      </c>
      <c r="K23" s="9">
        <f t="shared" si="2"/>
        <v>0</v>
      </c>
      <c r="L23" s="9">
        <f t="shared" si="2"/>
        <v>0</v>
      </c>
      <c r="M23" s="9">
        <f t="shared" si="2"/>
        <v>0</v>
      </c>
      <c r="N23" s="9">
        <f t="shared" si="2"/>
        <v>0</v>
      </c>
      <c r="O23" s="9">
        <f t="shared" si="2"/>
        <v>0</v>
      </c>
      <c r="P23" s="9">
        <f t="shared" si="2"/>
        <v>0</v>
      </c>
    </row>
    <row r="25" spans="3:17" x14ac:dyDescent="0.35">
      <c r="C25" s="7" t="s">
        <v>3</v>
      </c>
      <c r="E25" s="11">
        <f>E18</f>
        <v>45839</v>
      </c>
      <c r="F25" s="11">
        <f t="shared" ref="F25:P27" si="3">F18</f>
        <v>45870</v>
      </c>
      <c r="G25" s="11">
        <f t="shared" si="3"/>
        <v>45901</v>
      </c>
      <c r="H25" s="11">
        <f t="shared" si="3"/>
        <v>45931</v>
      </c>
      <c r="I25" s="11">
        <f t="shared" si="3"/>
        <v>45962</v>
      </c>
      <c r="J25" s="11">
        <f t="shared" si="3"/>
        <v>45992</v>
      </c>
      <c r="K25" s="11">
        <f t="shared" si="3"/>
        <v>46023</v>
      </c>
      <c r="L25" s="11">
        <f t="shared" si="3"/>
        <v>46054</v>
      </c>
      <c r="M25" s="11">
        <f t="shared" si="3"/>
        <v>46082</v>
      </c>
      <c r="N25" s="11">
        <f t="shared" si="3"/>
        <v>46113</v>
      </c>
      <c r="O25" s="11">
        <f t="shared" si="3"/>
        <v>46143</v>
      </c>
      <c r="P25" s="11">
        <f t="shared" si="3"/>
        <v>46174</v>
      </c>
    </row>
    <row r="26" spans="3:17" x14ac:dyDescent="0.35">
      <c r="D26" s="3" t="str">
        <f>D19</f>
        <v>Budget 2025-26</v>
      </c>
      <c r="E26" s="360" t="str">
        <f>E19</f>
        <v>18th-28th</v>
      </c>
      <c r="F26" s="360" t="str">
        <f t="shared" si="3"/>
        <v>18th-28th</v>
      </c>
      <c r="G26" s="360" t="str">
        <f t="shared" si="3"/>
        <v>18th-28th</v>
      </c>
      <c r="H26" s="360" t="str">
        <f t="shared" si="3"/>
        <v>18th-28th</v>
      </c>
      <c r="I26" s="360" t="str">
        <f t="shared" si="3"/>
        <v>18th-28th</v>
      </c>
      <c r="J26" s="360" t="str">
        <f t="shared" si="3"/>
        <v>18th-28th</v>
      </c>
      <c r="K26" s="360" t="str">
        <f t="shared" si="3"/>
        <v>18th-28th</v>
      </c>
      <c r="L26" s="360" t="str">
        <f t="shared" si="3"/>
        <v>18th-28th</v>
      </c>
      <c r="M26" s="360" t="str">
        <f t="shared" si="3"/>
        <v>18th-28th</v>
      </c>
      <c r="N26" s="360" t="str">
        <f t="shared" si="3"/>
        <v>18th-28th</v>
      </c>
      <c r="O26" s="360" t="str">
        <f t="shared" si="3"/>
        <v>18th-28th</v>
      </c>
      <c r="P26" s="360" t="str">
        <f t="shared" si="3"/>
        <v>18th-28th</v>
      </c>
    </row>
    <row r="27" spans="3:17" x14ac:dyDescent="0.35">
      <c r="D27" s="3" t="str">
        <f t="shared" ref="D27:D30" si="4">D20</f>
        <v>Actual 2025-26</v>
      </c>
      <c r="E27" s="5" t="str">
        <f>E20</f>
        <v>21st - 25th</v>
      </c>
      <c r="F27" s="5" t="str">
        <f t="shared" si="3"/>
        <v>20th - 28th</v>
      </c>
      <c r="G27" s="5" t="str">
        <f t="shared" si="3"/>
        <v>22nd - 29th</v>
      </c>
      <c r="H27" s="5" t="str">
        <f t="shared" si="3"/>
        <v>23rd - 30th</v>
      </c>
      <c r="I27" s="5" t="str">
        <f t="shared" si="3"/>
        <v>21st - 27th</v>
      </c>
      <c r="J27" s="5" t="str">
        <f t="shared" si="3"/>
        <v>13th - 19th</v>
      </c>
      <c r="K27" s="5" t="str">
        <f t="shared" si="3"/>
        <v>21st - 28th</v>
      </c>
      <c r="L27" s="5" t="str">
        <f t="shared" si="3"/>
        <v>18th - 27th</v>
      </c>
      <c r="M27" s="5">
        <f t="shared" si="3"/>
        <v>0</v>
      </c>
      <c r="N27" s="5">
        <f t="shared" si="3"/>
        <v>0</v>
      </c>
      <c r="O27" s="5">
        <f t="shared" si="3"/>
        <v>0</v>
      </c>
      <c r="P27" s="5">
        <f>P20</f>
        <v>0</v>
      </c>
    </row>
    <row r="28" spans="3:17" x14ac:dyDescent="0.35">
      <c r="D28" s="3" t="str">
        <f t="shared" si="4"/>
        <v>Actual 2024-25</v>
      </c>
      <c r="E28" s="5">
        <f>SUM($E21:E21)</f>
        <v>0</v>
      </c>
      <c r="F28" s="5">
        <f>SUM($E21:F21)</f>
        <v>0</v>
      </c>
      <c r="G28" s="5">
        <f>SUM($E21:G21)</f>
        <v>0</v>
      </c>
      <c r="H28" s="5">
        <f>SUM($E21:H21)</f>
        <v>0</v>
      </c>
      <c r="I28" s="5">
        <f>SUM($E21:I21)</f>
        <v>0</v>
      </c>
      <c r="J28" s="5">
        <f>SUM($E21:J21)</f>
        <v>0</v>
      </c>
      <c r="K28" s="5">
        <f>SUM($E21:K21)</f>
        <v>0</v>
      </c>
      <c r="L28" s="5">
        <f>SUM($E21:L21)</f>
        <v>0</v>
      </c>
      <c r="M28" s="5">
        <f>SUM($E21:M21)</f>
        <v>0</v>
      </c>
      <c r="N28" s="5">
        <f>SUM($E21:N21)</f>
        <v>0</v>
      </c>
      <c r="O28" s="5">
        <f>SUM($E21:O21)</f>
        <v>0</v>
      </c>
      <c r="P28" s="5">
        <f>SUM($E21:P21)</f>
        <v>0</v>
      </c>
    </row>
    <row r="29" spans="3:17" x14ac:dyDescent="0.35">
      <c r="D29" s="3" t="str">
        <f t="shared" si="4"/>
        <v>Difference</v>
      </c>
      <c r="E29" s="5" t="e">
        <f>SUM($E22:E22)</f>
        <v>#VALUE!</v>
      </c>
      <c r="F29" s="5" t="e">
        <f>SUM($E22:F22)</f>
        <v>#VALUE!</v>
      </c>
      <c r="G29" s="5" t="e">
        <f>SUM($E22:G22)</f>
        <v>#VALUE!</v>
      </c>
      <c r="H29" s="5" t="e">
        <f>SUM($E22:H22)</f>
        <v>#VALUE!</v>
      </c>
      <c r="I29" s="5" t="e">
        <f>SUM($E22:I22)</f>
        <v>#VALUE!</v>
      </c>
      <c r="J29" s="5" t="e">
        <f>SUM($E22:J22)</f>
        <v>#VALUE!</v>
      </c>
      <c r="K29" s="5" t="e">
        <f>SUM($E22:K22)</f>
        <v>#VALUE!</v>
      </c>
      <c r="L29" s="5" t="e">
        <f>SUM($E22:L22)</f>
        <v>#VALUE!</v>
      </c>
      <c r="M29" s="5" t="e">
        <f>SUM($E22:M22)</f>
        <v>#VALUE!</v>
      </c>
      <c r="N29" s="5" t="e">
        <f>SUM($E22:N22)</f>
        <v>#VALUE!</v>
      </c>
      <c r="O29" s="5" t="e">
        <f>SUM($E22:O22)</f>
        <v>#VALUE!</v>
      </c>
      <c r="P29" s="5" t="e">
        <f>SUM($E22:P22)</f>
        <v>#VALUE!</v>
      </c>
    </row>
    <row r="30" spans="3:17" x14ac:dyDescent="0.35">
      <c r="D30" s="3" t="str">
        <f t="shared" si="4"/>
        <v>Realisation</v>
      </c>
      <c r="E30" s="9">
        <f>IFERROR(E28/E26,0)</f>
        <v>0</v>
      </c>
      <c r="F30" s="9">
        <f t="shared" ref="F30:P30" si="5">IFERROR(F28/F26,0)</f>
        <v>0</v>
      </c>
      <c r="G30" s="9">
        <f t="shared" si="5"/>
        <v>0</v>
      </c>
      <c r="H30" s="9">
        <f t="shared" si="5"/>
        <v>0</v>
      </c>
      <c r="I30" s="9">
        <f t="shared" si="5"/>
        <v>0</v>
      </c>
      <c r="J30" s="9">
        <f t="shared" si="5"/>
        <v>0</v>
      </c>
      <c r="K30" s="9">
        <f t="shared" si="5"/>
        <v>0</v>
      </c>
      <c r="L30" s="9">
        <f t="shared" si="5"/>
        <v>0</v>
      </c>
      <c r="M30" s="9">
        <f t="shared" si="5"/>
        <v>0</v>
      </c>
      <c r="N30" s="9">
        <f t="shared" si="5"/>
        <v>0</v>
      </c>
      <c r="O30" s="9">
        <f t="shared" si="5"/>
        <v>0</v>
      </c>
      <c r="P30" s="9">
        <f t="shared" si="5"/>
        <v>0</v>
      </c>
    </row>
  </sheetData>
  <mergeCells count="2">
    <mergeCell ref="J4:Q8"/>
    <mergeCell ref="J10:Q15"/>
  </mergeCells>
  <conditionalFormatting sqref="C3">
    <cfRule type="expression" dxfId="71" priority="2">
      <formula>S4&lt;S6</formula>
    </cfRule>
  </conditionalFormatting>
  <conditionalFormatting sqref="C5">
    <cfRule type="expression" dxfId="70" priority="3">
      <formula>S4&gt;=S5</formula>
    </cfRule>
  </conditionalFormatting>
  <conditionalFormatting sqref="C4">
    <cfRule type="expression" dxfId="69" priority="1">
      <formula>AND(S4&gt;=S6,S4&lt;S5)</formula>
    </cfRule>
  </conditionalFormatting>
  <hyperlinks>
    <hyperlink ref="L1" location="Dashboard!A1" display="Dashboard"/>
  </hyperlinks>
  <pageMargins left="0.7" right="0.7" top="0.75" bottom="0.75" header="0.3" footer="0.3"/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516545" r:id="rId3" name="Spinner 1">
              <controlPr defaultSize="0" autoPict="0">
                <anchor moveWithCells="1" sizeWithCells="1">
                  <from>
                    <xdr:col>9</xdr:col>
                    <xdr:colOff>19050</xdr:colOff>
                    <xdr:row>0</xdr:row>
                    <xdr:rowOff>38100</xdr:rowOff>
                  </from>
                  <to>
                    <xdr:col>9</xdr:col>
                    <xdr:colOff>400050</xdr:colOff>
                    <xdr:row>1</xdr:row>
                    <xdr:rowOff>152400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17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132">
    <tabColor rgb="FFFFC000"/>
  </sheetPr>
  <dimension ref="A1:S30"/>
  <sheetViews>
    <sheetView zoomScale="90" zoomScaleNormal="90" workbookViewId="0">
      <selection activeCell="L1" sqref="L1"/>
    </sheetView>
  </sheetViews>
  <sheetFormatPr defaultColWidth="9.1796875" defaultRowHeight="14.5" x14ac:dyDescent="0.35"/>
  <cols>
    <col min="1" max="1" width="9.1796875" style="3"/>
    <col min="2" max="2" width="5.7265625" style="3" bestFit="1" customWidth="1"/>
    <col min="3" max="3" width="6.26953125" style="3" customWidth="1"/>
    <col min="4" max="4" width="21.26953125" style="3" bestFit="1" customWidth="1"/>
    <col min="5" max="16" width="11.1796875" style="3" customWidth="1"/>
    <col min="17" max="17" width="12" style="3" bestFit="1" customWidth="1"/>
    <col min="18" max="18" width="9.1796875" style="3" customWidth="1"/>
    <col min="19" max="16384" width="9.1796875" style="3"/>
  </cols>
  <sheetData>
    <row r="1" spans="1:19" ht="21" x14ac:dyDescent="0.5">
      <c r="A1" s="4" t="s">
        <v>4</v>
      </c>
      <c r="B1" s="4">
        <f>Dashboard!A184</f>
        <v>2</v>
      </c>
      <c r="C1" s="4" t="str">
        <f>Dashboard!B184</f>
        <v>TOTAL WATER SALES</v>
      </c>
      <c r="D1" s="4"/>
      <c r="G1" s="3" t="s">
        <v>9</v>
      </c>
      <c r="I1" s="12">
        <f>INDEX($E$18:$P$18,Actual_month)</f>
        <v>46054</v>
      </c>
      <c r="L1" s="16" t="s">
        <v>19</v>
      </c>
      <c r="R1" s="5"/>
    </row>
    <row r="2" spans="1:19" x14ac:dyDescent="0.35">
      <c r="A2" s="3" t="s">
        <v>13</v>
      </c>
      <c r="C2" s="3" t="s">
        <v>27</v>
      </c>
      <c r="R2" s="6"/>
    </row>
    <row r="3" spans="1:19" ht="25.5" customHeight="1" thickBot="1" x14ac:dyDescent="0.4">
      <c r="C3" s="1" t="s">
        <v>5</v>
      </c>
      <c r="E3" s="10"/>
      <c r="F3" s="10"/>
      <c r="G3" s="10"/>
      <c r="H3" s="10"/>
      <c r="I3" s="10"/>
      <c r="J3" s="3" t="s">
        <v>6</v>
      </c>
      <c r="K3" s="10"/>
      <c r="M3" s="10"/>
      <c r="N3" s="10"/>
      <c r="O3" s="10"/>
      <c r="P3" s="10"/>
    </row>
    <row r="4" spans="1:19" ht="25.5" customHeight="1" x14ac:dyDescent="0.35">
      <c r="C4" s="1" t="s">
        <v>5</v>
      </c>
      <c r="E4" s="10"/>
      <c r="F4" s="10"/>
      <c r="G4" s="10"/>
      <c r="H4" s="10"/>
      <c r="I4" s="10"/>
      <c r="J4" s="401"/>
      <c r="K4" s="402"/>
      <c r="L4" s="402"/>
      <c r="M4" s="402"/>
      <c r="N4" s="402"/>
      <c r="O4" s="402"/>
      <c r="P4" s="402"/>
      <c r="Q4" s="403"/>
      <c r="R4" s="3" t="s">
        <v>22</v>
      </c>
      <c r="S4" s="5">
        <f>INDEX(E27:P27,Actual_month)</f>
        <v>161458050</v>
      </c>
    </row>
    <row r="5" spans="1:19" ht="25.5" customHeight="1" x14ac:dyDescent="0.35">
      <c r="C5" s="1" t="s">
        <v>5</v>
      </c>
      <c r="E5" s="10"/>
      <c r="F5" s="10"/>
      <c r="G5" s="10"/>
      <c r="H5" s="10"/>
      <c r="I5" s="10"/>
      <c r="J5" s="404"/>
      <c r="K5" s="405"/>
      <c r="L5" s="405"/>
      <c r="M5" s="405"/>
      <c r="N5" s="405"/>
      <c r="O5" s="405"/>
      <c r="P5" s="405"/>
      <c r="Q5" s="406"/>
      <c r="R5" s="3" t="s">
        <v>23</v>
      </c>
      <c r="S5" s="5">
        <f>INDEX(E26:P26,Actual_month)</f>
        <v>142195562.22222221</v>
      </c>
    </row>
    <row r="6" spans="1:19" x14ac:dyDescent="0.35">
      <c r="J6" s="404"/>
      <c r="K6" s="405"/>
      <c r="L6" s="405"/>
      <c r="M6" s="405"/>
      <c r="N6" s="405"/>
      <c r="O6" s="405"/>
      <c r="P6" s="405"/>
      <c r="Q6" s="406"/>
      <c r="R6" s="6">
        <v>0.9</v>
      </c>
      <c r="S6" s="5">
        <f>+S5*R6</f>
        <v>127976005.99999999</v>
      </c>
    </row>
    <row r="7" spans="1:19" x14ac:dyDescent="0.35">
      <c r="J7" s="404"/>
      <c r="K7" s="405"/>
      <c r="L7" s="405"/>
      <c r="M7" s="405"/>
      <c r="N7" s="405"/>
      <c r="O7" s="405"/>
      <c r="P7" s="405"/>
      <c r="Q7" s="406"/>
    </row>
    <row r="8" spans="1:19" ht="15" thickBot="1" x14ac:dyDescent="0.4">
      <c r="J8" s="407"/>
      <c r="K8" s="408"/>
      <c r="L8" s="408"/>
      <c r="M8" s="408"/>
      <c r="N8" s="408"/>
      <c r="O8" s="408"/>
      <c r="P8" s="408"/>
      <c r="Q8" s="409"/>
    </row>
    <row r="9" spans="1:19" ht="15" thickBot="1" x14ac:dyDescent="0.4">
      <c r="J9" s="3" t="s">
        <v>12</v>
      </c>
    </row>
    <row r="10" spans="1:19" x14ac:dyDescent="0.35">
      <c r="J10" s="401"/>
      <c r="K10" s="402"/>
      <c r="L10" s="402"/>
      <c r="M10" s="402"/>
      <c r="N10" s="402"/>
      <c r="O10" s="402"/>
      <c r="P10" s="402"/>
      <c r="Q10" s="403"/>
    </row>
    <row r="11" spans="1:19" x14ac:dyDescent="0.35">
      <c r="J11" s="404"/>
      <c r="K11" s="405"/>
      <c r="L11" s="405"/>
      <c r="M11" s="405"/>
      <c r="N11" s="405"/>
      <c r="O11" s="405"/>
      <c r="P11" s="405"/>
      <c r="Q11" s="406"/>
    </row>
    <row r="12" spans="1:19" x14ac:dyDescent="0.35">
      <c r="J12" s="404"/>
      <c r="K12" s="405"/>
      <c r="L12" s="405"/>
      <c r="M12" s="405"/>
      <c r="N12" s="405"/>
      <c r="O12" s="405"/>
      <c r="P12" s="405"/>
      <c r="Q12" s="406"/>
    </row>
    <row r="13" spans="1:19" x14ac:dyDescent="0.35">
      <c r="J13" s="404"/>
      <c r="K13" s="405"/>
      <c r="L13" s="405"/>
      <c r="M13" s="405"/>
      <c r="N13" s="405"/>
      <c r="O13" s="405"/>
      <c r="P13" s="405"/>
      <c r="Q13" s="406"/>
    </row>
    <row r="14" spans="1:19" x14ac:dyDescent="0.35">
      <c r="J14" s="404"/>
      <c r="K14" s="405"/>
      <c r="L14" s="405"/>
      <c r="M14" s="405"/>
      <c r="N14" s="405"/>
      <c r="O14" s="405"/>
      <c r="P14" s="405"/>
      <c r="Q14" s="406"/>
    </row>
    <row r="15" spans="1:19" ht="15" thickBot="1" x14ac:dyDescent="0.4">
      <c r="J15" s="407"/>
      <c r="K15" s="408"/>
      <c r="L15" s="408"/>
      <c r="M15" s="408"/>
      <c r="N15" s="408"/>
      <c r="O15" s="408"/>
      <c r="P15" s="408"/>
      <c r="Q15" s="409"/>
    </row>
    <row r="16" spans="1:19" x14ac:dyDescent="0.35">
      <c r="K16" s="60">
        <f>SUM(H19:J19)</f>
        <v>53694083.333333313</v>
      </c>
    </row>
    <row r="17" spans="3:17" x14ac:dyDescent="0.35">
      <c r="K17" s="60">
        <f>SUM(H20:J20)</f>
        <v>55162170</v>
      </c>
      <c r="L17" s="3">
        <f>K17/K16</f>
        <v>1.0273416841396248</v>
      </c>
    </row>
    <row r="18" spans="3:17" x14ac:dyDescent="0.35">
      <c r="C18" s="7" t="s">
        <v>8</v>
      </c>
      <c r="E18" s="11">
        <v>45839</v>
      </c>
      <c r="F18" s="11">
        <v>45870</v>
      </c>
      <c r="G18" s="11">
        <v>45901</v>
      </c>
      <c r="H18" s="11">
        <v>45931</v>
      </c>
      <c r="I18" s="11">
        <v>45962</v>
      </c>
      <c r="J18" s="11">
        <v>45992</v>
      </c>
      <c r="K18" s="11">
        <v>46023</v>
      </c>
      <c r="L18" s="11">
        <v>46054</v>
      </c>
      <c r="M18" s="11">
        <v>46082</v>
      </c>
      <c r="N18" s="11">
        <v>46113</v>
      </c>
      <c r="O18" s="11">
        <v>46143</v>
      </c>
      <c r="P18" s="11">
        <v>46174</v>
      </c>
      <c r="Q18" s="8" t="s">
        <v>0</v>
      </c>
    </row>
    <row r="19" spans="3:17" x14ac:dyDescent="0.35">
      <c r="D19" s="3" t="s">
        <v>501</v>
      </c>
      <c r="E19" s="49">
        <f>'budget 2025-26'!D173</f>
        <v>16944467.777777772</v>
      </c>
      <c r="F19" s="49">
        <f>'budget 2025-26'!E173</f>
        <v>17161527.777777776</v>
      </c>
      <c r="G19" s="49">
        <f>'budget 2025-26'!F173</f>
        <v>17381827.777777772</v>
      </c>
      <c r="H19" s="49">
        <f>'budget 2025-26'!G173</f>
        <v>17650727.777777772</v>
      </c>
      <c r="I19" s="49">
        <f>'budget 2025-26'!H173</f>
        <v>17903427.777777772</v>
      </c>
      <c r="J19" s="49">
        <f>'budget 2025-26'!I173</f>
        <v>18139927.777777772</v>
      </c>
      <c r="K19" s="49">
        <f>'budget 2025-26'!J173</f>
        <v>18392627.77777778</v>
      </c>
      <c r="L19" s="49">
        <f>'budget 2025-26'!K173</f>
        <v>18621027.777777772</v>
      </c>
      <c r="M19" s="49">
        <f>'budget 2025-26'!L173</f>
        <v>18825127.777777772</v>
      </c>
      <c r="N19" s="49">
        <f>'budget 2025-26'!M173</f>
        <v>19013027.777777776</v>
      </c>
      <c r="O19" s="49">
        <f>'budget 2025-26'!N173</f>
        <v>19200927.77777778</v>
      </c>
      <c r="P19" s="49">
        <f>'budget 2025-26'!O173</f>
        <v>19385587.777777776</v>
      </c>
      <c r="Q19" s="5">
        <f>SUM(E19:P19)</f>
        <v>218620233.33333331</v>
      </c>
    </row>
    <row r="20" spans="3:17" x14ac:dyDescent="0.35">
      <c r="D20" s="3" t="s">
        <v>502</v>
      </c>
      <c r="E20" s="49">
        <f>'Input Actual2025-26'!E176</f>
        <v>18389070</v>
      </c>
      <c r="F20" s="49">
        <f>'Input Actual2025-26'!F176</f>
        <v>22070060</v>
      </c>
      <c r="G20" s="49">
        <f>'Input Actual2025-26'!G176</f>
        <v>18397530</v>
      </c>
      <c r="H20" s="49">
        <f>'Input Actual2025-26'!H176</f>
        <v>21684080</v>
      </c>
      <c r="I20" s="49">
        <f>'Input Actual2025-26'!I176</f>
        <v>17036780</v>
      </c>
      <c r="J20" s="49">
        <f>'Input Actual2025-26'!J176</f>
        <v>16441310</v>
      </c>
      <c r="K20" s="49">
        <f>'Input Actual2025-26'!K176</f>
        <v>25608070</v>
      </c>
      <c r="L20" s="49">
        <f>'Input Actual2025-26'!L176</f>
        <v>21831150</v>
      </c>
      <c r="M20" s="49">
        <f>'Input Actual2025-26'!M176</f>
        <v>0</v>
      </c>
      <c r="N20" s="49">
        <f>'Input Actual2025-26'!N176</f>
        <v>0</v>
      </c>
      <c r="O20" s="49">
        <f>'Input Actual2025-26'!O176</f>
        <v>0</v>
      </c>
      <c r="P20" s="49">
        <f>'Input Actual2025-26'!P176</f>
        <v>0</v>
      </c>
      <c r="Q20" s="5">
        <f t="shared" ref="Q20:Q22" si="0">SUM(E20:P20)</f>
        <v>161458050</v>
      </c>
    </row>
    <row r="21" spans="3:17" x14ac:dyDescent="0.35">
      <c r="D21" s="3" t="s">
        <v>424</v>
      </c>
      <c r="E21" s="49">
        <f>'Input Actual2024-25'!E163</f>
        <v>11183420</v>
      </c>
      <c r="F21" s="49">
        <f>'Input Actual2024-25'!F163</f>
        <v>13921027</v>
      </c>
      <c r="G21" s="49">
        <f>'Input Actual2024-25'!G163</f>
        <v>13018249</v>
      </c>
      <c r="H21" s="49">
        <f>'Input Actual2024-25'!H163</f>
        <v>12608519</v>
      </c>
      <c r="I21" s="49">
        <f>'Input Actual2024-25'!I163</f>
        <v>14174994</v>
      </c>
      <c r="J21" s="49">
        <f>'Input Actual2024-25'!J163</f>
        <v>8977679</v>
      </c>
      <c r="K21" s="49">
        <f>'Input Actual2024-25'!K163</f>
        <v>14767948</v>
      </c>
      <c r="L21" s="49">
        <f>'Input Actual2024-25'!L163</f>
        <v>13060906</v>
      </c>
      <c r="M21" s="49">
        <f>'Input Actual2024-25'!M163</f>
        <v>13951180</v>
      </c>
      <c r="N21" s="49">
        <f>'Input Actual2024-25'!N163</f>
        <v>13956857</v>
      </c>
      <c r="O21" s="49">
        <f>'Input Actual2024-25'!O163</f>
        <v>19515330</v>
      </c>
      <c r="P21" s="49">
        <f>'Input Actual2024-25'!P163</f>
        <v>20899160</v>
      </c>
      <c r="Q21" s="5">
        <f t="shared" si="0"/>
        <v>170035269</v>
      </c>
    </row>
    <row r="22" spans="3:17" x14ac:dyDescent="0.35">
      <c r="D22" s="3" t="s">
        <v>7</v>
      </c>
      <c r="E22" s="5">
        <f t="shared" ref="E22:P22" si="1">IF(E20=0,0,E20-E19)</f>
        <v>1444602.2222222276</v>
      </c>
      <c r="F22" s="5">
        <f t="shared" si="1"/>
        <v>4908532.2222222239</v>
      </c>
      <c r="G22" s="5">
        <f t="shared" si="1"/>
        <v>1015702.2222222276</v>
      </c>
      <c r="H22" s="5">
        <f t="shared" si="1"/>
        <v>4033352.2222222276</v>
      </c>
      <c r="I22" s="5">
        <f t="shared" si="1"/>
        <v>-866647.7777777724</v>
      </c>
      <c r="J22" s="5">
        <f t="shared" si="1"/>
        <v>-1698617.7777777724</v>
      </c>
      <c r="K22" s="5">
        <f t="shared" si="1"/>
        <v>7215442.2222222202</v>
      </c>
      <c r="L22" s="5">
        <f t="shared" si="1"/>
        <v>3210122.2222222276</v>
      </c>
      <c r="M22" s="5">
        <f t="shared" si="1"/>
        <v>0</v>
      </c>
      <c r="N22" s="5">
        <f t="shared" si="1"/>
        <v>0</v>
      </c>
      <c r="O22" s="5">
        <f t="shared" si="1"/>
        <v>0</v>
      </c>
      <c r="P22" s="5">
        <f t="shared" si="1"/>
        <v>0</v>
      </c>
      <c r="Q22" s="5">
        <f t="shared" si="0"/>
        <v>19262487.77777781</v>
      </c>
    </row>
    <row r="23" spans="3:17" x14ac:dyDescent="0.35">
      <c r="D23" s="3" t="s">
        <v>43</v>
      </c>
      <c r="E23" s="9">
        <f>E21/E19</f>
        <v>0.66000420589584785</v>
      </c>
      <c r="F23" s="9">
        <f t="shared" ref="F23:P23" si="2">F20/F19</f>
        <v>1.2860195365926694</v>
      </c>
      <c r="G23" s="9">
        <f t="shared" si="2"/>
        <v>1.05843471901849</v>
      </c>
      <c r="H23" s="9">
        <f t="shared" si="2"/>
        <v>1.2285091171878029</v>
      </c>
      <c r="I23" s="9">
        <f t="shared" si="2"/>
        <v>0.95159319273745557</v>
      </c>
      <c r="J23" s="9">
        <f t="shared" si="2"/>
        <v>0.90636027890592508</v>
      </c>
      <c r="K23" s="9">
        <f t="shared" si="2"/>
        <v>1.3923007799320559</v>
      </c>
      <c r="L23" s="9">
        <f t="shared" si="2"/>
        <v>1.1723923222999091</v>
      </c>
      <c r="M23" s="9">
        <f t="shared" si="2"/>
        <v>0</v>
      </c>
      <c r="N23" s="9">
        <f t="shared" si="2"/>
        <v>0</v>
      </c>
      <c r="O23" s="9">
        <f t="shared" si="2"/>
        <v>0</v>
      </c>
      <c r="P23" s="9">
        <f t="shared" si="2"/>
        <v>0</v>
      </c>
    </row>
    <row r="25" spans="3:17" x14ac:dyDescent="0.35">
      <c r="C25" s="7" t="s">
        <v>3</v>
      </c>
      <c r="E25" s="11">
        <f>E18</f>
        <v>45839</v>
      </c>
      <c r="F25" s="11">
        <f t="shared" ref="F25:P25" si="3">F18</f>
        <v>45870</v>
      </c>
      <c r="G25" s="11">
        <f t="shared" si="3"/>
        <v>45901</v>
      </c>
      <c r="H25" s="11">
        <f t="shared" si="3"/>
        <v>45931</v>
      </c>
      <c r="I25" s="11">
        <f t="shared" si="3"/>
        <v>45962</v>
      </c>
      <c r="J25" s="11">
        <f t="shared" si="3"/>
        <v>45992</v>
      </c>
      <c r="K25" s="11">
        <f t="shared" si="3"/>
        <v>46023</v>
      </c>
      <c r="L25" s="11">
        <f t="shared" si="3"/>
        <v>46054</v>
      </c>
      <c r="M25" s="11">
        <f t="shared" si="3"/>
        <v>46082</v>
      </c>
      <c r="N25" s="11">
        <f t="shared" si="3"/>
        <v>46113</v>
      </c>
      <c r="O25" s="11">
        <f t="shared" si="3"/>
        <v>46143</v>
      </c>
      <c r="P25" s="11">
        <f t="shared" si="3"/>
        <v>46174</v>
      </c>
    </row>
    <row r="26" spans="3:17" x14ac:dyDescent="0.35">
      <c r="D26" s="3" t="str">
        <f>D19</f>
        <v>Budget 2025-26</v>
      </c>
      <c r="E26" s="5">
        <f>SUM($E19:E19)</f>
        <v>16944467.777777772</v>
      </c>
      <c r="F26" s="5">
        <f>SUM($E19:F19)</f>
        <v>34105995.555555552</v>
      </c>
      <c r="G26" s="5">
        <f>SUM($E19:G19)</f>
        <v>51487823.333333328</v>
      </c>
      <c r="H26" s="5">
        <f>SUM($E19:H19)</f>
        <v>69138551.111111104</v>
      </c>
      <c r="I26" s="5">
        <f>SUM($E19:I19)</f>
        <v>87041978.888888881</v>
      </c>
      <c r="J26" s="5">
        <f>SUM($E19:J19)</f>
        <v>105181906.66666666</v>
      </c>
      <c r="K26" s="5">
        <f>SUM($E19:K19)</f>
        <v>123574534.44444443</v>
      </c>
      <c r="L26" s="5">
        <f>SUM($E19:L19)</f>
        <v>142195562.22222221</v>
      </c>
      <c r="M26" s="5">
        <f>SUM($E19:M19)</f>
        <v>161020689.99999997</v>
      </c>
      <c r="N26" s="5">
        <f>SUM($E19:N19)</f>
        <v>180033717.77777773</v>
      </c>
      <c r="O26" s="5">
        <f>SUM($E19:O19)</f>
        <v>199234645.55555552</v>
      </c>
      <c r="P26" s="5">
        <f>SUM($E19:P19)</f>
        <v>218620233.33333331</v>
      </c>
    </row>
    <row r="27" spans="3:17" x14ac:dyDescent="0.35">
      <c r="D27" s="3" t="str">
        <f t="shared" ref="D27:D30" si="4">D20</f>
        <v>Actual 2025-26</v>
      </c>
      <c r="E27" s="5">
        <f>SUM($E20:E20)</f>
        <v>18389070</v>
      </c>
      <c r="F27" s="5">
        <f>SUM($E20:F20)</f>
        <v>40459130</v>
      </c>
      <c r="G27" s="5">
        <f>SUM($E20:G20)</f>
        <v>58856660</v>
      </c>
      <c r="H27" s="5">
        <f>SUM($E20:H20)</f>
        <v>80540740</v>
      </c>
      <c r="I27" s="5">
        <f>SUM($E20:I20)</f>
        <v>97577520</v>
      </c>
      <c r="J27" s="5">
        <f>SUM($E20:J20)</f>
        <v>114018830</v>
      </c>
      <c r="K27" s="5">
        <f>SUM($E20:K20)</f>
        <v>139626900</v>
      </c>
      <c r="L27" s="5">
        <f>SUM($E20:L20)</f>
        <v>161458050</v>
      </c>
      <c r="M27" s="5">
        <f>SUM($E20:M20)</f>
        <v>161458050</v>
      </c>
      <c r="N27" s="5">
        <f>SUM($E20:N20)</f>
        <v>161458050</v>
      </c>
      <c r="O27" s="5">
        <f>SUM($E20:O20)</f>
        <v>161458050</v>
      </c>
      <c r="P27" s="5">
        <f>SUM($E20:P20)</f>
        <v>161458050</v>
      </c>
    </row>
    <row r="28" spans="3:17" x14ac:dyDescent="0.35">
      <c r="D28" s="3" t="str">
        <f t="shared" si="4"/>
        <v>Actual 2024-25</v>
      </c>
      <c r="E28" s="5">
        <f>SUM($E21:E21)</f>
        <v>11183420</v>
      </c>
      <c r="F28" s="5">
        <f>SUM($E21:F21)</f>
        <v>25104447</v>
      </c>
      <c r="G28" s="5">
        <f>SUM($E21:G21)</f>
        <v>38122696</v>
      </c>
      <c r="H28" s="5">
        <f>SUM($E21:H21)</f>
        <v>50731215</v>
      </c>
      <c r="I28" s="5">
        <f>SUM($E21:I21)</f>
        <v>64906209</v>
      </c>
      <c r="J28" s="5">
        <f>SUM($E21:J21)</f>
        <v>73883888</v>
      </c>
      <c r="K28" s="5">
        <f>SUM($E21:K21)</f>
        <v>88651836</v>
      </c>
      <c r="L28" s="5">
        <f>SUM($E21:L21)</f>
        <v>101712742</v>
      </c>
      <c r="M28" s="5">
        <f>SUM($E21:M21)</f>
        <v>115663922</v>
      </c>
      <c r="N28" s="5">
        <f>SUM($E21:N21)</f>
        <v>129620779</v>
      </c>
      <c r="O28" s="5">
        <f>SUM($E21:O21)</f>
        <v>149136109</v>
      </c>
      <c r="P28" s="5">
        <f>SUM($E21:P21)</f>
        <v>170035269</v>
      </c>
    </row>
    <row r="29" spans="3:17" x14ac:dyDescent="0.35">
      <c r="D29" s="3" t="str">
        <f t="shared" si="4"/>
        <v>Difference</v>
      </c>
      <c r="E29" s="5">
        <f>SUM($E22:E22)</f>
        <v>1444602.2222222276</v>
      </c>
      <c r="F29" s="5">
        <f>SUM($E22:F22)</f>
        <v>6353134.4444444515</v>
      </c>
      <c r="G29" s="5">
        <f>SUM($E22:G22)</f>
        <v>7368836.6666666791</v>
      </c>
      <c r="H29" s="5">
        <f>SUM($E22:H22)</f>
        <v>11402188.888888907</v>
      </c>
      <c r="I29" s="5">
        <f>SUM($E22:I22)</f>
        <v>10535541.111111134</v>
      </c>
      <c r="J29" s="5">
        <f>SUM($E22:J22)</f>
        <v>8836923.3333333619</v>
      </c>
      <c r="K29" s="5">
        <f>SUM($E22:K22)</f>
        <v>16052365.555555582</v>
      </c>
      <c r="L29" s="5">
        <f>SUM($E22:L22)</f>
        <v>19262487.77777781</v>
      </c>
      <c r="M29" s="5">
        <f>SUM($E22:M22)</f>
        <v>19262487.77777781</v>
      </c>
      <c r="N29" s="5">
        <f>SUM($E22:N22)</f>
        <v>19262487.77777781</v>
      </c>
      <c r="O29" s="5">
        <f>SUM($E22:O22)</f>
        <v>19262487.77777781</v>
      </c>
      <c r="P29" s="5">
        <f>SUM($E22:P22)</f>
        <v>19262487.77777781</v>
      </c>
    </row>
    <row r="30" spans="3:17" x14ac:dyDescent="0.35">
      <c r="D30" s="3" t="str">
        <f t="shared" si="4"/>
        <v>Realisation</v>
      </c>
      <c r="E30" s="9">
        <f>E28/E26</f>
        <v>0.66000420589584785</v>
      </c>
      <c r="F30" s="9">
        <f t="shared" ref="F30:P30" si="5">F27/F26</f>
        <v>1.1862761764011778</v>
      </c>
      <c r="G30" s="9">
        <f t="shared" si="5"/>
        <v>1.1431180459690566</v>
      </c>
      <c r="H30" s="9">
        <f t="shared" si="5"/>
        <v>1.1649179611902003</v>
      </c>
      <c r="I30" s="9">
        <f t="shared" si="5"/>
        <v>1.121039770069566</v>
      </c>
      <c r="J30" s="9">
        <f t="shared" si="5"/>
        <v>1.0840156222052386</v>
      </c>
      <c r="K30" s="9">
        <f t="shared" si="5"/>
        <v>1.1299002713441113</v>
      </c>
      <c r="L30" s="9">
        <f t="shared" si="5"/>
        <v>1.1354647604801795</v>
      </c>
      <c r="M30" s="9">
        <f t="shared" si="5"/>
        <v>1.0027161726856346</v>
      </c>
      <c r="N30" s="9">
        <f t="shared" si="5"/>
        <v>0.89682117323874655</v>
      </c>
      <c r="O30" s="9">
        <f t="shared" si="5"/>
        <v>0.81039143342656372</v>
      </c>
      <c r="P30" s="9">
        <f t="shared" si="5"/>
        <v>0.73853205413893541</v>
      </c>
    </row>
  </sheetData>
  <mergeCells count="2">
    <mergeCell ref="J4:Q8"/>
    <mergeCell ref="J10:Q15"/>
  </mergeCells>
  <conditionalFormatting sqref="C3">
    <cfRule type="expression" dxfId="68" priority="2">
      <formula>S4&lt;S6</formula>
    </cfRule>
  </conditionalFormatting>
  <conditionalFormatting sqref="C5">
    <cfRule type="expression" dxfId="67" priority="3">
      <formula>S4&gt;=S5</formula>
    </cfRule>
  </conditionalFormatting>
  <conditionalFormatting sqref="C4">
    <cfRule type="expression" dxfId="66" priority="1">
      <formula>AND(S4&gt;=S6,S4&lt;S5)</formula>
    </cfRule>
  </conditionalFormatting>
  <hyperlinks>
    <hyperlink ref="L1" location="Dashboard!A1" display="Dashboard"/>
  </hyperlinks>
  <pageMargins left="0.7" right="0.7" top="0.75" bottom="0.75" header="0.3" footer="0.3"/>
  <pageSetup orientation="portrait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69057" r:id="rId4" name="Spinner 1">
              <controlPr defaultSize="0" autoPict="0">
                <anchor moveWithCells="1" sizeWithCells="1">
                  <from>
                    <xdr:col>9</xdr:col>
                    <xdr:colOff>19050</xdr:colOff>
                    <xdr:row>0</xdr:row>
                    <xdr:rowOff>38100</xdr:rowOff>
                  </from>
                  <to>
                    <xdr:col>9</xdr:col>
                    <xdr:colOff>400050</xdr:colOff>
                    <xdr:row>1</xdr:row>
                    <xdr:rowOff>152400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17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133">
    <tabColor rgb="FFFFC000"/>
  </sheetPr>
  <dimension ref="A1:S30"/>
  <sheetViews>
    <sheetView zoomScale="90" zoomScaleNormal="90" workbookViewId="0">
      <selection activeCell="L1" sqref="L1"/>
    </sheetView>
  </sheetViews>
  <sheetFormatPr defaultColWidth="9.1796875" defaultRowHeight="14.5" x14ac:dyDescent="0.35"/>
  <cols>
    <col min="1" max="1" width="9.1796875" style="3"/>
    <col min="2" max="2" width="5.7265625" style="3" bestFit="1" customWidth="1"/>
    <col min="3" max="3" width="6.26953125" style="3" customWidth="1"/>
    <col min="4" max="4" width="21.26953125" style="3" bestFit="1" customWidth="1"/>
    <col min="5" max="16" width="11.1796875" style="3" customWidth="1"/>
    <col min="17" max="17" width="12" style="3" bestFit="1" customWidth="1"/>
    <col min="18" max="18" width="9.1796875" style="3" customWidth="1"/>
    <col min="19" max="16384" width="9.1796875" style="3"/>
  </cols>
  <sheetData>
    <row r="1" spans="1:19" ht="21" x14ac:dyDescent="0.5">
      <c r="A1" s="4" t="s">
        <v>4</v>
      </c>
      <c r="B1" s="4">
        <f>Dashboard!A185</f>
        <v>3</v>
      </c>
      <c r="C1" s="4" t="str">
        <f>Dashboard!B185</f>
        <v>TOTAL SEWER SALES</v>
      </c>
      <c r="D1" s="4"/>
      <c r="G1" s="3" t="s">
        <v>9</v>
      </c>
      <c r="I1" s="12">
        <f>INDEX($E$18:$P$18,Actual_month)</f>
        <v>46054</v>
      </c>
      <c r="L1" s="16" t="s">
        <v>19</v>
      </c>
      <c r="R1" s="5"/>
    </row>
    <row r="2" spans="1:19" x14ac:dyDescent="0.35">
      <c r="A2" s="3" t="s">
        <v>13</v>
      </c>
      <c r="C2" s="3" t="s">
        <v>27</v>
      </c>
      <c r="R2" s="6"/>
    </row>
    <row r="3" spans="1:19" ht="25.5" customHeight="1" thickBot="1" x14ac:dyDescent="0.4">
      <c r="C3" s="1" t="s">
        <v>5</v>
      </c>
      <c r="E3" s="10"/>
      <c r="F3" s="10"/>
      <c r="G3" s="10"/>
      <c r="H3" s="10"/>
      <c r="I3" s="10"/>
      <c r="J3" s="3" t="s">
        <v>6</v>
      </c>
      <c r="K3" s="10"/>
      <c r="M3" s="10"/>
      <c r="N3" s="10"/>
      <c r="O3" s="10"/>
      <c r="P3" s="10"/>
    </row>
    <row r="4" spans="1:19" ht="25.5" customHeight="1" x14ac:dyDescent="0.35">
      <c r="C4" s="1" t="s">
        <v>5</v>
      </c>
      <c r="E4" s="10"/>
      <c r="F4" s="10"/>
      <c r="G4" s="10"/>
      <c r="H4" s="10"/>
      <c r="I4" s="10"/>
      <c r="J4" s="401"/>
      <c r="K4" s="402"/>
      <c r="L4" s="402"/>
      <c r="M4" s="402"/>
      <c r="N4" s="402"/>
      <c r="O4" s="402"/>
      <c r="P4" s="402"/>
      <c r="Q4" s="403"/>
      <c r="R4" s="3" t="s">
        <v>22</v>
      </c>
      <c r="S4" s="5">
        <f>INDEX(E27:P27,Actual_month)</f>
        <v>46334915.800000004</v>
      </c>
    </row>
    <row r="5" spans="1:19" ht="25.5" customHeight="1" x14ac:dyDescent="0.35">
      <c r="C5" s="1" t="s">
        <v>5</v>
      </c>
      <c r="E5" s="10"/>
      <c r="F5" s="10"/>
      <c r="G5" s="10"/>
      <c r="H5" s="10"/>
      <c r="I5" s="10"/>
      <c r="J5" s="404"/>
      <c r="K5" s="405"/>
      <c r="L5" s="405"/>
      <c r="M5" s="405"/>
      <c r="N5" s="405"/>
      <c r="O5" s="405"/>
      <c r="P5" s="405"/>
      <c r="Q5" s="406"/>
      <c r="R5" s="3" t="s">
        <v>23</v>
      </c>
      <c r="S5" s="5">
        <f>INDEX(E26:P26,Actual_month)</f>
        <v>41243662.038655587</v>
      </c>
    </row>
    <row r="6" spans="1:19" x14ac:dyDescent="0.35">
      <c r="J6" s="404"/>
      <c r="K6" s="405"/>
      <c r="L6" s="405"/>
      <c r="M6" s="405"/>
      <c r="N6" s="405"/>
      <c r="O6" s="405"/>
      <c r="P6" s="405"/>
      <c r="Q6" s="406"/>
      <c r="R6" s="6">
        <v>0.9</v>
      </c>
      <c r="S6" s="5">
        <f>+S5*R6</f>
        <v>37119295.834790029</v>
      </c>
    </row>
    <row r="7" spans="1:19" x14ac:dyDescent="0.35">
      <c r="J7" s="404"/>
      <c r="K7" s="405"/>
      <c r="L7" s="405"/>
      <c r="M7" s="405"/>
      <c r="N7" s="405"/>
      <c r="O7" s="405"/>
      <c r="P7" s="405"/>
      <c r="Q7" s="406"/>
    </row>
    <row r="8" spans="1:19" ht="15" thickBot="1" x14ac:dyDescent="0.4">
      <c r="J8" s="407"/>
      <c r="K8" s="408"/>
      <c r="L8" s="408"/>
      <c r="M8" s="408"/>
      <c r="N8" s="408"/>
      <c r="O8" s="408"/>
      <c r="P8" s="408"/>
      <c r="Q8" s="409"/>
    </row>
    <row r="9" spans="1:19" ht="15" thickBot="1" x14ac:dyDescent="0.4">
      <c r="J9" s="3" t="s">
        <v>12</v>
      </c>
    </row>
    <row r="10" spans="1:19" x14ac:dyDescent="0.35">
      <c r="J10" s="401"/>
      <c r="K10" s="402"/>
      <c r="L10" s="402"/>
      <c r="M10" s="402"/>
      <c r="N10" s="402"/>
      <c r="O10" s="402"/>
      <c r="P10" s="402"/>
      <c r="Q10" s="403"/>
    </row>
    <row r="11" spans="1:19" x14ac:dyDescent="0.35">
      <c r="J11" s="404"/>
      <c r="K11" s="405"/>
      <c r="L11" s="405"/>
      <c r="M11" s="405"/>
      <c r="N11" s="405"/>
      <c r="O11" s="405"/>
      <c r="P11" s="405"/>
      <c r="Q11" s="406"/>
    </row>
    <row r="12" spans="1:19" x14ac:dyDescent="0.35">
      <c r="J12" s="404"/>
      <c r="K12" s="405"/>
      <c r="L12" s="405"/>
      <c r="M12" s="405"/>
      <c r="N12" s="405"/>
      <c r="O12" s="405"/>
      <c r="P12" s="405"/>
      <c r="Q12" s="406"/>
    </row>
    <row r="13" spans="1:19" x14ac:dyDescent="0.35">
      <c r="J13" s="404"/>
      <c r="K13" s="405"/>
      <c r="L13" s="405"/>
      <c r="M13" s="405"/>
      <c r="N13" s="405"/>
      <c r="O13" s="405"/>
      <c r="P13" s="405"/>
      <c r="Q13" s="406"/>
    </row>
    <row r="14" spans="1:19" x14ac:dyDescent="0.35">
      <c r="J14" s="404"/>
      <c r="K14" s="405"/>
      <c r="L14" s="405"/>
      <c r="M14" s="405"/>
      <c r="N14" s="405"/>
      <c r="O14" s="405"/>
      <c r="P14" s="405"/>
      <c r="Q14" s="406"/>
    </row>
    <row r="15" spans="1:19" ht="15" thickBot="1" x14ac:dyDescent="0.4">
      <c r="J15" s="407"/>
      <c r="K15" s="408"/>
      <c r="L15" s="408"/>
      <c r="M15" s="408"/>
      <c r="N15" s="408"/>
      <c r="O15" s="408"/>
      <c r="P15" s="408"/>
      <c r="Q15" s="409"/>
    </row>
    <row r="16" spans="1:19" x14ac:dyDescent="0.35">
      <c r="K16" s="60">
        <f>SUM(H19:J19)</f>
        <v>15502876.262876775</v>
      </c>
    </row>
    <row r="17" spans="3:17" x14ac:dyDescent="0.35">
      <c r="K17" s="60">
        <f>SUM(H20:J20)</f>
        <v>16079958.300000001</v>
      </c>
      <c r="L17" s="3">
        <f>K17/K16</f>
        <v>1.0372241916492044</v>
      </c>
    </row>
    <row r="18" spans="3:17" x14ac:dyDescent="0.35">
      <c r="C18" s="7" t="s">
        <v>8</v>
      </c>
      <c r="E18" s="11">
        <v>45839</v>
      </c>
      <c r="F18" s="11">
        <v>45870</v>
      </c>
      <c r="G18" s="11">
        <v>45901</v>
      </c>
      <c r="H18" s="11">
        <v>45931</v>
      </c>
      <c r="I18" s="11">
        <v>45962</v>
      </c>
      <c r="J18" s="11">
        <v>45992</v>
      </c>
      <c r="K18" s="11">
        <v>46023</v>
      </c>
      <c r="L18" s="11">
        <v>46054</v>
      </c>
      <c r="M18" s="11">
        <v>46082</v>
      </c>
      <c r="N18" s="11">
        <v>46113</v>
      </c>
      <c r="O18" s="11">
        <v>46143</v>
      </c>
      <c r="P18" s="11">
        <v>46174</v>
      </c>
      <c r="Q18" s="8" t="s">
        <v>0</v>
      </c>
    </row>
    <row r="19" spans="3:17" x14ac:dyDescent="0.35">
      <c r="D19" s="3" t="s">
        <v>501</v>
      </c>
      <c r="E19" s="49">
        <f>'budget 2025-26'!D174</f>
        <v>5070284.0919431103</v>
      </c>
      <c r="F19" s="49">
        <f>'budget 2025-26'!E174</f>
        <v>5094619.4241970656</v>
      </c>
      <c r="G19" s="49">
        <f>'budget 2025-26'!F174</f>
        <v>5118954.7564510163</v>
      </c>
      <c r="H19" s="49">
        <f>'budget 2025-26'!G174</f>
        <v>5143290.0887049716</v>
      </c>
      <c r="I19" s="49">
        <f>'budget 2025-26'!H174</f>
        <v>5167625.420958925</v>
      </c>
      <c r="J19" s="49">
        <f>'budget 2025-26'!I174</f>
        <v>5191960.7532128785</v>
      </c>
      <c r="K19" s="49">
        <f>'budget 2025-26'!J174</f>
        <v>5216296.085466831</v>
      </c>
      <c r="L19" s="49">
        <f>'budget 2025-26'!K174</f>
        <v>5240631.4177207844</v>
      </c>
      <c r="M19" s="49">
        <f>'budget 2025-26'!L174</f>
        <v>5264966.7499747379</v>
      </c>
      <c r="N19" s="49">
        <f>'budget 2025-26'!M174</f>
        <v>5289302.0822286895</v>
      </c>
      <c r="O19" s="49">
        <f>'budget 2025-26'!N174</f>
        <v>5313637.414482642</v>
      </c>
      <c r="P19" s="49">
        <f>'budget 2025-26'!O174</f>
        <v>5337972.7467365963</v>
      </c>
      <c r="Q19" s="5">
        <f>SUM(E19:P19)</f>
        <v>62449541.032078244</v>
      </c>
    </row>
    <row r="20" spans="3:17" x14ac:dyDescent="0.35">
      <c r="D20" s="3" t="s">
        <v>502</v>
      </c>
      <c r="E20" s="49">
        <f>'Input Actual2025-26'!E177</f>
        <v>5703321</v>
      </c>
      <c r="F20" s="49">
        <f>'Input Actual2025-26'!F177</f>
        <v>6046366.0000000009</v>
      </c>
      <c r="G20" s="49">
        <f>'Input Actual2025-26'!G177</f>
        <v>5720536</v>
      </c>
      <c r="H20" s="49">
        <f>'Input Actual2025-26'!H177</f>
        <v>5831421.0000000009</v>
      </c>
      <c r="I20" s="49">
        <f>'Input Actual2025-26'!I177</f>
        <v>5343133.5</v>
      </c>
      <c r="J20" s="49">
        <f>'Input Actual2025-26'!J177</f>
        <v>4905403.8</v>
      </c>
      <c r="K20" s="49">
        <f>'Input Actual2025-26'!K177</f>
        <v>6958143.5000000009</v>
      </c>
      <c r="L20" s="49">
        <f>'Input Actual2025-26'!L177</f>
        <v>5826591.0000000009</v>
      </c>
      <c r="M20" s="49">
        <f>'Input Actual2025-26'!M177</f>
        <v>0</v>
      </c>
      <c r="N20" s="49">
        <f>'Input Actual2025-26'!N177</f>
        <v>0</v>
      </c>
      <c r="O20" s="49">
        <f>'Input Actual2025-26'!O177</f>
        <v>0</v>
      </c>
      <c r="P20" s="49">
        <f>'Input Actual2025-26'!P177</f>
        <v>0</v>
      </c>
      <c r="Q20" s="5">
        <f t="shared" ref="Q20:Q22" si="0">SUM(E20:P20)</f>
        <v>46334915.800000004</v>
      </c>
    </row>
    <row r="21" spans="3:17" x14ac:dyDescent="0.35">
      <c r="D21" s="3" t="s">
        <v>424</v>
      </c>
      <c r="E21" s="49">
        <f>'Input Actual2024-25'!E164</f>
        <v>4109000.4</v>
      </c>
      <c r="F21" s="49">
        <f>'Input Actual2024-25'!F164</f>
        <v>5045322.1500000004</v>
      </c>
      <c r="G21" s="49">
        <f>'Input Actual2024-25'!G164</f>
        <v>4283477.7</v>
      </c>
      <c r="H21" s="49">
        <f>'Input Actual2024-25'!H164</f>
        <v>4437132.7</v>
      </c>
      <c r="I21" s="49">
        <f>'Input Actual2024-25'!I164</f>
        <v>4483043.5</v>
      </c>
      <c r="J21" s="49">
        <f>'Input Actual2024-25'!J164</f>
        <v>3764102.6999999997</v>
      </c>
      <c r="K21" s="49">
        <f>'Input Actual2024-25'!K164</f>
        <v>5424626.2000000002</v>
      </c>
      <c r="L21" s="49">
        <f>'Input Actual2024-25'!L164</f>
        <v>4666903.2</v>
      </c>
      <c r="M21" s="49">
        <f>'Input Actual2024-25'!M164</f>
        <v>4963782.45</v>
      </c>
      <c r="N21" s="49">
        <f>'Input Actual2024-25'!N164</f>
        <v>5710578.75</v>
      </c>
      <c r="O21" s="49">
        <f>'Input Actual2024-25'!O164</f>
        <v>6133011.0000000009</v>
      </c>
      <c r="P21" s="49">
        <f>'Input Actual2024-25'!P164</f>
        <v>6224363.5000000009</v>
      </c>
      <c r="Q21" s="5">
        <f t="shared" si="0"/>
        <v>59245344.25</v>
      </c>
    </row>
    <row r="22" spans="3:17" x14ac:dyDescent="0.35">
      <c r="D22" s="3" t="s">
        <v>7</v>
      </c>
      <c r="E22" s="5">
        <f t="shared" ref="E22:P22" si="1">IF(E20=0,0,E20-E19)</f>
        <v>633036.90805688966</v>
      </c>
      <c r="F22" s="5">
        <f t="shared" si="1"/>
        <v>951746.57580293529</v>
      </c>
      <c r="G22" s="5">
        <f t="shared" si="1"/>
        <v>601581.24354898371</v>
      </c>
      <c r="H22" s="5">
        <f t="shared" si="1"/>
        <v>688130.91129502933</v>
      </c>
      <c r="I22" s="5">
        <f t="shared" si="1"/>
        <v>175508.07904107496</v>
      </c>
      <c r="J22" s="5">
        <f t="shared" si="1"/>
        <v>-286556.95321287867</v>
      </c>
      <c r="K22" s="5">
        <f t="shared" si="1"/>
        <v>1741847.4145331699</v>
      </c>
      <c r="L22" s="5">
        <f t="shared" si="1"/>
        <v>585959.5822792165</v>
      </c>
      <c r="M22" s="5">
        <f t="shared" si="1"/>
        <v>0</v>
      </c>
      <c r="N22" s="5">
        <f t="shared" si="1"/>
        <v>0</v>
      </c>
      <c r="O22" s="5">
        <f t="shared" si="1"/>
        <v>0</v>
      </c>
      <c r="P22" s="5">
        <f t="shared" si="1"/>
        <v>0</v>
      </c>
      <c r="Q22" s="5">
        <f t="shared" si="0"/>
        <v>5091253.7613444207</v>
      </c>
    </row>
    <row r="23" spans="3:17" x14ac:dyDescent="0.35">
      <c r="D23" s="3" t="s">
        <v>43</v>
      </c>
      <c r="E23" s="9">
        <f>E21/E19</f>
        <v>0.81040831746082442</v>
      </c>
      <c r="F23" s="9">
        <f t="shared" ref="F23:P23" si="2">F20/F19</f>
        <v>1.1868140672652765</v>
      </c>
      <c r="G23" s="9">
        <f t="shared" si="2"/>
        <v>1.1175203283035191</v>
      </c>
      <c r="H23" s="9">
        <f t="shared" si="2"/>
        <v>1.1337919696200325</v>
      </c>
      <c r="I23" s="9">
        <f t="shared" si="2"/>
        <v>1.0339630032643712</v>
      </c>
      <c r="J23" s="9">
        <f t="shared" si="2"/>
        <v>0.94480756561275003</v>
      </c>
      <c r="K23" s="9">
        <f t="shared" si="2"/>
        <v>1.33392418413252</v>
      </c>
      <c r="L23" s="9">
        <f t="shared" si="2"/>
        <v>1.1118108746014537</v>
      </c>
      <c r="M23" s="9">
        <f t="shared" si="2"/>
        <v>0</v>
      </c>
      <c r="N23" s="9">
        <f t="shared" si="2"/>
        <v>0</v>
      </c>
      <c r="O23" s="9">
        <f t="shared" si="2"/>
        <v>0</v>
      </c>
      <c r="P23" s="9">
        <f t="shared" si="2"/>
        <v>0</v>
      </c>
    </row>
    <row r="25" spans="3:17" x14ac:dyDescent="0.35">
      <c r="C25" s="7" t="s">
        <v>3</v>
      </c>
      <c r="E25" s="11">
        <f>E18</f>
        <v>45839</v>
      </c>
      <c r="F25" s="11">
        <f t="shared" ref="F25:P25" si="3">F18</f>
        <v>45870</v>
      </c>
      <c r="G25" s="11">
        <f t="shared" si="3"/>
        <v>45901</v>
      </c>
      <c r="H25" s="11">
        <f t="shared" si="3"/>
        <v>45931</v>
      </c>
      <c r="I25" s="11">
        <f t="shared" si="3"/>
        <v>45962</v>
      </c>
      <c r="J25" s="11">
        <f t="shared" si="3"/>
        <v>45992</v>
      </c>
      <c r="K25" s="11">
        <f t="shared" si="3"/>
        <v>46023</v>
      </c>
      <c r="L25" s="11">
        <f t="shared" si="3"/>
        <v>46054</v>
      </c>
      <c r="M25" s="11">
        <f t="shared" si="3"/>
        <v>46082</v>
      </c>
      <c r="N25" s="11">
        <f t="shared" si="3"/>
        <v>46113</v>
      </c>
      <c r="O25" s="11">
        <f t="shared" si="3"/>
        <v>46143</v>
      </c>
      <c r="P25" s="11">
        <f t="shared" si="3"/>
        <v>46174</v>
      </c>
    </row>
    <row r="26" spans="3:17" x14ac:dyDescent="0.35">
      <c r="D26" s="3" t="str">
        <f>D19</f>
        <v>Budget 2025-26</v>
      </c>
      <c r="E26" s="5">
        <f>SUM($E19:E19)</f>
        <v>5070284.0919431103</v>
      </c>
      <c r="F26" s="5">
        <f>SUM($E19:F19)</f>
        <v>10164903.516140176</v>
      </c>
      <c r="G26" s="5">
        <f>SUM($E19:G19)</f>
        <v>15283858.272591192</v>
      </c>
      <c r="H26" s="5">
        <f>SUM($E19:H19)</f>
        <v>20427148.361296162</v>
      </c>
      <c r="I26" s="5">
        <f>SUM($E19:I19)</f>
        <v>25594773.782255087</v>
      </c>
      <c r="J26" s="5">
        <f>SUM($E19:J19)</f>
        <v>30786734.535467967</v>
      </c>
      <c r="K26" s="5">
        <f>SUM($E19:K19)</f>
        <v>36003030.620934799</v>
      </c>
      <c r="L26" s="5">
        <f>SUM($E19:L19)</f>
        <v>41243662.038655587</v>
      </c>
      <c r="M26" s="5">
        <f>SUM($E19:M19)</f>
        <v>46508628.788630322</v>
      </c>
      <c r="N26" s="5">
        <f>SUM($E19:N19)</f>
        <v>51797930.870859012</v>
      </c>
      <c r="O26" s="5">
        <f>SUM($E19:O19)</f>
        <v>57111568.28534165</v>
      </c>
      <c r="P26" s="5">
        <f>SUM($E19:P19)</f>
        <v>62449541.032078244</v>
      </c>
    </row>
    <row r="27" spans="3:17" x14ac:dyDescent="0.35">
      <c r="D27" s="3" t="str">
        <f t="shared" ref="D27:D30" si="4">D20</f>
        <v>Actual 2025-26</v>
      </c>
      <c r="E27" s="5">
        <f>SUM($E20:E20)</f>
        <v>5703321</v>
      </c>
      <c r="F27" s="5">
        <f>SUM($E20:F20)</f>
        <v>11749687</v>
      </c>
      <c r="G27" s="5">
        <f>SUM($E20:G20)</f>
        <v>17470223</v>
      </c>
      <c r="H27" s="5">
        <f>SUM($E20:H20)</f>
        <v>23301644</v>
      </c>
      <c r="I27" s="5">
        <f>SUM($E20:I20)</f>
        <v>28644777.5</v>
      </c>
      <c r="J27" s="5">
        <f>SUM($E20:J20)</f>
        <v>33550181.300000001</v>
      </c>
      <c r="K27" s="5">
        <f>SUM($E20:K20)</f>
        <v>40508324.800000004</v>
      </c>
      <c r="L27" s="5">
        <f>SUM($E20:L20)</f>
        <v>46334915.800000004</v>
      </c>
      <c r="M27" s="5">
        <f>SUM($E20:M20)</f>
        <v>46334915.800000004</v>
      </c>
      <c r="N27" s="5">
        <f>SUM($E20:N20)</f>
        <v>46334915.800000004</v>
      </c>
      <c r="O27" s="5">
        <f>SUM($E20:O20)</f>
        <v>46334915.800000004</v>
      </c>
      <c r="P27" s="5">
        <f>SUM($E20:P20)</f>
        <v>46334915.800000004</v>
      </c>
    </row>
    <row r="28" spans="3:17" x14ac:dyDescent="0.35">
      <c r="D28" s="3" t="str">
        <f t="shared" si="4"/>
        <v>Actual 2024-25</v>
      </c>
      <c r="E28" s="5">
        <f>SUM($E21:E21)</f>
        <v>4109000.4</v>
      </c>
      <c r="F28" s="5">
        <f>SUM($E21:F21)</f>
        <v>9154322.5500000007</v>
      </c>
      <c r="G28" s="5">
        <f>SUM($E21:G21)</f>
        <v>13437800.25</v>
      </c>
      <c r="H28" s="5">
        <f>SUM($E21:H21)</f>
        <v>17874932.949999999</v>
      </c>
      <c r="I28" s="5">
        <f>SUM($E21:I21)</f>
        <v>22357976.449999999</v>
      </c>
      <c r="J28" s="5">
        <f>SUM($E21:J21)</f>
        <v>26122079.149999999</v>
      </c>
      <c r="K28" s="5">
        <f>SUM($E21:K21)</f>
        <v>31546705.349999998</v>
      </c>
      <c r="L28" s="5">
        <f>SUM($E21:L21)</f>
        <v>36213608.549999997</v>
      </c>
      <c r="M28" s="5">
        <f>SUM($E21:M21)</f>
        <v>41177391</v>
      </c>
      <c r="N28" s="5">
        <f>SUM($E21:N21)</f>
        <v>46887969.75</v>
      </c>
      <c r="O28" s="5">
        <f>SUM($E21:O21)</f>
        <v>53020980.75</v>
      </c>
      <c r="P28" s="5">
        <f>SUM($E21:P21)</f>
        <v>59245344.25</v>
      </c>
    </row>
    <row r="29" spans="3:17" x14ac:dyDescent="0.35">
      <c r="D29" s="3" t="str">
        <f t="shared" si="4"/>
        <v>Difference</v>
      </c>
      <c r="E29" s="5">
        <f>SUM($E22:E22)</f>
        <v>633036.90805688966</v>
      </c>
      <c r="F29" s="5">
        <f>SUM($E22:F22)</f>
        <v>1584783.4838598249</v>
      </c>
      <c r="G29" s="5">
        <f>SUM($E22:G22)</f>
        <v>2186364.7274088087</v>
      </c>
      <c r="H29" s="5">
        <f>SUM($E22:H22)</f>
        <v>2874495.638703838</v>
      </c>
      <c r="I29" s="5">
        <f>SUM($E22:I22)</f>
        <v>3050003.717744913</v>
      </c>
      <c r="J29" s="5">
        <f>SUM($E22:J22)</f>
        <v>2763446.7645320343</v>
      </c>
      <c r="K29" s="5">
        <f>SUM($E22:K22)</f>
        <v>4505294.1790652042</v>
      </c>
      <c r="L29" s="5">
        <f>SUM($E22:L22)</f>
        <v>5091253.7613444207</v>
      </c>
      <c r="M29" s="5">
        <f>SUM($E22:M22)</f>
        <v>5091253.7613444207</v>
      </c>
      <c r="N29" s="5">
        <f>SUM($E22:N22)</f>
        <v>5091253.7613444207</v>
      </c>
      <c r="O29" s="5">
        <f>SUM($E22:O22)</f>
        <v>5091253.7613444207</v>
      </c>
      <c r="P29" s="5">
        <f>SUM($E22:P22)</f>
        <v>5091253.7613444207</v>
      </c>
    </row>
    <row r="30" spans="3:17" x14ac:dyDescent="0.35">
      <c r="D30" s="3" t="str">
        <f t="shared" si="4"/>
        <v>Realisation</v>
      </c>
      <c r="E30" s="9">
        <f>E28/E26</f>
        <v>0.81040831746082442</v>
      </c>
      <c r="F30" s="9">
        <f t="shared" ref="F30:P30" si="5">F27/F26</f>
        <v>1.1559073808564391</v>
      </c>
      <c r="G30" s="9">
        <f t="shared" si="5"/>
        <v>1.1430505758699461</v>
      </c>
      <c r="H30" s="9">
        <f t="shared" si="5"/>
        <v>1.1407193793212085</v>
      </c>
      <c r="I30" s="9">
        <f t="shared" si="5"/>
        <v>1.1191650976755063</v>
      </c>
      <c r="J30" s="9">
        <f t="shared" si="5"/>
        <v>1.0897609573158333</v>
      </c>
      <c r="K30" s="9">
        <f t="shared" si="5"/>
        <v>1.125136526046935</v>
      </c>
      <c r="L30" s="9">
        <f t="shared" si="5"/>
        <v>1.1234433003687365</v>
      </c>
      <c r="M30" s="9">
        <f t="shared" si="5"/>
        <v>0.99626492990322724</v>
      </c>
      <c r="N30" s="9">
        <f t="shared" si="5"/>
        <v>0.89453217572572108</v>
      </c>
      <c r="O30" s="9">
        <f t="shared" si="5"/>
        <v>0.81130526075734466</v>
      </c>
      <c r="P30" s="9">
        <f t="shared" si="5"/>
        <v>0.74195766749029113</v>
      </c>
    </row>
  </sheetData>
  <mergeCells count="2">
    <mergeCell ref="J4:Q8"/>
    <mergeCell ref="J10:Q15"/>
  </mergeCells>
  <conditionalFormatting sqref="C3">
    <cfRule type="expression" dxfId="65" priority="2">
      <formula>S4&lt;S6</formula>
    </cfRule>
  </conditionalFormatting>
  <conditionalFormatting sqref="C5">
    <cfRule type="expression" dxfId="64" priority="3">
      <formula>S4&gt;=S5</formula>
    </cfRule>
  </conditionalFormatting>
  <conditionalFormatting sqref="C4">
    <cfRule type="expression" dxfId="63" priority="1">
      <formula>AND(S4&gt;=S6,S4&lt;S5)</formula>
    </cfRule>
  </conditionalFormatting>
  <hyperlinks>
    <hyperlink ref="L1" location="Dashboard!A1" display="Dashboard"/>
  </hyperlinks>
  <pageMargins left="0.7" right="0.7" top="0.75" bottom="0.75" header="0.3" footer="0.3"/>
  <pageSetup orientation="portrait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70081" r:id="rId4" name="Spinner 1">
              <controlPr defaultSize="0" autoPict="0">
                <anchor moveWithCells="1" sizeWithCells="1">
                  <from>
                    <xdr:col>9</xdr:col>
                    <xdr:colOff>19050</xdr:colOff>
                    <xdr:row>0</xdr:row>
                    <xdr:rowOff>38100</xdr:rowOff>
                  </from>
                  <to>
                    <xdr:col>9</xdr:col>
                    <xdr:colOff>400050</xdr:colOff>
                    <xdr:row>1</xdr:row>
                    <xdr:rowOff>152400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17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134">
    <tabColor rgb="FFFFC000"/>
  </sheetPr>
  <dimension ref="A1:S30"/>
  <sheetViews>
    <sheetView zoomScale="90" zoomScaleNormal="90" workbookViewId="0">
      <selection activeCell="L1" sqref="L1"/>
    </sheetView>
  </sheetViews>
  <sheetFormatPr defaultColWidth="9.1796875" defaultRowHeight="14.5" x14ac:dyDescent="0.35"/>
  <cols>
    <col min="1" max="1" width="9.1796875" style="3"/>
    <col min="2" max="2" width="5.7265625" style="3" bestFit="1" customWidth="1"/>
    <col min="3" max="3" width="6.26953125" style="3" customWidth="1"/>
    <col min="4" max="4" width="21.26953125" style="3" bestFit="1" customWidth="1"/>
    <col min="5" max="16" width="11.1796875" style="3" customWidth="1"/>
    <col min="17" max="17" width="12" style="3" bestFit="1" customWidth="1"/>
    <col min="18" max="18" width="9.1796875" style="3" customWidth="1"/>
    <col min="19" max="16384" width="9.1796875" style="3"/>
  </cols>
  <sheetData>
    <row r="1" spans="1:19" ht="21" x14ac:dyDescent="0.5">
      <c r="A1" s="4" t="s">
        <v>4</v>
      </c>
      <c r="B1" s="4">
        <f>Dashboard!A187</f>
        <v>4</v>
      </c>
      <c r="C1" s="4" t="str">
        <f>Dashboard!B187</f>
        <v>AVG TARIFF WATER (KSH/M3)</v>
      </c>
      <c r="D1" s="4"/>
      <c r="G1" s="3" t="s">
        <v>9</v>
      </c>
      <c r="I1" s="12">
        <f>INDEX($E$18:$P$18,Actual_month)</f>
        <v>46054</v>
      </c>
      <c r="L1" s="16" t="s">
        <v>19</v>
      </c>
      <c r="R1" s="5"/>
    </row>
    <row r="2" spans="1:19" x14ac:dyDescent="0.35">
      <c r="A2" s="3" t="s">
        <v>13</v>
      </c>
      <c r="C2" s="3" t="s">
        <v>27</v>
      </c>
      <c r="R2" s="6"/>
    </row>
    <row r="3" spans="1:19" ht="25.5" customHeight="1" thickBot="1" x14ac:dyDescent="0.4">
      <c r="C3" s="1" t="s">
        <v>5</v>
      </c>
      <c r="E3" s="10"/>
      <c r="F3" s="10"/>
      <c r="G3" s="10"/>
      <c r="H3" s="10"/>
      <c r="I3" s="10"/>
      <c r="J3" s="3" t="s">
        <v>6</v>
      </c>
      <c r="K3" s="10"/>
      <c r="M3" s="10"/>
      <c r="N3" s="10"/>
      <c r="O3" s="10"/>
      <c r="P3" s="10"/>
    </row>
    <row r="4" spans="1:19" ht="25.5" customHeight="1" x14ac:dyDescent="0.35">
      <c r="C4" s="1" t="s">
        <v>5</v>
      </c>
      <c r="E4" s="10"/>
      <c r="F4" s="10"/>
      <c r="G4" s="10"/>
      <c r="H4" s="10"/>
      <c r="I4" s="10"/>
      <c r="J4" s="401"/>
      <c r="K4" s="402"/>
      <c r="L4" s="402"/>
      <c r="M4" s="402"/>
      <c r="N4" s="402"/>
      <c r="O4" s="402"/>
      <c r="P4" s="402"/>
      <c r="Q4" s="403"/>
      <c r="R4" s="3" t="s">
        <v>22</v>
      </c>
      <c r="S4" s="5">
        <f>INDEX(E27:P27,Actual_month)</f>
        <v>126.45285227533415</v>
      </c>
    </row>
    <row r="5" spans="1:19" ht="25.5" customHeight="1" x14ac:dyDescent="0.35">
      <c r="C5" s="1" t="s">
        <v>5</v>
      </c>
      <c r="E5" s="10"/>
      <c r="F5" s="10"/>
      <c r="G5" s="10"/>
      <c r="H5" s="10"/>
      <c r="I5" s="10"/>
      <c r="J5" s="404"/>
      <c r="K5" s="405"/>
      <c r="L5" s="405"/>
      <c r="M5" s="405"/>
      <c r="N5" s="405"/>
      <c r="O5" s="405"/>
      <c r="P5" s="405"/>
      <c r="Q5" s="406"/>
      <c r="R5" s="3" t="s">
        <v>23</v>
      </c>
      <c r="S5" s="5">
        <f>INDEX(E26:P26,Actual_month)</f>
        <v>110</v>
      </c>
    </row>
    <row r="6" spans="1:19" x14ac:dyDescent="0.35">
      <c r="J6" s="404"/>
      <c r="K6" s="405"/>
      <c r="L6" s="405"/>
      <c r="M6" s="405"/>
      <c r="N6" s="405"/>
      <c r="O6" s="405"/>
      <c r="P6" s="405"/>
      <c r="Q6" s="406"/>
      <c r="R6" s="6">
        <v>0.9</v>
      </c>
      <c r="S6" s="5">
        <f>+S5*R6</f>
        <v>99</v>
      </c>
    </row>
    <row r="7" spans="1:19" x14ac:dyDescent="0.35">
      <c r="J7" s="404"/>
      <c r="K7" s="405"/>
      <c r="L7" s="405"/>
      <c r="M7" s="405"/>
      <c r="N7" s="405"/>
      <c r="O7" s="405"/>
      <c r="P7" s="405"/>
      <c r="Q7" s="406"/>
    </row>
    <row r="8" spans="1:19" ht="15" thickBot="1" x14ac:dyDescent="0.4">
      <c r="J8" s="407"/>
      <c r="K8" s="408"/>
      <c r="L8" s="408"/>
      <c r="M8" s="408"/>
      <c r="N8" s="408"/>
      <c r="O8" s="408"/>
      <c r="P8" s="408"/>
      <c r="Q8" s="409"/>
    </row>
    <row r="9" spans="1:19" ht="15" thickBot="1" x14ac:dyDescent="0.4">
      <c r="J9" s="3" t="s">
        <v>12</v>
      </c>
    </row>
    <row r="10" spans="1:19" x14ac:dyDescent="0.35">
      <c r="J10" s="401"/>
      <c r="K10" s="402"/>
      <c r="L10" s="402"/>
      <c r="M10" s="402"/>
      <c r="N10" s="402"/>
      <c r="O10" s="402"/>
      <c r="P10" s="402"/>
      <c r="Q10" s="403"/>
    </row>
    <row r="11" spans="1:19" x14ac:dyDescent="0.35">
      <c r="J11" s="404"/>
      <c r="K11" s="405"/>
      <c r="L11" s="405"/>
      <c r="M11" s="405"/>
      <c r="N11" s="405"/>
      <c r="O11" s="405"/>
      <c r="P11" s="405"/>
      <c r="Q11" s="406"/>
    </row>
    <row r="12" spans="1:19" x14ac:dyDescent="0.35">
      <c r="J12" s="404"/>
      <c r="K12" s="405"/>
      <c r="L12" s="405"/>
      <c r="M12" s="405"/>
      <c r="N12" s="405"/>
      <c r="O12" s="405"/>
      <c r="P12" s="405"/>
      <c r="Q12" s="406"/>
    </row>
    <row r="13" spans="1:19" x14ac:dyDescent="0.35">
      <c r="J13" s="404"/>
      <c r="K13" s="405"/>
      <c r="L13" s="405"/>
      <c r="M13" s="405"/>
      <c r="N13" s="405"/>
      <c r="O13" s="405"/>
      <c r="P13" s="405"/>
      <c r="Q13" s="406"/>
    </row>
    <row r="14" spans="1:19" x14ac:dyDescent="0.35">
      <c r="J14" s="404"/>
      <c r="K14" s="405"/>
      <c r="L14" s="405"/>
      <c r="M14" s="405"/>
      <c r="N14" s="405"/>
      <c r="O14" s="405"/>
      <c r="P14" s="405"/>
      <c r="Q14" s="406"/>
    </row>
    <row r="15" spans="1:19" ht="15" thickBot="1" x14ac:dyDescent="0.4">
      <c r="J15" s="407"/>
      <c r="K15" s="408"/>
      <c r="L15" s="408"/>
      <c r="M15" s="408"/>
      <c r="N15" s="408"/>
      <c r="O15" s="408"/>
      <c r="P15" s="408"/>
      <c r="Q15" s="409"/>
    </row>
    <row r="18" spans="3:17" x14ac:dyDescent="0.35">
      <c r="C18" s="7" t="s">
        <v>8</v>
      </c>
      <c r="E18" s="11">
        <v>45839</v>
      </c>
      <c r="F18" s="11">
        <v>45870</v>
      </c>
      <c r="G18" s="11">
        <v>45901</v>
      </c>
      <c r="H18" s="11">
        <v>45931</v>
      </c>
      <c r="I18" s="11">
        <v>45962</v>
      </c>
      <c r="J18" s="11">
        <v>45992</v>
      </c>
      <c r="K18" s="11">
        <v>46023</v>
      </c>
      <c r="L18" s="11">
        <v>46054</v>
      </c>
      <c r="M18" s="11">
        <v>46082</v>
      </c>
      <c r="N18" s="11">
        <v>46113</v>
      </c>
      <c r="O18" s="11">
        <v>46143</v>
      </c>
      <c r="P18" s="11">
        <v>46174</v>
      </c>
      <c r="Q18" s="8" t="s">
        <v>0</v>
      </c>
    </row>
    <row r="19" spans="3:17" x14ac:dyDescent="0.35">
      <c r="D19" s="3" t="s">
        <v>501</v>
      </c>
      <c r="E19" s="49">
        <f>'budget 2025-26'!D176</f>
        <v>110</v>
      </c>
      <c r="F19" s="49">
        <f>'budget 2025-26'!E176</f>
        <v>110</v>
      </c>
      <c r="G19" s="49">
        <f>'budget 2025-26'!F176</f>
        <v>110</v>
      </c>
      <c r="H19" s="49">
        <f>'budget 2025-26'!G176</f>
        <v>110</v>
      </c>
      <c r="I19" s="49">
        <f>'budget 2025-26'!H176</f>
        <v>110</v>
      </c>
      <c r="J19" s="49">
        <f>'budget 2025-26'!I176</f>
        <v>110</v>
      </c>
      <c r="K19" s="49">
        <f>'budget 2025-26'!J176</f>
        <v>110</v>
      </c>
      <c r="L19" s="49">
        <f>'budget 2025-26'!K176</f>
        <v>110</v>
      </c>
      <c r="M19" s="49">
        <f>'budget 2025-26'!L176</f>
        <v>110</v>
      </c>
      <c r="N19" s="49">
        <f>'budget 2025-26'!M176</f>
        <v>110</v>
      </c>
      <c r="O19" s="49">
        <f>'budget 2025-26'!N176</f>
        <v>110</v>
      </c>
      <c r="P19" s="49">
        <f>'budget 2025-26'!O176</f>
        <v>110</v>
      </c>
      <c r="Q19" s="5">
        <f>SUM(E19:P19)</f>
        <v>1320</v>
      </c>
    </row>
    <row r="20" spans="3:17" x14ac:dyDescent="0.35">
      <c r="D20" s="3" t="s">
        <v>502</v>
      </c>
      <c r="E20" s="49">
        <f>'Input Actual2025-26'!E179</f>
        <v>125.57837948577867</v>
      </c>
      <c r="F20" s="49">
        <f>'Input Actual2025-26'!F179</f>
        <v>127.35543437490983</v>
      </c>
      <c r="G20" s="49">
        <f>'Input Actual2025-26'!G179</f>
        <v>126.02083732909554</v>
      </c>
      <c r="H20" s="49">
        <f>'Input Actual2025-26'!H179</f>
        <v>126.71485756026297</v>
      </c>
      <c r="I20" s="49">
        <f>'Input Actual2025-26'!I179</f>
        <v>126.07509694224906</v>
      </c>
      <c r="J20" s="49">
        <f>'Input Actual2025-26'!J179</f>
        <v>125.4717024329192</v>
      </c>
      <c r="K20" s="49">
        <f>'Input Actual2025-26'!K179</f>
        <v>127.67647205464426</v>
      </c>
      <c r="L20" s="49">
        <f>'Input Actual2025-26'!L179</f>
        <v>126.73003802281369</v>
      </c>
      <c r="M20" s="49" t="e">
        <f>'Input Actual2025-26'!M179</f>
        <v>#DIV/0!</v>
      </c>
      <c r="N20" s="49" t="e">
        <f>'Input Actual2025-26'!N179</f>
        <v>#DIV/0!</v>
      </c>
      <c r="O20" s="49" t="e">
        <f>'Input Actual2025-26'!O179</f>
        <v>#DIV/0!</v>
      </c>
      <c r="P20" s="49" t="e">
        <f>'Input Actual2025-26'!P179</f>
        <v>#DIV/0!</v>
      </c>
      <c r="Q20" s="5" t="e">
        <f t="shared" ref="Q20:Q22" si="0">SUM(E20:P20)</f>
        <v>#DIV/0!</v>
      </c>
    </row>
    <row r="21" spans="3:17" x14ac:dyDescent="0.35">
      <c r="D21" s="3" t="s">
        <v>424</v>
      </c>
      <c r="E21" s="49">
        <f>'Input Actual2024-25'!E166</f>
        <v>79.081716354585055</v>
      </c>
      <c r="F21" s="49">
        <f>'Input Actual2024-25'!F166</f>
        <v>82.6134486196501</v>
      </c>
      <c r="G21" s="49">
        <f>'Input Actual2024-25'!G166</f>
        <v>79.540588264046733</v>
      </c>
      <c r="H21" s="49">
        <f>'Input Actual2024-25'!H166</f>
        <v>78.36586427004282</v>
      </c>
      <c r="I21" s="49">
        <f>'Input Actual2024-25'!I166</f>
        <v>78.797245013674868</v>
      </c>
      <c r="J21" s="49">
        <f>'Input Actual2024-25'!J166</f>
        <v>77.02195435827042</v>
      </c>
      <c r="K21" s="49">
        <f>'Input Actual2024-25'!K166</f>
        <v>80.064342291448682</v>
      </c>
      <c r="L21" s="49">
        <f>'Input Actual2024-25'!L166</f>
        <v>78.928353013693666</v>
      </c>
      <c r="M21" s="49">
        <f>'Input Actual2024-25'!M166</f>
        <v>79.268968965556425</v>
      </c>
      <c r="N21" s="49">
        <f>'Input Actual2024-25'!N166</f>
        <v>103.01175749881908</v>
      </c>
      <c r="O21" s="49">
        <f>'Input Actual2024-25'!O166</f>
        <v>126.97522349603759</v>
      </c>
      <c r="P21" s="49">
        <f>'Input Actual2024-25'!P166</f>
        <v>126.72993311543803</v>
      </c>
      <c r="Q21" s="5">
        <f t="shared" si="0"/>
        <v>1070.3993952612636</v>
      </c>
    </row>
    <row r="22" spans="3:17" x14ac:dyDescent="0.35">
      <c r="D22" s="3" t="s">
        <v>7</v>
      </c>
      <c r="E22" s="5">
        <f t="shared" ref="E22:P22" si="1">IF(E20=0,0,E20-E19)</f>
        <v>15.578379485778669</v>
      </c>
      <c r="F22" s="5">
        <f t="shared" si="1"/>
        <v>17.355434374909834</v>
      </c>
      <c r="G22" s="5">
        <f t="shared" si="1"/>
        <v>16.020837329095542</v>
      </c>
      <c r="H22" s="5">
        <f t="shared" si="1"/>
        <v>16.714857560262971</v>
      </c>
      <c r="I22" s="5">
        <f t="shared" si="1"/>
        <v>16.075096942249061</v>
      </c>
      <c r="J22" s="5">
        <f t="shared" si="1"/>
        <v>15.471702432919201</v>
      </c>
      <c r="K22" s="5">
        <f t="shared" si="1"/>
        <v>17.676472054644265</v>
      </c>
      <c r="L22" s="5">
        <f t="shared" si="1"/>
        <v>16.730038022813687</v>
      </c>
      <c r="M22" s="5" t="e">
        <f t="shared" si="1"/>
        <v>#DIV/0!</v>
      </c>
      <c r="N22" s="5" t="e">
        <f t="shared" si="1"/>
        <v>#DIV/0!</v>
      </c>
      <c r="O22" s="5" t="e">
        <f t="shared" si="1"/>
        <v>#DIV/0!</v>
      </c>
      <c r="P22" s="5" t="e">
        <f t="shared" si="1"/>
        <v>#DIV/0!</v>
      </c>
      <c r="Q22" s="5" t="e">
        <f t="shared" si="0"/>
        <v>#DIV/0!</v>
      </c>
    </row>
    <row r="23" spans="3:17" x14ac:dyDescent="0.35">
      <c r="D23" s="3" t="s">
        <v>43</v>
      </c>
      <c r="E23" s="9">
        <f>E21/E19</f>
        <v>0.71892469413259141</v>
      </c>
      <c r="F23" s="9">
        <f t="shared" ref="F23:P23" si="2">F20/F19</f>
        <v>1.1577766761355439</v>
      </c>
      <c r="G23" s="9">
        <f t="shared" si="2"/>
        <v>1.1456439757190504</v>
      </c>
      <c r="H23" s="9">
        <f t="shared" si="2"/>
        <v>1.1519532505478451</v>
      </c>
      <c r="I23" s="9">
        <f t="shared" si="2"/>
        <v>1.1461372449295368</v>
      </c>
      <c r="J23" s="9">
        <f t="shared" si="2"/>
        <v>1.1406518402992654</v>
      </c>
      <c r="K23" s="9">
        <f t="shared" si="2"/>
        <v>1.1606952004967661</v>
      </c>
      <c r="L23" s="9">
        <f t="shared" si="2"/>
        <v>1.1520912547528517</v>
      </c>
      <c r="M23" s="9" t="e">
        <f t="shared" si="2"/>
        <v>#DIV/0!</v>
      </c>
      <c r="N23" s="9" t="e">
        <f t="shared" si="2"/>
        <v>#DIV/0!</v>
      </c>
      <c r="O23" s="9" t="e">
        <f t="shared" si="2"/>
        <v>#DIV/0!</v>
      </c>
      <c r="P23" s="9" t="e">
        <f t="shared" si="2"/>
        <v>#DIV/0!</v>
      </c>
    </row>
    <row r="25" spans="3:17" x14ac:dyDescent="0.35">
      <c r="C25" s="7" t="s">
        <v>3</v>
      </c>
      <c r="E25" s="11">
        <f>E18</f>
        <v>45839</v>
      </c>
      <c r="F25" s="11">
        <f t="shared" ref="F25:P25" si="3">F18</f>
        <v>45870</v>
      </c>
      <c r="G25" s="11">
        <f t="shared" si="3"/>
        <v>45901</v>
      </c>
      <c r="H25" s="11">
        <f t="shared" si="3"/>
        <v>45931</v>
      </c>
      <c r="I25" s="11">
        <f t="shared" si="3"/>
        <v>45962</v>
      </c>
      <c r="J25" s="11">
        <f t="shared" si="3"/>
        <v>45992</v>
      </c>
      <c r="K25" s="11">
        <f t="shared" si="3"/>
        <v>46023</v>
      </c>
      <c r="L25" s="11">
        <f t="shared" si="3"/>
        <v>46054</v>
      </c>
      <c r="M25" s="11">
        <f t="shared" si="3"/>
        <v>46082</v>
      </c>
      <c r="N25" s="11">
        <f t="shared" si="3"/>
        <v>46113</v>
      </c>
      <c r="O25" s="11">
        <f t="shared" si="3"/>
        <v>46143</v>
      </c>
      <c r="P25" s="11">
        <f t="shared" si="3"/>
        <v>46174</v>
      </c>
    </row>
    <row r="26" spans="3:17" x14ac:dyDescent="0.35">
      <c r="D26" s="3" t="str">
        <f>D19</f>
        <v>Budget 2025-26</v>
      </c>
      <c r="E26" s="5">
        <f>AVERAGE($E19:E19)</f>
        <v>110</v>
      </c>
      <c r="F26" s="5">
        <f>AVERAGE($E19:F19)</f>
        <v>110</v>
      </c>
      <c r="G26" s="5">
        <f>AVERAGE($E19:G19)</f>
        <v>110</v>
      </c>
      <c r="H26" s="5">
        <f>AVERAGE($E19:H19)</f>
        <v>110</v>
      </c>
      <c r="I26" s="5">
        <f>AVERAGE($E19:I19)</f>
        <v>110</v>
      </c>
      <c r="J26" s="5">
        <f>AVERAGE($E19:J19)</f>
        <v>110</v>
      </c>
      <c r="K26" s="5">
        <f>AVERAGE($E19:K19)</f>
        <v>110</v>
      </c>
      <c r="L26" s="5">
        <f>AVERAGE($E19:L19)</f>
        <v>110</v>
      </c>
      <c r="M26" s="5">
        <f>AVERAGE($E19:M19)</f>
        <v>110</v>
      </c>
      <c r="N26" s="5">
        <f>AVERAGE($E19:N19)</f>
        <v>110</v>
      </c>
      <c r="O26" s="5">
        <f>AVERAGE($E19:O19)</f>
        <v>110</v>
      </c>
      <c r="P26" s="5">
        <f>AVERAGE($E19:P19)</f>
        <v>110</v>
      </c>
    </row>
    <row r="27" spans="3:17" x14ac:dyDescent="0.35">
      <c r="D27" s="3" t="str">
        <f t="shared" ref="D27:D30" si="4">D20</f>
        <v>Actual 2025-26</v>
      </c>
      <c r="E27" s="5">
        <f>AVERAGE($E20:E20)</f>
        <v>125.57837948577867</v>
      </c>
      <c r="F27" s="5">
        <f>AVERAGE($E20:F20)</f>
        <v>126.46690693034425</v>
      </c>
      <c r="G27" s="5">
        <f>AVERAGE($E20:G20)</f>
        <v>126.31821706326134</v>
      </c>
      <c r="H27" s="5">
        <f>AVERAGE($E20:H20)</f>
        <v>126.41737718751176</v>
      </c>
      <c r="I27" s="5">
        <f>AVERAGE($E20:I20)</f>
        <v>126.34892113845922</v>
      </c>
      <c r="J27" s="5">
        <f>AVERAGE($E20:J20)</f>
        <v>126.20271802086921</v>
      </c>
      <c r="K27" s="5">
        <f>AVERAGE($E20:K20)</f>
        <v>126.41325431140851</v>
      </c>
      <c r="L27" s="5">
        <f>AVERAGE($E20:L20)</f>
        <v>126.45285227533415</v>
      </c>
      <c r="M27" s="5" t="e">
        <f>AVERAGE($E20:M20)</f>
        <v>#DIV/0!</v>
      </c>
      <c r="N27" s="5" t="e">
        <f>AVERAGE($E20:N20)</f>
        <v>#DIV/0!</v>
      </c>
      <c r="O27" s="5" t="e">
        <f>AVERAGE($E20:O20)</f>
        <v>#DIV/0!</v>
      </c>
      <c r="P27" s="5" t="e">
        <f>AVERAGE($E20:P20)</f>
        <v>#DIV/0!</v>
      </c>
    </row>
    <row r="28" spans="3:17" x14ac:dyDescent="0.35">
      <c r="D28" s="3" t="str">
        <f t="shared" si="4"/>
        <v>Actual 2024-25</v>
      </c>
      <c r="E28" s="5">
        <f>SUM($E21:E21)</f>
        <v>79.081716354585055</v>
      </c>
      <c r="F28" s="5">
        <f>SUM($E21:F21)</f>
        <v>161.69516497423515</v>
      </c>
      <c r="G28" s="5">
        <f>SUM($E21:G21)</f>
        <v>241.23575323828189</v>
      </c>
      <c r="H28" s="5">
        <f>SUM($E21:H21)</f>
        <v>319.60161750832469</v>
      </c>
      <c r="I28" s="5">
        <f>SUM($E21:I21)</f>
        <v>398.39886252199955</v>
      </c>
      <c r="J28" s="5">
        <f>SUM($E21:J21)</f>
        <v>475.42081688026997</v>
      </c>
      <c r="K28" s="5">
        <f>SUM($E21:K21)</f>
        <v>555.48515917171869</v>
      </c>
      <c r="L28" s="5">
        <f>SUM($E21:L21)</f>
        <v>634.4135121854124</v>
      </c>
      <c r="M28" s="5">
        <f>SUM($E21:M21)</f>
        <v>713.68248115096878</v>
      </c>
      <c r="N28" s="5">
        <f>SUM($E21:N21)</f>
        <v>816.69423864978785</v>
      </c>
      <c r="O28" s="5">
        <f>SUM($E21:O21)</f>
        <v>943.66946214582549</v>
      </c>
      <c r="P28" s="5">
        <f>SUM($E21:P21)</f>
        <v>1070.3993952612636</v>
      </c>
    </row>
    <row r="29" spans="3:17" x14ac:dyDescent="0.35">
      <c r="D29" s="3" t="str">
        <f t="shared" si="4"/>
        <v>Difference</v>
      </c>
      <c r="E29" s="5">
        <f>SUM($E22:E22)</f>
        <v>15.578379485778669</v>
      </c>
      <c r="F29" s="5">
        <f>SUM($E22:F22)</f>
        <v>32.933813860688502</v>
      </c>
      <c r="G29" s="5">
        <f>SUM($E22:G22)</f>
        <v>48.954651189784045</v>
      </c>
      <c r="H29" s="5">
        <f>SUM($E22:H22)</f>
        <v>65.669508750047015</v>
      </c>
      <c r="I29" s="5">
        <f>SUM($E22:I22)</f>
        <v>81.744605692296076</v>
      </c>
      <c r="J29" s="5">
        <f>SUM($E22:J22)</f>
        <v>97.216308125215278</v>
      </c>
      <c r="K29" s="5">
        <f>SUM($E22:K22)</f>
        <v>114.89278017985954</v>
      </c>
      <c r="L29" s="5">
        <f>SUM($E22:L22)</f>
        <v>131.62281820267322</v>
      </c>
      <c r="M29" s="5" t="e">
        <f>SUM($E22:M22)</f>
        <v>#DIV/0!</v>
      </c>
      <c r="N29" s="5" t="e">
        <f>SUM($E22:N22)</f>
        <v>#DIV/0!</v>
      </c>
      <c r="O29" s="5" t="e">
        <f>SUM($E22:O22)</f>
        <v>#DIV/0!</v>
      </c>
      <c r="P29" s="5" t="e">
        <f>SUM($E22:P22)</f>
        <v>#DIV/0!</v>
      </c>
    </row>
    <row r="30" spans="3:17" x14ac:dyDescent="0.35">
      <c r="D30" s="3" t="str">
        <f t="shared" si="4"/>
        <v>Realisation</v>
      </c>
      <c r="E30" s="9">
        <f>E28/E26</f>
        <v>0.71892469413259141</v>
      </c>
      <c r="F30" s="9">
        <f t="shared" ref="F30:P30" si="5">F27/F26</f>
        <v>1.1496991539122206</v>
      </c>
      <c r="G30" s="9">
        <f t="shared" si="5"/>
        <v>1.1483474278478305</v>
      </c>
      <c r="H30" s="9">
        <f t="shared" si="5"/>
        <v>1.1492488835228343</v>
      </c>
      <c r="I30" s="9">
        <f t="shared" si="5"/>
        <v>1.1486265558041746</v>
      </c>
      <c r="J30" s="9">
        <f t="shared" si="5"/>
        <v>1.1472974365533566</v>
      </c>
      <c r="K30" s="9">
        <f t="shared" si="5"/>
        <v>1.1492114028309863</v>
      </c>
      <c r="L30" s="9">
        <f t="shared" si="5"/>
        <v>1.1495713843212196</v>
      </c>
      <c r="M30" s="9" t="e">
        <f t="shared" si="5"/>
        <v>#DIV/0!</v>
      </c>
      <c r="N30" s="9" t="e">
        <f t="shared" si="5"/>
        <v>#DIV/0!</v>
      </c>
      <c r="O30" s="9" t="e">
        <f t="shared" si="5"/>
        <v>#DIV/0!</v>
      </c>
      <c r="P30" s="9" t="e">
        <f t="shared" si="5"/>
        <v>#DIV/0!</v>
      </c>
    </row>
  </sheetData>
  <mergeCells count="2">
    <mergeCell ref="J4:Q8"/>
    <mergeCell ref="J10:Q15"/>
  </mergeCells>
  <conditionalFormatting sqref="C3">
    <cfRule type="expression" dxfId="62" priority="2">
      <formula>S4&lt;S6</formula>
    </cfRule>
  </conditionalFormatting>
  <conditionalFormatting sqref="C5">
    <cfRule type="expression" dxfId="61" priority="3">
      <formula>S4&gt;=S5</formula>
    </cfRule>
  </conditionalFormatting>
  <conditionalFormatting sqref="C4">
    <cfRule type="expression" dxfId="60" priority="1">
      <formula>AND(S4&gt;=S6,S4&lt;S5)</formula>
    </cfRule>
  </conditionalFormatting>
  <hyperlinks>
    <hyperlink ref="L1" location="Dashboard!A1" display="Dashboard"/>
  </hyperlinks>
  <pageMargins left="0.7" right="0.7" top="0.75" bottom="0.75" header="0.3" footer="0.3"/>
  <pageSetup orientation="portrait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71105" r:id="rId4" name="Spinner 1">
              <controlPr defaultSize="0" autoPict="0">
                <anchor moveWithCells="1" sizeWithCells="1">
                  <from>
                    <xdr:col>9</xdr:col>
                    <xdr:colOff>19050</xdr:colOff>
                    <xdr:row>0</xdr:row>
                    <xdr:rowOff>38100</xdr:rowOff>
                  </from>
                  <to>
                    <xdr:col>9</xdr:col>
                    <xdr:colOff>400050</xdr:colOff>
                    <xdr:row>1</xdr:row>
                    <xdr:rowOff>152400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17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135">
    <tabColor rgb="FFFFC000"/>
  </sheetPr>
  <dimension ref="A1:S30"/>
  <sheetViews>
    <sheetView zoomScale="90" zoomScaleNormal="90" workbookViewId="0">
      <selection activeCell="L1" sqref="L1"/>
    </sheetView>
  </sheetViews>
  <sheetFormatPr defaultColWidth="9.1796875" defaultRowHeight="14.5" x14ac:dyDescent="0.35"/>
  <cols>
    <col min="1" max="1" width="9.1796875" style="3"/>
    <col min="2" max="2" width="5.7265625" style="3" bestFit="1" customWidth="1"/>
    <col min="3" max="3" width="6.26953125" style="3" customWidth="1"/>
    <col min="4" max="4" width="21.26953125" style="3" bestFit="1" customWidth="1"/>
    <col min="5" max="16" width="11.1796875" style="3" customWidth="1"/>
    <col min="17" max="17" width="12" style="3" bestFit="1" customWidth="1"/>
    <col min="18" max="18" width="9.1796875" style="3" customWidth="1"/>
    <col min="19" max="16384" width="9.1796875" style="3"/>
  </cols>
  <sheetData>
    <row r="1" spans="1:19" ht="21" x14ac:dyDescent="0.5">
      <c r="A1" s="4" t="s">
        <v>4</v>
      </c>
      <c r="B1" s="4">
        <f>Dashboard!A188</f>
        <v>5</v>
      </c>
      <c r="C1" s="4" t="str">
        <f>Dashboard!B188</f>
        <v>AVG TARIFF SEWER (KSH/NO.)</v>
      </c>
      <c r="D1" s="4"/>
      <c r="G1" s="3" t="s">
        <v>9</v>
      </c>
      <c r="I1" s="12">
        <f>INDEX($E$18:$P$18,Actual_month)</f>
        <v>46054</v>
      </c>
      <c r="L1" s="16" t="s">
        <v>19</v>
      </c>
      <c r="R1" s="5"/>
    </row>
    <row r="2" spans="1:19" x14ac:dyDescent="0.35">
      <c r="A2" s="3" t="s">
        <v>13</v>
      </c>
      <c r="C2" s="3" t="s">
        <v>27</v>
      </c>
      <c r="R2" s="6"/>
    </row>
    <row r="3" spans="1:19" ht="25.5" customHeight="1" thickBot="1" x14ac:dyDescent="0.4">
      <c r="C3" s="1" t="s">
        <v>5</v>
      </c>
      <c r="E3" s="10"/>
      <c r="F3" s="10"/>
      <c r="G3" s="10"/>
      <c r="H3" s="10"/>
      <c r="I3" s="10"/>
      <c r="J3" s="3" t="s">
        <v>6</v>
      </c>
      <c r="K3" s="10"/>
      <c r="M3" s="10"/>
      <c r="N3" s="10"/>
      <c r="O3" s="10"/>
      <c r="P3" s="10"/>
    </row>
    <row r="4" spans="1:19" ht="25.5" customHeight="1" x14ac:dyDescent="0.35">
      <c r="C4" s="1" t="s">
        <v>5</v>
      </c>
      <c r="E4" s="10"/>
      <c r="F4" s="10"/>
      <c r="G4" s="10"/>
      <c r="H4" s="10"/>
      <c r="I4" s="10"/>
      <c r="J4" s="401"/>
      <c r="K4" s="402"/>
      <c r="L4" s="402"/>
      <c r="M4" s="402"/>
      <c r="N4" s="402"/>
      <c r="O4" s="402"/>
      <c r="P4" s="402"/>
      <c r="Q4" s="403"/>
      <c r="R4" s="3" t="s">
        <v>22</v>
      </c>
      <c r="S4" s="5">
        <f>INDEX(E27:P27,Actual_month)</f>
        <v>3146.5575180641226</v>
      </c>
    </row>
    <row r="5" spans="1:19" ht="25.5" customHeight="1" x14ac:dyDescent="0.35">
      <c r="C5" s="1" t="s">
        <v>5</v>
      </c>
      <c r="E5" s="10"/>
      <c r="F5" s="10"/>
      <c r="G5" s="10"/>
      <c r="H5" s="10"/>
      <c r="I5" s="10"/>
      <c r="J5" s="404"/>
      <c r="K5" s="405"/>
      <c r="L5" s="405"/>
      <c r="M5" s="405"/>
      <c r="N5" s="405"/>
      <c r="O5" s="405"/>
      <c r="P5" s="405"/>
      <c r="Q5" s="406"/>
      <c r="R5" s="3" t="s">
        <v>23</v>
      </c>
      <c r="S5" s="5">
        <f>INDEX(E26:P26,Actual_month)</f>
        <v>2717.9701170570297</v>
      </c>
    </row>
    <row r="6" spans="1:19" x14ac:dyDescent="0.35">
      <c r="J6" s="404"/>
      <c r="K6" s="405"/>
      <c r="L6" s="405"/>
      <c r="M6" s="405"/>
      <c r="N6" s="405"/>
      <c r="O6" s="405"/>
      <c r="P6" s="405"/>
      <c r="Q6" s="406"/>
      <c r="R6" s="6">
        <v>0.9</v>
      </c>
      <c r="S6" s="5">
        <f>+S5*R6</f>
        <v>2446.1731053513267</v>
      </c>
    </row>
    <row r="7" spans="1:19" x14ac:dyDescent="0.35">
      <c r="J7" s="404"/>
      <c r="K7" s="405"/>
      <c r="L7" s="405"/>
      <c r="M7" s="405"/>
      <c r="N7" s="405"/>
      <c r="O7" s="405"/>
      <c r="P7" s="405"/>
      <c r="Q7" s="406"/>
    </row>
    <row r="8" spans="1:19" ht="15" thickBot="1" x14ac:dyDescent="0.4">
      <c r="J8" s="407"/>
      <c r="K8" s="408"/>
      <c r="L8" s="408"/>
      <c r="M8" s="408"/>
      <c r="N8" s="408"/>
      <c r="O8" s="408"/>
      <c r="P8" s="408"/>
      <c r="Q8" s="409"/>
    </row>
    <row r="9" spans="1:19" ht="15" thickBot="1" x14ac:dyDescent="0.4">
      <c r="J9" s="3" t="s">
        <v>12</v>
      </c>
    </row>
    <row r="10" spans="1:19" x14ac:dyDescent="0.35">
      <c r="J10" s="401"/>
      <c r="K10" s="402"/>
      <c r="L10" s="402"/>
      <c r="M10" s="402"/>
      <c r="N10" s="402"/>
      <c r="O10" s="402"/>
      <c r="P10" s="402"/>
      <c r="Q10" s="403"/>
    </row>
    <row r="11" spans="1:19" x14ac:dyDescent="0.35">
      <c r="J11" s="404"/>
      <c r="K11" s="405"/>
      <c r="L11" s="405"/>
      <c r="M11" s="405"/>
      <c r="N11" s="405"/>
      <c r="O11" s="405"/>
      <c r="P11" s="405"/>
      <c r="Q11" s="406"/>
    </row>
    <row r="12" spans="1:19" x14ac:dyDescent="0.35">
      <c r="J12" s="404"/>
      <c r="K12" s="405"/>
      <c r="L12" s="405"/>
      <c r="M12" s="405"/>
      <c r="N12" s="405"/>
      <c r="O12" s="405"/>
      <c r="P12" s="405"/>
      <c r="Q12" s="406"/>
    </row>
    <row r="13" spans="1:19" x14ac:dyDescent="0.35">
      <c r="J13" s="404"/>
      <c r="K13" s="405"/>
      <c r="L13" s="405"/>
      <c r="M13" s="405"/>
      <c r="N13" s="405"/>
      <c r="O13" s="405"/>
      <c r="P13" s="405"/>
      <c r="Q13" s="406"/>
    </row>
    <row r="14" spans="1:19" x14ac:dyDescent="0.35">
      <c r="J14" s="404"/>
      <c r="K14" s="405"/>
      <c r="L14" s="405"/>
      <c r="M14" s="405"/>
      <c r="N14" s="405"/>
      <c r="O14" s="405"/>
      <c r="P14" s="405"/>
      <c r="Q14" s="406"/>
    </row>
    <row r="15" spans="1:19" ht="15" thickBot="1" x14ac:dyDescent="0.4">
      <c r="J15" s="407"/>
      <c r="K15" s="408"/>
      <c r="L15" s="408"/>
      <c r="M15" s="408"/>
      <c r="N15" s="408"/>
      <c r="O15" s="408"/>
      <c r="P15" s="408"/>
      <c r="Q15" s="409"/>
    </row>
    <row r="18" spans="3:17" x14ac:dyDescent="0.35">
      <c r="C18" s="7" t="s">
        <v>8</v>
      </c>
      <c r="E18" s="11">
        <v>45839</v>
      </c>
      <c r="F18" s="11">
        <v>45870</v>
      </c>
      <c r="G18" s="11">
        <v>45901</v>
      </c>
      <c r="H18" s="11">
        <v>45931</v>
      </c>
      <c r="I18" s="11">
        <v>45962</v>
      </c>
      <c r="J18" s="11">
        <v>45992</v>
      </c>
      <c r="K18" s="11">
        <v>46023</v>
      </c>
      <c r="L18" s="11">
        <v>46054</v>
      </c>
      <c r="M18" s="11">
        <v>46082</v>
      </c>
      <c r="N18" s="11">
        <v>46113</v>
      </c>
      <c r="O18" s="11">
        <v>46143</v>
      </c>
      <c r="P18" s="11">
        <v>46174</v>
      </c>
      <c r="Q18" s="8" t="s">
        <v>0</v>
      </c>
    </row>
    <row r="19" spans="3:17" x14ac:dyDescent="0.35">
      <c r="D19" s="3" t="s">
        <v>501</v>
      </c>
      <c r="E19" s="49">
        <f>'budget 2025-26'!D177</f>
        <v>2743.6602229129385</v>
      </c>
      <c r="F19" s="49">
        <f>'budget 2025-26'!E177</f>
        <v>2736.1006574635153</v>
      </c>
      <c r="G19" s="49">
        <f>'budget 2025-26'!F177</f>
        <v>2728.653921349156</v>
      </c>
      <c r="H19" s="49">
        <f>'budget 2025-26'!G177</f>
        <v>2721.3175072513077</v>
      </c>
      <c r="I19" s="49">
        <f>'budget 2025-26'!H177</f>
        <v>2714.0889815960741</v>
      </c>
      <c r="J19" s="49">
        <f>'budget 2025-26'!I177</f>
        <v>2706.9659818628147</v>
      </c>
      <c r="K19" s="49">
        <f>'budget 2025-26'!J177</f>
        <v>2699.9462140097471</v>
      </c>
      <c r="L19" s="49">
        <f>'budget 2025-26'!K177</f>
        <v>2693.0274500106807</v>
      </c>
      <c r="M19" s="49">
        <f>'budget 2025-26'!L177</f>
        <v>2686.2075254973151</v>
      </c>
      <c r="N19" s="49">
        <f>'budget 2025-26'!M177</f>
        <v>2679.484337501869</v>
      </c>
      <c r="O19" s="49">
        <f>'budget 2025-26'!N177</f>
        <v>2672.8558422950914</v>
      </c>
      <c r="P19" s="49">
        <f>'budget 2025-26'!O177</f>
        <v>2666.3200533149834</v>
      </c>
      <c r="Q19" s="5">
        <f>SUM(E19:P19)</f>
        <v>32448.628695065498</v>
      </c>
    </row>
    <row r="20" spans="3:17" x14ac:dyDescent="0.35">
      <c r="D20" s="3" t="s">
        <v>502</v>
      </c>
      <c r="E20" s="49">
        <f>'Input Actual2025-26'!E180</f>
        <v>3116.5688524590164</v>
      </c>
      <c r="F20" s="49">
        <f>'Input Actual2025-26'!F180</f>
        <v>3291.4349482852481</v>
      </c>
      <c r="G20" s="49">
        <f>'Input Actual2025-26'!G180</f>
        <v>3110.6775421424686</v>
      </c>
      <c r="H20" s="49">
        <f>'Input Actual2025-26'!H180</f>
        <v>3177.8861035422347</v>
      </c>
      <c r="I20" s="49">
        <f>'Input Actual2025-26'!I180</f>
        <v>2910.2034313725489</v>
      </c>
      <c r="J20" s="49">
        <f>'Input Actual2025-26'!J180</f>
        <v>2658.7554471544713</v>
      </c>
      <c r="K20" s="49">
        <f>'Input Actual2025-26'!K180</f>
        <v>3759.1266882766076</v>
      </c>
      <c r="L20" s="49">
        <f>'Input Actual2025-26'!L180</f>
        <v>3147.8071312803895</v>
      </c>
      <c r="M20" s="49" t="e">
        <f>'Input Actual2025-26'!M180</f>
        <v>#DIV/0!</v>
      </c>
      <c r="N20" s="49" t="e">
        <f>'Input Actual2025-26'!N180</f>
        <v>#DIV/0!</v>
      </c>
      <c r="O20" s="49" t="e">
        <f>'Input Actual2025-26'!O180</f>
        <v>#DIV/0!</v>
      </c>
      <c r="P20" s="49" t="e">
        <f>'Input Actual2025-26'!P180</f>
        <v>#DIV/0!</v>
      </c>
      <c r="Q20" s="5" t="e">
        <f t="shared" ref="Q20:Q22" si="0">SUM(E20:P20)</f>
        <v>#DIV/0!</v>
      </c>
    </row>
    <row r="21" spans="3:17" x14ac:dyDescent="0.35">
      <c r="D21" s="3" t="s">
        <v>424</v>
      </c>
      <c r="E21" s="49">
        <f>'Input Actual2024-25'!E167</f>
        <v>2298.0986577181206</v>
      </c>
      <c r="F21" s="49">
        <f>'Input Actual2024-25'!F167</f>
        <v>2807.6361435726212</v>
      </c>
      <c r="G21" s="49">
        <f>'Input Actual2024-25'!G167</f>
        <v>2382.3568965517243</v>
      </c>
      <c r="H21" s="49">
        <f>'Input Actual2024-25'!H167</f>
        <v>2466.4439688715956</v>
      </c>
      <c r="I21" s="49">
        <f>'Input Actual2024-25'!I167</f>
        <v>2482.3053709856035</v>
      </c>
      <c r="J21" s="49">
        <f>'Input Actual2024-25'!J167</f>
        <v>2085.3754570637116</v>
      </c>
      <c r="K21" s="49">
        <f>'Input Actual2024-25'!K167</f>
        <v>2993.723068432671</v>
      </c>
      <c r="L21" s="49">
        <f>'Input Actual2024-25'!L167</f>
        <v>2562.8243822075783</v>
      </c>
      <c r="M21" s="49">
        <f>'Input Actual2024-25'!M167</f>
        <v>2710.9680229382852</v>
      </c>
      <c r="N21" s="49">
        <f>'Input Actual2024-25'!N167</f>
        <v>3112.0320163487741</v>
      </c>
      <c r="O21" s="49">
        <f>'Input Actual2024-25'!O167</f>
        <v>3347.7134279475986</v>
      </c>
      <c r="P21" s="49">
        <f>'Input Actual2024-25'!P167</f>
        <v>3395.724768139662</v>
      </c>
      <c r="Q21" s="5">
        <f t="shared" si="0"/>
        <v>32645.202180777946</v>
      </c>
    </row>
    <row r="22" spans="3:17" x14ac:dyDescent="0.35">
      <c r="D22" s="3" t="s">
        <v>7</v>
      </c>
      <c r="E22" s="5">
        <f t="shared" ref="E22:P22" si="1">IF(E20=0,0,E20-E19)</f>
        <v>372.90862954607792</v>
      </c>
      <c r="F22" s="5">
        <f t="shared" si="1"/>
        <v>555.33429082173279</v>
      </c>
      <c r="G22" s="5">
        <f t="shared" si="1"/>
        <v>382.0236207933126</v>
      </c>
      <c r="H22" s="5">
        <f t="shared" si="1"/>
        <v>456.56859629092696</v>
      </c>
      <c r="I22" s="5">
        <f t="shared" si="1"/>
        <v>196.11444977647488</v>
      </c>
      <c r="J22" s="5">
        <f t="shared" si="1"/>
        <v>-48.210534708343403</v>
      </c>
      <c r="K22" s="5">
        <f t="shared" si="1"/>
        <v>1059.1804742668605</v>
      </c>
      <c r="L22" s="5">
        <f t="shared" si="1"/>
        <v>454.77968126970882</v>
      </c>
      <c r="M22" s="5" t="e">
        <f t="shared" si="1"/>
        <v>#DIV/0!</v>
      </c>
      <c r="N22" s="5" t="e">
        <f t="shared" si="1"/>
        <v>#DIV/0!</v>
      </c>
      <c r="O22" s="5" t="e">
        <f t="shared" si="1"/>
        <v>#DIV/0!</v>
      </c>
      <c r="P22" s="5" t="e">
        <f t="shared" si="1"/>
        <v>#DIV/0!</v>
      </c>
      <c r="Q22" s="5" t="e">
        <f t="shared" si="0"/>
        <v>#DIV/0!</v>
      </c>
    </row>
    <row r="23" spans="3:17" x14ac:dyDescent="0.35">
      <c r="D23" s="3" t="s">
        <v>43</v>
      </c>
      <c r="E23" s="9">
        <f>E21/E19</f>
        <v>0.83760322744273119</v>
      </c>
      <c r="F23" s="9">
        <f t="shared" ref="F23:P23" si="2">F20/F19</f>
        <v>1.2029655924049782</v>
      </c>
      <c r="G23" s="9">
        <f t="shared" si="2"/>
        <v>1.1400044240877658</v>
      </c>
      <c r="H23" s="9">
        <f t="shared" si="2"/>
        <v>1.1677748351944748</v>
      </c>
      <c r="I23" s="9">
        <f t="shared" si="2"/>
        <v>1.0722579293111996</v>
      </c>
      <c r="J23" s="9">
        <f t="shared" si="2"/>
        <v>0.98219019558008369</v>
      </c>
      <c r="K23" s="9">
        <f t="shared" si="2"/>
        <v>1.3922968793862931</v>
      </c>
      <c r="L23" s="9">
        <f t="shared" si="2"/>
        <v>1.1688730210558771</v>
      </c>
      <c r="M23" s="9" t="e">
        <f t="shared" si="2"/>
        <v>#DIV/0!</v>
      </c>
      <c r="N23" s="9" t="e">
        <f t="shared" si="2"/>
        <v>#DIV/0!</v>
      </c>
      <c r="O23" s="9" t="e">
        <f t="shared" si="2"/>
        <v>#DIV/0!</v>
      </c>
      <c r="P23" s="9" t="e">
        <f t="shared" si="2"/>
        <v>#DIV/0!</v>
      </c>
    </row>
    <row r="25" spans="3:17" x14ac:dyDescent="0.35">
      <c r="C25" s="7" t="s">
        <v>3</v>
      </c>
      <c r="E25" s="11">
        <f>E18</f>
        <v>45839</v>
      </c>
      <c r="F25" s="11">
        <f t="shared" ref="F25:P25" si="3">F18</f>
        <v>45870</v>
      </c>
      <c r="G25" s="11">
        <f t="shared" si="3"/>
        <v>45901</v>
      </c>
      <c r="H25" s="11">
        <f t="shared" si="3"/>
        <v>45931</v>
      </c>
      <c r="I25" s="11">
        <f t="shared" si="3"/>
        <v>45962</v>
      </c>
      <c r="J25" s="11">
        <f t="shared" si="3"/>
        <v>45992</v>
      </c>
      <c r="K25" s="11">
        <f t="shared" si="3"/>
        <v>46023</v>
      </c>
      <c r="L25" s="11">
        <f t="shared" si="3"/>
        <v>46054</v>
      </c>
      <c r="M25" s="11">
        <f t="shared" si="3"/>
        <v>46082</v>
      </c>
      <c r="N25" s="11">
        <f t="shared" si="3"/>
        <v>46113</v>
      </c>
      <c r="O25" s="11">
        <f t="shared" si="3"/>
        <v>46143</v>
      </c>
      <c r="P25" s="11">
        <f t="shared" si="3"/>
        <v>46174</v>
      </c>
    </row>
    <row r="26" spans="3:17" x14ac:dyDescent="0.35">
      <c r="D26" s="3" t="str">
        <f>D19</f>
        <v>Budget 2025-26</v>
      </c>
      <c r="E26" s="5">
        <f>AVERAGE($E19:E19)</f>
        <v>2743.6602229129385</v>
      </c>
      <c r="F26" s="5">
        <f>AVERAGE($E19:F19)</f>
        <v>2739.8804401882271</v>
      </c>
      <c r="G26" s="5">
        <f>AVERAGE($E19:G19)</f>
        <v>2736.1382672418699</v>
      </c>
      <c r="H26" s="5">
        <f>AVERAGE($E19:H19)</f>
        <v>2732.4330772442295</v>
      </c>
      <c r="I26" s="5">
        <f>AVERAGE($E19:I19)</f>
        <v>2728.7642581145983</v>
      </c>
      <c r="J26" s="5">
        <f>AVERAGE($E19:J19)</f>
        <v>2725.1312120726348</v>
      </c>
      <c r="K26" s="5">
        <f>AVERAGE($E19:K19)</f>
        <v>2721.5333552065081</v>
      </c>
      <c r="L26" s="5">
        <f>AVERAGE($E19:L19)</f>
        <v>2717.9701170570297</v>
      </c>
      <c r="M26" s="5">
        <f>AVERAGE($E19:M19)</f>
        <v>2714.4409402170618</v>
      </c>
      <c r="N26" s="5">
        <f>AVERAGE($E19:N19)</f>
        <v>2710.9452799455421</v>
      </c>
      <c r="O26" s="5">
        <f>AVERAGE($E19:O19)</f>
        <v>2707.4826037955013</v>
      </c>
      <c r="P26" s="5">
        <f>AVERAGE($E19:P19)</f>
        <v>2704.0523912554581</v>
      </c>
    </row>
    <row r="27" spans="3:17" x14ac:dyDescent="0.35">
      <c r="D27" s="3" t="str">
        <f t="shared" ref="D27:D30" si="4">D20</f>
        <v>Actual 2025-26</v>
      </c>
      <c r="E27" s="5">
        <f>AVERAGE($E20:E20)</f>
        <v>3116.5688524590164</v>
      </c>
      <c r="F27" s="5">
        <f>AVERAGE($E20:F20)</f>
        <v>3204.0019003721322</v>
      </c>
      <c r="G27" s="5">
        <f>AVERAGE($E20:G20)</f>
        <v>3172.8937809622444</v>
      </c>
      <c r="H27" s="5">
        <f>AVERAGE($E20:H20)</f>
        <v>3174.1418616072419</v>
      </c>
      <c r="I27" s="5">
        <f>AVERAGE($E20:I20)</f>
        <v>3121.3541755603032</v>
      </c>
      <c r="J27" s="5">
        <f>AVERAGE($E20:J20)</f>
        <v>3044.2543874926646</v>
      </c>
      <c r="K27" s="5">
        <f>AVERAGE($E20:K20)</f>
        <v>3146.3790018903705</v>
      </c>
      <c r="L27" s="5">
        <f>AVERAGE($E20:L20)</f>
        <v>3146.5575180641226</v>
      </c>
      <c r="M27" s="5" t="e">
        <f>AVERAGE($E20:M20)</f>
        <v>#DIV/0!</v>
      </c>
      <c r="N27" s="5" t="e">
        <f>AVERAGE($E20:N20)</f>
        <v>#DIV/0!</v>
      </c>
      <c r="O27" s="5" t="e">
        <f>AVERAGE($E20:O20)</f>
        <v>#DIV/0!</v>
      </c>
      <c r="P27" s="5" t="e">
        <f>AVERAGE($E20:P20)</f>
        <v>#DIV/0!</v>
      </c>
    </row>
    <row r="28" spans="3:17" x14ac:dyDescent="0.35">
      <c r="D28" s="3" t="str">
        <f t="shared" si="4"/>
        <v>Actual 2024-25</v>
      </c>
      <c r="E28" s="5">
        <f>SUM($E21:E21)</f>
        <v>2298.0986577181206</v>
      </c>
      <c r="F28" s="5">
        <f>SUM($E21:F21)</f>
        <v>5105.7348012907423</v>
      </c>
      <c r="G28" s="5">
        <f>SUM($E21:G21)</f>
        <v>7488.0916978424666</v>
      </c>
      <c r="H28" s="5">
        <f>SUM($E21:H21)</f>
        <v>9954.5356667140622</v>
      </c>
      <c r="I28" s="5">
        <f>SUM($E21:I21)</f>
        <v>12436.841037699665</v>
      </c>
      <c r="J28" s="5">
        <f>SUM($E21:J21)</f>
        <v>14522.216494763377</v>
      </c>
      <c r="K28" s="5">
        <f>SUM($E21:K21)</f>
        <v>17515.939563196047</v>
      </c>
      <c r="L28" s="5">
        <f>SUM($E21:L21)</f>
        <v>20078.763945403625</v>
      </c>
      <c r="M28" s="5">
        <f>SUM($E21:M21)</f>
        <v>22789.731968341912</v>
      </c>
      <c r="N28" s="5">
        <f>SUM($E21:N21)</f>
        <v>25901.763984690686</v>
      </c>
      <c r="O28" s="5">
        <f>SUM($E21:O21)</f>
        <v>29249.477412638284</v>
      </c>
      <c r="P28" s="5">
        <f>SUM($E21:P21)</f>
        <v>32645.202180777946</v>
      </c>
    </row>
    <row r="29" spans="3:17" x14ac:dyDescent="0.35">
      <c r="D29" s="3" t="str">
        <f t="shared" si="4"/>
        <v>Difference</v>
      </c>
      <c r="E29" s="5">
        <f>SUM($E22:E22)</f>
        <v>372.90862954607792</v>
      </c>
      <c r="F29" s="5">
        <f>SUM($E22:F22)</f>
        <v>928.24292036781071</v>
      </c>
      <c r="G29" s="5">
        <f>SUM($E22:G22)</f>
        <v>1310.2665411611233</v>
      </c>
      <c r="H29" s="5">
        <f>SUM($E22:H22)</f>
        <v>1766.8351374520503</v>
      </c>
      <c r="I29" s="5">
        <f>SUM($E22:I22)</f>
        <v>1962.9495872285252</v>
      </c>
      <c r="J29" s="5">
        <f>SUM($E22:J22)</f>
        <v>1914.7390525201818</v>
      </c>
      <c r="K29" s="5">
        <f>SUM($E22:K22)</f>
        <v>2973.9195267870423</v>
      </c>
      <c r="L29" s="5">
        <f>SUM($E22:L22)</f>
        <v>3428.6992080567511</v>
      </c>
      <c r="M29" s="5" t="e">
        <f>SUM($E22:M22)</f>
        <v>#DIV/0!</v>
      </c>
      <c r="N29" s="5" t="e">
        <f>SUM($E22:N22)</f>
        <v>#DIV/0!</v>
      </c>
      <c r="O29" s="5" t="e">
        <f>SUM($E22:O22)</f>
        <v>#DIV/0!</v>
      </c>
      <c r="P29" s="5" t="e">
        <f>SUM($E22:P22)</f>
        <v>#DIV/0!</v>
      </c>
    </row>
    <row r="30" spans="3:17" x14ac:dyDescent="0.35">
      <c r="D30" s="3" t="str">
        <f t="shared" si="4"/>
        <v>Realisation</v>
      </c>
      <c r="E30" s="9">
        <f>E28/E26</f>
        <v>0.83760322744273119</v>
      </c>
      <c r="F30" s="9">
        <f t="shared" ref="F30:P30" si="5">F27/F26</f>
        <v>1.169394785763725</v>
      </c>
      <c r="G30" s="9">
        <f t="shared" si="5"/>
        <v>1.1596247963596666</v>
      </c>
      <c r="H30" s="9">
        <f t="shared" si="5"/>
        <v>1.1616540174548369</v>
      </c>
      <c r="I30" s="9">
        <f t="shared" si="5"/>
        <v>1.1438709541427956</v>
      </c>
      <c r="J30" s="9">
        <f t="shared" si="5"/>
        <v>1.1171037834825268</v>
      </c>
      <c r="K30" s="9">
        <f t="shared" si="5"/>
        <v>1.1561052506929961</v>
      </c>
      <c r="L30" s="9">
        <f t="shared" si="5"/>
        <v>1.1576865758447556</v>
      </c>
      <c r="M30" s="9" t="e">
        <f t="shared" si="5"/>
        <v>#DIV/0!</v>
      </c>
      <c r="N30" s="9" t="e">
        <f t="shared" si="5"/>
        <v>#DIV/0!</v>
      </c>
      <c r="O30" s="9" t="e">
        <f t="shared" si="5"/>
        <v>#DIV/0!</v>
      </c>
      <c r="P30" s="9" t="e">
        <f t="shared" si="5"/>
        <v>#DIV/0!</v>
      </c>
    </row>
  </sheetData>
  <mergeCells count="2">
    <mergeCell ref="J4:Q8"/>
    <mergeCell ref="J10:Q15"/>
  </mergeCells>
  <conditionalFormatting sqref="C3">
    <cfRule type="expression" dxfId="59" priority="2">
      <formula>S4&lt;S6</formula>
    </cfRule>
  </conditionalFormatting>
  <conditionalFormatting sqref="C5">
    <cfRule type="expression" dxfId="58" priority="3">
      <formula>S4&gt;=S5</formula>
    </cfRule>
  </conditionalFormatting>
  <conditionalFormatting sqref="C4">
    <cfRule type="expression" dxfId="57" priority="1">
      <formula>AND(S4&gt;=S6,S4&lt;S5)</formula>
    </cfRule>
  </conditionalFormatting>
  <hyperlinks>
    <hyperlink ref="L1" location="Dashboard!A1" display="Dashboard"/>
  </hyperlinks>
  <pageMargins left="0.7" right="0.7" top="0.75" bottom="0.75" header="0.3" footer="0.3"/>
  <pageSetup orientation="portrait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72129" r:id="rId4" name="Spinner 1">
              <controlPr defaultSize="0" autoPict="0">
                <anchor moveWithCells="1" sizeWithCells="1">
                  <from>
                    <xdr:col>9</xdr:col>
                    <xdr:colOff>19050</xdr:colOff>
                    <xdr:row>0</xdr:row>
                    <xdr:rowOff>38100</xdr:rowOff>
                  </from>
                  <to>
                    <xdr:col>9</xdr:col>
                    <xdr:colOff>400050</xdr:colOff>
                    <xdr:row>1</xdr:row>
                    <xdr:rowOff>152400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18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139">
    <tabColor rgb="FFFFC000"/>
  </sheetPr>
  <dimension ref="A1:S30"/>
  <sheetViews>
    <sheetView zoomScale="90" zoomScaleNormal="90" workbookViewId="0">
      <selection activeCell="L1" sqref="L1"/>
    </sheetView>
  </sheetViews>
  <sheetFormatPr defaultColWidth="9.1796875" defaultRowHeight="14.5" x14ac:dyDescent="0.35"/>
  <cols>
    <col min="1" max="1" width="9.1796875" style="3"/>
    <col min="2" max="2" width="5.7265625" style="3" bestFit="1" customWidth="1"/>
    <col min="3" max="3" width="6.26953125" style="3" customWidth="1"/>
    <col min="4" max="4" width="21.26953125" style="3" bestFit="1" customWidth="1"/>
    <col min="5" max="16" width="11.1796875" style="3" customWidth="1"/>
    <col min="17" max="17" width="12" style="3" bestFit="1" customWidth="1"/>
    <col min="18" max="18" width="9.1796875" style="3" customWidth="1"/>
    <col min="19" max="16384" width="9.1796875" style="3"/>
  </cols>
  <sheetData>
    <row r="1" spans="1:19" ht="21" x14ac:dyDescent="0.5">
      <c r="A1" s="4" t="s">
        <v>4</v>
      </c>
      <c r="B1" s="4">
        <f>Dashboard!A202</f>
        <v>1</v>
      </c>
      <c r="C1" s="4" t="str">
        <f>Dashboard!B202</f>
        <v>CBD- EXHAUSTER SALES</v>
      </c>
      <c r="D1" s="4"/>
      <c r="G1" s="3" t="s">
        <v>9</v>
      </c>
      <c r="I1" s="12">
        <f>INDEX($E$18:$P$18,Actual_month)</f>
        <v>44958</v>
      </c>
      <c r="L1" s="16" t="s">
        <v>19</v>
      </c>
      <c r="R1" s="5"/>
    </row>
    <row r="2" spans="1:19" x14ac:dyDescent="0.35">
      <c r="A2" s="3" t="s">
        <v>13</v>
      </c>
      <c r="C2" s="3" t="s">
        <v>27</v>
      </c>
      <c r="R2" s="6"/>
    </row>
    <row r="3" spans="1:19" ht="25.5" customHeight="1" thickBot="1" x14ac:dyDescent="0.4">
      <c r="C3" s="1" t="s">
        <v>5</v>
      </c>
      <c r="E3" s="10"/>
      <c r="F3" s="10"/>
      <c r="G3" s="10"/>
      <c r="H3" s="10"/>
      <c r="I3" s="10"/>
      <c r="J3" s="3" t="s">
        <v>6</v>
      </c>
      <c r="K3" s="10"/>
      <c r="M3" s="10"/>
      <c r="N3" s="10"/>
      <c r="O3" s="10"/>
      <c r="P3" s="10"/>
    </row>
    <row r="4" spans="1:19" ht="25.5" customHeight="1" x14ac:dyDescent="0.35">
      <c r="C4" s="1" t="s">
        <v>5</v>
      </c>
      <c r="E4" s="10"/>
      <c r="F4" s="10"/>
      <c r="G4" s="10"/>
      <c r="H4" s="10"/>
      <c r="I4" s="10"/>
      <c r="J4" s="401"/>
      <c r="K4" s="402"/>
      <c r="L4" s="402"/>
      <c r="M4" s="402"/>
      <c r="N4" s="402"/>
      <c r="O4" s="402"/>
      <c r="P4" s="402"/>
      <c r="Q4" s="403"/>
      <c r="R4" s="3" t="s">
        <v>22</v>
      </c>
      <c r="S4" s="5">
        <f>INDEX(E27:P27,Actual_month)</f>
        <v>0</v>
      </c>
    </row>
    <row r="5" spans="1:19" ht="25.5" customHeight="1" x14ac:dyDescent="0.35">
      <c r="C5" s="1" t="s">
        <v>5</v>
      </c>
      <c r="E5" s="10"/>
      <c r="F5" s="10"/>
      <c r="G5" s="10"/>
      <c r="H5" s="10"/>
      <c r="I5" s="10"/>
      <c r="J5" s="404"/>
      <c r="K5" s="405"/>
      <c r="L5" s="405"/>
      <c r="M5" s="405"/>
      <c r="N5" s="405"/>
      <c r="O5" s="405"/>
      <c r="P5" s="405"/>
      <c r="Q5" s="406"/>
      <c r="R5" s="3" t="s">
        <v>23</v>
      </c>
      <c r="S5" s="5">
        <f>INDEX(E26:P26,Actual_month)</f>
        <v>0</v>
      </c>
    </row>
    <row r="6" spans="1:19" x14ac:dyDescent="0.35">
      <c r="J6" s="404"/>
      <c r="K6" s="405"/>
      <c r="L6" s="405"/>
      <c r="M6" s="405"/>
      <c r="N6" s="405"/>
      <c r="O6" s="405"/>
      <c r="P6" s="405"/>
      <c r="Q6" s="406"/>
      <c r="R6" s="6">
        <v>0.9</v>
      </c>
      <c r="S6" s="5">
        <f>+S5*R6</f>
        <v>0</v>
      </c>
    </row>
    <row r="7" spans="1:19" x14ac:dyDescent="0.35">
      <c r="J7" s="404"/>
      <c r="K7" s="405"/>
      <c r="L7" s="405"/>
      <c r="M7" s="405"/>
      <c r="N7" s="405"/>
      <c r="O7" s="405"/>
      <c r="P7" s="405"/>
      <c r="Q7" s="406"/>
    </row>
    <row r="8" spans="1:19" ht="15" thickBot="1" x14ac:dyDescent="0.4">
      <c r="J8" s="407"/>
      <c r="K8" s="408"/>
      <c r="L8" s="408"/>
      <c r="M8" s="408"/>
      <c r="N8" s="408"/>
      <c r="O8" s="408"/>
      <c r="P8" s="408"/>
      <c r="Q8" s="409"/>
    </row>
    <row r="9" spans="1:19" ht="15" thickBot="1" x14ac:dyDescent="0.4">
      <c r="J9" s="3" t="s">
        <v>12</v>
      </c>
    </row>
    <row r="10" spans="1:19" x14ac:dyDescent="0.35">
      <c r="J10" s="401"/>
      <c r="K10" s="402"/>
      <c r="L10" s="402"/>
      <c r="M10" s="402"/>
      <c r="N10" s="402"/>
      <c r="O10" s="402"/>
      <c r="P10" s="402"/>
      <c r="Q10" s="403"/>
    </row>
    <row r="11" spans="1:19" x14ac:dyDescent="0.35">
      <c r="J11" s="404"/>
      <c r="K11" s="405"/>
      <c r="L11" s="405"/>
      <c r="M11" s="405"/>
      <c r="N11" s="405"/>
      <c r="O11" s="405"/>
      <c r="P11" s="405"/>
      <c r="Q11" s="406"/>
    </row>
    <row r="12" spans="1:19" x14ac:dyDescent="0.35">
      <c r="J12" s="404"/>
      <c r="K12" s="405"/>
      <c r="L12" s="405"/>
      <c r="M12" s="405"/>
      <c r="N12" s="405"/>
      <c r="O12" s="405"/>
      <c r="P12" s="405"/>
      <c r="Q12" s="406"/>
    </row>
    <row r="13" spans="1:19" x14ac:dyDescent="0.35">
      <c r="J13" s="404"/>
      <c r="K13" s="405"/>
      <c r="L13" s="405"/>
      <c r="M13" s="405"/>
      <c r="N13" s="405"/>
      <c r="O13" s="405"/>
      <c r="P13" s="405"/>
      <c r="Q13" s="406"/>
    </row>
    <row r="14" spans="1:19" x14ac:dyDescent="0.35">
      <c r="J14" s="404"/>
      <c r="K14" s="405"/>
      <c r="L14" s="405"/>
      <c r="M14" s="405"/>
      <c r="N14" s="405"/>
      <c r="O14" s="405"/>
      <c r="P14" s="405"/>
      <c r="Q14" s="406"/>
    </row>
    <row r="15" spans="1:19" ht="15" thickBot="1" x14ac:dyDescent="0.4">
      <c r="J15" s="407"/>
      <c r="K15" s="408"/>
      <c r="L15" s="408"/>
      <c r="M15" s="408"/>
      <c r="N15" s="408"/>
      <c r="O15" s="408"/>
      <c r="P15" s="408"/>
      <c r="Q15" s="409"/>
    </row>
    <row r="18" spans="3:17" x14ac:dyDescent="0.35">
      <c r="C18" s="7" t="s">
        <v>8</v>
      </c>
      <c r="E18" s="11">
        <v>44743</v>
      </c>
      <c r="F18" s="11">
        <v>44774</v>
      </c>
      <c r="G18" s="11">
        <v>44805</v>
      </c>
      <c r="H18" s="11">
        <v>44835</v>
      </c>
      <c r="I18" s="11">
        <v>44866</v>
      </c>
      <c r="J18" s="11">
        <v>44896</v>
      </c>
      <c r="K18" s="11">
        <v>44927</v>
      </c>
      <c r="L18" s="11">
        <v>44958</v>
      </c>
      <c r="M18" s="11">
        <v>44986</v>
      </c>
      <c r="N18" s="11">
        <v>45017</v>
      </c>
      <c r="O18" s="11">
        <v>45047</v>
      </c>
      <c r="P18" s="11">
        <v>45078</v>
      </c>
      <c r="Q18" s="8" t="s">
        <v>0</v>
      </c>
    </row>
    <row r="19" spans="3:17" x14ac:dyDescent="0.35">
      <c r="D19" s="3" t="s">
        <v>220</v>
      </c>
      <c r="E19" s="49">
        <f>'budget 2025-26'!D191</f>
        <v>0</v>
      </c>
      <c r="F19" s="49">
        <f>'budget 2025-26'!E191</f>
        <v>0</v>
      </c>
      <c r="G19" s="49">
        <f>'budget 2025-26'!F191</f>
        <v>0</v>
      </c>
      <c r="H19" s="49">
        <f>'budget 2025-26'!G191</f>
        <v>0</v>
      </c>
      <c r="I19" s="49">
        <f>'budget 2025-26'!H191</f>
        <v>0</v>
      </c>
      <c r="J19" s="49">
        <f>'budget 2025-26'!I191</f>
        <v>0</v>
      </c>
      <c r="K19" s="49">
        <f>'budget 2025-26'!J191</f>
        <v>0</v>
      </c>
      <c r="L19" s="49">
        <f>'budget 2025-26'!K191</f>
        <v>0</v>
      </c>
      <c r="M19" s="49">
        <f>'budget 2025-26'!L191</f>
        <v>0</v>
      </c>
      <c r="N19" s="49">
        <f>'budget 2025-26'!M191</f>
        <v>0</v>
      </c>
      <c r="O19" s="49">
        <f>'budget 2025-26'!N191</f>
        <v>0</v>
      </c>
      <c r="P19" s="49">
        <f>'budget 2025-26'!O191</f>
        <v>0</v>
      </c>
      <c r="Q19" s="5">
        <f>SUM(E19:P19)</f>
        <v>0</v>
      </c>
    </row>
    <row r="20" spans="3:17" x14ac:dyDescent="0.35">
      <c r="D20" s="3" t="s">
        <v>221</v>
      </c>
      <c r="E20" s="49">
        <f>'Input Actual2024-25'!E181</f>
        <v>0</v>
      </c>
      <c r="F20" s="49">
        <f>'Input Actual2024-25'!F181</f>
        <v>0</v>
      </c>
      <c r="G20" s="49">
        <f>'Input Actual2024-25'!G181</f>
        <v>0</v>
      </c>
      <c r="H20" s="49">
        <f>'Input Actual2024-25'!H181</f>
        <v>0</v>
      </c>
      <c r="I20" s="49">
        <f>'Input Actual2024-25'!I181</f>
        <v>0</v>
      </c>
      <c r="J20" s="49">
        <f>'Input Actual2024-25'!J181</f>
        <v>0</v>
      </c>
      <c r="K20" s="49">
        <f>'Input Actual2024-25'!K181</f>
        <v>0</v>
      </c>
      <c r="L20" s="49">
        <f>'Input Actual2024-25'!L181</f>
        <v>0</v>
      </c>
      <c r="M20" s="49">
        <f>'Input Actual2024-25'!M181</f>
        <v>0</v>
      </c>
      <c r="N20" s="49">
        <f>'Input Actual2024-25'!N181</f>
        <v>0</v>
      </c>
      <c r="O20" s="49">
        <f>'Input Actual2024-25'!O181</f>
        <v>0</v>
      </c>
      <c r="P20" s="49">
        <f>'Input Actual2024-25'!P181</f>
        <v>0</v>
      </c>
      <c r="Q20" s="5">
        <f t="shared" ref="Q20:Q22" si="0">SUM(E20:P20)</f>
        <v>0</v>
      </c>
    </row>
    <row r="21" spans="3:17" x14ac:dyDescent="0.35">
      <c r="D21" s="3" t="s">
        <v>196</v>
      </c>
      <c r="E21" s="49">
        <f>'actual 2022-23'!D151</f>
        <v>12500</v>
      </c>
      <c r="F21" s="49">
        <f>'actual 2022-23'!E151</f>
        <v>7500</v>
      </c>
      <c r="G21" s="49">
        <f>'actual 2022-23'!F151</f>
        <v>10000</v>
      </c>
      <c r="H21" s="49">
        <f>'actual 2022-23'!G151</f>
        <v>5000</v>
      </c>
      <c r="I21" s="49">
        <f>'actual 2022-23'!H151</f>
        <v>10000</v>
      </c>
      <c r="J21" s="49">
        <f>'actual 2022-23'!I151</f>
        <v>5000</v>
      </c>
      <c r="K21" s="49">
        <f>'actual 2022-23'!J151</f>
        <v>15000</v>
      </c>
      <c r="L21" s="49">
        <f>'actual 2022-23'!K151</f>
        <v>5000</v>
      </c>
      <c r="M21" s="49">
        <f>'actual 2022-23'!L151</f>
        <v>10000</v>
      </c>
      <c r="N21" s="49">
        <f>'actual 2022-23'!M151</f>
        <v>17500</v>
      </c>
      <c r="O21" s="49">
        <f>'actual 2022-23'!N151</f>
        <v>72500</v>
      </c>
      <c r="P21" s="49">
        <f>'actual 2022-23'!O151</f>
        <v>90000</v>
      </c>
      <c r="Q21" s="5">
        <f t="shared" si="0"/>
        <v>260000</v>
      </c>
    </row>
    <row r="22" spans="3:17" x14ac:dyDescent="0.35">
      <c r="D22" s="3" t="s">
        <v>7</v>
      </c>
      <c r="E22" s="5">
        <f t="shared" ref="E22:P22" si="1">IF(E20=0,0,E20-E19)</f>
        <v>0</v>
      </c>
      <c r="F22" s="5">
        <f t="shared" si="1"/>
        <v>0</v>
      </c>
      <c r="G22" s="5">
        <f t="shared" si="1"/>
        <v>0</v>
      </c>
      <c r="H22" s="5">
        <f t="shared" si="1"/>
        <v>0</v>
      </c>
      <c r="I22" s="5">
        <f t="shared" si="1"/>
        <v>0</v>
      </c>
      <c r="J22" s="5">
        <f t="shared" si="1"/>
        <v>0</v>
      </c>
      <c r="K22" s="5">
        <f t="shared" si="1"/>
        <v>0</v>
      </c>
      <c r="L22" s="5">
        <f t="shared" si="1"/>
        <v>0</v>
      </c>
      <c r="M22" s="5">
        <f t="shared" si="1"/>
        <v>0</v>
      </c>
      <c r="N22" s="5">
        <f t="shared" si="1"/>
        <v>0</v>
      </c>
      <c r="O22" s="5">
        <f t="shared" si="1"/>
        <v>0</v>
      </c>
      <c r="P22" s="5">
        <f t="shared" si="1"/>
        <v>0</v>
      </c>
      <c r="Q22" s="5">
        <f t="shared" si="0"/>
        <v>0</v>
      </c>
    </row>
    <row r="23" spans="3:17" x14ac:dyDescent="0.35">
      <c r="D23" s="3" t="s">
        <v>43</v>
      </c>
      <c r="E23" s="9" t="e">
        <f>E21/E19</f>
        <v>#DIV/0!</v>
      </c>
      <c r="F23" s="9" t="e">
        <f t="shared" ref="F23:P23" si="2">F20/F19</f>
        <v>#DIV/0!</v>
      </c>
      <c r="G23" s="9" t="e">
        <f t="shared" si="2"/>
        <v>#DIV/0!</v>
      </c>
      <c r="H23" s="9" t="e">
        <f t="shared" si="2"/>
        <v>#DIV/0!</v>
      </c>
      <c r="I23" s="9" t="e">
        <f t="shared" si="2"/>
        <v>#DIV/0!</v>
      </c>
      <c r="J23" s="9" t="e">
        <f t="shared" si="2"/>
        <v>#DIV/0!</v>
      </c>
      <c r="K23" s="9" t="e">
        <f t="shared" si="2"/>
        <v>#DIV/0!</v>
      </c>
      <c r="L23" s="9" t="e">
        <f t="shared" si="2"/>
        <v>#DIV/0!</v>
      </c>
      <c r="M23" s="9" t="e">
        <f t="shared" si="2"/>
        <v>#DIV/0!</v>
      </c>
      <c r="N23" s="9" t="e">
        <f t="shared" si="2"/>
        <v>#DIV/0!</v>
      </c>
      <c r="O23" s="9" t="e">
        <f t="shared" si="2"/>
        <v>#DIV/0!</v>
      </c>
      <c r="P23" s="9" t="e">
        <f t="shared" si="2"/>
        <v>#DIV/0!</v>
      </c>
    </row>
    <row r="25" spans="3:17" x14ac:dyDescent="0.35">
      <c r="C25" s="7" t="s">
        <v>3</v>
      </c>
      <c r="E25" s="11">
        <f>E18</f>
        <v>44743</v>
      </c>
      <c r="F25" s="11">
        <f t="shared" ref="F25:P25" si="3">F18</f>
        <v>44774</v>
      </c>
      <c r="G25" s="11">
        <f t="shared" si="3"/>
        <v>44805</v>
      </c>
      <c r="H25" s="11">
        <f t="shared" si="3"/>
        <v>44835</v>
      </c>
      <c r="I25" s="11">
        <f t="shared" si="3"/>
        <v>44866</v>
      </c>
      <c r="J25" s="11">
        <f t="shared" si="3"/>
        <v>44896</v>
      </c>
      <c r="K25" s="11">
        <f t="shared" si="3"/>
        <v>44927</v>
      </c>
      <c r="L25" s="11">
        <f t="shared" si="3"/>
        <v>44958</v>
      </c>
      <c r="M25" s="11">
        <f t="shared" si="3"/>
        <v>44986</v>
      </c>
      <c r="N25" s="11">
        <f t="shared" si="3"/>
        <v>45017</v>
      </c>
      <c r="O25" s="11">
        <f t="shared" si="3"/>
        <v>45047</v>
      </c>
      <c r="P25" s="11">
        <f t="shared" si="3"/>
        <v>45078</v>
      </c>
    </row>
    <row r="26" spans="3:17" x14ac:dyDescent="0.35">
      <c r="D26" s="3" t="str">
        <f>D19</f>
        <v>Budget 2023-24</v>
      </c>
      <c r="E26" s="5">
        <f>SUM($E19:E19)</f>
        <v>0</v>
      </c>
      <c r="F26" s="5">
        <f>SUM($E19:F19)</f>
        <v>0</v>
      </c>
      <c r="G26" s="5">
        <f>SUM($E19:G19)</f>
        <v>0</v>
      </c>
      <c r="H26" s="5">
        <f>SUM($E19:H19)</f>
        <v>0</v>
      </c>
      <c r="I26" s="5">
        <f>SUM($E19:I19)</f>
        <v>0</v>
      </c>
      <c r="J26" s="5">
        <f>SUM($E19:J19)</f>
        <v>0</v>
      </c>
      <c r="K26" s="5">
        <f>SUM($E19:K19)</f>
        <v>0</v>
      </c>
      <c r="L26" s="5">
        <f>SUM($E19:L19)</f>
        <v>0</v>
      </c>
      <c r="M26" s="5">
        <f>SUM($E19:M19)</f>
        <v>0</v>
      </c>
      <c r="N26" s="5">
        <f>SUM($E19:N19)</f>
        <v>0</v>
      </c>
      <c r="O26" s="5">
        <f>SUM($E19:O19)</f>
        <v>0</v>
      </c>
      <c r="P26" s="5">
        <f>SUM($E19:P19)</f>
        <v>0</v>
      </c>
    </row>
    <row r="27" spans="3:17" x14ac:dyDescent="0.35">
      <c r="D27" s="3" t="str">
        <f t="shared" ref="D27:D30" si="4">D20</f>
        <v>Actual 2023-24</v>
      </c>
      <c r="E27" s="5">
        <f>SUM($E20:E20)</f>
        <v>0</v>
      </c>
      <c r="F27" s="5">
        <f>SUM($E20:F20)</f>
        <v>0</v>
      </c>
      <c r="G27" s="5">
        <f>SUM($E20:G20)</f>
        <v>0</v>
      </c>
      <c r="H27" s="5">
        <f>SUM($E20:H20)</f>
        <v>0</v>
      </c>
      <c r="I27" s="5">
        <f>SUM($E20:I20)</f>
        <v>0</v>
      </c>
      <c r="J27" s="5">
        <f>SUM($E20:J20)</f>
        <v>0</v>
      </c>
      <c r="K27" s="5">
        <f>SUM($E20:K20)</f>
        <v>0</v>
      </c>
      <c r="L27" s="5">
        <f>SUM($E20:L20)</f>
        <v>0</v>
      </c>
      <c r="M27" s="5">
        <f>SUM($E20:M20)</f>
        <v>0</v>
      </c>
      <c r="N27" s="5">
        <f>SUM($E20:N20)</f>
        <v>0</v>
      </c>
      <c r="O27" s="5">
        <f>SUM($E20:O20)</f>
        <v>0</v>
      </c>
      <c r="P27" s="5">
        <f>SUM($E20:P20)</f>
        <v>0</v>
      </c>
    </row>
    <row r="28" spans="3:17" x14ac:dyDescent="0.35">
      <c r="D28" s="3" t="str">
        <f t="shared" si="4"/>
        <v>Actual 2022-23</v>
      </c>
      <c r="E28" s="5">
        <f>SUM($E21:E21)</f>
        <v>12500</v>
      </c>
      <c r="F28" s="5">
        <f>SUM($E21:F21)</f>
        <v>20000</v>
      </c>
      <c r="G28" s="5">
        <f>SUM($E21:G21)</f>
        <v>30000</v>
      </c>
      <c r="H28" s="5">
        <f>SUM($E21:H21)</f>
        <v>35000</v>
      </c>
      <c r="I28" s="5">
        <f>SUM($E21:I21)</f>
        <v>45000</v>
      </c>
      <c r="J28" s="5">
        <f>SUM($E21:J21)</f>
        <v>50000</v>
      </c>
      <c r="K28" s="5">
        <f>SUM($E21:K21)</f>
        <v>65000</v>
      </c>
      <c r="L28" s="5">
        <f>SUM($E21:L21)</f>
        <v>70000</v>
      </c>
      <c r="M28" s="5">
        <f>SUM($E21:M21)</f>
        <v>80000</v>
      </c>
      <c r="N28" s="5">
        <f>SUM($E21:N21)</f>
        <v>97500</v>
      </c>
      <c r="O28" s="5">
        <f>SUM($E21:O21)</f>
        <v>170000</v>
      </c>
      <c r="P28" s="5">
        <f>SUM($E21:P21)</f>
        <v>260000</v>
      </c>
    </row>
    <row r="29" spans="3:17" x14ac:dyDescent="0.35">
      <c r="D29" s="3" t="str">
        <f t="shared" si="4"/>
        <v>Difference</v>
      </c>
      <c r="E29" s="5">
        <f>SUM($E22:E22)</f>
        <v>0</v>
      </c>
      <c r="F29" s="5">
        <f>SUM($E22:F22)</f>
        <v>0</v>
      </c>
      <c r="G29" s="5">
        <f>SUM($E22:G22)</f>
        <v>0</v>
      </c>
      <c r="H29" s="5">
        <f>SUM($E22:H22)</f>
        <v>0</v>
      </c>
      <c r="I29" s="5">
        <f>SUM($E22:I22)</f>
        <v>0</v>
      </c>
      <c r="J29" s="5">
        <f>SUM($E22:J22)</f>
        <v>0</v>
      </c>
      <c r="K29" s="5">
        <f>SUM($E22:K22)</f>
        <v>0</v>
      </c>
      <c r="L29" s="5">
        <f>SUM($E22:L22)</f>
        <v>0</v>
      </c>
      <c r="M29" s="5">
        <f>SUM($E22:M22)</f>
        <v>0</v>
      </c>
      <c r="N29" s="5">
        <f>SUM($E22:N22)</f>
        <v>0</v>
      </c>
      <c r="O29" s="5">
        <f>SUM($E22:O22)</f>
        <v>0</v>
      </c>
      <c r="P29" s="5">
        <f>SUM($E22:P22)</f>
        <v>0</v>
      </c>
    </row>
    <row r="30" spans="3:17" x14ac:dyDescent="0.35">
      <c r="D30" s="3" t="str">
        <f t="shared" si="4"/>
        <v>Realisation</v>
      </c>
      <c r="E30" s="9" t="e">
        <f>E28/E26</f>
        <v>#DIV/0!</v>
      </c>
      <c r="F30" s="9" t="e">
        <f t="shared" ref="F30:P30" si="5">F27/F26</f>
        <v>#DIV/0!</v>
      </c>
      <c r="G30" s="9" t="e">
        <f t="shared" si="5"/>
        <v>#DIV/0!</v>
      </c>
      <c r="H30" s="9" t="e">
        <f t="shared" si="5"/>
        <v>#DIV/0!</v>
      </c>
      <c r="I30" s="9" t="e">
        <f t="shared" si="5"/>
        <v>#DIV/0!</v>
      </c>
      <c r="J30" s="9" t="e">
        <f t="shared" si="5"/>
        <v>#DIV/0!</v>
      </c>
      <c r="K30" s="9" t="e">
        <f t="shared" si="5"/>
        <v>#DIV/0!</v>
      </c>
      <c r="L30" s="9" t="e">
        <f t="shared" si="5"/>
        <v>#DIV/0!</v>
      </c>
      <c r="M30" s="9" t="e">
        <f t="shared" si="5"/>
        <v>#DIV/0!</v>
      </c>
      <c r="N30" s="9" t="e">
        <f t="shared" si="5"/>
        <v>#DIV/0!</v>
      </c>
      <c r="O30" s="9" t="e">
        <f t="shared" si="5"/>
        <v>#DIV/0!</v>
      </c>
      <c r="P30" s="9" t="e">
        <f t="shared" si="5"/>
        <v>#DIV/0!</v>
      </c>
    </row>
  </sheetData>
  <mergeCells count="2">
    <mergeCell ref="J4:Q8"/>
    <mergeCell ref="J10:Q15"/>
  </mergeCells>
  <conditionalFormatting sqref="C3">
    <cfRule type="expression" dxfId="56" priority="2">
      <formula>S4&lt;S6</formula>
    </cfRule>
  </conditionalFormatting>
  <conditionalFormatting sqref="C5">
    <cfRule type="expression" dxfId="55" priority="3">
      <formula>S4&gt;=S5</formula>
    </cfRule>
  </conditionalFormatting>
  <conditionalFormatting sqref="C4">
    <cfRule type="expression" dxfId="54" priority="1">
      <formula>AND(S4&gt;=S6,S4&lt;S5)</formula>
    </cfRule>
  </conditionalFormatting>
  <hyperlinks>
    <hyperlink ref="L1" location="Dashboard!A1" display="Dashboard"/>
  </hyperlinks>
  <pageMargins left="0.7" right="0.7" top="0.75" bottom="0.75" header="0.3" footer="0.3"/>
  <pageSetup orientation="portrait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76225" r:id="rId4" name="Spinner 1">
              <controlPr defaultSize="0" autoPict="0">
                <anchor moveWithCells="1" sizeWithCells="1">
                  <from>
                    <xdr:col>9</xdr:col>
                    <xdr:colOff>19050</xdr:colOff>
                    <xdr:row>0</xdr:row>
                    <xdr:rowOff>38100</xdr:rowOff>
                  </from>
                  <to>
                    <xdr:col>9</xdr:col>
                    <xdr:colOff>400050</xdr:colOff>
                    <xdr:row>1</xdr:row>
                    <xdr:rowOff>152400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18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140">
    <tabColor rgb="FFFFC000"/>
  </sheetPr>
  <dimension ref="A1:S30"/>
  <sheetViews>
    <sheetView zoomScale="90" zoomScaleNormal="90" workbookViewId="0">
      <selection activeCell="D19" sqref="D19:D21"/>
    </sheetView>
  </sheetViews>
  <sheetFormatPr defaultColWidth="9.1796875" defaultRowHeight="14.5" x14ac:dyDescent="0.35"/>
  <cols>
    <col min="1" max="1" width="9.1796875" style="3"/>
    <col min="2" max="2" width="5.7265625" style="3" bestFit="1" customWidth="1"/>
    <col min="3" max="3" width="6.26953125" style="3" customWidth="1"/>
    <col min="4" max="4" width="21.26953125" style="3" bestFit="1" customWidth="1"/>
    <col min="5" max="16" width="11.1796875" style="3" customWidth="1"/>
    <col min="17" max="17" width="12" style="3" bestFit="1" customWidth="1"/>
    <col min="18" max="18" width="9.1796875" style="3" customWidth="1"/>
    <col min="19" max="16384" width="9.1796875" style="3"/>
  </cols>
  <sheetData>
    <row r="1" spans="1:19" ht="21" x14ac:dyDescent="0.5">
      <c r="A1" s="4" t="s">
        <v>4</v>
      </c>
      <c r="B1" s="4">
        <f>Dashboard!A203</f>
        <v>2</v>
      </c>
      <c r="C1" s="4" t="str">
        <f>Dashboard!B203</f>
        <v>CCCR- EXHAUSTER SALES</v>
      </c>
      <c r="D1" s="4"/>
      <c r="G1" s="3" t="s">
        <v>9</v>
      </c>
      <c r="I1" s="12">
        <f>INDEX($E$18:$P$18,Actual_month)</f>
        <v>44958</v>
      </c>
      <c r="L1" s="16" t="s">
        <v>19</v>
      </c>
      <c r="R1" s="5"/>
    </row>
    <row r="2" spans="1:19" x14ac:dyDescent="0.35">
      <c r="A2" s="3" t="s">
        <v>13</v>
      </c>
      <c r="C2" s="3" t="s">
        <v>27</v>
      </c>
      <c r="R2" s="6"/>
    </row>
    <row r="3" spans="1:19" ht="25.5" customHeight="1" thickBot="1" x14ac:dyDescent="0.4">
      <c r="C3" s="1" t="s">
        <v>5</v>
      </c>
      <c r="E3" s="10"/>
      <c r="F3" s="10"/>
      <c r="G3" s="10"/>
      <c r="H3" s="10"/>
      <c r="I3" s="10"/>
      <c r="J3" s="3" t="s">
        <v>6</v>
      </c>
      <c r="K3" s="10"/>
      <c r="M3" s="10"/>
      <c r="N3" s="10"/>
      <c r="O3" s="10"/>
      <c r="P3" s="10"/>
    </row>
    <row r="4" spans="1:19" ht="25.5" customHeight="1" x14ac:dyDescent="0.35">
      <c r="C4" s="1" t="s">
        <v>5</v>
      </c>
      <c r="E4" s="10"/>
      <c r="F4" s="10"/>
      <c r="G4" s="10"/>
      <c r="H4" s="10"/>
      <c r="I4" s="10"/>
      <c r="J4" s="401"/>
      <c r="K4" s="402"/>
      <c r="L4" s="402"/>
      <c r="M4" s="402"/>
      <c r="N4" s="402"/>
      <c r="O4" s="402"/>
      <c r="P4" s="402"/>
      <c r="Q4" s="403"/>
      <c r="R4" s="3" t="s">
        <v>22</v>
      </c>
      <c r="S4" s="5">
        <f>INDEX(E27:P27,Actual_month)</f>
        <v>0</v>
      </c>
    </row>
    <row r="5" spans="1:19" ht="25.5" customHeight="1" x14ac:dyDescent="0.35">
      <c r="C5" s="1" t="s">
        <v>5</v>
      </c>
      <c r="E5" s="10"/>
      <c r="F5" s="10"/>
      <c r="G5" s="10"/>
      <c r="H5" s="10"/>
      <c r="I5" s="10"/>
      <c r="J5" s="404"/>
      <c r="K5" s="405"/>
      <c r="L5" s="405"/>
      <c r="M5" s="405"/>
      <c r="N5" s="405"/>
      <c r="O5" s="405"/>
      <c r="P5" s="405"/>
      <c r="Q5" s="406"/>
      <c r="R5" s="3" t="s">
        <v>23</v>
      </c>
      <c r="S5" s="5">
        <f>INDEX(E26:P26,Actual_month)</f>
        <v>0</v>
      </c>
    </row>
    <row r="6" spans="1:19" x14ac:dyDescent="0.35">
      <c r="J6" s="404"/>
      <c r="K6" s="405"/>
      <c r="L6" s="405"/>
      <c r="M6" s="405"/>
      <c r="N6" s="405"/>
      <c r="O6" s="405"/>
      <c r="P6" s="405"/>
      <c r="Q6" s="406"/>
      <c r="R6" s="6">
        <v>0.9</v>
      </c>
      <c r="S6" s="5">
        <f>+S5*R6</f>
        <v>0</v>
      </c>
    </row>
    <row r="7" spans="1:19" x14ac:dyDescent="0.35">
      <c r="J7" s="404"/>
      <c r="K7" s="405"/>
      <c r="L7" s="405"/>
      <c r="M7" s="405"/>
      <c r="N7" s="405"/>
      <c r="O7" s="405"/>
      <c r="P7" s="405"/>
      <c r="Q7" s="406"/>
    </row>
    <row r="8" spans="1:19" ht="15" thickBot="1" x14ac:dyDescent="0.4">
      <c r="J8" s="407"/>
      <c r="K8" s="408"/>
      <c r="L8" s="408"/>
      <c r="M8" s="408"/>
      <c r="N8" s="408"/>
      <c r="O8" s="408"/>
      <c r="P8" s="408"/>
      <c r="Q8" s="409"/>
    </row>
    <row r="9" spans="1:19" ht="15" thickBot="1" x14ac:dyDescent="0.4">
      <c r="J9" s="3" t="s">
        <v>12</v>
      </c>
    </row>
    <row r="10" spans="1:19" x14ac:dyDescent="0.35">
      <c r="J10" s="401"/>
      <c r="K10" s="402"/>
      <c r="L10" s="402"/>
      <c r="M10" s="402"/>
      <c r="N10" s="402"/>
      <c r="O10" s="402"/>
      <c r="P10" s="402"/>
      <c r="Q10" s="403"/>
    </row>
    <row r="11" spans="1:19" x14ac:dyDescent="0.35">
      <c r="J11" s="404"/>
      <c r="K11" s="405"/>
      <c r="L11" s="405"/>
      <c r="M11" s="405"/>
      <c r="N11" s="405"/>
      <c r="O11" s="405"/>
      <c r="P11" s="405"/>
      <c r="Q11" s="406"/>
    </row>
    <row r="12" spans="1:19" x14ac:dyDescent="0.35">
      <c r="J12" s="404"/>
      <c r="K12" s="405"/>
      <c r="L12" s="405"/>
      <c r="M12" s="405"/>
      <c r="N12" s="405"/>
      <c r="O12" s="405"/>
      <c r="P12" s="405"/>
      <c r="Q12" s="406"/>
    </row>
    <row r="13" spans="1:19" x14ac:dyDescent="0.35">
      <c r="J13" s="404"/>
      <c r="K13" s="405"/>
      <c r="L13" s="405"/>
      <c r="M13" s="405"/>
      <c r="N13" s="405"/>
      <c r="O13" s="405"/>
      <c r="P13" s="405"/>
      <c r="Q13" s="406"/>
    </row>
    <row r="14" spans="1:19" x14ac:dyDescent="0.35">
      <c r="J14" s="404"/>
      <c r="K14" s="405"/>
      <c r="L14" s="405"/>
      <c r="M14" s="405"/>
      <c r="N14" s="405"/>
      <c r="O14" s="405"/>
      <c r="P14" s="405"/>
      <c r="Q14" s="406"/>
    </row>
    <row r="15" spans="1:19" ht="15" thickBot="1" x14ac:dyDescent="0.4">
      <c r="J15" s="407"/>
      <c r="K15" s="408"/>
      <c r="L15" s="408"/>
      <c r="M15" s="408"/>
      <c r="N15" s="408"/>
      <c r="O15" s="408"/>
      <c r="P15" s="408"/>
      <c r="Q15" s="409"/>
    </row>
    <row r="18" spans="3:17" x14ac:dyDescent="0.35">
      <c r="C18" s="7" t="s">
        <v>8</v>
      </c>
      <c r="E18" s="11">
        <v>44743</v>
      </c>
      <c r="F18" s="11">
        <v>44774</v>
      </c>
      <c r="G18" s="11">
        <v>44805</v>
      </c>
      <c r="H18" s="11">
        <v>44835</v>
      </c>
      <c r="I18" s="11">
        <v>44866</v>
      </c>
      <c r="J18" s="11">
        <v>44896</v>
      </c>
      <c r="K18" s="11">
        <v>44927</v>
      </c>
      <c r="L18" s="11">
        <v>44958</v>
      </c>
      <c r="M18" s="11">
        <v>44986</v>
      </c>
      <c r="N18" s="11">
        <v>45017</v>
      </c>
      <c r="O18" s="11">
        <v>45047</v>
      </c>
      <c r="P18" s="11">
        <v>45078</v>
      </c>
      <c r="Q18" s="8" t="s">
        <v>0</v>
      </c>
    </row>
    <row r="19" spans="3:17" x14ac:dyDescent="0.35">
      <c r="D19" s="3" t="s">
        <v>220</v>
      </c>
      <c r="E19" s="49">
        <f>'budget 2025-26'!D192</f>
        <v>0</v>
      </c>
      <c r="F19" s="49">
        <f>'budget 2025-26'!E192</f>
        <v>0</v>
      </c>
      <c r="G19" s="49">
        <f>'budget 2025-26'!F192</f>
        <v>0</v>
      </c>
      <c r="H19" s="49">
        <f>'budget 2025-26'!G192</f>
        <v>0</v>
      </c>
      <c r="I19" s="49">
        <f>'budget 2025-26'!H192</f>
        <v>0</v>
      </c>
      <c r="J19" s="49">
        <f>'budget 2025-26'!I192</f>
        <v>0</v>
      </c>
      <c r="K19" s="49">
        <f>'budget 2025-26'!J192</f>
        <v>0</v>
      </c>
      <c r="L19" s="49">
        <f>'budget 2025-26'!K192</f>
        <v>0</v>
      </c>
      <c r="M19" s="49">
        <f>'budget 2025-26'!L192</f>
        <v>0</v>
      </c>
      <c r="N19" s="49">
        <f>'budget 2025-26'!M192</f>
        <v>0</v>
      </c>
      <c r="O19" s="49">
        <f>'budget 2025-26'!N192</f>
        <v>0</v>
      </c>
      <c r="P19" s="49">
        <f>'budget 2025-26'!O192</f>
        <v>0</v>
      </c>
      <c r="Q19" s="5">
        <f>SUM(E19:P19)</f>
        <v>0</v>
      </c>
    </row>
    <row r="20" spans="3:17" x14ac:dyDescent="0.35">
      <c r="D20" s="3" t="s">
        <v>221</v>
      </c>
      <c r="E20" s="49">
        <f>'Input Actual2024-25'!E182</f>
        <v>0</v>
      </c>
      <c r="F20" s="49">
        <f>'Input Actual2024-25'!F182</f>
        <v>0</v>
      </c>
      <c r="G20" s="49">
        <f>'Input Actual2024-25'!G182</f>
        <v>0</v>
      </c>
      <c r="H20" s="49">
        <f>'Input Actual2024-25'!H182</f>
        <v>0</v>
      </c>
      <c r="I20" s="49">
        <f>'Input Actual2024-25'!I182</f>
        <v>0</v>
      </c>
      <c r="J20" s="49">
        <f>'Input Actual2024-25'!J182</f>
        <v>0</v>
      </c>
      <c r="K20" s="49">
        <f>'Input Actual2024-25'!K182</f>
        <v>0</v>
      </c>
      <c r="L20" s="49">
        <f>'Input Actual2024-25'!L182</f>
        <v>0</v>
      </c>
      <c r="M20" s="49">
        <f>'Input Actual2024-25'!M182</f>
        <v>0</v>
      </c>
      <c r="N20" s="49">
        <f>'Input Actual2024-25'!N182</f>
        <v>0</v>
      </c>
      <c r="O20" s="49">
        <f>'Input Actual2024-25'!O182</f>
        <v>0</v>
      </c>
      <c r="P20" s="49">
        <f>'Input Actual2024-25'!P182</f>
        <v>0</v>
      </c>
      <c r="Q20" s="5">
        <f t="shared" ref="Q20:Q22" si="0">SUM(E20:P20)</f>
        <v>0</v>
      </c>
    </row>
    <row r="21" spans="3:17" x14ac:dyDescent="0.35">
      <c r="D21" s="3" t="s">
        <v>196</v>
      </c>
      <c r="E21" s="49">
        <f>'actual 2022-23'!D152</f>
        <v>2500</v>
      </c>
      <c r="F21" s="49">
        <f>'actual 2022-23'!E152</f>
        <v>2500</v>
      </c>
      <c r="G21" s="49">
        <f>'actual 2022-23'!F152</f>
        <v>5000</v>
      </c>
      <c r="H21" s="49">
        <f>'actual 2022-23'!G152</f>
        <v>2500</v>
      </c>
      <c r="I21" s="49">
        <f>'actual 2022-23'!H152</f>
        <v>0</v>
      </c>
      <c r="J21" s="49">
        <f>'actual 2022-23'!I152</f>
        <v>0</v>
      </c>
      <c r="K21" s="49">
        <f>'actual 2022-23'!J152</f>
        <v>5000</v>
      </c>
      <c r="L21" s="49">
        <f>'actual 2022-23'!K152</f>
        <v>0</v>
      </c>
      <c r="M21" s="49">
        <f>'actual 2022-23'!L152</f>
        <v>0</v>
      </c>
      <c r="N21" s="49">
        <f>'actual 2022-23'!M152</f>
        <v>0</v>
      </c>
      <c r="O21" s="49">
        <f>'actual 2022-23'!N152</f>
        <v>0</v>
      </c>
      <c r="P21" s="49">
        <f>'actual 2022-23'!O152</f>
        <v>7500</v>
      </c>
      <c r="Q21" s="5">
        <f t="shared" si="0"/>
        <v>25000</v>
      </c>
    </row>
    <row r="22" spans="3:17" x14ac:dyDescent="0.35">
      <c r="D22" s="3" t="s">
        <v>7</v>
      </c>
      <c r="E22" s="5">
        <f t="shared" ref="E22:P22" si="1">IF(E20=0,0,E20-E19)</f>
        <v>0</v>
      </c>
      <c r="F22" s="5">
        <f t="shared" si="1"/>
        <v>0</v>
      </c>
      <c r="G22" s="5">
        <f t="shared" si="1"/>
        <v>0</v>
      </c>
      <c r="H22" s="5">
        <f t="shared" si="1"/>
        <v>0</v>
      </c>
      <c r="I22" s="5">
        <f t="shared" si="1"/>
        <v>0</v>
      </c>
      <c r="J22" s="5">
        <f t="shared" si="1"/>
        <v>0</v>
      </c>
      <c r="K22" s="5">
        <f t="shared" si="1"/>
        <v>0</v>
      </c>
      <c r="L22" s="5">
        <f t="shared" si="1"/>
        <v>0</v>
      </c>
      <c r="M22" s="5">
        <f t="shared" si="1"/>
        <v>0</v>
      </c>
      <c r="N22" s="5">
        <f t="shared" si="1"/>
        <v>0</v>
      </c>
      <c r="O22" s="5">
        <f t="shared" si="1"/>
        <v>0</v>
      </c>
      <c r="P22" s="5">
        <f t="shared" si="1"/>
        <v>0</v>
      </c>
      <c r="Q22" s="5">
        <f t="shared" si="0"/>
        <v>0</v>
      </c>
    </row>
    <row r="23" spans="3:17" x14ac:dyDescent="0.35">
      <c r="D23" s="3" t="s">
        <v>43</v>
      </c>
      <c r="E23" s="9" t="e">
        <f>E21/E19</f>
        <v>#DIV/0!</v>
      </c>
      <c r="F23" s="9" t="e">
        <f t="shared" ref="F23:P23" si="2">F20/F19</f>
        <v>#DIV/0!</v>
      </c>
      <c r="G23" s="9" t="e">
        <f t="shared" si="2"/>
        <v>#DIV/0!</v>
      </c>
      <c r="H23" s="9" t="e">
        <f t="shared" si="2"/>
        <v>#DIV/0!</v>
      </c>
      <c r="I23" s="9" t="e">
        <f t="shared" si="2"/>
        <v>#DIV/0!</v>
      </c>
      <c r="J23" s="9" t="e">
        <f t="shared" si="2"/>
        <v>#DIV/0!</v>
      </c>
      <c r="K23" s="9" t="e">
        <f t="shared" si="2"/>
        <v>#DIV/0!</v>
      </c>
      <c r="L23" s="9" t="e">
        <f t="shared" si="2"/>
        <v>#DIV/0!</v>
      </c>
      <c r="M23" s="9" t="e">
        <f t="shared" si="2"/>
        <v>#DIV/0!</v>
      </c>
      <c r="N23" s="9" t="e">
        <f t="shared" si="2"/>
        <v>#DIV/0!</v>
      </c>
      <c r="O23" s="9" t="e">
        <f t="shared" si="2"/>
        <v>#DIV/0!</v>
      </c>
      <c r="P23" s="9" t="e">
        <f t="shared" si="2"/>
        <v>#DIV/0!</v>
      </c>
    </row>
    <row r="25" spans="3:17" x14ac:dyDescent="0.35">
      <c r="C25" s="7" t="s">
        <v>3</v>
      </c>
      <c r="E25" s="11">
        <f>E18</f>
        <v>44743</v>
      </c>
      <c r="F25" s="11">
        <f t="shared" ref="F25:P25" si="3">F18</f>
        <v>44774</v>
      </c>
      <c r="G25" s="11">
        <f t="shared" si="3"/>
        <v>44805</v>
      </c>
      <c r="H25" s="11">
        <f t="shared" si="3"/>
        <v>44835</v>
      </c>
      <c r="I25" s="11">
        <f t="shared" si="3"/>
        <v>44866</v>
      </c>
      <c r="J25" s="11">
        <f t="shared" si="3"/>
        <v>44896</v>
      </c>
      <c r="K25" s="11">
        <f t="shared" si="3"/>
        <v>44927</v>
      </c>
      <c r="L25" s="11">
        <f t="shared" si="3"/>
        <v>44958</v>
      </c>
      <c r="M25" s="11">
        <f t="shared" si="3"/>
        <v>44986</v>
      </c>
      <c r="N25" s="11">
        <f t="shared" si="3"/>
        <v>45017</v>
      </c>
      <c r="O25" s="11">
        <f t="shared" si="3"/>
        <v>45047</v>
      </c>
      <c r="P25" s="11">
        <f t="shared" si="3"/>
        <v>45078</v>
      </c>
    </row>
    <row r="26" spans="3:17" x14ac:dyDescent="0.35">
      <c r="D26" s="3" t="str">
        <f>D19</f>
        <v>Budget 2023-24</v>
      </c>
      <c r="E26" s="5">
        <f>SUM($E19:E19)</f>
        <v>0</v>
      </c>
      <c r="F26" s="5">
        <f>SUM($E19:F19)</f>
        <v>0</v>
      </c>
      <c r="G26" s="5">
        <f>SUM($E19:G19)</f>
        <v>0</v>
      </c>
      <c r="H26" s="5">
        <f>SUM($E19:H19)</f>
        <v>0</v>
      </c>
      <c r="I26" s="5">
        <f>SUM($E19:I19)</f>
        <v>0</v>
      </c>
      <c r="J26" s="5">
        <f>SUM($E19:J19)</f>
        <v>0</v>
      </c>
      <c r="K26" s="5">
        <f>SUM($E19:K19)</f>
        <v>0</v>
      </c>
      <c r="L26" s="5">
        <f>SUM($E19:L19)</f>
        <v>0</v>
      </c>
      <c r="M26" s="5">
        <f>SUM($E19:M19)</f>
        <v>0</v>
      </c>
      <c r="N26" s="5">
        <f>SUM($E19:N19)</f>
        <v>0</v>
      </c>
      <c r="O26" s="5">
        <f>SUM($E19:O19)</f>
        <v>0</v>
      </c>
      <c r="P26" s="5">
        <f>SUM($E19:P19)</f>
        <v>0</v>
      </c>
    </row>
    <row r="27" spans="3:17" x14ac:dyDescent="0.35">
      <c r="D27" s="3" t="str">
        <f t="shared" ref="D27:D30" si="4">D20</f>
        <v>Actual 2023-24</v>
      </c>
      <c r="E27" s="5">
        <f>SUM($E20:E20)</f>
        <v>0</v>
      </c>
      <c r="F27" s="5">
        <f>SUM($E20:F20)</f>
        <v>0</v>
      </c>
      <c r="G27" s="5">
        <f>SUM($E20:G20)</f>
        <v>0</v>
      </c>
      <c r="H27" s="5">
        <f>SUM($E20:H20)</f>
        <v>0</v>
      </c>
      <c r="I27" s="5">
        <f>SUM($E20:I20)</f>
        <v>0</v>
      </c>
      <c r="J27" s="5">
        <f>SUM($E20:J20)</f>
        <v>0</v>
      </c>
      <c r="K27" s="5">
        <f>SUM($E20:K20)</f>
        <v>0</v>
      </c>
      <c r="L27" s="5">
        <f>SUM($E20:L20)</f>
        <v>0</v>
      </c>
      <c r="M27" s="5">
        <f>SUM($E20:M20)</f>
        <v>0</v>
      </c>
      <c r="N27" s="5">
        <f>SUM($E20:N20)</f>
        <v>0</v>
      </c>
      <c r="O27" s="5">
        <f>SUM($E20:O20)</f>
        <v>0</v>
      </c>
      <c r="P27" s="5">
        <f>SUM($E20:P20)</f>
        <v>0</v>
      </c>
    </row>
    <row r="28" spans="3:17" x14ac:dyDescent="0.35">
      <c r="D28" s="3" t="str">
        <f t="shared" si="4"/>
        <v>Actual 2022-23</v>
      </c>
      <c r="E28" s="5">
        <f>SUM($E21:E21)</f>
        <v>2500</v>
      </c>
      <c r="F28" s="5">
        <f>SUM($E21:F21)</f>
        <v>5000</v>
      </c>
      <c r="G28" s="5">
        <f>SUM($E21:G21)</f>
        <v>10000</v>
      </c>
      <c r="H28" s="5">
        <f>SUM($E21:H21)</f>
        <v>12500</v>
      </c>
      <c r="I28" s="5">
        <f>SUM($E21:I21)</f>
        <v>12500</v>
      </c>
      <c r="J28" s="5">
        <f>SUM($E21:J21)</f>
        <v>12500</v>
      </c>
      <c r="K28" s="5">
        <f>SUM($E21:K21)</f>
        <v>17500</v>
      </c>
      <c r="L28" s="5">
        <f>SUM($E21:L21)</f>
        <v>17500</v>
      </c>
      <c r="M28" s="5">
        <f>SUM($E21:M21)</f>
        <v>17500</v>
      </c>
      <c r="N28" s="5">
        <f>SUM($E21:N21)</f>
        <v>17500</v>
      </c>
      <c r="O28" s="5">
        <f>SUM($E21:O21)</f>
        <v>17500</v>
      </c>
      <c r="P28" s="5">
        <f>SUM($E21:P21)</f>
        <v>25000</v>
      </c>
    </row>
    <row r="29" spans="3:17" x14ac:dyDescent="0.35">
      <c r="D29" s="3" t="str">
        <f t="shared" si="4"/>
        <v>Difference</v>
      </c>
      <c r="E29" s="5">
        <f>SUM($E22:E22)</f>
        <v>0</v>
      </c>
      <c r="F29" s="5">
        <f>SUM($E22:F22)</f>
        <v>0</v>
      </c>
      <c r="G29" s="5">
        <f>SUM($E22:G22)</f>
        <v>0</v>
      </c>
      <c r="H29" s="5">
        <f>SUM($E22:H22)</f>
        <v>0</v>
      </c>
      <c r="I29" s="5">
        <f>SUM($E22:I22)</f>
        <v>0</v>
      </c>
      <c r="J29" s="5">
        <f>SUM($E22:J22)</f>
        <v>0</v>
      </c>
      <c r="K29" s="5">
        <f>SUM($E22:K22)</f>
        <v>0</v>
      </c>
      <c r="L29" s="5">
        <f>SUM($E22:L22)</f>
        <v>0</v>
      </c>
      <c r="M29" s="5">
        <f>SUM($E22:M22)</f>
        <v>0</v>
      </c>
      <c r="N29" s="5">
        <f>SUM($E22:N22)</f>
        <v>0</v>
      </c>
      <c r="O29" s="5">
        <f>SUM($E22:O22)</f>
        <v>0</v>
      </c>
      <c r="P29" s="5">
        <f>SUM($E22:P22)</f>
        <v>0</v>
      </c>
    </row>
    <row r="30" spans="3:17" x14ac:dyDescent="0.35">
      <c r="D30" s="3" t="str">
        <f t="shared" si="4"/>
        <v>Realisation</v>
      </c>
      <c r="E30" s="9" t="e">
        <f>E28/E26</f>
        <v>#DIV/0!</v>
      </c>
      <c r="F30" s="9" t="e">
        <f t="shared" ref="F30:P30" si="5">F27/F26</f>
        <v>#DIV/0!</v>
      </c>
      <c r="G30" s="9" t="e">
        <f t="shared" si="5"/>
        <v>#DIV/0!</v>
      </c>
      <c r="H30" s="9" t="e">
        <f t="shared" si="5"/>
        <v>#DIV/0!</v>
      </c>
      <c r="I30" s="9" t="e">
        <f t="shared" si="5"/>
        <v>#DIV/0!</v>
      </c>
      <c r="J30" s="9" t="e">
        <f t="shared" si="5"/>
        <v>#DIV/0!</v>
      </c>
      <c r="K30" s="9" t="e">
        <f t="shared" si="5"/>
        <v>#DIV/0!</v>
      </c>
      <c r="L30" s="9" t="e">
        <f t="shared" si="5"/>
        <v>#DIV/0!</v>
      </c>
      <c r="M30" s="9" t="e">
        <f t="shared" si="5"/>
        <v>#DIV/0!</v>
      </c>
      <c r="N30" s="9" t="e">
        <f t="shared" si="5"/>
        <v>#DIV/0!</v>
      </c>
      <c r="O30" s="9" t="e">
        <f t="shared" si="5"/>
        <v>#DIV/0!</v>
      </c>
      <c r="P30" s="9" t="e">
        <f t="shared" si="5"/>
        <v>#DIV/0!</v>
      </c>
    </row>
  </sheetData>
  <mergeCells count="2">
    <mergeCell ref="J4:Q8"/>
    <mergeCell ref="J10:Q15"/>
  </mergeCells>
  <conditionalFormatting sqref="C3">
    <cfRule type="expression" dxfId="53" priority="2">
      <formula>S4&lt;S6</formula>
    </cfRule>
  </conditionalFormatting>
  <conditionalFormatting sqref="C5">
    <cfRule type="expression" dxfId="52" priority="3">
      <formula>S4&gt;=S5</formula>
    </cfRule>
  </conditionalFormatting>
  <conditionalFormatting sqref="C4">
    <cfRule type="expression" dxfId="51" priority="1">
      <formula>AND(S4&gt;=S6,S4&lt;S5)</formula>
    </cfRule>
  </conditionalFormatting>
  <hyperlinks>
    <hyperlink ref="L1" location="Dashboard!A1" display="Dashboard"/>
  </hyperlinks>
  <pageMargins left="0.7" right="0.7" top="0.75" bottom="0.75" header="0.3" footer="0.3"/>
  <pageSetup orientation="portrait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77249" r:id="rId4" name="Spinner 1">
              <controlPr defaultSize="0" autoPict="0">
                <anchor moveWithCells="1" sizeWithCells="1">
                  <from>
                    <xdr:col>9</xdr:col>
                    <xdr:colOff>19050</xdr:colOff>
                    <xdr:row>0</xdr:row>
                    <xdr:rowOff>38100</xdr:rowOff>
                  </from>
                  <to>
                    <xdr:col>9</xdr:col>
                    <xdr:colOff>400050</xdr:colOff>
                    <xdr:row>1</xdr:row>
                    <xdr:rowOff>152400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18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141">
    <tabColor rgb="FFFFC000"/>
  </sheetPr>
  <dimension ref="A1:S30"/>
  <sheetViews>
    <sheetView zoomScale="90" zoomScaleNormal="90" workbookViewId="0">
      <selection activeCell="D19" sqref="D19:D21"/>
    </sheetView>
  </sheetViews>
  <sheetFormatPr defaultColWidth="9.1796875" defaultRowHeight="14.5" x14ac:dyDescent="0.35"/>
  <cols>
    <col min="1" max="1" width="9.1796875" style="3"/>
    <col min="2" max="2" width="5.7265625" style="3" bestFit="1" customWidth="1"/>
    <col min="3" max="3" width="6.26953125" style="3" customWidth="1"/>
    <col min="4" max="4" width="21.26953125" style="3" bestFit="1" customWidth="1"/>
    <col min="5" max="16" width="11.1796875" style="3" customWidth="1"/>
    <col min="17" max="17" width="12" style="3" bestFit="1" customWidth="1"/>
    <col min="18" max="18" width="9.1796875" style="3" customWidth="1"/>
    <col min="19" max="16384" width="9.1796875" style="3"/>
  </cols>
  <sheetData>
    <row r="1" spans="1:19" ht="21" x14ac:dyDescent="0.5">
      <c r="A1" s="4" t="s">
        <v>4</v>
      </c>
      <c r="B1" s="4">
        <f>Dashboard!A204</f>
        <v>3</v>
      </c>
      <c r="C1" s="4" t="str">
        <f>Dashboard!B204</f>
        <v>KABATI- EXHAUSTER SALES</v>
      </c>
      <c r="D1" s="4"/>
      <c r="G1" s="3" t="s">
        <v>9</v>
      </c>
      <c r="I1" s="12">
        <f>INDEX($E$18:$P$18,Actual_month)</f>
        <v>45323</v>
      </c>
      <c r="L1" s="16" t="s">
        <v>19</v>
      </c>
      <c r="R1" s="5"/>
    </row>
    <row r="2" spans="1:19" x14ac:dyDescent="0.35">
      <c r="A2" s="3" t="s">
        <v>13</v>
      </c>
      <c r="C2" s="3" t="s">
        <v>27</v>
      </c>
      <c r="R2" s="6"/>
    </row>
    <row r="3" spans="1:19" ht="25.5" customHeight="1" thickBot="1" x14ac:dyDescent="0.4">
      <c r="C3" s="1" t="s">
        <v>5</v>
      </c>
      <c r="E3" s="10"/>
      <c r="F3" s="10"/>
      <c r="G3" s="10"/>
      <c r="H3" s="10"/>
      <c r="I3" s="10"/>
      <c r="J3" s="3" t="s">
        <v>6</v>
      </c>
      <c r="K3" s="10"/>
      <c r="M3" s="10"/>
      <c r="N3" s="10"/>
      <c r="O3" s="10"/>
      <c r="P3" s="10"/>
    </row>
    <row r="4" spans="1:19" ht="25.5" customHeight="1" x14ac:dyDescent="0.35">
      <c r="C4" s="1" t="s">
        <v>5</v>
      </c>
      <c r="E4" s="10"/>
      <c r="F4" s="10"/>
      <c r="G4" s="10"/>
      <c r="H4" s="10"/>
      <c r="I4" s="10"/>
      <c r="J4" s="401"/>
      <c r="K4" s="402"/>
      <c r="L4" s="402"/>
      <c r="M4" s="402"/>
      <c r="N4" s="402"/>
      <c r="O4" s="402"/>
      <c r="P4" s="402"/>
      <c r="Q4" s="403"/>
      <c r="R4" s="3" t="s">
        <v>22</v>
      </c>
      <c r="S4" s="5">
        <f>INDEX(E27:P27,Actual_month)</f>
        <v>0</v>
      </c>
    </row>
    <row r="5" spans="1:19" ht="25.5" customHeight="1" x14ac:dyDescent="0.35">
      <c r="C5" s="1" t="s">
        <v>5</v>
      </c>
      <c r="E5" s="10"/>
      <c r="F5" s="10"/>
      <c r="G5" s="10"/>
      <c r="H5" s="10"/>
      <c r="I5" s="10"/>
      <c r="J5" s="404"/>
      <c r="K5" s="405"/>
      <c r="L5" s="405"/>
      <c r="M5" s="405"/>
      <c r="N5" s="405"/>
      <c r="O5" s="405"/>
      <c r="P5" s="405"/>
      <c r="Q5" s="406"/>
      <c r="R5" s="3" t="s">
        <v>23</v>
      </c>
      <c r="S5" s="5">
        <f>INDEX(E26:P26,Actual_month)</f>
        <v>0</v>
      </c>
    </row>
    <row r="6" spans="1:19" x14ac:dyDescent="0.35">
      <c r="J6" s="404"/>
      <c r="K6" s="405"/>
      <c r="L6" s="405"/>
      <c r="M6" s="405"/>
      <c r="N6" s="405"/>
      <c r="O6" s="405"/>
      <c r="P6" s="405"/>
      <c r="Q6" s="406"/>
      <c r="R6" s="6">
        <v>0.9</v>
      </c>
      <c r="S6" s="5">
        <f>+S5*R6</f>
        <v>0</v>
      </c>
    </row>
    <row r="7" spans="1:19" x14ac:dyDescent="0.35">
      <c r="J7" s="404"/>
      <c r="K7" s="405"/>
      <c r="L7" s="405"/>
      <c r="M7" s="405"/>
      <c r="N7" s="405"/>
      <c r="O7" s="405"/>
      <c r="P7" s="405"/>
      <c r="Q7" s="406"/>
    </row>
    <row r="8" spans="1:19" ht="15" thickBot="1" x14ac:dyDescent="0.4">
      <c r="J8" s="407"/>
      <c r="K8" s="408"/>
      <c r="L8" s="408"/>
      <c r="M8" s="408"/>
      <c r="N8" s="408"/>
      <c r="O8" s="408"/>
      <c r="P8" s="408"/>
      <c r="Q8" s="409"/>
    </row>
    <row r="9" spans="1:19" ht="15" thickBot="1" x14ac:dyDescent="0.4">
      <c r="J9" s="3" t="s">
        <v>12</v>
      </c>
    </row>
    <row r="10" spans="1:19" x14ac:dyDescent="0.35">
      <c r="J10" s="401"/>
      <c r="K10" s="402"/>
      <c r="L10" s="402"/>
      <c r="M10" s="402"/>
      <c r="N10" s="402"/>
      <c r="O10" s="402"/>
      <c r="P10" s="402"/>
      <c r="Q10" s="403"/>
    </row>
    <row r="11" spans="1:19" x14ac:dyDescent="0.35">
      <c r="J11" s="404"/>
      <c r="K11" s="405"/>
      <c r="L11" s="405"/>
      <c r="M11" s="405"/>
      <c r="N11" s="405"/>
      <c r="O11" s="405"/>
      <c r="P11" s="405"/>
      <c r="Q11" s="406"/>
    </row>
    <row r="12" spans="1:19" x14ac:dyDescent="0.35">
      <c r="J12" s="404"/>
      <c r="K12" s="405"/>
      <c r="L12" s="405"/>
      <c r="M12" s="405"/>
      <c r="N12" s="405"/>
      <c r="O12" s="405"/>
      <c r="P12" s="405"/>
      <c r="Q12" s="406"/>
    </row>
    <row r="13" spans="1:19" x14ac:dyDescent="0.35">
      <c r="J13" s="404"/>
      <c r="K13" s="405"/>
      <c r="L13" s="405"/>
      <c r="M13" s="405"/>
      <c r="N13" s="405"/>
      <c r="O13" s="405"/>
      <c r="P13" s="405"/>
      <c r="Q13" s="406"/>
    </row>
    <row r="14" spans="1:19" x14ac:dyDescent="0.35">
      <c r="J14" s="404"/>
      <c r="K14" s="405"/>
      <c r="L14" s="405"/>
      <c r="M14" s="405"/>
      <c r="N14" s="405"/>
      <c r="O14" s="405"/>
      <c r="P14" s="405"/>
      <c r="Q14" s="406"/>
    </row>
    <row r="15" spans="1:19" ht="15" thickBot="1" x14ac:dyDescent="0.4">
      <c r="J15" s="407"/>
      <c r="K15" s="408"/>
      <c r="L15" s="408"/>
      <c r="M15" s="408"/>
      <c r="N15" s="408"/>
      <c r="O15" s="408"/>
      <c r="P15" s="408"/>
      <c r="Q15" s="409"/>
    </row>
    <row r="18" spans="3:17" x14ac:dyDescent="0.35">
      <c r="C18" s="7" t="s">
        <v>8</v>
      </c>
      <c r="E18" s="11">
        <v>45108</v>
      </c>
      <c r="F18" s="11">
        <v>45139</v>
      </c>
      <c r="G18" s="11">
        <v>45170</v>
      </c>
      <c r="H18" s="11">
        <v>45200</v>
      </c>
      <c r="I18" s="11">
        <v>45231</v>
      </c>
      <c r="J18" s="11">
        <v>45261</v>
      </c>
      <c r="K18" s="11">
        <v>45292</v>
      </c>
      <c r="L18" s="11">
        <v>45323</v>
      </c>
      <c r="M18" s="11">
        <v>45352</v>
      </c>
      <c r="N18" s="11">
        <v>45383</v>
      </c>
      <c r="O18" s="11">
        <v>45413</v>
      </c>
      <c r="P18" s="11">
        <v>45444</v>
      </c>
      <c r="Q18" s="8" t="s">
        <v>0</v>
      </c>
    </row>
    <row r="19" spans="3:17" x14ac:dyDescent="0.35">
      <c r="D19" s="3" t="s">
        <v>220</v>
      </c>
      <c r="E19" s="49">
        <f>'budget 2025-26'!D193</f>
        <v>0</v>
      </c>
      <c r="F19" s="49">
        <f>'budget 2025-26'!E193</f>
        <v>0</v>
      </c>
      <c r="G19" s="49">
        <f>'budget 2025-26'!F193</f>
        <v>0</v>
      </c>
      <c r="H19" s="49">
        <f>'budget 2025-26'!G193</f>
        <v>0</v>
      </c>
      <c r="I19" s="49">
        <f>'budget 2025-26'!H193</f>
        <v>0</v>
      </c>
      <c r="J19" s="49">
        <f>'budget 2025-26'!I193</f>
        <v>0</v>
      </c>
      <c r="K19" s="49">
        <f>'budget 2025-26'!J193</f>
        <v>0</v>
      </c>
      <c r="L19" s="49">
        <f>'budget 2025-26'!K193</f>
        <v>0</v>
      </c>
      <c r="M19" s="49">
        <f>'budget 2025-26'!L193</f>
        <v>0</v>
      </c>
      <c r="N19" s="49">
        <f>'budget 2025-26'!M193</f>
        <v>0</v>
      </c>
      <c r="O19" s="49">
        <f>'budget 2025-26'!N193</f>
        <v>0</v>
      </c>
      <c r="P19" s="49">
        <f>'budget 2025-26'!O193</f>
        <v>0</v>
      </c>
      <c r="Q19" s="5">
        <f>SUM(E19:P19)</f>
        <v>0</v>
      </c>
    </row>
    <row r="20" spans="3:17" x14ac:dyDescent="0.35">
      <c r="D20" s="3" t="s">
        <v>221</v>
      </c>
      <c r="E20" s="49">
        <f>'Input Actual2024-25'!E183</f>
        <v>0</v>
      </c>
      <c r="F20" s="49">
        <f>'Input Actual2024-25'!F183</f>
        <v>0</v>
      </c>
      <c r="G20" s="49">
        <f>'Input Actual2024-25'!G183</f>
        <v>0</v>
      </c>
      <c r="H20" s="49">
        <f>'Input Actual2024-25'!H183</f>
        <v>0</v>
      </c>
      <c r="I20" s="49">
        <f>'Input Actual2024-25'!I183</f>
        <v>0</v>
      </c>
      <c r="J20" s="49">
        <f>'Input Actual2024-25'!J183</f>
        <v>0</v>
      </c>
      <c r="K20" s="49">
        <f>'Input Actual2024-25'!K183</f>
        <v>0</v>
      </c>
      <c r="L20" s="49">
        <f>'Input Actual2024-25'!L183</f>
        <v>0</v>
      </c>
      <c r="M20" s="49">
        <f>'Input Actual2024-25'!M183</f>
        <v>0</v>
      </c>
      <c r="N20" s="49">
        <f>'Input Actual2024-25'!N183</f>
        <v>0</v>
      </c>
      <c r="O20" s="49">
        <f>'Input Actual2024-25'!O183</f>
        <v>0</v>
      </c>
      <c r="P20" s="49">
        <f>'Input Actual2024-25'!P183</f>
        <v>0</v>
      </c>
      <c r="Q20" s="5">
        <f t="shared" ref="Q20:Q22" si="0">SUM(E20:P20)</f>
        <v>0</v>
      </c>
    </row>
    <row r="21" spans="3:17" x14ac:dyDescent="0.35">
      <c r="D21" s="3" t="s">
        <v>196</v>
      </c>
      <c r="E21" s="49">
        <f>'actual 2022-23'!D153</f>
        <v>10000</v>
      </c>
      <c r="F21" s="49">
        <f>'actual 2022-23'!E153</f>
        <v>5000</v>
      </c>
      <c r="G21" s="49">
        <f>'actual 2022-23'!F153</f>
        <v>7500</v>
      </c>
      <c r="H21" s="49">
        <f>'actual 2022-23'!G153</f>
        <v>5000</v>
      </c>
      <c r="I21" s="49">
        <f>'actual 2022-23'!H153</f>
        <v>2500</v>
      </c>
      <c r="J21" s="49">
        <f>'actual 2022-23'!I153</f>
        <v>2500</v>
      </c>
      <c r="K21" s="49">
        <f>'actual 2022-23'!J153</f>
        <v>2500</v>
      </c>
      <c r="L21" s="49">
        <f>'actual 2022-23'!K153</f>
        <v>5000</v>
      </c>
      <c r="M21" s="49">
        <f>'actual 2022-23'!L153</f>
        <v>0</v>
      </c>
      <c r="N21" s="49">
        <f>'actual 2022-23'!M153</f>
        <v>7500</v>
      </c>
      <c r="O21" s="49">
        <f>'actual 2022-23'!N153</f>
        <v>0</v>
      </c>
      <c r="P21" s="49">
        <f>'actual 2022-23'!O153</f>
        <v>0</v>
      </c>
      <c r="Q21" s="5">
        <f t="shared" si="0"/>
        <v>47500</v>
      </c>
    </row>
    <row r="22" spans="3:17" x14ac:dyDescent="0.35">
      <c r="D22" s="3" t="s">
        <v>7</v>
      </c>
      <c r="E22" s="5">
        <f t="shared" ref="E22:P22" si="1">IF(E20=0,0,E20-E19)</f>
        <v>0</v>
      </c>
      <c r="F22" s="5">
        <f t="shared" si="1"/>
        <v>0</v>
      </c>
      <c r="G22" s="5">
        <f t="shared" si="1"/>
        <v>0</v>
      </c>
      <c r="H22" s="5">
        <f t="shared" si="1"/>
        <v>0</v>
      </c>
      <c r="I22" s="5">
        <f t="shared" si="1"/>
        <v>0</v>
      </c>
      <c r="J22" s="5">
        <f t="shared" si="1"/>
        <v>0</v>
      </c>
      <c r="K22" s="5">
        <f t="shared" si="1"/>
        <v>0</v>
      </c>
      <c r="L22" s="5">
        <f t="shared" si="1"/>
        <v>0</v>
      </c>
      <c r="M22" s="5">
        <f t="shared" si="1"/>
        <v>0</v>
      </c>
      <c r="N22" s="5">
        <f t="shared" si="1"/>
        <v>0</v>
      </c>
      <c r="O22" s="5">
        <f t="shared" si="1"/>
        <v>0</v>
      </c>
      <c r="P22" s="5">
        <f t="shared" si="1"/>
        <v>0</v>
      </c>
      <c r="Q22" s="5">
        <f t="shared" si="0"/>
        <v>0</v>
      </c>
    </row>
    <row r="23" spans="3:17" x14ac:dyDescent="0.35">
      <c r="D23" s="3" t="s">
        <v>43</v>
      </c>
      <c r="E23" s="9" t="e">
        <f>E21/E19</f>
        <v>#DIV/0!</v>
      </c>
      <c r="F23" s="9" t="e">
        <f t="shared" ref="F23:P23" si="2">F20/F19</f>
        <v>#DIV/0!</v>
      </c>
      <c r="G23" s="9" t="e">
        <f t="shared" si="2"/>
        <v>#DIV/0!</v>
      </c>
      <c r="H23" s="9" t="e">
        <f t="shared" si="2"/>
        <v>#DIV/0!</v>
      </c>
      <c r="I23" s="9" t="e">
        <f t="shared" si="2"/>
        <v>#DIV/0!</v>
      </c>
      <c r="J23" s="9" t="e">
        <f t="shared" si="2"/>
        <v>#DIV/0!</v>
      </c>
      <c r="K23" s="9" t="e">
        <f t="shared" si="2"/>
        <v>#DIV/0!</v>
      </c>
      <c r="L23" s="9" t="e">
        <f t="shared" si="2"/>
        <v>#DIV/0!</v>
      </c>
      <c r="M23" s="9" t="e">
        <f t="shared" si="2"/>
        <v>#DIV/0!</v>
      </c>
      <c r="N23" s="9" t="e">
        <f t="shared" si="2"/>
        <v>#DIV/0!</v>
      </c>
      <c r="O23" s="9" t="e">
        <f t="shared" si="2"/>
        <v>#DIV/0!</v>
      </c>
      <c r="P23" s="9" t="e">
        <f t="shared" si="2"/>
        <v>#DIV/0!</v>
      </c>
    </row>
    <row r="25" spans="3:17" x14ac:dyDescent="0.35">
      <c r="C25" s="7" t="s">
        <v>3</v>
      </c>
      <c r="E25" s="11">
        <f>E18</f>
        <v>45108</v>
      </c>
      <c r="F25" s="11">
        <f t="shared" ref="F25:P25" si="3">F18</f>
        <v>45139</v>
      </c>
      <c r="G25" s="11">
        <f t="shared" si="3"/>
        <v>45170</v>
      </c>
      <c r="H25" s="11">
        <f t="shared" si="3"/>
        <v>45200</v>
      </c>
      <c r="I25" s="11">
        <f t="shared" si="3"/>
        <v>45231</v>
      </c>
      <c r="J25" s="11">
        <f t="shared" si="3"/>
        <v>45261</v>
      </c>
      <c r="K25" s="11">
        <f t="shared" si="3"/>
        <v>45292</v>
      </c>
      <c r="L25" s="11">
        <f t="shared" si="3"/>
        <v>45323</v>
      </c>
      <c r="M25" s="11">
        <f t="shared" si="3"/>
        <v>45352</v>
      </c>
      <c r="N25" s="11">
        <f t="shared" si="3"/>
        <v>45383</v>
      </c>
      <c r="O25" s="11">
        <f t="shared" si="3"/>
        <v>45413</v>
      </c>
      <c r="P25" s="11">
        <f t="shared" si="3"/>
        <v>45444</v>
      </c>
    </row>
    <row r="26" spans="3:17" x14ac:dyDescent="0.35">
      <c r="D26" s="3" t="str">
        <f>D19</f>
        <v>Budget 2023-24</v>
      </c>
      <c r="E26" s="5">
        <f>SUM($E19:E19)</f>
        <v>0</v>
      </c>
      <c r="F26" s="5">
        <f>SUM($E19:F19)</f>
        <v>0</v>
      </c>
      <c r="G26" s="5">
        <f>SUM($E19:G19)</f>
        <v>0</v>
      </c>
      <c r="H26" s="5">
        <f>SUM($E19:H19)</f>
        <v>0</v>
      </c>
      <c r="I26" s="5">
        <f>SUM($E19:I19)</f>
        <v>0</v>
      </c>
      <c r="J26" s="5">
        <f>SUM($E19:J19)</f>
        <v>0</v>
      </c>
      <c r="K26" s="5">
        <f>SUM($E19:K19)</f>
        <v>0</v>
      </c>
      <c r="L26" s="5">
        <f>SUM($E19:L19)</f>
        <v>0</v>
      </c>
      <c r="M26" s="5">
        <f>SUM($E19:M19)</f>
        <v>0</v>
      </c>
      <c r="N26" s="5">
        <f>SUM($E19:N19)</f>
        <v>0</v>
      </c>
      <c r="O26" s="5">
        <f>SUM($E19:O19)</f>
        <v>0</v>
      </c>
      <c r="P26" s="5">
        <f>SUM($E19:P19)</f>
        <v>0</v>
      </c>
    </row>
    <row r="27" spans="3:17" x14ac:dyDescent="0.35">
      <c r="D27" s="3" t="str">
        <f t="shared" ref="D27:D30" si="4">D20</f>
        <v>Actual 2023-24</v>
      </c>
      <c r="E27" s="5">
        <f>SUM($E20:E20)</f>
        <v>0</v>
      </c>
      <c r="F27" s="5">
        <f>SUM($E20:F20)</f>
        <v>0</v>
      </c>
      <c r="G27" s="5">
        <f>SUM($E20:G20)</f>
        <v>0</v>
      </c>
      <c r="H27" s="5">
        <f>SUM($E20:H20)</f>
        <v>0</v>
      </c>
      <c r="I27" s="5">
        <f>SUM($E20:I20)</f>
        <v>0</v>
      </c>
      <c r="J27" s="5">
        <f>SUM($E20:J20)</f>
        <v>0</v>
      </c>
      <c r="K27" s="5">
        <f>SUM($E20:K20)</f>
        <v>0</v>
      </c>
      <c r="L27" s="5">
        <f>SUM($E20:L20)</f>
        <v>0</v>
      </c>
      <c r="M27" s="5">
        <f>SUM($E20:M20)</f>
        <v>0</v>
      </c>
      <c r="N27" s="5">
        <f>SUM($E20:N20)</f>
        <v>0</v>
      </c>
      <c r="O27" s="5">
        <f>SUM($E20:O20)</f>
        <v>0</v>
      </c>
      <c r="P27" s="5">
        <f>SUM($E20:P20)</f>
        <v>0</v>
      </c>
    </row>
    <row r="28" spans="3:17" x14ac:dyDescent="0.35">
      <c r="D28" s="3" t="str">
        <f t="shared" si="4"/>
        <v>Actual 2022-23</v>
      </c>
      <c r="E28" s="5">
        <f>SUM($E21:E21)</f>
        <v>10000</v>
      </c>
      <c r="F28" s="5">
        <f>SUM($E21:F21)</f>
        <v>15000</v>
      </c>
      <c r="G28" s="5">
        <f>SUM($E21:G21)</f>
        <v>22500</v>
      </c>
      <c r="H28" s="5">
        <f>SUM($E21:H21)</f>
        <v>27500</v>
      </c>
      <c r="I28" s="5">
        <f>SUM($E21:I21)</f>
        <v>30000</v>
      </c>
      <c r="J28" s="5">
        <f>SUM($E21:J21)</f>
        <v>32500</v>
      </c>
      <c r="K28" s="5">
        <f>SUM($E21:K21)</f>
        <v>35000</v>
      </c>
      <c r="L28" s="5">
        <f>SUM($E21:L21)</f>
        <v>40000</v>
      </c>
      <c r="M28" s="5">
        <f>SUM($E21:M21)</f>
        <v>40000</v>
      </c>
      <c r="N28" s="5">
        <f>SUM($E21:N21)</f>
        <v>47500</v>
      </c>
      <c r="O28" s="5">
        <f>SUM($E21:O21)</f>
        <v>47500</v>
      </c>
      <c r="P28" s="5">
        <f>SUM($E21:P21)</f>
        <v>47500</v>
      </c>
    </row>
    <row r="29" spans="3:17" x14ac:dyDescent="0.35">
      <c r="D29" s="3" t="str">
        <f t="shared" si="4"/>
        <v>Difference</v>
      </c>
      <c r="E29" s="5">
        <f>SUM($E22:E22)</f>
        <v>0</v>
      </c>
      <c r="F29" s="5">
        <f>SUM($E22:F22)</f>
        <v>0</v>
      </c>
      <c r="G29" s="5">
        <f>SUM($E22:G22)</f>
        <v>0</v>
      </c>
      <c r="H29" s="5">
        <f>SUM($E22:H22)</f>
        <v>0</v>
      </c>
      <c r="I29" s="5">
        <f>SUM($E22:I22)</f>
        <v>0</v>
      </c>
      <c r="J29" s="5">
        <f>SUM($E22:J22)</f>
        <v>0</v>
      </c>
      <c r="K29" s="5">
        <f>SUM($E22:K22)</f>
        <v>0</v>
      </c>
      <c r="L29" s="5">
        <f>SUM($E22:L22)</f>
        <v>0</v>
      </c>
      <c r="M29" s="5">
        <f>SUM($E22:M22)</f>
        <v>0</v>
      </c>
      <c r="N29" s="5">
        <f>SUM($E22:N22)</f>
        <v>0</v>
      </c>
      <c r="O29" s="5">
        <f>SUM($E22:O22)</f>
        <v>0</v>
      </c>
      <c r="P29" s="5">
        <f>SUM($E22:P22)</f>
        <v>0</v>
      </c>
    </row>
    <row r="30" spans="3:17" x14ac:dyDescent="0.35">
      <c r="D30" s="3" t="str">
        <f t="shared" si="4"/>
        <v>Realisation</v>
      </c>
      <c r="E30" s="9" t="e">
        <f>E28/E26</f>
        <v>#DIV/0!</v>
      </c>
      <c r="F30" s="9" t="e">
        <f t="shared" ref="F30:P30" si="5">F27/F26</f>
        <v>#DIV/0!</v>
      </c>
      <c r="G30" s="9" t="e">
        <f t="shared" si="5"/>
        <v>#DIV/0!</v>
      </c>
      <c r="H30" s="9" t="e">
        <f t="shared" si="5"/>
        <v>#DIV/0!</v>
      </c>
      <c r="I30" s="9" t="e">
        <f t="shared" si="5"/>
        <v>#DIV/0!</v>
      </c>
      <c r="J30" s="9" t="e">
        <f t="shared" si="5"/>
        <v>#DIV/0!</v>
      </c>
      <c r="K30" s="9" t="e">
        <f t="shared" si="5"/>
        <v>#DIV/0!</v>
      </c>
      <c r="L30" s="9" t="e">
        <f t="shared" si="5"/>
        <v>#DIV/0!</v>
      </c>
      <c r="M30" s="9" t="e">
        <f t="shared" si="5"/>
        <v>#DIV/0!</v>
      </c>
      <c r="N30" s="9" t="e">
        <f t="shared" si="5"/>
        <v>#DIV/0!</v>
      </c>
      <c r="O30" s="9" t="e">
        <f t="shared" si="5"/>
        <v>#DIV/0!</v>
      </c>
      <c r="P30" s="9" t="e">
        <f t="shared" si="5"/>
        <v>#DIV/0!</v>
      </c>
    </row>
  </sheetData>
  <mergeCells count="2">
    <mergeCell ref="J4:Q8"/>
    <mergeCell ref="J10:Q15"/>
  </mergeCells>
  <conditionalFormatting sqref="C3">
    <cfRule type="expression" dxfId="50" priority="2">
      <formula>S4&lt;S6</formula>
    </cfRule>
  </conditionalFormatting>
  <conditionalFormatting sqref="C5">
    <cfRule type="expression" dxfId="49" priority="3">
      <formula>S4&gt;=S5</formula>
    </cfRule>
  </conditionalFormatting>
  <conditionalFormatting sqref="C4">
    <cfRule type="expression" dxfId="48" priority="1">
      <formula>AND(S4&gt;=S6,S4&lt;S5)</formula>
    </cfRule>
  </conditionalFormatting>
  <hyperlinks>
    <hyperlink ref="L1" location="Dashboard!A1" display="Dashboard"/>
  </hyperlinks>
  <pageMargins left="0.7" right="0.7" top="0.75" bottom="0.75" header="0.3" footer="0.3"/>
  <pageSetup orientation="portrait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78273" r:id="rId4" name="Spinner 1">
              <controlPr defaultSize="0" autoPict="0">
                <anchor moveWithCells="1" sizeWithCells="1">
                  <from>
                    <xdr:col>9</xdr:col>
                    <xdr:colOff>19050</xdr:colOff>
                    <xdr:row>0</xdr:row>
                    <xdr:rowOff>38100</xdr:rowOff>
                  </from>
                  <to>
                    <xdr:col>9</xdr:col>
                    <xdr:colOff>400050</xdr:colOff>
                    <xdr:row>1</xdr:row>
                    <xdr:rowOff>152400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18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142">
    <tabColor rgb="FFFFC000"/>
  </sheetPr>
  <dimension ref="A1:S30"/>
  <sheetViews>
    <sheetView zoomScale="90" zoomScaleNormal="90" workbookViewId="0">
      <selection activeCell="D19" sqref="D19:D21"/>
    </sheetView>
  </sheetViews>
  <sheetFormatPr defaultColWidth="9.1796875" defaultRowHeight="14.5" x14ac:dyDescent="0.35"/>
  <cols>
    <col min="1" max="1" width="9.1796875" style="3"/>
    <col min="2" max="2" width="5.7265625" style="3" bestFit="1" customWidth="1"/>
    <col min="3" max="3" width="6.26953125" style="3" customWidth="1"/>
    <col min="4" max="4" width="21.26953125" style="3" bestFit="1" customWidth="1"/>
    <col min="5" max="16" width="11.1796875" style="3" customWidth="1"/>
    <col min="17" max="17" width="12" style="3" bestFit="1" customWidth="1"/>
    <col min="18" max="18" width="9.1796875" style="3" customWidth="1"/>
    <col min="19" max="16384" width="9.1796875" style="3"/>
  </cols>
  <sheetData>
    <row r="1" spans="1:19" ht="21" x14ac:dyDescent="0.5">
      <c r="A1" s="4" t="s">
        <v>4</v>
      </c>
      <c r="B1" s="4">
        <f>Dashboard!A205</f>
        <v>4</v>
      </c>
      <c r="C1" s="4" t="str">
        <f>Dashboard!B205</f>
        <v>SITE- EXHAUSTER SALES</v>
      </c>
      <c r="D1" s="4"/>
      <c r="G1" s="3" t="s">
        <v>9</v>
      </c>
      <c r="I1" s="12">
        <f>INDEX($E$18:$P$18,Actual_month)</f>
        <v>44958</v>
      </c>
      <c r="L1" s="16" t="s">
        <v>19</v>
      </c>
      <c r="R1" s="5"/>
    </row>
    <row r="2" spans="1:19" x14ac:dyDescent="0.35">
      <c r="A2" s="3" t="s">
        <v>13</v>
      </c>
      <c r="C2" s="3" t="s">
        <v>27</v>
      </c>
      <c r="R2" s="6"/>
    </row>
    <row r="3" spans="1:19" ht="25.5" customHeight="1" thickBot="1" x14ac:dyDescent="0.4">
      <c r="C3" s="1" t="s">
        <v>5</v>
      </c>
      <c r="E3" s="10"/>
      <c r="F3" s="10"/>
      <c r="G3" s="10"/>
      <c r="H3" s="10"/>
      <c r="I3" s="10"/>
      <c r="J3" s="3" t="s">
        <v>6</v>
      </c>
      <c r="K3" s="10"/>
      <c r="M3" s="10"/>
      <c r="N3" s="10"/>
      <c r="O3" s="10"/>
      <c r="P3" s="10"/>
    </row>
    <row r="4" spans="1:19" ht="25.5" customHeight="1" x14ac:dyDescent="0.35">
      <c r="C4" s="1" t="s">
        <v>5</v>
      </c>
      <c r="E4" s="10"/>
      <c r="F4" s="10"/>
      <c r="G4" s="10"/>
      <c r="H4" s="10"/>
      <c r="I4" s="10"/>
      <c r="J4" s="401"/>
      <c r="K4" s="402"/>
      <c r="L4" s="402"/>
      <c r="M4" s="402"/>
      <c r="N4" s="402"/>
      <c r="O4" s="402"/>
      <c r="P4" s="402"/>
      <c r="Q4" s="403"/>
      <c r="R4" s="3" t="s">
        <v>22</v>
      </c>
      <c r="S4" s="5">
        <f>INDEX(E27:P27,Actual_month)</f>
        <v>0</v>
      </c>
    </row>
    <row r="5" spans="1:19" ht="25.5" customHeight="1" x14ac:dyDescent="0.35">
      <c r="C5" s="1" t="s">
        <v>5</v>
      </c>
      <c r="E5" s="10"/>
      <c r="F5" s="10"/>
      <c r="G5" s="10"/>
      <c r="H5" s="10"/>
      <c r="I5" s="10"/>
      <c r="J5" s="404"/>
      <c r="K5" s="405"/>
      <c r="L5" s="405"/>
      <c r="M5" s="405"/>
      <c r="N5" s="405"/>
      <c r="O5" s="405"/>
      <c r="P5" s="405"/>
      <c r="Q5" s="406"/>
      <c r="R5" s="3" t="s">
        <v>23</v>
      </c>
      <c r="S5" s="5">
        <f>INDEX(E26:P26,Actual_month)</f>
        <v>0</v>
      </c>
    </row>
    <row r="6" spans="1:19" x14ac:dyDescent="0.35">
      <c r="J6" s="404"/>
      <c r="K6" s="405"/>
      <c r="L6" s="405"/>
      <c r="M6" s="405"/>
      <c r="N6" s="405"/>
      <c r="O6" s="405"/>
      <c r="P6" s="405"/>
      <c r="Q6" s="406"/>
      <c r="R6" s="6">
        <v>0.9</v>
      </c>
      <c r="S6" s="5">
        <f>+S5*R6</f>
        <v>0</v>
      </c>
    </row>
    <row r="7" spans="1:19" x14ac:dyDescent="0.35">
      <c r="J7" s="404"/>
      <c r="K7" s="405"/>
      <c r="L7" s="405"/>
      <c r="M7" s="405"/>
      <c r="N7" s="405"/>
      <c r="O7" s="405"/>
      <c r="P7" s="405"/>
      <c r="Q7" s="406"/>
    </row>
    <row r="8" spans="1:19" ht="15" thickBot="1" x14ac:dyDescent="0.4">
      <c r="J8" s="407"/>
      <c r="K8" s="408"/>
      <c r="L8" s="408"/>
      <c r="M8" s="408"/>
      <c r="N8" s="408"/>
      <c r="O8" s="408"/>
      <c r="P8" s="408"/>
      <c r="Q8" s="409"/>
    </row>
    <row r="9" spans="1:19" ht="15" thickBot="1" x14ac:dyDescent="0.4">
      <c r="J9" s="3" t="s">
        <v>12</v>
      </c>
    </row>
    <row r="10" spans="1:19" x14ac:dyDescent="0.35">
      <c r="J10" s="401"/>
      <c r="K10" s="402"/>
      <c r="L10" s="402"/>
      <c r="M10" s="402"/>
      <c r="N10" s="402"/>
      <c r="O10" s="402"/>
      <c r="P10" s="402"/>
      <c r="Q10" s="403"/>
    </row>
    <row r="11" spans="1:19" x14ac:dyDescent="0.35">
      <c r="J11" s="404"/>
      <c r="K11" s="405"/>
      <c r="L11" s="405"/>
      <c r="M11" s="405"/>
      <c r="N11" s="405"/>
      <c r="O11" s="405"/>
      <c r="P11" s="405"/>
      <c r="Q11" s="406"/>
    </row>
    <row r="12" spans="1:19" x14ac:dyDescent="0.35">
      <c r="J12" s="404"/>
      <c r="K12" s="405"/>
      <c r="L12" s="405"/>
      <c r="M12" s="405"/>
      <c r="N12" s="405"/>
      <c r="O12" s="405"/>
      <c r="P12" s="405"/>
      <c r="Q12" s="406"/>
    </row>
    <row r="13" spans="1:19" x14ac:dyDescent="0.35">
      <c r="J13" s="404"/>
      <c r="K13" s="405"/>
      <c r="L13" s="405"/>
      <c r="M13" s="405"/>
      <c r="N13" s="405"/>
      <c r="O13" s="405"/>
      <c r="P13" s="405"/>
      <c r="Q13" s="406"/>
    </row>
    <row r="14" spans="1:19" x14ac:dyDescent="0.35">
      <c r="J14" s="404"/>
      <c r="K14" s="405"/>
      <c r="L14" s="405"/>
      <c r="M14" s="405"/>
      <c r="N14" s="405"/>
      <c r="O14" s="405"/>
      <c r="P14" s="405"/>
      <c r="Q14" s="406"/>
    </row>
    <row r="15" spans="1:19" ht="15" thickBot="1" x14ac:dyDescent="0.4">
      <c r="J15" s="407"/>
      <c r="K15" s="408"/>
      <c r="L15" s="408"/>
      <c r="M15" s="408"/>
      <c r="N15" s="408"/>
      <c r="O15" s="408"/>
      <c r="P15" s="408"/>
      <c r="Q15" s="409"/>
    </row>
    <row r="18" spans="3:17" x14ac:dyDescent="0.35">
      <c r="C18" s="7" t="s">
        <v>8</v>
      </c>
      <c r="E18" s="11">
        <v>44743</v>
      </c>
      <c r="F18" s="11">
        <v>44774</v>
      </c>
      <c r="G18" s="11">
        <v>44805</v>
      </c>
      <c r="H18" s="11">
        <v>44835</v>
      </c>
      <c r="I18" s="11">
        <v>44866</v>
      </c>
      <c r="J18" s="11">
        <v>44896</v>
      </c>
      <c r="K18" s="11">
        <v>44927</v>
      </c>
      <c r="L18" s="11">
        <v>44958</v>
      </c>
      <c r="M18" s="11">
        <v>44986</v>
      </c>
      <c r="N18" s="11">
        <v>45017</v>
      </c>
      <c r="O18" s="11">
        <v>45047</v>
      </c>
      <c r="P18" s="11">
        <v>45078</v>
      </c>
      <c r="Q18" s="8" t="s">
        <v>0</v>
      </c>
    </row>
    <row r="19" spans="3:17" x14ac:dyDescent="0.35">
      <c r="D19" s="3" t="s">
        <v>220</v>
      </c>
      <c r="E19" s="49">
        <f>'budget 2025-26'!D194</f>
        <v>0</v>
      </c>
      <c r="F19" s="49">
        <f>'budget 2025-26'!E194</f>
        <v>0</v>
      </c>
      <c r="G19" s="49">
        <f>'budget 2025-26'!F194</f>
        <v>0</v>
      </c>
      <c r="H19" s="49">
        <f>'budget 2025-26'!G194</f>
        <v>0</v>
      </c>
      <c r="I19" s="49">
        <f>'budget 2025-26'!H194</f>
        <v>0</v>
      </c>
      <c r="J19" s="49">
        <f>'budget 2025-26'!I194</f>
        <v>0</v>
      </c>
      <c r="K19" s="49">
        <f>'budget 2025-26'!J194</f>
        <v>0</v>
      </c>
      <c r="L19" s="49">
        <f>'budget 2025-26'!K194</f>
        <v>0</v>
      </c>
      <c r="M19" s="49">
        <f>'budget 2025-26'!L194</f>
        <v>0</v>
      </c>
      <c r="N19" s="49">
        <f>'budget 2025-26'!M194</f>
        <v>0</v>
      </c>
      <c r="O19" s="49">
        <f>'budget 2025-26'!N194</f>
        <v>0</v>
      </c>
      <c r="P19" s="49">
        <f>'budget 2025-26'!O194</f>
        <v>0</v>
      </c>
      <c r="Q19" s="5">
        <f>SUM(E19:P19)</f>
        <v>0</v>
      </c>
    </row>
    <row r="20" spans="3:17" x14ac:dyDescent="0.35">
      <c r="D20" s="3" t="s">
        <v>221</v>
      </c>
      <c r="E20" s="49">
        <f>'Input Actual2024-25'!E184</f>
        <v>0</v>
      </c>
      <c r="F20" s="49">
        <f>'Input Actual2024-25'!F184</f>
        <v>0</v>
      </c>
      <c r="G20" s="49">
        <f>'Input Actual2024-25'!G184</f>
        <v>0</v>
      </c>
      <c r="H20" s="49">
        <f>'Input Actual2024-25'!H184</f>
        <v>0</v>
      </c>
      <c r="I20" s="49">
        <f>'Input Actual2024-25'!I184</f>
        <v>0</v>
      </c>
      <c r="J20" s="49">
        <f>'Input Actual2024-25'!J184</f>
        <v>0</v>
      </c>
      <c r="K20" s="49">
        <f>'Input Actual2024-25'!K184</f>
        <v>0</v>
      </c>
      <c r="L20" s="49">
        <f>'Input Actual2024-25'!L184</f>
        <v>0</v>
      </c>
      <c r="M20" s="49">
        <f>'Input Actual2024-25'!M184</f>
        <v>0</v>
      </c>
      <c r="N20" s="49">
        <f>'Input Actual2024-25'!N184</f>
        <v>0</v>
      </c>
      <c r="O20" s="49">
        <f>'Input Actual2024-25'!O184</f>
        <v>0</v>
      </c>
      <c r="P20" s="49">
        <f>'Input Actual2024-25'!P184</f>
        <v>0</v>
      </c>
      <c r="Q20" s="5">
        <f t="shared" ref="Q20:Q22" si="0">SUM(E20:P20)</f>
        <v>0</v>
      </c>
    </row>
    <row r="21" spans="3:17" x14ac:dyDescent="0.35">
      <c r="D21" s="3" t="s">
        <v>196</v>
      </c>
      <c r="E21" s="49">
        <f>'actual 2022-23'!D154</f>
        <v>2500</v>
      </c>
      <c r="F21" s="49">
        <f>'actual 2022-23'!E154</f>
        <v>0</v>
      </c>
      <c r="G21" s="49">
        <f>'actual 2022-23'!F154</f>
        <v>2500</v>
      </c>
      <c r="H21" s="49">
        <f>'actual 2022-23'!G154</f>
        <v>0</v>
      </c>
      <c r="I21" s="49">
        <f>'actual 2022-23'!H154</f>
        <v>2500</v>
      </c>
      <c r="J21" s="49">
        <f>'actual 2022-23'!I154</f>
        <v>0</v>
      </c>
      <c r="K21" s="49">
        <f>'actual 2022-23'!J154</f>
        <v>5000</v>
      </c>
      <c r="L21" s="49">
        <f>'actual 2022-23'!K154</f>
        <v>0</v>
      </c>
      <c r="M21" s="49">
        <f>'actual 2022-23'!L154</f>
        <v>0</v>
      </c>
      <c r="N21" s="49">
        <f>'actual 2022-23'!M154</f>
        <v>0</v>
      </c>
      <c r="O21" s="49">
        <f>'actual 2022-23'!N154</f>
        <v>0</v>
      </c>
      <c r="P21" s="49">
        <f>'actual 2022-23'!O154</f>
        <v>0</v>
      </c>
      <c r="Q21" s="5">
        <f t="shared" si="0"/>
        <v>12500</v>
      </c>
    </row>
    <row r="22" spans="3:17" x14ac:dyDescent="0.35">
      <c r="D22" s="3" t="s">
        <v>7</v>
      </c>
      <c r="E22" s="5">
        <f t="shared" ref="E22:P22" si="1">IF(E20=0,0,E20-E19)</f>
        <v>0</v>
      </c>
      <c r="F22" s="5">
        <f t="shared" si="1"/>
        <v>0</v>
      </c>
      <c r="G22" s="5">
        <f t="shared" si="1"/>
        <v>0</v>
      </c>
      <c r="H22" s="5">
        <f t="shared" si="1"/>
        <v>0</v>
      </c>
      <c r="I22" s="5">
        <f t="shared" si="1"/>
        <v>0</v>
      </c>
      <c r="J22" s="5">
        <f t="shared" si="1"/>
        <v>0</v>
      </c>
      <c r="K22" s="5">
        <f t="shared" si="1"/>
        <v>0</v>
      </c>
      <c r="L22" s="5">
        <f t="shared" si="1"/>
        <v>0</v>
      </c>
      <c r="M22" s="5">
        <f t="shared" si="1"/>
        <v>0</v>
      </c>
      <c r="N22" s="5">
        <f t="shared" si="1"/>
        <v>0</v>
      </c>
      <c r="O22" s="5">
        <f t="shared" si="1"/>
        <v>0</v>
      </c>
      <c r="P22" s="5">
        <f t="shared" si="1"/>
        <v>0</v>
      </c>
      <c r="Q22" s="5">
        <f t="shared" si="0"/>
        <v>0</v>
      </c>
    </row>
    <row r="23" spans="3:17" x14ac:dyDescent="0.35">
      <c r="D23" s="3" t="s">
        <v>43</v>
      </c>
      <c r="E23" s="9" t="e">
        <f>E21/E19</f>
        <v>#DIV/0!</v>
      </c>
      <c r="F23" s="9" t="e">
        <f t="shared" ref="F23:P23" si="2">F20/F19</f>
        <v>#DIV/0!</v>
      </c>
      <c r="G23" s="9" t="e">
        <f t="shared" si="2"/>
        <v>#DIV/0!</v>
      </c>
      <c r="H23" s="9" t="e">
        <f t="shared" si="2"/>
        <v>#DIV/0!</v>
      </c>
      <c r="I23" s="9" t="e">
        <f t="shared" si="2"/>
        <v>#DIV/0!</v>
      </c>
      <c r="J23" s="9" t="e">
        <f t="shared" si="2"/>
        <v>#DIV/0!</v>
      </c>
      <c r="K23" s="9" t="e">
        <f t="shared" si="2"/>
        <v>#DIV/0!</v>
      </c>
      <c r="L23" s="9" t="e">
        <f t="shared" si="2"/>
        <v>#DIV/0!</v>
      </c>
      <c r="M23" s="9" t="e">
        <f t="shared" si="2"/>
        <v>#DIV/0!</v>
      </c>
      <c r="N23" s="9" t="e">
        <f t="shared" si="2"/>
        <v>#DIV/0!</v>
      </c>
      <c r="O23" s="9" t="e">
        <f t="shared" si="2"/>
        <v>#DIV/0!</v>
      </c>
      <c r="P23" s="9" t="e">
        <f t="shared" si="2"/>
        <v>#DIV/0!</v>
      </c>
    </row>
    <row r="25" spans="3:17" x14ac:dyDescent="0.35">
      <c r="C25" s="7" t="s">
        <v>3</v>
      </c>
      <c r="E25" s="11">
        <f>E18</f>
        <v>44743</v>
      </c>
      <c r="F25" s="11">
        <f t="shared" ref="F25:P25" si="3">F18</f>
        <v>44774</v>
      </c>
      <c r="G25" s="11">
        <f t="shared" si="3"/>
        <v>44805</v>
      </c>
      <c r="H25" s="11">
        <f t="shared" si="3"/>
        <v>44835</v>
      </c>
      <c r="I25" s="11">
        <f t="shared" si="3"/>
        <v>44866</v>
      </c>
      <c r="J25" s="11">
        <f t="shared" si="3"/>
        <v>44896</v>
      </c>
      <c r="K25" s="11">
        <f t="shared" si="3"/>
        <v>44927</v>
      </c>
      <c r="L25" s="11">
        <f t="shared" si="3"/>
        <v>44958</v>
      </c>
      <c r="M25" s="11">
        <f t="shared" si="3"/>
        <v>44986</v>
      </c>
      <c r="N25" s="11">
        <f t="shared" si="3"/>
        <v>45017</v>
      </c>
      <c r="O25" s="11">
        <f t="shared" si="3"/>
        <v>45047</v>
      </c>
      <c r="P25" s="11">
        <f t="shared" si="3"/>
        <v>45078</v>
      </c>
    </row>
    <row r="26" spans="3:17" x14ac:dyDescent="0.35">
      <c r="D26" s="3" t="str">
        <f>D19</f>
        <v>Budget 2023-24</v>
      </c>
      <c r="E26" s="5">
        <f>SUM($E19:E19)</f>
        <v>0</v>
      </c>
      <c r="F26" s="5">
        <f>SUM($E19:F19)</f>
        <v>0</v>
      </c>
      <c r="G26" s="5">
        <f>SUM($E19:G19)</f>
        <v>0</v>
      </c>
      <c r="H26" s="5">
        <f>SUM($E19:H19)</f>
        <v>0</v>
      </c>
      <c r="I26" s="5">
        <f>SUM($E19:I19)</f>
        <v>0</v>
      </c>
      <c r="J26" s="5">
        <f>SUM($E19:J19)</f>
        <v>0</v>
      </c>
      <c r="K26" s="5">
        <f>SUM($E19:K19)</f>
        <v>0</v>
      </c>
      <c r="L26" s="5">
        <f>SUM($E19:L19)</f>
        <v>0</v>
      </c>
      <c r="M26" s="5">
        <f>SUM($E19:M19)</f>
        <v>0</v>
      </c>
      <c r="N26" s="5">
        <f>SUM($E19:N19)</f>
        <v>0</v>
      </c>
      <c r="O26" s="5">
        <f>SUM($E19:O19)</f>
        <v>0</v>
      </c>
      <c r="P26" s="5">
        <f>SUM($E19:P19)</f>
        <v>0</v>
      </c>
    </row>
    <row r="27" spans="3:17" x14ac:dyDescent="0.35">
      <c r="D27" s="3" t="str">
        <f t="shared" ref="D27:D30" si="4">D20</f>
        <v>Actual 2023-24</v>
      </c>
      <c r="E27" s="5">
        <f>SUM($E20:E20)</f>
        <v>0</v>
      </c>
      <c r="F27" s="5">
        <f>SUM($E20:F20)</f>
        <v>0</v>
      </c>
      <c r="G27" s="5">
        <f>SUM($E20:G20)</f>
        <v>0</v>
      </c>
      <c r="H27" s="5">
        <f>SUM($E20:H20)</f>
        <v>0</v>
      </c>
      <c r="I27" s="5">
        <f>SUM($E20:I20)</f>
        <v>0</v>
      </c>
      <c r="J27" s="5">
        <f>SUM($E20:J20)</f>
        <v>0</v>
      </c>
      <c r="K27" s="5">
        <f>SUM($E20:K20)</f>
        <v>0</v>
      </c>
      <c r="L27" s="5">
        <f>SUM($E20:L20)</f>
        <v>0</v>
      </c>
      <c r="M27" s="5">
        <f>SUM($E20:M20)</f>
        <v>0</v>
      </c>
      <c r="N27" s="5">
        <f>SUM($E20:N20)</f>
        <v>0</v>
      </c>
      <c r="O27" s="5">
        <f>SUM($E20:O20)</f>
        <v>0</v>
      </c>
      <c r="P27" s="5">
        <f>SUM($E20:P20)</f>
        <v>0</v>
      </c>
    </row>
    <row r="28" spans="3:17" x14ac:dyDescent="0.35">
      <c r="D28" s="3" t="str">
        <f t="shared" si="4"/>
        <v>Actual 2022-23</v>
      </c>
      <c r="E28" s="5">
        <f>SUM($E21:E21)</f>
        <v>2500</v>
      </c>
      <c r="F28" s="5">
        <f>SUM($E21:F21)</f>
        <v>2500</v>
      </c>
      <c r="G28" s="5">
        <f>SUM($E21:G21)</f>
        <v>5000</v>
      </c>
      <c r="H28" s="5">
        <f>SUM($E21:H21)</f>
        <v>5000</v>
      </c>
      <c r="I28" s="5">
        <f>SUM($E21:I21)</f>
        <v>7500</v>
      </c>
      <c r="J28" s="5">
        <f>SUM($E21:J21)</f>
        <v>7500</v>
      </c>
      <c r="K28" s="5">
        <f>SUM($E21:K21)</f>
        <v>12500</v>
      </c>
      <c r="L28" s="5">
        <f>SUM($E21:L21)</f>
        <v>12500</v>
      </c>
      <c r="M28" s="5">
        <f>SUM($E21:M21)</f>
        <v>12500</v>
      </c>
      <c r="N28" s="5">
        <f>SUM($E21:N21)</f>
        <v>12500</v>
      </c>
      <c r="O28" s="5">
        <f>SUM($E21:O21)</f>
        <v>12500</v>
      </c>
      <c r="P28" s="5">
        <f>SUM($E21:P21)</f>
        <v>12500</v>
      </c>
    </row>
    <row r="29" spans="3:17" x14ac:dyDescent="0.35">
      <c r="D29" s="3" t="str">
        <f t="shared" si="4"/>
        <v>Difference</v>
      </c>
      <c r="E29" s="5">
        <f>SUM($E22:E22)</f>
        <v>0</v>
      </c>
      <c r="F29" s="5">
        <f>SUM($E22:F22)</f>
        <v>0</v>
      </c>
      <c r="G29" s="5">
        <f>SUM($E22:G22)</f>
        <v>0</v>
      </c>
      <c r="H29" s="5">
        <f>SUM($E22:H22)</f>
        <v>0</v>
      </c>
      <c r="I29" s="5">
        <f>SUM($E22:I22)</f>
        <v>0</v>
      </c>
      <c r="J29" s="5">
        <f>SUM($E22:J22)</f>
        <v>0</v>
      </c>
      <c r="K29" s="5">
        <f>SUM($E22:K22)</f>
        <v>0</v>
      </c>
      <c r="L29" s="5">
        <f>SUM($E22:L22)</f>
        <v>0</v>
      </c>
      <c r="M29" s="5">
        <f>SUM($E22:M22)</f>
        <v>0</v>
      </c>
      <c r="N29" s="5">
        <f>SUM($E22:N22)</f>
        <v>0</v>
      </c>
      <c r="O29" s="5">
        <f>SUM($E22:O22)</f>
        <v>0</v>
      </c>
      <c r="P29" s="5">
        <f>SUM($E22:P22)</f>
        <v>0</v>
      </c>
    </row>
    <row r="30" spans="3:17" x14ac:dyDescent="0.35">
      <c r="D30" s="3" t="str">
        <f t="shared" si="4"/>
        <v>Realisation</v>
      </c>
      <c r="E30" s="9" t="e">
        <f>E28/E26</f>
        <v>#DIV/0!</v>
      </c>
      <c r="F30" s="9" t="e">
        <f t="shared" ref="F30:P30" si="5">F27/F26</f>
        <v>#DIV/0!</v>
      </c>
      <c r="G30" s="9" t="e">
        <f t="shared" si="5"/>
        <v>#DIV/0!</v>
      </c>
      <c r="H30" s="9" t="e">
        <f t="shared" si="5"/>
        <v>#DIV/0!</v>
      </c>
      <c r="I30" s="9" t="e">
        <f t="shared" si="5"/>
        <v>#DIV/0!</v>
      </c>
      <c r="J30" s="9" t="e">
        <f t="shared" si="5"/>
        <v>#DIV/0!</v>
      </c>
      <c r="K30" s="9" t="e">
        <f t="shared" si="5"/>
        <v>#DIV/0!</v>
      </c>
      <c r="L30" s="9" t="e">
        <f t="shared" si="5"/>
        <v>#DIV/0!</v>
      </c>
      <c r="M30" s="9" t="e">
        <f t="shared" si="5"/>
        <v>#DIV/0!</v>
      </c>
      <c r="N30" s="9" t="e">
        <f t="shared" si="5"/>
        <v>#DIV/0!</v>
      </c>
      <c r="O30" s="9" t="e">
        <f t="shared" si="5"/>
        <v>#DIV/0!</v>
      </c>
      <c r="P30" s="9" t="e">
        <f t="shared" si="5"/>
        <v>#DIV/0!</v>
      </c>
    </row>
  </sheetData>
  <mergeCells count="2">
    <mergeCell ref="J4:Q8"/>
    <mergeCell ref="J10:Q15"/>
  </mergeCells>
  <conditionalFormatting sqref="C3">
    <cfRule type="expression" dxfId="47" priority="2">
      <formula>S4&lt;S6</formula>
    </cfRule>
  </conditionalFormatting>
  <conditionalFormatting sqref="C5">
    <cfRule type="expression" dxfId="46" priority="3">
      <formula>S4&gt;=S5</formula>
    </cfRule>
  </conditionalFormatting>
  <conditionalFormatting sqref="C4">
    <cfRule type="expression" dxfId="45" priority="1">
      <formula>AND(S4&gt;=S6,S4&lt;S5)</formula>
    </cfRule>
  </conditionalFormatting>
  <hyperlinks>
    <hyperlink ref="L1" location="Dashboard!A1" display="Dashboard"/>
  </hyperlinks>
  <pageMargins left="0.7" right="0.7" top="0.75" bottom="0.75" header="0.3" footer="0.3"/>
  <pageSetup orientation="portrait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79297" r:id="rId4" name="Spinner 1">
              <controlPr defaultSize="0" autoPict="0">
                <anchor moveWithCells="1" sizeWithCells="1">
                  <from>
                    <xdr:col>9</xdr:col>
                    <xdr:colOff>19050</xdr:colOff>
                    <xdr:row>0</xdr:row>
                    <xdr:rowOff>38100</xdr:rowOff>
                  </from>
                  <to>
                    <xdr:col>9</xdr:col>
                    <xdr:colOff>400050</xdr:colOff>
                    <xdr:row>1</xdr:row>
                    <xdr:rowOff>152400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18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143">
    <tabColor rgb="FFFFC000"/>
  </sheetPr>
  <dimension ref="A1:S30"/>
  <sheetViews>
    <sheetView zoomScale="90" zoomScaleNormal="90" workbookViewId="0">
      <selection activeCell="D19" sqref="D19:D21"/>
    </sheetView>
  </sheetViews>
  <sheetFormatPr defaultColWidth="9.1796875" defaultRowHeight="14.5" x14ac:dyDescent="0.35"/>
  <cols>
    <col min="1" max="1" width="9.1796875" style="3"/>
    <col min="2" max="2" width="5.7265625" style="3" bestFit="1" customWidth="1"/>
    <col min="3" max="3" width="6.26953125" style="3" customWidth="1"/>
    <col min="4" max="4" width="21.26953125" style="3" bestFit="1" customWidth="1"/>
    <col min="5" max="16" width="11.1796875" style="3" customWidth="1"/>
    <col min="17" max="17" width="12" style="3" bestFit="1" customWidth="1"/>
    <col min="18" max="18" width="9.1796875" style="3" customWidth="1"/>
    <col min="19" max="16384" width="9.1796875" style="3"/>
  </cols>
  <sheetData>
    <row r="1" spans="1:19" ht="21" x14ac:dyDescent="0.5">
      <c r="A1" s="4" t="s">
        <v>4</v>
      </c>
      <c r="B1" s="4">
        <f>Dashboard!A206</f>
        <v>5</v>
      </c>
      <c r="C1" s="4" t="str">
        <f>Dashboard!B206</f>
        <v>KIHOTO- EXHAUSTER SALES</v>
      </c>
      <c r="D1" s="4"/>
      <c r="G1" s="3" t="s">
        <v>9</v>
      </c>
      <c r="I1" s="12">
        <f>INDEX($E$18:$P$18,Actual_month)</f>
        <v>46054</v>
      </c>
      <c r="L1" s="16" t="s">
        <v>19</v>
      </c>
      <c r="R1" s="5"/>
    </row>
    <row r="2" spans="1:19" x14ac:dyDescent="0.35">
      <c r="A2" s="3" t="s">
        <v>13</v>
      </c>
      <c r="C2" s="3" t="s">
        <v>27</v>
      </c>
      <c r="R2" s="6"/>
    </row>
    <row r="3" spans="1:19" ht="25.5" customHeight="1" thickBot="1" x14ac:dyDescent="0.4">
      <c r="C3" s="1" t="s">
        <v>5</v>
      </c>
      <c r="E3" s="10"/>
      <c r="F3" s="10"/>
      <c r="G3" s="10"/>
      <c r="H3" s="10"/>
      <c r="I3" s="10"/>
      <c r="J3" s="3" t="s">
        <v>6</v>
      </c>
      <c r="K3" s="10"/>
      <c r="M3" s="10"/>
      <c r="N3" s="10"/>
      <c r="O3" s="10"/>
      <c r="P3" s="10"/>
    </row>
    <row r="4" spans="1:19" ht="25.5" customHeight="1" x14ac:dyDescent="0.35">
      <c r="C4" s="1" t="s">
        <v>5</v>
      </c>
      <c r="E4" s="10"/>
      <c r="F4" s="10"/>
      <c r="G4" s="10"/>
      <c r="H4" s="10"/>
      <c r="I4" s="10"/>
      <c r="J4" s="401"/>
      <c r="K4" s="402"/>
      <c r="L4" s="402"/>
      <c r="M4" s="402"/>
      <c r="N4" s="402"/>
      <c r="O4" s="402"/>
      <c r="P4" s="402"/>
      <c r="Q4" s="403"/>
      <c r="R4" s="3" t="s">
        <v>22</v>
      </c>
      <c r="S4" s="5">
        <f>INDEX(E27:P27,Actual_month)</f>
        <v>0</v>
      </c>
    </row>
    <row r="5" spans="1:19" ht="25.5" customHeight="1" x14ac:dyDescent="0.35">
      <c r="C5" s="1" t="s">
        <v>5</v>
      </c>
      <c r="E5" s="10"/>
      <c r="F5" s="10"/>
      <c r="G5" s="10"/>
      <c r="H5" s="10"/>
      <c r="I5" s="10"/>
      <c r="J5" s="404"/>
      <c r="K5" s="405"/>
      <c r="L5" s="405"/>
      <c r="M5" s="405"/>
      <c r="N5" s="405"/>
      <c r="O5" s="405"/>
      <c r="P5" s="405"/>
      <c r="Q5" s="406"/>
      <c r="R5" s="3" t="s">
        <v>23</v>
      </c>
      <c r="S5" s="5">
        <f>INDEX(E26:P26,Actual_month)</f>
        <v>0</v>
      </c>
    </row>
    <row r="6" spans="1:19" x14ac:dyDescent="0.35">
      <c r="J6" s="404"/>
      <c r="K6" s="405"/>
      <c r="L6" s="405"/>
      <c r="M6" s="405"/>
      <c r="N6" s="405"/>
      <c r="O6" s="405"/>
      <c r="P6" s="405"/>
      <c r="Q6" s="406"/>
      <c r="R6" s="6">
        <v>0.9</v>
      </c>
      <c r="S6" s="5">
        <f>+S5*R6</f>
        <v>0</v>
      </c>
    </row>
    <row r="7" spans="1:19" x14ac:dyDescent="0.35">
      <c r="J7" s="404"/>
      <c r="K7" s="405"/>
      <c r="L7" s="405"/>
      <c r="M7" s="405"/>
      <c r="N7" s="405"/>
      <c r="O7" s="405"/>
      <c r="P7" s="405"/>
      <c r="Q7" s="406"/>
    </row>
    <row r="8" spans="1:19" ht="15" thickBot="1" x14ac:dyDescent="0.4">
      <c r="J8" s="407"/>
      <c r="K8" s="408"/>
      <c r="L8" s="408"/>
      <c r="M8" s="408"/>
      <c r="N8" s="408"/>
      <c r="O8" s="408"/>
      <c r="P8" s="408"/>
      <c r="Q8" s="409"/>
    </row>
    <row r="9" spans="1:19" ht="15" thickBot="1" x14ac:dyDescent="0.4">
      <c r="J9" s="3" t="s">
        <v>12</v>
      </c>
    </row>
    <row r="10" spans="1:19" x14ac:dyDescent="0.35">
      <c r="J10" s="401"/>
      <c r="K10" s="402"/>
      <c r="L10" s="402"/>
      <c r="M10" s="402"/>
      <c r="N10" s="402"/>
      <c r="O10" s="402"/>
      <c r="P10" s="402"/>
      <c r="Q10" s="403"/>
    </row>
    <row r="11" spans="1:19" x14ac:dyDescent="0.35">
      <c r="J11" s="404"/>
      <c r="K11" s="405"/>
      <c r="L11" s="405"/>
      <c r="M11" s="405"/>
      <c r="N11" s="405"/>
      <c r="O11" s="405"/>
      <c r="P11" s="405"/>
      <c r="Q11" s="406"/>
    </row>
    <row r="12" spans="1:19" x14ac:dyDescent="0.35">
      <c r="J12" s="404"/>
      <c r="K12" s="405"/>
      <c r="L12" s="405"/>
      <c r="M12" s="405"/>
      <c r="N12" s="405"/>
      <c r="O12" s="405"/>
      <c r="P12" s="405"/>
      <c r="Q12" s="406"/>
    </row>
    <row r="13" spans="1:19" x14ac:dyDescent="0.35">
      <c r="J13" s="404"/>
      <c r="K13" s="405"/>
      <c r="L13" s="405"/>
      <c r="M13" s="405"/>
      <c r="N13" s="405"/>
      <c r="O13" s="405"/>
      <c r="P13" s="405"/>
      <c r="Q13" s="406"/>
    </row>
    <row r="14" spans="1:19" x14ac:dyDescent="0.35">
      <c r="J14" s="404"/>
      <c r="K14" s="405"/>
      <c r="L14" s="405"/>
      <c r="M14" s="405"/>
      <c r="N14" s="405"/>
      <c r="O14" s="405"/>
      <c r="P14" s="405"/>
      <c r="Q14" s="406"/>
    </row>
    <row r="15" spans="1:19" ht="15" thickBot="1" x14ac:dyDescent="0.4">
      <c r="J15" s="407"/>
      <c r="K15" s="408"/>
      <c r="L15" s="408"/>
      <c r="M15" s="408"/>
      <c r="N15" s="408"/>
      <c r="O15" s="408"/>
      <c r="P15" s="408"/>
      <c r="Q15" s="409"/>
    </row>
    <row r="18" spans="3:17" x14ac:dyDescent="0.35">
      <c r="C18" s="7" t="s">
        <v>8</v>
      </c>
      <c r="E18" s="11">
        <f>'KPI 1'!E18</f>
        <v>45839</v>
      </c>
      <c r="F18" s="11">
        <f>'KPI 1'!F18</f>
        <v>45870</v>
      </c>
      <c r="G18" s="11">
        <f>'KPI 1'!G18</f>
        <v>45901</v>
      </c>
      <c r="H18" s="11">
        <f>'KPI 1'!H18</f>
        <v>45931</v>
      </c>
      <c r="I18" s="11">
        <f>'KPI 1'!I18</f>
        <v>45962</v>
      </c>
      <c r="J18" s="11">
        <f>'KPI 1'!J18</f>
        <v>45992</v>
      </c>
      <c r="K18" s="11">
        <f>'KPI 1'!K18</f>
        <v>46023</v>
      </c>
      <c r="L18" s="11">
        <f>'KPI 1'!L18</f>
        <v>46054</v>
      </c>
      <c r="M18" s="11">
        <f>'KPI 1'!M18</f>
        <v>46082</v>
      </c>
      <c r="N18" s="11">
        <f>'KPI 1'!N18</f>
        <v>46113</v>
      </c>
      <c r="O18" s="11">
        <f>'KPI 1'!O18</f>
        <v>46143</v>
      </c>
      <c r="P18" s="11">
        <f>'KPI 1'!P18</f>
        <v>46174</v>
      </c>
      <c r="Q18" s="8" t="s">
        <v>0</v>
      </c>
    </row>
    <row r="19" spans="3:17" x14ac:dyDescent="0.35">
      <c r="D19" s="3" t="s">
        <v>220</v>
      </c>
      <c r="E19" s="49">
        <f>'budget 2025-26'!D195</f>
        <v>0</v>
      </c>
      <c r="F19" s="49">
        <f>'budget 2025-26'!E195</f>
        <v>0</v>
      </c>
      <c r="G19" s="49">
        <f>'budget 2025-26'!F195</f>
        <v>0</v>
      </c>
      <c r="H19" s="49">
        <f>'budget 2025-26'!G195</f>
        <v>0</v>
      </c>
      <c r="I19" s="49">
        <f>'budget 2025-26'!H195</f>
        <v>0</v>
      </c>
      <c r="J19" s="49">
        <f>'budget 2025-26'!I195</f>
        <v>0</v>
      </c>
      <c r="K19" s="49">
        <f>'budget 2025-26'!J195</f>
        <v>0</v>
      </c>
      <c r="L19" s="49">
        <f>'budget 2025-26'!K195</f>
        <v>0</v>
      </c>
      <c r="M19" s="49">
        <f>'budget 2025-26'!L195</f>
        <v>0</v>
      </c>
      <c r="N19" s="49">
        <f>'budget 2025-26'!M195</f>
        <v>0</v>
      </c>
      <c r="O19" s="49">
        <f>'budget 2025-26'!N195</f>
        <v>0</v>
      </c>
      <c r="P19" s="49">
        <f>'budget 2025-26'!O195</f>
        <v>0</v>
      </c>
      <c r="Q19" s="5">
        <f>SUM(E19:P19)</f>
        <v>0</v>
      </c>
    </row>
    <row r="20" spans="3:17" x14ac:dyDescent="0.35">
      <c r="D20" s="3" t="s">
        <v>221</v>
      </c>
      <c r="E20" s="49">
        <f>'Input Actual2024-25'!E185</f>
        <v>0</v>
      </c>
      <c r="F20" s="49">
        <f>'Input Actual2024-25'!F185</f>
        <v>0</v>
      </c>
      <c r="G20" s="49">
        <f>'Input Actual2024-25'!G185</f>
        <v>0</v>
      </c>
      <c r="H20" s="49">
        <f>'Input Actual2024-25'!H185</f>
        <v>0</v>
      </c>
      <c r="I20" s="49">
        <f>'Input Actual2024-25'!I185</f>
        <v>0</v>
      </c>
      <c r="J20" s="49">
        <f>'Input Actual2024-25'!J185</f>
        <v>0</v>
      </c>
      <c r="K20" s="49">
        <f>'Input Actual2024-25'!K186</f>
        <v>0</v>
      </c>
      <c r="L20" s="49">
        <f>'Input Actual2024-25'!L185</f>
        <v>0</v>
      </c>
      <c r="M20" s="49">
        <f>'Input Actual2024-25'!M185</f>
        <v>0</v>
      </c>
      <c r="N20" s="49">
        <f>'Input Actual2024-25'!N185</f>
        <v>0</v>
      </c>
      <c r="O20" s="49">
        <f>'Input Actual2024-25'!O185</f>
        <v>0</v>
      </c>
      <c r="P20" s="49">
        <f>'Input Actual2024-25'!P185</f>
        <v>0</v>
      </c>
      <c r="Q20" s="5">
        <f t="shared" ref="Q20:Q22" si="0">SUM(E20:P20)</f>
        <v>0</v>
      </c>
    </row>
    <row r="21" spans="3:17" x14ac:dyDescent="0.35">
      <c r="D21" s="3" t="s">
        <v>196</v>
      </c>
      <c r="E21" s="49">
        <f>'actual 2022-23'!D155</f>
        <v>5000</v>
      </c>
      <c r="F21" s="49">
        <f>'actual 2022-23'!E155</f>
        <v>2500</v>
      </c>
      <c r="G21" s="49">
        <f>'actual 2022-23'!F155</f>
        <v>2500</v>
      </c>
      <c r="H21" s="49">
        <f>'actual 2022-23'!G155</f>
        <v>0</v>
      </c>
      <c r="I21" s="49">
        <f>'actual 2022-23'!H155</f>
        <v>5000</v>
      </c>
      <c r="J21" s="49">
        <f>'actual 2022-23'!I155</f>
        <v>2500</v>
      </c>
      <c r="K21" s="49">
        <f>'actual 2022-23'!J155</f>
        <v>7500</v>
      </c>
      <c r="L21" s="49">
        <f>'actual 2022-23'!K155</f>
        <v>5000</v>
      </c>
      <c r="M21" s="49">
        <f>'actual 2022-23'!L155</f>
        <v>0</v>
      </c>
      <c r="N21" s="49">
        <f>'actual 2022-23'!M155</f>
        <v>0</v>
      </c>
      <c r="O21" s="49">
        <f>'actual 2022-23'!N155</f>
        <v>0</v>
      </c>
      <c r="P21" s="49">
        <f>'actual 2022-23'!O155</f>
        <v>0</v>
      </c>
      <c r="Q21" s="5">
        <f t="shared" si="0"/>
        <v>30000</v>
      </c>
    </row>
    <row r="22" spans="3:17" x14ac:dyDescent="0.35">
      <c r="D22" s="3" t="s">
        <v>7</v>
      </c>
      <c r="E22" s="5">
        <f t="shared" ref="E22:P22" si="1">IF(E20=0,0,E20-E19)</f>
        <v>0</v>
      </c>
      <c r="F22" s="5">
        <f t="shared" si="1"/>
        <v>0</v>
      </c>
      <c r="G22" s="5">
        <f t="shared" si="1"/>
        <v>0</v>
      </c>
      <c r="H22" s="5">
        <f t="shared" si="1"/>
        <v>0</v>
      </c>
      <c r="I22" s="5">
        <f t="shared" si="1"/>
        <v>0</v>
      </c>
      <c r="J22" s="5">
        <f t="shared" si="1"/>
        <v>0</v>
      </c>
      <c r="K22" s="5">
        <f t="shared" si="1"/>
        <v>0</v>
      </c>
      <c r="L22" s="5">
        <f t="shared" si="1"/>
        <v>0</v>
      </c>
      <c r="M22" s="5">
        <f t="shared" si="1"/>
        <v>0</v>
      </c>
      <c r="N22" s="5">
        <f t="shared" si="1"/>
        <v>0</v>
      </c>
      <c r="O22" s="5">
        <f t="shared" si="1"/>
        <v>0</v>
      </c>
      <c r="P22" s="5">
        <f t="shared" si="1"/>
        <v>0</v>
      </c>
      <c r="Q22" s="5">
        <f t="shared" si="0"/>
        <v>0</v>
      </c>
    </row>
    <row r="23" spans="3:17" x14ac:dyDescent="0.35">
      <c r="D23" s="3" t="s">
        <v>43</v>
      </c>
      <c r="E23" s="9" t="e">
        <f>E21/E19</f>
        <v>#DIV/0!</v>
      </c>
      <c r="F23" s="9" t="e">
        <f t="shared" ref="F23:P23" si="2">F20/F19</f>
        <v>#DIV/0!</v>
      </c>
      <c r="G23" s="9" t="e">
        <f t="shared" si="2"/>
        <v>#DIV/0!</v>
      </c>
      <c r="H23" s="9" t="e">
        <f t="shared" si="2"/>
        <v>#DIV/0!</v>
      </c>
      <c r="I23" s="9" t="e">
        <f t="shared" si="2"/>
        <v>#DIV/0!</v>
      </c>
      <c r="J23" s="9" t="e">
        <f t="shared" si="2"/>
        <v>#DIV/0!</v>
      </c>
      <c r="K23" s="9" t="e">
        <f t="shared" si="2"/>
        <v>#DIV/0!</v>
      </c>
      <c r="L23" s="9" t="e">
        <f t="shared" si="2"/>
        <v>#DIV/0!</v>
      </c>
      <c r="M23" s="9" t="e">
        <f t="shared" si="2"/>
        <v>#DIV/0!</v>
      </c>
      <c r="N23" s="9" t="e">
        <f t="shared" si="2"/>
        <v>#DIV/0!</v>
      </c>
      <c r="O23" s="9" t="e">
        <f t="shared" si="2"/>
        <v>#DIV/0!</v>
      </c>
      <c r="P23" s="9" t="e">
        <f t="shared" si="2"/>
        <v>#DIV/0!</v>
      </c>
    </row>
    <row r="25" spans="3:17" x14ac:dyDescent="0.35">
      <c r="C25" s="7" t="s">
        <v>3</v>
      </c>
      <c r="E25" s="11">
        <f>E18</f>
        <v>45839</v>
      </c>
      <c r="F25" s="11">
        <f t="shared" ref="F25:P25" si="3">F18</f>
        <v>45870</v>
      </c>
      <c r="G25" s="11">
        <f t="shared" si="3"/>
        <v>45901</v>
      </c>
      <c r="H25" s="11">
        <f t="shared" si="3"/>
        <v>45931</v>
      </c>
      <c r="I25" s="11">
        <f t="shared" si="3"/>
        <v>45962</v>
      </c>
      <c r="J25" s="11">
        <f t="shared" si="3"/>
        <v>45992</v>
      </c>
      <c r="K25" s="11">
        <f t="shared" si="3"/>
        <v>46023</v>
      </c>
      <c r="L25" s="11">
        <f t="shared" si="3"/>
        <v>46054</v>
      </c>
      <c r="M25" s="11">
        <f t="shared" si="3"/>
        <v>46082</v>
      </c>
      <c r="N25" s="11">
        <f t="shared" si="3"/>
        <v>46113</v>
      </c>
      <c r="O25" s="11">
        <f t="shared" si="3"/>
        <v>46143</v>
      </c>
      <c r="P25" s="11">
        <f t="shared" si="3"/>
        <v>46174</v>
      </c>
    </row>
    <row r="26" spans="3:17" x14ac:dyDescent="0.35">
      <c r="D26" s="3" t="str">
        <f>D19</f>
        <v>Budget 2023-24</v>
      </c>
      <c r="E26" s="5">
        <f>SUM($E19:E19)</f>
        <v>0</v>
      </c>
      <c r="F26" s="5">
        <f>SUM($E19:F19)</f>
        <v>0</v>
      </c>
      <c r="G26" s="5">
        <f>SUM($E19:G19)</f>
        <v>0</v>
      </c>
      <c r="H26" s="5">
        <f>SUM($E19:H19)</f>
        <v>0</v>
      </c>
      <c r="I26" s="5">
        <f>SUM($E19:I19)</f>
        <v>0</v>
      </c>
      <c r="J26" s="5">
        <f>SUM($E19:J19)</f>
        <v>0</v>
      </c>
      <c r="K26" s="5">
        <f>SUM($E19:K19)</f>
        <v>0</v>
      </c>
      <c r="L26" s="5">
        <f>SUM($E19:L19)</f>
        <v>0</v>
      </c>
      <c r="M26" s="5">
        <f>SUM($E19:M19)</f>
        <v>0</v>
      </c>
      <c r="N26" s="5">
        <f>SUM($E19:N19)</f>
        <v>0</v>
      </c>
      <c r="O26" s="5">
        <f>SUM($E19:O19)</f>
        <v>0</v>
      </c>
      <c r="P26" s="5">
        <f>SUM($E19:P19)</f>
        <v>0</v>
      </c>
    </row>
    <row r="27" spans="3:17" x14ac:dyDescent="0.35">
      <c r="D27" s="3" t="str">
        <f t="shared" ref="D27:D30" si="4">D20</f>
        <v>Actual 2023-24</v>
      </c>
      <c r="E27" s="5">
        <f>SUM($E20:E20)</f>
        <v>0</v>
      </c>
      <c r="F27" s="5">
        <f>SUM($E20:F20)</f>
        <v>0</v>
      </c>
      <c r="G27" s="5">
        <f>SUM($E20:G20)</f>
        <v>0</v>
      </c>
      <c r="H27" s="5">
        <f>SUM($E20:H20)</f>
        <v>0</v>
      </c>
      <c r="I27" s="5">
        <f>SUM($E20:I20)</f>
        <v>0</v>
      </c>
      <c r="J27" s="5">
        <f>SUM($E20:J20)</f>
        <v>0</v>
      </c>
      <c r="K27" s="5">
        <f>SUM($E20:K20)</f>
        <v>0</v>
      </c>
      <c r="L27" s="5">
        <f>SUM($E20:L20)</f>
        <v>0</v>
      </c>
      <c r="M27" s="5">
        <f>SUM($E20:M20)</f>
        <v>0</v>
      </c>
      <c r="N27" s="5">
        <f>SUM($E20:N20)</f>
        <v>0</v>
      </c>
      <c r="O27" s="5">
        <f>SUM($E20:O20)</f>
        <v>0</v>
      </c>
      <c r="P27" s="5">
        <f>SUM($E20:P20)</f>
        <v>0</v>
      </c>
    </row>
    <row r="28" spans="3:17" x14ac:dyDescent="0.35">
      <c r="D28" s="3" t="str">
        <f t="shared" si="4"/>
        <v>Actual 2022-23</v>
      </c>
      <c r="E28" s="5">
        <f>SUM($E21:E21)</f>
        <v>5000</v>
      </c>
      <c r="F28" s="5">
        <f>SUM($E21:F21)</f>
        <v>7500</v>
      </c>
      <c r="G28" s="5">
        <f>SUM($E21:G21)</f>
        <v>10000</v>
      </c>
      <c r="H28" s="5">
        <f>SUM($E21:H21)</f>
        <v>10000</v>
      </c>
      <c r="I28" s="5">
        <f>SUM($E21:I21)</f>
        <v>15000</v>
      </c>
      <c r="J28" s="5">
        <f>SUM($E21:J21)</f>
        <v>17500</v>
      </c>
      <c r="K28" s="5">
        <f>SUM($E21:K21)</f>
        <v>25000</v>
      </c>
      <c r="L28" s="5">
        <f>SUM($E21:L21)</f>
        <v>30000</v>
      </c>
      <c r="M28" s="5">
        <f>SUM($E21:M21)</f>
        <v>30000</v>
      </c>
      <c r="N28" s="5">
        <f>SUM($E21:N21)</f>
        <v>30000</v>
      </c>
      <c r="O28" s="5">
        <f>SUM($E21:O21)</f>
        <v>30000</v>
      </c>
      <c r="P28" s="5">
        <f>SUM($E21:P21)</f>
        <v>30000</v>
      </c>
    </row>
    <row r="29" spans="3:17" x14ac:dyDescent="0.35">
      <c r="D29" s="3" t="str">
        <f t="shared" si="4"/>
        <v>Difference</v>
      </c>
      <c r="E29" s="5">
        <f>SUM($E22:E22)</f>
        <v>0</v>
      </c>
      <c r="F29" s="5">
        <f>SUM($E22:F22)</f>
        <v>0</v>
      </c>
      <c r="G29" s="5">
        <f>SUM($E22:G22)</f>
        <v>0</v>
      </c>
      <c r="H29" s="5">
        <f>SUM($E22:H22)</f>
        <v>0</v>
      </c>
      <c r="I29" s="5">
        <f>SUM($E22:I22)</f>
        <v>0</v>
      </c>
      <c r="J29" s="5">
        <f>SUM($E22:J22)</f>
        <v>0</v>
      </c>
      <c r="K29" s="5">
        <f>SUM($E22:K22)</f>
        <v>0</v>
      </c>
      <c r="L29" s="5">
        <f>SUM($E22:L22)</f>
        <v>0</v>
      </c>
      <c r="M29" s="5">
        <f>SUM($E22:M22)</f>
        <v>0</v>
      </c>
      <c r="N29" s="5">
        <f>SUM($E22:N22)</f>
        <v>0</v>
      </c>
      <c r="O29" s="5">
        <f>SUM($E22:O22)</f>
        <v>0</v>
      </c>
      <c r="P29" s="5">
        <f>SUM($E22:P22)</f>
        <v>0</v>
      </c>
    </row>
    <row r="30" spans="3:17" x14ac:dyDescent="0.35">
      <c r="D30" s="3" t="str">
        <f t="shared" si="4"/>
        <v>Realisation</v>
      </c>
      <c r="E30" s="9" t="e">
        <f>E28/E26</f>
        <v>#DIV/0!</v>
      </c>
      <c r="F30" s="9" t="e">
        <f t="shared" ref="F30:P30" si="5">F27/F26</f>
        <v>#DIV/0!</v>
      </c>
      <c r="G30" s="9" t="e">
        <f t="shared" si="5"/>
        <v>#DIV/0!</v>
      </c>
      <c r="H30" s="9" t="e">
        <f t="shared" si="5"/>
        <v>#DIV/0!</v>
      </c>
      <c r="I30" s="9" t="e">
        <f t="shared" si="5"/>
        <v>#DIV/0!</v>
      </c>
      <c r="J30" s="9" t="e">
        <f t="shared" si="5"/>
        <v>#DIV/0!</v>
      </c>
      <c r="K30" s="9" t="e">
        <f t="shared" si="5"/>
        <v>#DIV/0!</v>
      </c>
      <c r="L30" s="9" t="e">
        <f t="shared" si="5"/>
        <v>#DIV/0!</v>
      </c>
      <c r="M30" s="9" t="e">
        <f t="shared" si="5"/>
        <v>#DIV/0!</v>
      </c>
      <c r="N30" s="9" t="e">
        <f t="shared" si="5"/>
        <v>#DIV/0!</v>
      </c>
      <c r="O30" s="9" t="e">
        <f t="shared" si="5"/>
        <v>#DIV/0!</v>
      </c>
      <c r="P30" s="9" t="e">
        <f t="shared" si="5"/>
        <v>#DIV/0!</v>
      </c>
    </row>
  </sheetData>
  <mergeCells count="2">
    <mergeCell ref="J4:Q8"/>
    <mergeCell ref="J10:Q15"/>
  </mergeCells>
  <conditionalFormatting sqref="C3">
    <cfRule type="expression" dxfId="44" priority="2">
      <formula>S4&lt;S6</formula>
    </cfRule>
  </conditionalFormatting>
  <conditionalFormatting sqref="C5">
    <cfRule type="expression" dxfId="43" priority="3">
      <formula>S4&gt;=S5</formula>
    </cfRule>
  </conditionalFormatting>
  <conditionalFormatting sqref="C4">
    <cfRule type="expression" dxfId="42" priority="1">
      <formula>AND(S4&gt;=S6,S4&lt;S5)</formula>
    </cfRule>
  </conditionalFormatting>
  <hyperlinks>
    <hyperlink ref="L1" location="Dashboard!A1" display="Dashboard"/>
  </hyperlinks>
  <pageMargins left="0.7" right="0.7" top="0.75" bottom="0.75" header="0.3" footer="0.3"/>
  <pageSetup orientation="portrait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80321" r:id="rId4" name="Spinner 1">
              <controlPr defaultSize="0" autoPict="0">
                <anchor moveWithCells="1" sizeWithCells="1">
                  <from>
                    <xdr:col>9</xdr:col>
                    <xdr:colOff>19050</xdr:colOff>
                    <xdr:row>0</xdr:row>
                    <xdr:rowOff>38100</xdr:rowOff>
                  </from>
                  <to>
                    <xdr:col>9</xdr:col>
                    <xdr:colOff>400050</xdr:colOff>
                    <xdr:row>1</xdr:row>
                    <xdr:rowOff>152400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18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138">
    <tabColor rgb="FFFFC000"/>
  </sheetPr>
  <dimension ref="A1:S30"/>
  <sheetViews>
    <sheetView zoomScale="90" zoomScaleNormal="90" workbookViewId="0">
      <selection activeCell="L1" sqref="L1"/>
    </sheetView>
  </sheetViews>
  <sheetFormatPr defaultColWidth="9.1796875" defaultRowHeight="14.5" x14ac:dyDescent="0.35"/>
  <cols>
    <col min="1" max="1" width="9.1796875" style="3"/>
    <col min="2" max="2" width="5.7265625" style="3" bestFit="1" customWidth="1"/>
    <col min="3" max="3" width="6.26953125" style="3" customWidth="1"/>
    <col min="4" max="4" width="21.26953125" style="3" bestFit="1" customWidth="1"/>
    <col min="5" max="16" width="11.1796875" style="3" customWidth="1"/>
    <col min="17" max="17" width="12" style="3" bestFit="1" customWidth="1"/>
    <col min="18" max="18" width="9.1796875" style="3" customWidth="1"/>
    <col min="19" max="16384" width="9.1796875" style="3"/>
  </cols>
  <sheetData>
    <row r="1" spans="1:19" ht="21" x14ac:dyDescent="0.5">
      <c r="A1" s="4" t="s">
        <v>4</v>
      </c>
      <c r="B1" s="4">
        <f>Dashboard!A208</f>
        <v>0</v>
      </c>
      <c r="C1" s="4" t="str">
        <f>Dashboard!B208</f>
        <v>TOTAL EXHAUSTER SALES-CENTRAL</v>
      </c>
      <c r="D1" s="4"/>
      <c r="G1" s="3" t="s">
        <v>9</v>
      </c>
      <c r="I1" s="12">
        <f>INDEX($E$18:$P$18,Actual_month)</f>
        <v>46054</v>
      </c>
      <c r="L1" s="16" t="s">
        <v>19</v>
      </c>
      <c r="R1" s="5"/>
    </row>
    <row r="2" spans="1:19" x14ac:dyDescent="0.35">
      <c r="A2" s="3" t="s">
        <v>13</v>
      </c>
      <c r="C2" s="3" t="s">
        <v>27</v>
      </c>
      <c r="R2" s="6"/>
    </row>
    <row r="3" spans="1:19" ht="25.5" customHeight="1" thickBot="1" x14ac:dyDescent="0.4">
      <c r="C3" s="1" t="s">
        <v>5</v>
      </c>
      <c r="E3" s="10"/>
      <c r="F3" s="10"/>
      <c r="G3" s="10"/>
      <c r="H3" s="10"/>
      <c r="I3" s="10"/>
      <c r="J3" s="3" t="s">
        <v>6</v>
      </c>
      <c r="K3" s="10"/>
      <c r="M3" s="10"/>
      <c r="N3" s="10"/>
      <c r="O3" s="10"/>
      <c r="P3" s="10"/>
    </row>
    <row r="4" spans="1:19" ht="25.5" customHeight="1" x14ac:dyDescent="0.35">
      <c r="C4" s="1" t="s">
        <v>5</v>
      </c>
      <c r="E4" s="10"/>
      <c r="F4" s="10"/>
      <c r="G4" s="10"/>
      <c r="H4" s="10"/>
      <c r="I4" s="10"/>
      <c r="J4" s="401"/>
      <c r="K4" s="402"/>
      <c r="L4" s="402"/>
      <c r="M4" s="402"/>
      <c r="N4" s="402"/>
      <c r="O4" s="402"/>
      <c r="P4" s="402"/>
      <c r="Q4" s="403"/>
      <c r="R4" s="3" t="s">
        <v>22</v>
      </c>
      <c r="S4" s="5">
        <f>INDEX(E27:P27,Actual_month)</f>
        <v>0</v>
      </c>
    </row>
    <row r="5" spans="1:19" ht="25.5" customHeight="1" x14ac:dyDescent="0.35">
      <c r="C5" s="1" t="s">
        <v>5</v>
      </c>
      <c r="E5" s="10"/>
      <c r="F5" s="10"/>
      <c r="G5" s="10"/>
      <c r="H5" s="10"/>
      <c r="I5" s="10"/>
      <c r="J5" s="404"/>
      <c r="K5" s="405"/>
      <c r="L5" s="405"/>
      <c r="M5" s="405"/>
      <c r="N5" s="405"/>
      <c r="O5" s="405"/>
      <c r="P5" s="405"/>
      <c r="Q5" s="406"/>
      <c r="R5" s="3" t="s">
        <v>23</v>
      </c>
      <c r="S5" s="5">
        <f>INDEX(E26:P26,Actual_month)</f>
        <v>0</v>
      </c>
    </row>
    <row r="6" spans="1:19" x14ac:dyDescent="0.35">
      <c r="J6" s="404"/>
      <c r="K6" s="405"/>
      <c r="L6" s="405"/>
      <c r="M6" s="405"/>
      <c r="N6" s="405"/>
      <c r="O6" s="405"/>
      <c r="P6" s="405"/>
      <c r="Q6" s="406"/>
      <c r="R6" s="6">
        <v>0.9</v>
      </c>
      <c r="S6" s="5">
        <f>+S5*R6</f>
        <v>0</v>
      </c>
    </row>
    <row r="7" spans="1:19" x14ac:dyDescent="0.35">
      <c r="J7" s="404"/>
      <c r="K7" s="405"/>
      <c r="L7" s="405"/>
      <c r="M7" s="405"/>
      <c r="N7" s="405"/>
      <c r="O7" s="405"/>
      <c r="P7" s="405"/>
      <c r="Q7" s="406"/>
    </row>
    <row r="8" spans="1:19" ht="15" thickBot="1" x14ac:dyDescent="0.4">
      <c r="J8" s="407"/>
      <c r="K8" s="408"/>
      <c r="L8" s="408"/>
      <c r="M8" s="408"/>
      <c r="N8" s="408"/>
      <c r="O8" s="408"/>
      <c r="P8" s="408"/>
      <c r="Q8" s="409"/>
    </row>
    <row r="9" spans="1:19" ht="15" thickBot="1" x14ac:dyDescent="0.4">
      <c r="J9" s="3" t="s">
        <v>12</v>
      </c>
    </row>
    <row r="10" spans="1:19" x14ac:dyDescent="0.35">
      <c r="J10" s="401"/>
      <c r="K10" s="402"/>
      <c r="L10" s="402"/>
      <c r="M10" s="402"/>
      <c r="N10" s="402"/>
      <c r="O10" s="402"/>
      <c r="P10" s="402"/>
      <c r="Q10" s="403"/>
    </row>
    <row r="11" spans="1:19" x14ac:dyDescent="0.35">
      <c r="J11" s="404"/>
      <c r="K11" s="405"/>
      <c r="L11" s="405"/>
      <c r="M11" s="405"/>
      <c r="N11" s="405"/>
      <c r="O11" s="405"/>
      <c r="P11" s="405"/>
      <c r="Q11" s="406"/>
    </row>
    <row r="12" spans="1:19" x14ac:dyDescent="0.35">
      <c r="J12" s="404"/>
      <c r="K12" s="405"/>
      <c r="L12" s="405"/>
      <c r="M12" s="405"/>
      <c r="N12" s="405"/>
      <c r="O12" s="405"/>
      <c r="P12" s="405"/>
      <c r="Q12" s="406"/>
    </row>
    <row r="13" spans="1:19" x14ac:dyDescent="0.35">
      <c r="J13" s="404"/>
      <c r="K13" s="405"/>
      <c r="L13" s="405"/>
      <c r="M13" s="405"/>
      <c r="N13" s="405"/>
      <c r="O13" s="405"/>
      <c r="P13" s="405"/>
      <c r="Q13" s="406"/>
    </row>
    <row r="14" spans="1:19" x14ac:dyDescent="0.35">
      <c r="J14" s="404"/>
      <c r="K14" s="405"/>
      <c r="L14" s="405"/>
      <c r="M14" s="405"/>
      <c r="N14" s="405"/>
      <c r="O14" s="405"/>
      <c r="P14" s="405"/>
      <c r="Q14" s="406"/>
    </row>
    <row r="15" spans="1:19" ht="15" thickBot="1" x14ac:dyDescent="0.4">
      <c r="J15" s="407"/>
      <c r="K15" s="408"/>
      <c r="L15" s="408"/>
      <c r="M15" s="408"/>
      <c r="N15" s="408"/>
      <c r="O15" s="408"/>
      <c r="P15" s="408"/>
      <c r="Q15" s="409"/>
    </row>
    <row r="18" spans="3:17" x14ac:dyDescent="0.35">
      <c r="C18" s="7" t="s">
        <v>8</v>
      </c>
      <c r="E18" s="11">
        <f>'KPI 1'!E18</f>
        <v>45839</v>
      </c>
      <c r="F18" s="11">
        <f>'KPI 1'!F18</f>
        <v>45870</v>
      </c>
      <c r="G18" s="11">
        <f>'KPI 1'!G18</f>
        <v>45901</v>
      </c>
      <c r="H18" s="11">
        <f>'KPI 1'!H18</f>
        <v>45931</v>
      </c>
      <c r="I18" s="11">
        <f>'KPI 1'!I18</f>
        <v>45962</v>
      </c>
      <c r="J18" s="11">
        <f>'KPI 1'!J18</f>
        <v>45992</v>
      </c>
      <c r="K18" s="11">
        <f>'KPI 1'!K18</f>
        <v>46023</v>
      </c>
      <c r="L18" s="11">
        <f>'KPI 1'!L18</f>
        <v>46054</v>
      </c>
      <c r="M18" s="11">
        <f>'KPI 1'!M18</f>
        <v>46082</v>
      </c>
      <c r="N18" s="11">
        <f>'KPI 1'!N18</f>
        <v>46113</v>
      </c>
      <c r="O18" s="11">
        <f>'KPI 1'!O18</f>
        <v>46143</v>
      </c>
      <c r="P18" s="11">
        <f>'KPI 1'!P18</f>
        <v>46174</v>
      </c>
      <c r="Q18" s="8" t="s">
        <v>0</v>
      </c>
    </row>
    <row r="19" spans="3:17" x14ac:dyDescent="0.35">
      <c r="D19" s="3" t="str">
        <f>'KPI 1'!D19</f>
        <v>Budget 2025-26</v>
      </c>
      <c r="E19" s="49">
        <f>'budget 2025-26'!D197</f>
        <v>0</v>
      </c>
      <c r="F19" s="49">
        <f>'budget 2025-26'!E197</f>
        <v>0</v>
      </c>
      <c r="G19" s="49">
        <f>'budget 2025-26'!F197</f>
        <v>0</v>
      </c>
      <c r="H19" s="49">
        <f>'budget 2025-26'!G197</f>
        <v>0</v>
      </c>
      <c r="I19" s="49">
        <f>'budget 2025-26'!H197</f>
        <v>0</v>
      </c>
      <c r="J19" s="49">
        <f>'budget 2025-26'!I197</f>
        <v>0</v>
      </c>
      <c r="K19" s="49">
        <f>'budget 2025-26'!J197</f>
        <v>0</v>
      </c>
      <c r="L19" s="49">
        <f>'budget 2025-26'!K197</f>
        <v>0</v>
      </c>
      <c r="M19" s="49">
        <f>'budget 2025-26'!L197</f>
        <v>0</v>
      </c>
      <c r="N19" s="49">
        <f>'budget 2025-26'!M197</f>
        <v>0</v>
      </c>
      <c r="O19" s="49">
        <f>'budget 2025-26'!N197</f>
        <v>0</v>
      </c>
      <c r="P19" s="49">
        <f>'budget 2025-26'!O197</f>
        <v>0</v>
      </c>
      <c r="Q19" s="5">
        <f>SUM(E19:P19)</f>
        <v>0</v>
      </c>
    </row>
    <row r="20" spans="3:17" x14ac:dyDescent="0.35">
      <c r="D20" s="3" t="str">
        <f>'KPI 1'!D20</f>
        <v>Actual 2025-26</v>
      </c>
      <c r="E20" s="49">
        <f>'Input Actual2024-25'!E187</f>
        <v>0</v>
      </c>
      <c r="F20" s="49">
        <f>'Input Actual2024-25'!F187</f>
        <v>0</v>
      </c>
      <c r="G20" s="49">
        <f>'Input Actual2024-25'!G187</f>
        <v>0</v>
      </c>
      <c r="H20" s="49">
        <f>'Input Actual2024-25'!H187</f>
        <v>0</v>
      </c>
      <c r="I20" s="49">
        <f>'Input Actual2024-25'!I187</f>
        <v>0</v>
      </c>
      <c r="J20" s="49">
        <f>'Input Actual2024-25'!J187</f>
        <v>0</v>
      </c>
      <c r="K20" s="49">
        <f>'Input Actual2024-25'!K187</f>
        <v>0</v>
      </c>
      <c r="L20" s="49">
        <f>'Input Actual2024-25'!L187</f>
        <v>0</v>
      </c>
      <c r="M20" s="49">
        <f>'Input Actual2024-25'!M187</f>
        <v>0</v>
      </c>
      <c r="N20" s="49">
        <f>'Input Actual2024-25'!N187</f>
        <v>0</v>
      </c>
      <c r="O20" s="49">
        <f>'Input Actual2024-25'!O187</f>
        <v>0</v>
      </c>
      <c r="P20" s="49">
        <f>'Input Actual2024-25'!P187</f>
        <v>0</v>
      </c>
      <c r="Q20" s="5">
        <f t="shared" ref="Q20:Q22" si="0">SUM(E20:P20)</f>
        <v>0</v>
      </c>
    </row>
    <row r="21" spans="3:17" x14ac:dyDescent="0.35">
      <c r="D21" s="3" t="s">
        <v>42</v>
      </c>
      <c r="E21" s="49">
        <f>'actual 2022-23'!D157</f>
        <v>40000</v>
      </c>
      <c r="F21" s="49">
        <f>'actual 2022-23'!E157</f>
        <v>22500</v>
      </c>
      <c r="G21" s="49">
        <f>'actual 2022-23'!F157</f>
        <v>30000</v>
      </c>
      <c r="H21" s="49">
        <f>'actual 2022-23'!G157</f>
        <v>20000</v>
      </c>
      <c r="I21" s="49">
        <f>'actual 2022-23'!H157</f>
        <v>22500</v>
      </c>
      <c r="J21" s="49">
        <f>'actual 2022-23'!I157</f>
        <v>17500</v>
      </c>
      <c r="K21" s="49">
        <f>'actual 2022-23'!J157</f>
        <v>45000</v>
      </c>
      <c r="L21" s="49">
        <f>'actual 2022-23'!K157</f>
        <v>35000</v>
      </c>
      <c r="M21" s="49">
        <f>'actual 2022-23'!L157</f>
        <v>17500</v>
      </c>
      <c r="N21" s="49">
        <f>'actual 2022-23'!M157</f>
        <v>27500</v>
      </c>
      <c r="O21" s="49">
        <f>'actual 2022-23'!N157</f>
        <v>72500</v>
      </c>
      <c r="P21" s="49">
        <f>'actual 2022-23'!O157</f>
        <v>97500</v>
      </c>
      <c r="Q21" s="5">
        <f t="shared" si="0"/>
        <v>447500</v>
      </c>
    </row>
    <row r="22" spans="3:17" x14ac:dyDescent="0.35">
      <c r="D22" s="3" t="s">
        <v>7</v>
      </c>
      <c r="E22" s="5">
        <f t="shared" ref="E22:P22" si="1">IF(E20=0,0,E20-E19)</f>
        <v>0</v>
      </c>
      <c r="F22" s="5">
        <f t="shared" si="1"/>
        <v>0</v>
      </c>
      <c r="G22" s="5">
        <f t="shared" si="1"/>
        <v>0</v>
      </c>
      <c r="H22" s="5">
        <f t="shared" si="1"/>
        <v>0</v>
      </c>
      <c r="I22" s="5">
        <f t="shared" si="1"/>
        <v>0</v>
      </c>
      <c r="J22" s="5">
        <f t="shared" si="1"/>
        <v>0</v>
      </c>
      <c r="K22" s="5">
        <f t="shared" si="1"/>
        <v>0</v>
      </c>
      <c r="L22" s="5">
        <f t="shared" si="1"/>
        <v>0</v>
      </c>
      <c r="M22" s="5">
        <f t="shared" si="1"/>
        <v>0</v>
      </c>
      <c r="N22" s="5">
        <f t="shared" si="1"/>
        <v>0</v>
      </c>
      <c r="O22" s="5">
        <f t="shared" si="1"/>
        <v>0</v>
      </c>
      <c r="P22" s="5">
        <f t="shared" si="1"/>
        <v>0</v>
      </c>
      <c r="Q22" s="5">
        <f t="shared" si="0"/>
        <v>0</v>
      </c>
    </row>
    <row r="23" spans="3:17" x14ac:dyDescent="0.35">
      <c r="D23" s="3" t="s">
        <v>43</v>
      </c>
      <c r="E23" s="9" t="e">
        <f>E21/E19</f>
        <v>#DIV/0!</v>
      </c>
      <c r="F23" s="9" t="e">
        <f t="shared" ref="F23:P23" si="2">F20/F19</f>
        <v>#DIV/0!</v>
      </c>
      <c r="G23" s="9" t="e">
        <f t="shared" si="2"/>
        <v>#DIV/0!</v>
      </c>
      <c r="H23" s="9" t="e">
        <f t="shared" si="2"/>
        <v>#DIV/0!</v>
      </c>
      <c r="I23" s="9" t="e">
        <f t="shared" si="2"/>
        <v>#DIV/0!</v>
      </c>
      <c r="J23" s="9" t="e">
        <f t="shared" si="2"/>
        <v>#DIV/0!</v>
      </c>
      <c r="K23" s="9" t="e">
        <f t="shared" si="2"/>
        <v>#DIV/0!</v>
      </c>
      <c r="L23" s="9" t="e">
        <f t="shared" si="2"/>
        <v>#DIV/0!</v>
      </c>
      <c r="M23" s="9" t="e">
        <f t="shared" si="2"/>
        <v>#DIV/0!</v>
      </c>
      <c r="N23" s="9" t="e">
        <f t="shared" si="2"/>
        <v>#DIV/0!</v>
      </c>
      <c r="O23" s="9" t="e">
        <f t="shared" si="2"/>
        <v>#DIV/0!</v>
      </c>
      <c r="P23" s="9" t="e">
        <f t="shared" si="2"/>
        <v>#DIV/0!</v>
      </c>
    </row>
    <row r="25" spans="3:17" x14ac:dyDescent="0.35">
      <c r="C25" s="7" t="s">
        <v>3</v>
      </c>
      <c r="E25" s="11">
        <f>E18</f>
        <v>45839</v>
      </c>
      <c r="F25" s="11">
        <f t="shared" ref="F25:P25" si="3">F18</f>
        <v>45870</v>
      </c>
      <c r="G25" s="11">
        <f t="shared" si="3"/>
        <v>45901</v>
      </c>
      <c r="H25" s="11">
        <f t="shared" si="3"/>
        <v>45931</v>
      </c>
      <c r="I25" s="11">
        <f t="shared" si="3"/>
        <v>45962</v>
      </c>
      <c r="J25" s="11">
        <f t="shared" si="3"/>
        <v>45992</v>
      </c>
      <c r="K25" s="11">
        <f t="shared" si="3"/>
        <v>46023</v>
      </c>
      <c r="L25" s="11">
        <f t="shared" si="3"/>
        <v>46054</v>
      </c>
      <c r="M25" s="11">
        <f t="shared" si="3"/>
        <v>46082</v>
      </c>
      <c r="N25" s="11">
        <f t="shared" si="3"/>
        <v>46113</v>
      </c>
      <c r="O25" s="11">
        <f t="shared" si="3"/>
        <v>46143</v>
      </c>
      <c r="P25" s="11">
        <f t="shared" si="3"/>
        <v>46174</v>
      </c>
    </row>
    <row r="26" spans="3:17" x14ac:dyDescent="0.35">
      <c r="D26" s="3" t="str">
        <f>D19</f>
        <v>Budget 2025-26</v>
      </c>
      <c r="E26" s="5">
        <f>SUM($E19:E19)</f>
        <v>0</v>
      </c>
      <c r="F26" s="5">
        <f>SUM($E19:F19)</f>
        <v>0</v>
      </c>
      <c r="G26" s="5">
        <f>SUM($E19:G19)</f>
        <v>0</v>
      </c>
      <c r="H26" s="5">
        <f>SUM($E19:H19)</f>
        <v>0</v>
      </c>
      <c r="I26" s="5">
        <f>SUM($E19:I19)</f>
        <v>0</v>
      </c>
      <c r="J26" s="5">
        <f>SUM($E19:J19)</f>
        <v>0</v>
      </c>
      <c r="K26" s="5">
        <f>SUM($E19:K19)</f>
        <v>0</v>
      </c>
      <c r="L26" s="5">
        <f>SUM($E19:L19)</f>
        <v>0</v>
      </c>
      <c r="M26" s="5">
        <f>SUM($E19:M19)</f>
        <v>0</v>
      </c>
      <c r="N26" s="5">
        <f>SUM($E19:N19)</f>
        <v>0</v>
      </c>
      <c r="O26" s="5">
        <f>SUM($E19:O19)</f>
        <v>0</v>
      </c>
      <c r="P26" s="5">
        <f>SUM($E19:P19)</f>
        <v>0</v>
      </c>
    </row>
    <row r="27" spans="3:17" x14ac:dyDescent="0.35">
      <c r="D27" s="3" t="str">
        <f t="shared" ref="D27:D30" si="4">D20</f>
        <v>Actual 2025-26</v>
      </c>
      <c r="E27" s="5">
        <f>SUM($E20:E20)</f>
        <v>0</v>
      </c>
      <c r="F27" s="5">
        <f>SUM($E20:F20)</f>
        <v>0</v>
      </c>
      <c r="G27" s="5">
        <f>SUM($E20:G20)</f>
        <v>0</v>
      </c>
      <c r="H27" s="5">
        <f>SUM($E20:H20)</f>
        <v>0</v>
      </c>
      <c r="I27" s="5">
        <f>SUM($E20:I20)</f>
        <v>0</v>
      </c>
      <c r="J27" s="5">
        <f>SUM($E20:J20)</f>
        <v>0</v>
      </c>
      <c r="K27" s="5">
        <f>SUM($E20:K20)</f>
        <v>0</v>
      </c>
      <c r="L27" s="5">
        <f>SUM($E20:L20)</f>
        <v>0</v>
      </c>
      <c r="M27" s="5">
        <f>SUM($E20:M20)</f>
        <v>0</v>
      </c>
      <c r="N27" s="5">
        <f>SUM($E20:N20)</f>
        <v>0</v>
      </c>
      <c r="O27" s="5">
        <f>SUM($E20:O20)</f>
        <v>0</v>
      </c>
      <c r="P27" s="5">
        <f>SUM($E20:P20)</f>
        <v>0</v>
      </c>
    </row>
    <row r="28" spans="3:17" x14ac:dyDescent="0.35">
      <c r="D28" s="3" t="str">
        <f t="shared" si="4"/>
        <v>Actual 2021-22</v>
      </c>
      <c r="E28" s="5">
        <f>SUM($E21:E21)</f>
        <v>40000</v>
      </c>
      <c r="F28" s="5">
        <f>SUM($E21:F21)</f>
        <v>62500</v>
      </c>
      <c r="G28" s="5">
        <f>SUM($E21:G21)</f>
        <v>92500</v>
      </c>
      <c r="H28" s="5">
        <f>SUM($E21:H21)</f>
        <v>112500</v>
      </c>
      <c r="I28" s="5">
        <f>SUM($E21:I21)</f>
        <v>135000</v>
      </c>
      <c r="J28" s="5">
        <f>SUM($E21:J21)</f>
        <v>152500</v>
      </c>
      <c r="K28" s="5">
        <f>SUM($E21:K21)</f>
        <v>197500</v>
      </c>
      <c r="L28" s="5">
        <f>SUM($E21:L21)</f>
        <v>232500</v>
      </c>
      <c r="M28" s="5">
        <f>SUM($E21:M21)</f>
        <v>250000</v>
      </c>
      <c r="N28" s="5">
        <f>SUM($E21:N21)</f>
        <v>277500</v>
      </c>
      <c r="O28" s="5">
        <f>SUM($E21:O21)</f>
        <v>350000</v>
      </c>
      <c r="P28" s="5">
        <f>SUM($E21:P21)</f>
        <v>447500</v>
      </c>
    </row>
    <row r="29" spans="3:17" x14ac:dyDescent="0.35">
      <c r="D29" s="3" t="str">
        <f t="shared" si="4"/>
        <v>Difference</v>
      </c>
      <c r="E29" s="5">
        <f>SUM($E22:E22)</f>
        <v>0</v>
      </c>
      <c r="F29" s="5">
        <f>SUM($E22:F22)</f>
        <v>0</v>
      </c>
      <c r="G29" s="5">
        <f>SUM($E22:G22)</f>
        <v>0</v>
      </c>
      <c r="H29" s="5">
        <f>SUM($E22:H22)</f>
        <v>0</v>
      </c>
      <c r="I29" s="5">
        <f>SUM($E22:I22)</f>
        <v>0</v>
      </c>
      <c r="J29" s="5">
        <f>SUM($E22:J22)</f>
        <v>0</v>
      </c>
      <c r="K29" s="5">
        <f>SUM($E22:K22)</f>
        <v>0</v>
      </c>
      <c r="L29" s="5">
        <f>SUM($E22:L22)</f>
        <v>0</v>
      </c>
      <c r="M29" s="5">
        <f>SUM($E22:M22)</f>
        <v>0</v>
      </c>
      <c r="N29" s="5">
        <f>SUM($E22:N22)</f>
        <v>0</v>
      </c>
      <c r="O29" s="5">
        <f>SUM($E22:O22)</f>
        <v>0</v>
      </c>
      <c r="P29" s="5">
        <f>SUM($E22:P22)</f>
        <v>0</v>
      </c>
    </row>
    <row r="30" spans="3:17" x14ac:dyDescent="0.35">
      <c r="D30" s="3" t="str">
        <f t="shared" si="4"/>
        <v>Realisation</v>
      </c>
      <c r="E30" s="9" t="e">
        <f>E28/E26</f>
        <v>#DIV/0!</v>
      </c>
      <c r="F30" s="9" t="e">
        <f t="shared" ref="F30:P30" si="5">F27/F26</f>
        <v>#DIV/0!</v>
      </c>
      <c r="G30" s="9" t="e">
        <f t="shared" si="5"/>
        <v>#DIV/0!</v>
      </c>
      <c r="H30" s="9" t="e">
        <f t="shared" si="5"/>
        <v>#DIV/0!</v>
      </c>
      <c r="I30" s="9" t="e">
        <f t="shared" si="5"/>
        <v>#DIV/0!</v>
      </c>
      <c r="J30" s="9" t="e">
        <f t="shared" si="5"/>
        <v>#DIV/0!</v>
      </c>
      <c r="K30" s="9" t="e">
        <f t="shared" si="5"/>
        <v>#DIV/0!</v>
      </c>
      <c r="L30" s="9" t="e">
        <f t="shared" si="5"/>
        <v>#DIV/0!</v>
      </c>
      <c r="M30" s="9" t="e">
        <f t="shared" si="5"/>
        <v>#DIV/0!</v>
      </c>
      <c r="N30" s="9" t="e">
        <f t="shared" si="5"/>
        <v>#DIV/0!</v>
      </c>
      <c r="O30" s="9" t="e">
        <f t="shared" si="5"/>
        <v>#DIV/0!</v>
      </c>
      <c r="P30" s="9" t="e">
        <f t="shared" si="5"/>
        <v>#DIV/0!</v>
      </c>
    </row>
  </sheetData>
  <mergeCells count="2">
    <mergeCell ref="J4:Q8"/>
    <mergeCell ref="J10:Q15"/>
  </mergeCells>
  <conditionalFormatting sqref="C3">
    <cfRule type="expression" dxfId="41" priority="2">
      <formula>S4&lt;S6</formula>
    </cfRule>
  </conditionalFormatting>
  <conditionalFormatting sqref="C5">
    <cfRule type="expression" dxfId="40" priority="3">
      <formula>S4&gt;=S5</formula>
    </cfRule>
  </conditionalFormatting>
  <conditionalFormatting sqref="C4">
    <cfRule type="expression" dxfId="39" priority="1">
      <formula>AND(S4&gt;=S6,S4&lt;S5)</formula>
    </cfRule>
  </conditionalFormatting>
  <hyperlinks>
    <hyperlink ref="L1" location="Dashboard!A1" display="Dashboard"/>
  </hyperlinks>
  <pageMargins left="0.7" right="0.7" top="0.75" bottom="0.75" header="0.3" footer="0.3"/>
  <pageSetup orientation="portrait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75201" r:id="rId4" name="Spinner 1">
              <controlPr defaultSize="0" autoPict="0">
                <anchor moveWithCells="1" sizeWithCells="1">
                  <from>
                    <xdr:col>9</xdr:col>
                    <xdr:colOff>19050</xdr:colOff>
                    <xdr:row>0</xdr:row>
                    <xdr:rowOff>38100</xdr:rowOff>
                  </from>
                  <to>
                    <xdr:col>9</xdr:col>
                    <xdr:colOff>400050</xdr:colOff>
                    <xdr:row>1</xdr:row>
                    <xdr:rowOff>152400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18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144">
    <tabColor rgb="FFFFC000"/>
  </sheetPr>
  <dimension ref="A1:S30"/>
  <sheetViews>
    <sheetView zoomScale="90" zoomScaleNormal="90" workbookViewId="0">
      <selection activeCell="L1" sqref="L1"/>
    </sheetView>
  </sheetViews>
  <sheetFormatPr defaultColWidth="9.1796875" defaultRowHeight="14.5" x14ac:dyDescent="0.35"/>
  <cols>
    <col min="1" max="1" width="9.1796875" style="3"/>
    <col min="2" max="2" width="5.7265625" style="3" bestFit="1" customWidth="1"/>
    <col min="3" max="3" width="6.26953125" style="3" customWidth="1"/>
    <col min="4" max="4" width="21.26953125" style="3" bestFit="1" customWidth="1"/>
    <col min="5" max="16" width="11.1796875" style="3" customWidth="1"/>
    <col min="17" max="17" width="12" style="3" bestFit="1" customWidth="1"/>
    <col min="18" max="18" width="9.1796875" style="3" customWidth="1"/>
    <col min="19" max="16384" width="9.1796875" style="3"/>
  </cols>
  <sheetData>
    <row r="1" spans="1:19" ht="21" x14ac:dyDescent="0.5">
      <c r="A1" s="4" t="s">
        <v>4</v>
      </c>
      <c r="B1" s="4">
        <f>Dashboard!A209</f>
        <v>1</v>
      </c>
      <c r="C1" s="4" t="str">
        <f>Dashboard!B209</f>
        <v>HELLSGATE- EXHAUSTER SALES</v>
      </c>
      <c r="D1" s="4"/>
      <c r="G1" s="3" t="s">
        <v>9</v>
      </c>
      <c r="I1" s="12">
        <f>INDEX($E$18:$P$18,Actual_month)</f>
        <v>46054</v>
      </c>
      <c r="L1" s="16" t="s">
        <v>19</v>
      </c>
      <c r="R1" s="5"/>
    </row>
    <row r="2" spans="1:19" x14ac:dyDescent="0.35">
      <c r="A2" s="3" t="s">
        <v>13</v>
      </c>
      <c r="C2" s="3" t="s">
        <v>27</v>
      </c>
      <c r="R2" s="6"/>
    </row>
    <row r="3" spans="1:19" ht="25.5" customHeight="1" thickBot="1" x14ac:dyDescent="0.4">
      <c r="C3" s="1" t="s">
        <v>5</v>
      </c>
      <c r="E3" s="10"/>
      <c r="F3" s="10"/>
      <c r="G3" s="10"/>
      <c r="H3" s="10"/>
      <c r="I3" s="10"/>
      <c r="J3" s="3" t="s">
        <v>6</v>
      </c>
      <c r="K3" s="10"/>
      <c r="M3" s="10"/>
      <c r="N3" s="10"/>
      <c r="O3" s="10"/>
      <c r="P3" s="10"/>
    </row>
    <row r="4" spans="1:19" ht="25.5" customHeight="1" x14ac:dyDescent="0.35">
      <c r="C4" s="1" t="s">
        <v>5</v>
      </c>
      <c r="E4" s="10"/>
      <c r="F4" s="10"/>
      <c r="G4" s="10"/>
      <c r="H4" s="10"/>
      <c r="I4" s="10"/>
      <c r="J4" s="401"/>
      <c r="K4" s="402"/>
      <c r="L4" s="402"/>
      <c r="M4" s="402"/>
      <c r="N4" s="402"/>
      <c r="O4" s="402"/>
      <c r="P4" s="402"/>
      <c r="Q4" s="403"/>
      <c r="R4" s="3" t="s">
        <v>22</v>
      </c>
      <c r="S4" s="5">
        <f>INDEX(E27:P27,Actual_month)</f>
        <v>0</v>
      </c>
    </row>
    <row r="5" spans="1:19" ht="25.5" customHeight="1" x14ac:dyDescent="0.35">
      <c r="C5" s="1" t="s">
        <v>5</v>
      </c>
      <c r="E5" s="10"/>
      <c r="F5" s="10"/>
      <c r="G5" s="10"/>
      <c r="H5" s="10"/>
      <c r="I5" s="10"/>
      <c r="J5" s="404"/>
      <c r="K5" s="405"/>
      <c r="L5" s="405"/>
      <c r="M5" s="405"/>
      <c r="N5" s="405"/>
      <c r="O5" s="405"/>
      <c r="P5" s="405"/>
      <c r="Q5" s="406"/>
      <c r="R5" s="3" t="s">
        <v>23</v>
      </c>
      <c r="S5" s="5">
        <f>INDEX(E26:P26,Actual_month)</f>
        <v>0</v>
      </c>
    </row>
    <row r="6" spans="1:19" x14ac:dyDescent="0.35">
      <c r="J6" s="404"/>
      <c r="K6" s="405"/>
      <c r="L6" s="405"/>
      <c r="M6" s="405"/>
      <c r="N6" s="405"/>
      <c r="O6" s="405"/>
      <c r="P6" s="405"/>
      <c r="Q6" s="406"/>
      <c r="R6" s="6">
        <v>0.9</v>
      </c>
      <c r="S6" s="5">
        <f>+S5*R6</f>
        <v>0</v>
      </c>
    </row>
    <row r="7" spans="1:19" x14ac:dyDescent="0.35">
      <c r="J7" s="404"/>
      <c r="K7" s="405"/>
      <c r="L7" s="405"/>
      <c r="M7" s="405"/>
      <c r="N7" s="405"/>
      <c r="O7" s="405"/>
      <c r="P7" s="405"/>
      <c r="Q7" s="406"/>
    </row>
    <row r="8" spans="1:19" ht="15" thickBot="1" x14ac:dyDescent="0.4">
      <c r="J8" s="407"/>
      <c r="K8" s="408"/>
      <c r="L8" s="408"/>
      <c r="M8" s="408"/>
      <c r="N8" s="408"/>
      <c r="O8" s="408"/>
      <c r="P8" s="408"/>
      <c r="Q8" s="409"/>
    </row>
    <row r="9" spans="1:19" ht="15" thickBot="1" x14ac:dyDescent="0.4">
      <c r="J9" s="3" t="s">
        <v>12</v>
      </c>
    </row>
    <row r="10" spans="1:19" x14ac:dyDescent="0.35">
      <c r="J10" s="401"/>
      <c r="K10" s="402"/>
      <c r="L10" s="402"/>
      <c r="M10" s="402"/>
      <c r="N10" s="402"/>
      <c r="O10" s="402"/>
      <c r="P10" s="402"/>
      <c r="Q10" s="403"/>
    </row>
    <row r="11" spans="1:19" x14ac:dyDescent="0.35">
      <c r="J11" s="404"/>
      <c r="K11" s="405"/>
      <c r="L11" s="405"/>
      <c r="M11" s="405"/>
      <c r="N11" s="405"/>
      <c r="O11" s="405"/>
      <c r="P11" s="405"/>
      <c r="Q11" s="406"/>
    </row>
    <row r="12" spans="1:19" x14ac:dyDescent="0.35">
      <c r="J12" s="404"/>
      <c r="K12" s="405"/>
      <c r="L12" s="405"/>
      <c r="M12" s="405"/>
      <c r="N12" s="405"/>
      <c r="O12" s="405"/>
      <c r="P12" s="405"/>
      <c r="Q12" s="406"/>
    </row>
    <row r="13" spans="1:19" x14ac:dyDescent="0.35">
      <c r="J13" s="404"/>
      <c r="K13" s="405"/>
      <c r="L13" s="405"/>
      <c r="M13" s="405"/>
      <c r="N13" s="405"/>
      <c r="O13" s="405"/>
      <c r="P13" s="405"/>
      <c r="Q13" s="406"/>
    </row>
    <row r="14" spans="1:19" x14ac:dyDescent="0.35">
      <c r="J14" s="404"/>
      <c r="K14" s="405"/>
      <c r="L14" s="405"/>
      <c r="M14" s="405"/>
      <c r="N14" s="405"/>
      <c r="O14" s="405"/>
      <c r="P14" s="405"/>
      <c r="Q14" s="406"/>
    </row>
    <row r="15" spans="1:19" ht="15" thickBot="1" x14ac:dyDescent="0.4">
      <c r="J15" s="407"/>
      <c r="K15" s="408"/>
      <c r="L15" s="408"/>
      <c r="M15" s="408"/>
      <c r="N15" s="408"/>
      <c r="O15" s="408"/>
      <c r="P15" s="408"/>
      <c r="Q15" s="409"/>
    </row>
    <row r="18" spans="3:17" x14ac:dyDescent="0.35">
      <c r="C18" s="7" t="s">
        <v>8</v>
      </c>
      <c r="E18" s="11">
        <f>'KPI 1'!E18</f>
        <v>45839</v>
      </c>
      <c r="F18" s="11">
        <f>'KPI 1'!F18</f>
        <v>45870</v>
      </c>
      <c r="G18" s="11">
        <f>'KPI 1'!G18</f>
        <v>45901</v>
      </c>
      <c r="H18" s="11">
        <f>'KPI 1'!H18</f>
        <v>45931</v>
      </c>
      <c r="I18" s="11">
        <f>'KPI 1'!I18</f>
        <v>45962</v>
      </c>
      <c r="J18" s="11">
        <f>'KPI 1'!J18</f>
        <v>45992</v>
      </c>
      <c r="K18" s="11">
        <f>'KPI 1'!K18</f>
        <v>46023</v>
      </c>
      <c r="L18" s="11">
        <f>'KPI 1'!L18</f>
        <v>46054</v>
      </c>
      <c r="M18" s="11">
        <f>'KPI 1'!M18</f>
        <v>46082</v>
      </c>
      <c r="N18" s="11">
        <f>'KPI 1'!N18</f>
        <v>46113</v>
      </c>
      <c r="O18" s="11">
        <f>'KPI 1'!O18</f>
        <v>46143</v>
      </c>
      <c r="P18" s="11">
        <f>'KPI 1'!P18</f>
        <v>46174</v>
      </c>
      <c r="Q18" s="8" t="s">
        <v>0</v>
      </c>
    </row>
    <row r="19" spans="3:17" x14ac:dyDescent="0.35">
      <c r="D19" s="3" t="str">
        <f>'KPI 1'!D19</f>
        <v>Budget 2025-26</v>
      </c>
      <c r="E19" s="49">
        <f>'budget 2025-26'!D198</f>
        <v>0</v>
      </c>
      <c r="F19" s="49">
        <f>'budget 2025-26'!E198</f>
        <v>0</v>
      </c>
      <c r="G19" s="49">
        <f>'budget 2025-26'!F198</f>
        <v>0</v>
      </c>
      <c r="H19" s="49">
        <f>'budget 2025-26'!G198</f>
        <v>0</v>
      </c>
      <c r="I19" s="49">
        <f>'budget 2025-26'!H198</f>
        <v>0</v>
      </c>
      <c r="J19" s="49">
        <f>'budget 2025-26'!I198</f>
        <v>0</v>
      </c>
      <c r="K19" s="49">
        <f>'budget 2025-26'!J198</f>
        <v>0</v>
      </c>
      <c r="L19" s="49">
        <f>'budget 2025-26'!K198</f>
        <v>0</v>
      </c>
      <c r="M19" s="49">
        <f>'budget 2025-26'!L198</f>
        <v>0</v>
      </c>
      <c r="N19" s="49">
        <f>'budget 2025-26'!M198</f>
        <v>0</v>
      </c>
      <c r="O19" s="49">
        <f>'budget 2025-26'!N198</f>
        <v>0</v>
      </c>
      <c r="P19" s="49">
        <f>'budget 2025-26'!O198</f>
        <v>0</v>
      </c>
      <c r="Q19" s="5">
        <f>SUM(E19:P19)</f>
        <v>0</v>
      </c>
    </row>
    <row r="20" spans="3:17" x14ac:dyDescent="0.35">
      <c r="D20" s="3" t="str">
        <f>'KPI 1'!D20</f>
        <v>Actual 2025-26</v>
      </c>
      <c r="E20" s="49">
        <f>'Input Actual2024-25'!E188</f>
        <v>0</v>
      </c>
      <c r="F20" s="49">
        <f>'Input Actual2024-25'!F188</f>
        <v>0</v>
      </c>
      <c r="G20" s="49">
        <f>'Input Actual2024-25'!G188</f>
        <v>0</v>
      </c>
      <c r="H20" s="49">
        <f>'Input Actual2024-25'!H188</f>
        <v>0</v>
      </c>
      <c r="I20" s="49">
        <f>'Input Actual2024-25'!I188</f>
        <v>0</v>
      </c>
      <c r="J20" s="49">
        <f>'Input Actual2024-25'!J188</f>
        <v>0</v>
      </c>
      <c r="K20" s="49">
        <f>'Input Actual2024-25'!K188</f>
        <v>0</v>
      </c>
      <c r="L20" s="49">
        <f>'Input Actual2024-25'!L188</f>
        <v>0</v>
      </c>
      <c r="M20" s="49">
        <f>'Input Actual2024-25'!M188</f>
        <v>0</v>
      </c>
      <c r="N20" s="49">
        <f>'Input Actual2024-25'!N188</f>
        <v>0</v>
      </c>
      <c r="O20" s="49">
        <f>'Input Actual2024-25'!O188</f>
        <v>0</v>
      </c>
      <c r="P20" s="49">
        <f>'Input Actual2024-25'!P188</f>
        <v>0</v>
      </c>
      <c r="Q20" s="5">
        <f t="shared" ref="Q20:Q22" si="0">SUM(E20:P20)</f>
        <v>0</v>
      </c>
    </row>
    <row r="21" spans="3:17" x14ac:dyDescent="0.35">
      <c r="D21" s="3" t="s">
        <v>42</v>
      </c>
      <c r="E21" s="49">
        <f>'actual 2022-23'!D158</f>
        <v>42500</v>
      </c>
      <c r="F21" s="49">
        <f>'actual 2022-23'!E158</f>
        <v>35000</v>
      </c>
      <c r="G21" s="49">
        <f>'actual 2022-23'!F158</f>
        <v>32500</v>
      </c>
      <c r="H21" s="49">
        <f>'actual 2022-23'!G158</f>
        <v>30000</v>
      </c>
      <c r="I21" s="49">
        <f>'actual 2022-23'!H158</f>
        <v>37500</v>
      </c>
      <c r="J21" s="49">
        <f>'actual 2022-23'!I158</f>
        <v>32500</v>
      </c>
      <c r="K21" s="49">
        <f>'actual 2022-23'!J158</f>
        <v>42500</v>
      </c>
      <c r="L21" s="49">
        <f>'actual 2022-23'!K158</f>
        <v>17500</v>
      </c>
      <c r="M21" s="49">
        <f>'actual 2022-23'!L158</f>
        <v>15000</v>
      </c>
      <c r="N21" s="49">
        <f>'actual 2022-23'!M158</f>
        <v>47500</v>
      </c>
      <c r="O21" s="49">
        <f>'actual 2022-23'!N158</f>
        <v>57500</v>
      </c>
      <c r="P21" s="49">
        <f>'actual 2022-23'!O158</f>
        <v>57500</v>
      </c>
      <c r="Q21" s="5">
        <f t="shared" si="0"/>
        <v>447500</v>
      </c>
    </row>
    <row r="22" spans="3:17" x14ac:dyDescent="0.35">
      <c r="D22" s="3" t="s">
        <v>7</v>
      </c>
      <c r="E22" s="5">
        <f t="shared" ref="E22:P22" si="1">IF(E20=0,0,E20-E19)</f>
        <v>0</v>
      </c>
      <c r="F22" s="5">
        <f t="shared" si="1"/>
        <v>0</v>
      </c>
      <c r="G22" s="5">
        <f t="shared" si="1"/>
        <v>0</v>
      </c>
      <c r="H22" s="5">
        <f t="shared" si="1"/>
        <v>0</v>
      </c>
      <c r="I22" s="5">
        <f t="shared" si="1"/>
        <v>0</v>
      </c>
      <c r="J22" s="5">
        <f t="shared" si="1"/>
        <v>0</v>
      </c>
      <c r="K22" s="5">
        <f t="shared" si="1"/>
        <v>0</v>
      </c>
      <c r="L22" s="5">
        <f t="shared" si="1"/>
        <v>0</v>
      </c>
      <c r="M22" s="5">
        <f t="shared" si="1"/>
        <v>0</v>
      </c>
      <c r="N22" s="5">
        <f t="shared" si="1"/>
        <v>0</v>
      </c>
      <c r="O22" s="5">
        <f t="shared" si="1"/>
        <v>0</v>
      </c>
      <c r="P22" s="5">
        <f t="shared" si="1"/>
        <v>0</v>
      </c>
      <c r="Q22" s="5">
        <f t="shared" si="0"/>
        <v>0</v>
      </c>
    </row>
    <row r="23" spans="3:17" x14ac:dyDescent="0.35">
      <c r="D23" s="3" t="s">
        <v>43</v>
      </c>
      <c r="E23" s="9" t="e">
        <f>E21/E19</f>
        <v>#DIV/0!</v>
      </c>
      <c r="F23" s="9" t="e">
        <f t="shared" ref="F23:P23" si="2">F20/F19</f>
        <v>#DIV/0!</v>
      </c>
      <c r="G23" s="9" t="e">
        <f t="shared" si="2"/>
        <v>#DIV/0!</v>
      </c>
      <c r="H23" s="9" t="e">
        <f t="shared" si="2"/>
        <v>#DIV/0!</v>
      </c>
      <c r="I23" s="9" t="e">
        <f t="shared" si="2"/>
        <v>#DIV/0!</v>
      </c>
      <c r="J23" s="9" t="e">
        <f t="shared" si="2"/>
        <v>#DIV/0!</v>
      </c>
      <c r="K23" s="9" t="e">
        <f t="shared" si="2"/>
        <v>#DIV/0!</v>
      </c>
      <c r="L23" s="9" t="e">
        <f t="shared" si="2"/>
        <v>#DIV/0!</v>
      </c>
      <c r="M23" s="9" t="e">
        <f t="shared" si="2"/>
        <v>#DIV/0!</v>
      </c>
      <c r="N23" s="9" t="e">
        <f t="shared" si="2"/>
        <v>#DIV/0!</v>
      </c>
      <c r="O23" s="9" t="e">
        <f t="shared" si="2"/>
        <v>#DIV/0!</v>
      </c>
      <c r="P23" s="9" t="e">
        <f t="shared" si="2"/>
        <v>#DIV/0!</v>
      </c>
    </row>
    <row r="25" spans="3:17" x14ac:dyDescent="0.35">
      <c r="C25" s="7" t="s">
        <v>3</v>
      </c>
      <c r="E25" s="11">
        <f>E18</f>
        <v>45839</v>
      </c>
      <c r="F25" s="11">
        <f t="shared" ref="F25:P25" si="3">F18</f>
        <v>45870</v>
      </c>
      <c r="G25" s="11">
        <f t="shared" si="3"/>
        <v>45901</v>
      </c>
      <c r="H25" s="11">
        <f t="shared" si="3"/>
        <v>45931</v>
      </c>
      <c r="I25" s="11">
        <f t="shared" si="3"/>
        <v>45962</v>
      </c>
      <c r="J25" s="11">
        <f t="shared" si="3"/>
        <v>45992</v>
      </c>
      <c r="K25" s="11">
        <f t="shared" si="3"/>
        <v>46023</v>
      </c>
      <c r="L25" s="11">
        <f t="shared" si="3"/>
        <v>46054</v>
      </c>
      <c r="M25" s="11">
        <f t="shared" si="3"/>
        <v>46082</v>
      </c>
      <c r="N25" s="11">
        <f t="shared" si="3"/>
        <v>46113</v>
      </c>
      <c r="O25" s="11">
        <f t="shared" si="3"/>
        <v>46143</v>
      </c>
      <c r="P25" s="11">
        <f t="shared" si="3"/>
        <v>46174</v>
      </c>
    </row>
    <row r="26" spans="3:17" x14ac:dyDescent="0.35">
      <c r="D26" s="3" t="str">
        <f>D19</f>
        <v>Budget 2025-26</v>
      </c>
      <c r="E26" s="5">
        <f>SUM($E19:E19)</f>
        <v>0</v>
      </c>
      <c r="F26" s="5">
        <f>SUM($E19:F19)</f>
        <v>0</v>
      </c>
      <c r="G26" s="5">
        <f>SUM($E19:G19)</f>
        <v>0</v>
      </c>
      <c r="H26" s="5">
        <f>SUM($E19:H19)</f>
        <v>0</v>
      </c>
      <c r="I26" s="5">
        <f>SUM($E19:I19)</f>
        <v>0</v>
      </c>
      <c r="J26" s="5">
        <f>SUM($E19:J19)</f>
        <v>0</v>
      </c>
      <c r="K26" s="5">
        <f>SUM($E19:K19)</f>
        <v>0</v>
      </c>
      <c r="L26" s="5">
        <f>SUM($E19:L19)</f>
        <v>0</v>
      </c>
      <c r="M26" s="5">
        <f>SUM($E19:M19)</f>
        <v>0</v>
      </c>
      <c r="N26" s="5">
        <f>SUM($E19:N19)</f>
        <v>0</v>
      </c>
      <c r="O26" s="5">
        <f>SUM($E19:O19)</f>
        <v>0</v>
      </c>
      <c r="P26" s="5">
        <f>SUM($E19:P19)</f>
        <v>0</v>
      </c>
    </row>
    <row r="27" spans="3:17" x14ac:dyDescent="0.35">
      <c r="D27" s="3" t="str">
        <f t="shared" ref="D27:D30" si="4">D20</f>
        <v>Actual 2025-26</v>
      </c>
      <c r="E27" s="5">
        <f>SUM($E20:E20)</f>
        <v>0</v>
      </c>
      <c r="F27" s="5">
        <f>SUM($E20:F20)</f>
        <v>0</v>
      </c>
      <c r="G27" s="5">
        <f>SUM($E20:G20)</f>
        <v>0</v>
      </c>
      <c r="H27" s="5">
        <f>SUM($E20:H20)</f>
        <v>0</v>
      </c>
      <c r="I27" s="5">
        <f>SUM($E20:I20)</f>
        <v>0</v>
      </c>
      <c r="J27" s="5">
        <f>SUM($E20:J20)</f>
        <v>0</v>
      </c>
      <c r="K27" s="5">
        <f>SUM($E20:K20)</f>
        <v>0</v>
      </c>
      <c r="L27" s="5">
        <f>SUM($E20:L20)</f>
        <v>0</v>
      </c>
      <c r="M27" s="5">
        <f>SUM($E20:M20)</f>
        <v>0</v>
      </c>
      <c r="N27" s="5">
        <f>SUM($E20:N20)</f>
        <v>0</v>
      </c>
      <c r="O27" s="5">
        <f>SUM($E20:O20)</f>
        <v>0</v>
      </c>
      <c r="P27" s="5">
        <f>SUM($E20:P20)</f>
        <v>0</v>
      </c>
    </row>
    <row r="28" spans="3:17" x14ac:dyDescent="0.35">
      <c r="D28" s="3" t="str">
        <f t="shared" si="4"/>
        <v>Actual 2021-22</v>
      </c>
      <c r="E28" s="5">
        <f>SUM($E21:E21)</f>
        <v>42500</v>
      </c>
      <c r="F28" s="5">
        <f>SUM($E21:F21)</f>
        <v>77500</v>
      </c>
      <c r="G28" s="5">
        <f>SUM($E21:G21)</f>
        <v>110000</v>
      </c>
      <c r="H28" s="5">
        <f>SUM($E21:H21)</f>
        <v>140000</v>
      </c>
      <c r="I28" s="5">
        <f>SUM($E21:I21)</f>
        <v>177500</v>
      </c>
      <c r="J28" s="5">
        <f>SUM($E21:J21)</f>
        <v>210000</v>
      </c>
      <c r="K28" s="5">
        <f>SUM($E21:K21)</f>
        <v>252500</v>
      </c>
      <c r="L28" s="5">
        <f>SUM($E21:L21)</f>
        <v>270000</v>
      </c>
      <c r="M28" s="5">
        <f>SUM($E21:M21)</f>
        <v>285000</v>
      </c>
      <c r="N28" s="5">
        <f>SUM($E21:N21)</f>
        <v>332500</v>
      </c>
      <c r="O28" s="5">
        <f>SUM($E21:O21)</f>
        <v>390000</v>
      </c>
      <c r="P28" s="5">
        <f>SUM($E21:P21)</f>
        <v>447500</v>
      </c>
    </row>
    <row r="29" spans="3:17" x14ac:dyDescent="0.35">
      <c r="D29" s="3" t="str">
        <f t="shared" si="4"/>
        <v>Difference</v>
      </c>
      <c r="E29" s="5">
        <f>SUM($E22:E22)</f>
        <v>0</v>
      </c>
      <c r="F29" s="5">
        <f>SUM($E22:F22)</f>
        <v>0</v>
      </c>
      <c r="G29" s="5">
        <f>SUM($E22:G22)</f>
        <v>0</v>
      </c>
      <c r="H29" s="5">
        <f>SUM($E22:H22)</f>
        <v>0</v>
      </c>
      <c r="I29" s="5">
        <f>SUM($E22:I22)</f>
        <v>0</v>
      </c>
      <c r="J29" s="5">
        <f>SUM($E22:J22)</f>
        <v>0</v>
      </c>
      <c r="K29" s="5">
        <f>SUM($E22:K22)</f>
        <v>0</v>
      </c>
      <c r="L29" s="5">
        <f>SUM($E22:L22)</f>
        <v>0</v>
      </c>
      <c r="M29" s="5">
        <f>SUM($E22:M22)</f>
        <v>0</v>
      </c>
      <c r="N29" s="5">
        <f>SUM($E22:N22)</f>
        <v>0</v>
      </c>
      <c r="O29" s="5">
        <f>SUM($E22:O22)</f>
        <v>0</v>
      </c>
      <c r="P29" s="5">
        <f>SUM($E22:P22)</f>
        <v>0</v>
      </c>
    </row>
    <row r="30" spans="3:17" x14ac:dyDescent="0.35">
      <c r="D30" s="3" t="str">
        <f t="shared" si="4"/>
        <v>Realisation</v>
      </c>
      <c r="E30" s="9" t="e">
        <f>E28/E26</f>
        <v>#DIV/0!</v>
      </c>
      <c r="F30" s="9" t="e">
        <f t="shared" ref="F30:P30" si="5">F27/F26</f>
        <v>#DIV/0!</v>
      </c>
      <c r="G30" s="9" t="e">
        <f t="shared" si="5"/>
        <v>#DIV/0!</v>
      </c>
      <c r="H30" s="9" t="e">
        <f t="shared" si="5"/>
        <v>#DIV/0!</v>
      </c>
      <c r="I30" s="9" t="e">
        <f t="shared" si="5"/>
        <v>#DIV/0!</v>
      </c>
      <c r="J30" s="9" t="e">
        <f t="shared" si="5"/>
        <v>#DIV/0!</v>
      </c>
      <c r="K30" s="9" t="e">
        <f t="shared" si="5"/>
        <v>#DIV/0!</v>
      </c>
      <c r="L30" s="9" t="e">
        <f t="shared" si="5"/>
        <v>#DIV/0!</v>
      </c>
      <c r="M30" s="9" t="e">
        <f t="shared" si="5"/>
        <v>#DIV/0!</v>
      </c>
      <c r="N30" s="9" t="e">
        <f t="shared" si="5"/>
        <v>#DIV/0!</v>
      </c>
      <c r="O30" s="9" t="e">
        <f t="shared" si="5"/>
        <v>#DIV/0!</v>
      </c>
      <c r="P30" s="9" t="e">
        <f t="shared" si="5"/>
        <v>#DIV/0!</v>
      </c>
    </row>
  </sheetData>
  <mergeCells count="2">
    <mergeCell ref="J4:Q8"/>
    <mergeCell ref="J10:Q15"/>
  </mergeCells>
  <conditionalFormatting sqref="C3">
    <cfRule type="expression" dxfId="38" priority="2">
      <formula>S4&lt;S6</formula>
    </cfRule>
  </conditionalFormatting>
  <conditionalFormatting sqref="C5">
    <cfRule type="expression" dxfId="37" priority="3">
      <formula>S4&gt;=S5</formula>
    </cfRule>
  </conditionalFormatting>
  <conditionalFormatting sqref="C4">
    <cfRule type="expression" dxfId="36" priority="1">
      <formula>AND(S4&gt;=S6,S4&lt;S5)</formula>
    </cfRule>
  </conditionalFormatting>
  <hyperlinks>
    <hyperlink ref="L1" location="Dashboard!A1" display="Dashboard"/>
  </hyperlinks>
  <pageMargins left="0.7" right="0.7" top="0.75" bottom="0.75" header="0.3" footer="0.3"/>
  <pageSetup orientation="portrait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81345" r:id="rId4" name="Spinner 1">
              <controlPr defaultSize="0" autoPict="0">
                <anchor moveWithCells="1" sizeWithCells="1">
                  <from>
                    <xdr:col>9</xdr:col>
                    <xdr:colOff>19050</xdr:colOff>
                    <xdr:row>0</xdr:row>
                    <xdr:rowOff>38100</xdr:rowOff>
                  </from>
                  <to>
                    <xdr:col>9</xdr:col>
                    <xdr:colOff>400050</xdr:colOff>
                    <xdr:row>1</xdr:row>
                    <xdr:rowOff>152400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18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145">
    <tabColor rgb="FFFFC000"/>
  </sheetPr>
  <dimension ref="A1:S30"/>
  <sheetViews>
    <sheetView zoomScale="90" zoomScaleNormal="90" workbookViewId="0">
      <selection activeCell="L1" sqref="L1"/>
    </sheetView>
  </sheetViews>
  <sheetFormatPr defaultColWidth="9.1796875" defaultRowHeight="14.5" x14ac:dyDescent="0.35"/>
  <cols>
    <col min="1" max="1" width="9.1796875" style="3"/>
    <col min="2" max="2" width="5.7265625" style="3" bestFit="1" customWidth="1"/>
    <col min="3" max="3" width="6.26953125" style="3" customWidth="1"/>
    <col min="4" max="4" width="21.26953125" style="3" bestFit="1" customWidth="1"/>
    <col min="5" max="16" width="11.1796875" style="3" customWidth="1"/>
    <col min="17" max="17" width="12" style="3" bestFit="1" customWidth="1"/>
    <col min="18" max="18" width="9.1796875" style="3" customWidth="1"/>
    <col min="19" max="16384" width="9.1796875" style="3"/>
  </cols>
  <sheetData>
    <row r="1" spans="1:19" ht="21" x14ac:dyDescent="0.5">
      <c r="A1" s="4" t="s">
        <v>4</v>
      </c>
      <c r="B1" s="4">
        <f>Dashboard!A210</f>
        <v>2</v>
      </c>
      <c r="C1" s="4" t="str">
        <f>Dashboard!B210</f>
        <v>KAMERE- EXHAUSTER SALES</v>
      </c>
      <c r="D1" s="4"/>
      <c r="G1" s="3" t="s">
        <v>9</v>
      </c>
      <c r="I1" s="12">
        <f>INDEX($E$18:$P$18,Actual_month)</f>
        <v>46054</v>
      </c>
      <c r="L1" s="16" t="s">
        <v>19</v>
      </c>
      <c r="R1" s="5"/>
    </row>
    <row r="2" spans="1:19" x14ac:dyDescent="0.35">
      <c r="A2" s="3" t="s">
        <v>13</v>
      </c>
      <c r="C2" s="3" t="s">
        <v>27</v>
      </c>
      <c r="R2" s="6"/>
    </row>
    <row r="3" spans="1:19" ht="25.5" customHeight="1" thickBot="1" x14ac:dyDescent="0.4">
      <c r="C3" s="1" t="s">
        <v>5</v>
      </c>
      <c r="E3" s="10"/>
      <c r="F3" s="10"/>
      <c r="G3" s="10"/>
      <c r="H3" s="10"/>
      <c r="I3" s="10"/>
      <c r="J3" s="3" t="s">
        <v>6</v>
      </c>
      <c r="K3" s="10"/>
      <c r="M3" s="10"/>
      <c r="N3" s="10"/>
      <c r="O3" s="10"/>
      <c r="P3" s="10"/>
    </row>
    <row r="4" spans="1:19" ht="25.5" customHeight="1" x14ac:dyDescent="0.35">
      <c r="C4" s="1" t="s">
        <v>5</v>
      </c>
      <c r="E4" s="10"/>
      <c r="F4" s="10"/>
      <c r="G4" s="10"/>
      <c r="H4" s="10"/>
      <c r="I4" s="10"/>
      <c r="J4" s="401"/>
      <c r="K4" s="402"/>
      <c r="L4" s="402"/>
      <c r="M4" s="402"/>
      <c r="N4" s="402"/>
      <c r="O4" s="402"/>
      <c r="P4" s="402"/>
      <c r="Q4" s="403"/>
      <c r="R4" s="3" t="s">
        <v>22</v>
      </c>
      <c r="S4" s="5">
        <f>INDEX(E27:P27,Actual_month)</f>
        <v>0</v>
      </c>
    </row>
    <row r="5" spans="1:19" ht="25.5" customHeight="1" x14ac:dyDescent="0.35">
      <c r="C5" s="1" t="s">
        <v>5</v>
      </c>
      <c r="E5" s="10"/>
      <c r="F5" s="10"/>
      <c r="G5" s="10"/>
      <c r="H5" s="10"/>
      <c r="I5" s="10"/>
      <c r="J5" s="404"/>
      <c r="K5" s="405"/>
      <c r="L5" s="405"/>
      <c r="M5" s="405"/>
      <c r="N5" s="405"/>
      <c r="O5" s="405"/>
      <c r="P5" s="405"/>
      <c r="Q5" s="406"/>
      <c r="R5" s="3" t="s">
        <v>23</v>
      </c>
      <c r="S5" s="5">
        <f>INDEX(E26:P26,Actual_month)</f>
        <v>0</v>
      </c>
    </row>
    <row r="6" spans="1:19" x14ac:dyDescent="0.35">
      <c r="J6" s="404"/>
      <c r="K6" s="405"/>
      <c r="L6" s="405"/>
      <c r="M6" s="405"/>
      <c r="N6" s="405"/>
      <c r="O6" s="405"/>
      <c r="P6" s="405"/>
      <c r="Q6" s="406"/>
      <c r="R6" s="6">
        <v>0.9</v>
      </c>
      <c r="S6" s="5">
        <f>+S5*R6</f>
        <v>0</v>
      </c>
    </row>
    <row r="7" spans="1:19" x14ac:dyDescent="0.35">
      <c r="J7" s="404"/>
      <c r="K7" s="405"/>
      <c r="L7" s="405"/>
      <c r="M7" s="405"/>
      <c r="N7" s="405"/>
      <c r="O7" s="405"/>
      <c r="P7" s="405"/>
      <c r="Q7" s="406"/>
    </row>
    <row r="8" spans="1:19" ht="15" thickBot="1" x14ac:dyDescent="0.4">
      <c r="J8" s="407"/>
      <c r="K8" s="408"/>
      <c r="L8" s="408"/>
      <c r="M8" s="408"/>
      <c r="N8" s="408"/>
      <c r="O8" s="408"/>
      <c r="P8" s="408"/>
      <c r="Q8" s="409"/>
    </row>
    <row r="9" spans="1:19" ht="15" thickBot="1" x14ac:dyDescent="0.4">
      <c r="J9" s="3" t="s">
        <v>12</v>
      </c>
    </row>
    <row r="10" spans="1:19" x14ac:dyDescent="0.35">
      <c r="J10" s="401"/>
      <c r="K10" s="402"/>
      <c r="L10" s="402"/>
      <c r="M10" s="402"/>
      <c r="N10" s="402"/>
      <c r="O10" s="402"/>
      <c r="P10" s="402"/>
      <c r="Q10" s="403"/>
    </row>
    <row r="11" spans="1:19" x14ac:dyDescent="0.35">
      <c r="J11" s="404"/>
      <c r="K11" s="405"/>
      <c r="L11" s="405"/>
      <c r="M11" s="405"/>
      <c r="N11" s="405"/>
      <c r="O11" s="405"/>
      <c r="P11" s="405"/>
      <c r="Q11" s="406"/>
    </row>
    <row r="12" spans="1:19" x14ac:dyDescent="0.35">
      <c r="J12" s="404"/>
      <c r="K12" s="405"/>
      <c r="L12" s="405"/>
      <c r="M12" s="405"/>
      <c r="N12" s="405"/>
      <c r="O12" s="405"/>
      <c r="P12" s="405"/>
      <c r="Q12" s="406"/>
    </row>
    <row r="13" spans="1:19" x14ac:dyDescent="0.35">
      <c r="J13" s="404"/>
      <c r="K13" s="405"/>
      <c r="L13" s="405"/>
      <c r="M13" s="405"/>
      <c r="N13" s="405"/>
      <c r="O13" s="405"/>
      <c r="P13" s="405"/>
      <c r="Q13" s="406"/>
    </row>
    <row r="14" spans="1:19" x14ac:dyDescent="0.35">
      <c r="J14" s="404"/>
      <c r="K14" s="405"/>
      <c r="L14" s="405"/>
      <c r="M14" s="405"/>
      <c r="N14" s="405"/>
      <c r="O14" s="405"/>
      <c r="P14" s="405"/>
      <c r="Q14" s="406"/>
    </row>
    <row r="15" spans="1:19" ht="15" thickBot="1" x14ac:dyDescent="0.4">
      <c r="J15" s="407"/>
      <c r="K15" s="408"/>
      <c r="L15" s="408"/>
      <c r="M15" s="408"/>
      <c r="N15" s="408"/>
      <c r="O15" s="408"/>
      <c r="P15" s="408"/>
      <c r="Q15" s="409"/>
    </row>
    <row r="18" spans="3:17" x14ac:dyDescent="0.35">
      <c r="C18" s="7" t="s">
        <v>8</v>
      </c>
      <c r="E18" s="11">
        <f>'KPI 1'!E18</f>
        <v>45839</v>
      </c>
      <c r="F18" s="11">
        <f>'KPI 1'!F18</f>
        <v>45870</v>
      </c>
      <c r="G18" s="11">
        <f>'KPI 1'!G18</f>
        <v>45901</v>
      </c>
      <c r="H18" s="11">
        <f>'KPI 1'!H18</f>
        <v>45931</v>
      </c>
      <c r="I18" s="11">
        <f>'KPI 1'!I18</f>
        <v>45962</v>
      </c>
      <c r="J18" s="11">
        <f>'KPI 1'!J18</f>
        <v>45992</v>
      </c>
      <c r="K18" s="11">
        <f>'KPI 1'!K18</f>
        <v>46023</v>
      </c>
      <c r="L18" s="11">
        <f>'KPI 1'!L18</f>
        <v>46054</v>
      </c>
      <c r="M18" s="11">
        <f>'KPI 1'!M18</f>
        <v>46082</v>
      </c>
      <c r="N18" s="11">
        <f>'KPI 1'!N18</f>
        <v>46113</v>
      </c>
      <c r="O18" s="11">
        <f>'KPI 1'!O18</f>
        <v>46143</v>
      </c>
      <c r="P18" s="11">
        <f>'KPI 1'!P18</f>
        <v>46174</v>
      </c>
      <c r="Q18" s="8" t="s">
        <v>0</v>
      </c>
    </row>
    <row r="19" spans="3:17" x14ac:dyDescent="0.35">
      <c r="D19" s="3" t="str">
        <f>'KPI 1'!D19</f>
        <v>Budget 2025-26</v>
      </c>
      <c r="E19" s="49">
        <f>'budget 2025-26'!D199</f>
        <v>0</v>
      </c>
      <c r="F19" s="49">
        <f>'budget 2025-26'!E199</f>
        <v>0</v>
      </c>
      <c r="G19" s="49">
        <f>'budget 2025-26'!F199</f>
        <v>0</v>
      </c>
      <c r="H19" s="49">
        <f>'budget 2025-26'!G199</f>
        <v>0</v>
      </c>
      <c r="I19" s="49">
        <f>'budget 2025-26'!H199</f>
        <v>0</v>
      </c>
      <c r="J19" s="49">
        <f>'budget 2025-26'!I199</f>
        <v>0</v>
      </c>
      <c r="K19" s="49">
        <f>'budget 2025-26'!J199</f>
        <v>0</v>
      </c>
      <c r="L19" s="49">
        <f>'budget 2025-26'!K199</f>
        <v>0</v>
      </c>
      <c r="M19" s="49">
        <f>'budget 2025-26'!L199</f>
        <v>0</v>
      </c>
      <c r="N19" s="49">
        <f>'budget 2025-26'!M199</f>
        <v>0</v>
      </c>
      <c r="O19" s="49">
        <f>'budget 2025-26'!N199</f>
        <v>0</v>
      </c>
      <c r="P19" s="49">
        <f>'budget 2025-26'!O199</f>
        <v>0</v>
      </c>
      <c r="Q19" s="5">
        <f>SUM(E19:P19)</f>
        <v>0</v>
      </c>
    </row>
    <row r="20" spans="3:17" x14ac:dyDescent="0.35">
      <c r="D20" s="3" t="str">
        <f>'KPI 1'!D20</f>
        <v>Actual 2025-26</v>
      </c>
      <c r="E20" s="49">
        <f>'Input Actual2024-25'!E189</f>
        <v>0</v>
      </c>
      <c r="F20" s="49">
        <f>'Input Actual2024-25'!F189</f>
        <v>0</v>
      </c>
      <c r="G20" s="49">
        <f>'Input Actual2024-25'!G189</f>
        <v>0</v>
      </c>
      <c r="H20" s="49">
        <f>'Input Actual2024-25'!H189</f>
        <v>0</v>
      </c>
      <c r="I20" s="49">
        <f>'Input Actual2024-25'!I189</f>
        <v>0</v>
      </c>
      <c r="J20" s="49">
        <f>'Input Actual2024-25'!J189</f>
        <v>0</v>
      </c>
      <c r="K20" s="49">
        <f>'Input Actual2024-25'!K189</f>
        <v>0</v>
      </c>
      <c r="L20" s="49">
        <f>'Input Actual2024-25'!L189</f>
        <v>0</v>
      </c>
      <c r="M20" s="49">
        <f>'Input Actual2024-25'!M189</f>
        <v>0</v>
      </c>
      <c r="N20" s="49">
        <f>'Input Actual2024-25'!N189</f>
        <v>0</v>
      </c>
      <c r="O20" s="49">
        <f>'Input Actual2024-25'!O189</f>
        <v>0</v>
      </c>
      <c r="P20" s="49">
        <f>'Input Actual2024-25'!P189</f>
        <v>0</v>
      </c>
      <c r="Q20" s="5">
        <f t="shared" ref="Q20:Q22" si="0">SUM(E20:P20)</f>
        <v>0</v>
      </c>
    </row>
    <row r="21" spans="3:17" x14ac:dyDescent="0.35">
      <c r="D21" s="3" t="s">
        <v>42</v>
      </c>
      <c r="E21" s="49">
        <f>'actual 2022-23'!D159</f>
        <v>10000</v>
      </c>
      <c r="F21" s="49">
        <f>'actual 2022-23'!E159</f>
        <v>5000</v>
      </c>
      <c r="G21" s="49">
        <f>'actual 2022-23'!F159</f>
        <v>10000</v>
      </c>
      <c r="H21" s="49">
        <f>'actual 2022-23'!G159</f>
        <v>10000</v>
      </c>
      <c r="I21" s="49">
        <f>'actual 2022-23'!H159</f>
        <v>5000</v>
      </c>
      <c r="J21" s="49">
        <f>'actual 2022-23'!I159</f>
        <v>10000</v>
      </c>
      <c r="K21" s="49">
        <f>'actual 2022-23'!J159</f>
        <v>5000</v>
      </c>
      <c r="L21" s="49">
        <f>'actual 2022-23'!K159</f>
        <v>5000</v>
      </c>
      <c r="M21" s="49">
        <f>'actual 2022-23'!L159</f>
        <v>0</v>
      </c>
      <c r="N21" s="49">
        <f>'actual 2022-23'!M159</f>
        <v>0</v>
      </c>
      <c r="O21" s="49">
        <f>'actual 2022-23'!N159</f>
        <v>0</v>
      </c>
      <c r="P21" s="49">
        <f>'actual 2022-23'!O159</f>
        <v>0</v>
      </c>
      <c r="Q21" s="5">
        <f t="shared" si="0"/>
        <v>60000</v>
      </c>
    </row>
    <row r="22" spans="3:17" x14ac:dyDescent="0.35">
      <c r="D22" s="3" t="s">
        <v>7</v>
      </c>
      <c r="E22" s="5">
        <f t="shared" ref="E22:P22" si="1">IF(E20=0,0,E20-E19)</f>
        <v>0</v>
      </c>
      <c r="F22" s="5">
        <f t="shared" si="1"/>
        <v>0</v>
      </c>
      <c r="G22" s="5">
        <f t="shared" si="1"/>
        <v>0</v>
      </c>
      <c r="H22" s="5">
        <f t="shared" si="1"/>
        <v>0</v>
      </c>
      <c r="I22" s="5">
        <f t="shared" si="1"/>
        <v>0</v>
      </c>
      <c r="J22" s="5">
        <f t="shared" si="1"/>
        <v>0</v>
      </c>
      <c r="K22" s="5">
        <f t="shared" si="1"/>
        <v>0</v>
      </c>
      <c r="L22" s="5">
        <f t="shared" si="1"/>
        <v>0</v>
      </c>
      <c r="M22" s="5">
        <f t="shared" si="1"/>
        <v>0</v>
      </c>
      <c r="N22" s="5">
        <f t="shared" si="1"/>
        <v>0</v>
      </c>
      <c r="O22" s="5">
        <f t="shared" si="1"/>
        <v>0</v>
      </c>
      <c r="P22" s="5">
        <f t="shared" si="1"/>
        <v>0</v>
      </c>
      <c r="Q22" s="5">
        <f t="shared" si="0"/>
        <v>0</v>
      </c>
    </row>
    <row r="23" spans="3:17" x14ac:dyDescent="0.35">
      <c r="D23" s="3" t="s">
        <v>43</v>
      </c>
      <c r="E23" s="9" t="e">
        <f>E21/E19</f>
        <v>#DIV/0!</v>
      </c>
      <c r="F23" s="9" t="e">
        <f t="shared" ref="F23:P23" si="2">F20/F19</f>
        <v>#DIV/0!</v>
      </c>
      <c r="G23" s="9" t="e">
        <f t="shared" si="2"/>
        <v>#DIV/0!</v>
      </c>
      <c r="H23" s="9" t="e">
        <f t="shared" si="2"/>
        <v>#DIV/0!</v>
      </c>
      <c r="I23" s="9" t="e">
        <f t="shared" si="2"/>
        <v>#DIV/0!</v>
      </c>
      <c r="J23" s="9" t="e">
        <f t="shared" si="2"/>
        <v>#DIV/0!</v>
      </c>
      <c r="K23" s="9" t="e">
        <f t="shared" si="2"/>
        <v>#DIV/0!</v>
      </c>
      <c r="L23" s="9" t="e">
        <f t="shared" si="2"/>
        <v>#DIV/0!</v>
      </c>
      <c r="M23" s="9" t="e">
        <f t="shared" si="2"/>
        <v>#DIV/0!</v>
      </c>
      <c r="N23" s="9" t="e">
        <f t="shared" si="2"/>
        <v>#DIV/0!</v>
      </c>
      <c r="O23" s="9" t="e">
        <f t="shared" si="2"/>
        <v>#DIV/0!</v>
      </c>
      <c r="P23" s="9" t="e">
        <f t="shared" si="2"/>
        <v>#DIV/0!</v>
      </c>
    </row>
    <row r="25" spans="3:17" x14ac:dyDescent="0.35">
      <c r="C25" s="7" t="s">
        <v>3</v>
      </c>
      <c r="E25" s="11">
        <f>E18</f>
        <v>45839</v>
      </c>
      <c r="F25" s="11">
        <f t="shared" ref="F25:P25" si="3">F18</f>
        <v>45870</v>
      </c>
      <c r="G25" s="11">
        <f t="shared" si="3"/>
        <v>45901</v>
      </c>
      <c r="H25" s="11">
        <f t="shared" si="3"/>
        <v>45931</v>
      </c>
      <c r="I25" s="11">
        <f t="shared" si="3"/>
        <v>45962</v>
      </c>
      <c r="J25" s="11">
        <f t="shared" si="3"/>
        <v>45992</v>
      </c>
      <c r="K25" s="11">
        <f t="shared" si="3"/>
        <v>46023</v>
      </c>
      <c r="L25" s="11">
        <f t="shared" si="3"/>
        <v>46054</v>
      </c>
      <c r="M25" s="11">
        <f t="shared" si="3"/>
        <v>46082</v>
      </c>
      <c r="N25" s="11">
        <f t="shared" si="3"/>
        <v>46113</v>
      </c>
      <c r="O25" s="11">
        <f t="shared" si="3"/>
        <v>46143</v>
      </c>
      <c r="P25" s="11">
        <f t="shared" si="3"/>
        <v>46174</v>
      </c>
    </row>
    <row r="26" spans="3:17" x14ac:dyDescent="0.35">
      <c r="D26" s="3" t="str">
        <f>D19</f>
        <v>Budget 2025-26</v>
      </c>
      <c r="E26" s="5">
        <f>SUM($E19:E19)</f>
        <v>0</v>
      </c>
      <c r="F26" s="5">
        <f>SUM($E19:F19)</f>
        <v>0</v>
      </c>
      <c r="G26" s="5">
        <f>SUM($E19:G19)</f>
        <v>0</v>
      </c>
      <c r="H26" s="5">
        <f>SUM($E19:H19)</f>
        <v>0</v>
      </c>
      <c r="I26" s="5">
        <f>SUM($E19:I19)</f>
        <v>0</v>
      </c>
      <c r="J26" s="5">
        <f>SUM($E19:J19)</f>
        <v>0</v>
      </c>
      <c r="K26" s="5">
        <f>SUM($E19:K19)</f>
        <v>0</v>
      </c>
      <c r="L26" s="5">
        <f>SUM($E19:L19)</f>
        <v>0</v>
      </c>
      <c r="M26" s="5">
        <f>SUM($E19:M19)</f>
        <v>0</v>
      </c>
      <c r="N26" s="5">
        <f>SUM($E19:N19)</f>
        <v>0</v>
      </c>
      <c r="O26" s="5">
        <f>SUM($E19:O19)</f>
        <v>0</v>
      </c>
      <c r="P26" s="5">
        <f>SUM($E19:P19)</f>
        <v>0</v>
      </c>
    </row>
    <row r="27" spans="3:17" x14ac:dyDescent="0.35">
      <c r="D27" s="3" t="str">
        <f t="shared" ref="D27:D30" si="4">D20</f>
        <v>Actual 2025-26</v>
      </c>
      <c r="E27" s="5">
        <f>SUM($E20:E20)</f>
        <v>0</v>
      </c>
      <c r="F27" s="5">
        <f>SUM($E20:F20)</f>
        <v>0</v>
      </c>
      <c r="G27" s="5">
        <f>SUM($E20:G20)</f>
        <v>0</v>
      </c>
      <c r="H27" s="5">
        <f>SUM($E20:H20)</f>
        <v>0</v>
      </c>
      <c r="I27" s="5">
        <f>SUM($E20:I20)</f>
        <v>0</v>
      </c>
      <c r="J27" s="5">
        <f>SUM($E20:J20)</f>
        <v>0</v>
      </c>
      <c r="K27" s="5">
        <f>SUM($E20:K20)</f>
        <v>0</v>
      </c>
      <c r="L27" s="5">
        <f>SUM($E20:L20)</f>
        <v>0</v>
      </c>
      <c r="M27" s="5">
        <f>SUM($E20:M20)</f>
        <v>0</v>
      </c>
      <c r="N27" s="5">
        <f>SUM($E20:N20)</f>
        <v>0</v>
      </c>
      <c r="O27" s="5">
        <f>SUM($E20:O20)</f>
        <v>0</v>
      </c>
      <c r="P27" s="5">
        <f>SUM($E20:P20)</f>
        <v>0</v>
      </c>
    </row>
    <row r="28" spans="3:17" x14ac:dyDescent="0.35">
      <c r="D28" s="3" t="str">
        <f t="shared" si="4"/>
        <v>Actual 2021-22</v>
      </c>
      <c r="E28" s="5">
        <f>SUM($E21:E21)</f>
        <v>10000</v>
      </c>
      <c r="F28" s="5">
        <f>SUM($E21:F21)</f>
        <v>15000</v>
      </c>
      <c r="G28" s="5">
        <f>SUM($E21:G21)</f>
        <v>25000</v>
      </c>
      <c r="H28" s="5">
        <f>SUM($E21:H21)</f>
        <v>35000</v>
      </c>
      <c r="I28" s="5">
        <f>SUM($E21:I21)</f>
        <v>40000</v>
      </c>
      <c r="J28" s="5">
        <f>SUM($E21:J21)</f>
        <v>50000</v>
      </c>
      <c r="K28" s="5">
        <f>SUM($E21:K21)</f>
        <v>55000</v>
      </c>
      <c r="L28" s="5">
        <f>SUM($E21:L21)</f>
        <v>60000</v>
      </c>
      <c r="M28" s="5">
        <f>SUM($E21:M21)</f>
        <v>60000</v>
      </c>
      <c r="N28" s="5">
        <f>SUM($E21:N21)</f>
        <v>60000</v>
      </c>
      <c r="O28" s="5">
        <f>SUM($E21:O21)</f>
        <v>60000</v>
      </c>
      <c r="P28" s="5">
        <f>SUM($E21:P21)</f>
        <v>60000</v>
      </c>
    </row>
    <row r="29" spans="3:17" x14ac:dyDescent="0.35">
      <c r="D29" s="3" t="str">
        <f t="shared" si="4"/>
        <v>Difference</v>
      </c>
      <c r="E29" s="5">
        <f>SUM($E22:E22)</f>
        <v>0</v>
      </c>
      <c r="F29" s="5">
        <f>SUM($E22:F22)</f>
        <v>0</v>
      </c>
      <c r="G29" s="5">
        <f>SUM($E22:G22)</f>
        <v>0</v>
      </c>
      <c r="H29" s="5">
        <f>SUM($E22:H22)</f>
        <v>0</v>
      </c>
      <c r="I29" s="5">
        <f>SUM($E22:I22)</f>
        <v>0</v>
      </c>
      <c r="J29" s="5">
        <f>SUM($E22:J22)</f>
        <v>0</v>
      </c>
      <c r="K29" s="5">
        <f>SUM($E22:K22)</f>
        <v>0</v>
      </c>
      <c r="L29" s="5">
        <f>SUM($E22:L22)</f>
        <v>0</v>
      </c>
      <c r="M29" s="5">
        <f>SUM($E22:M22)</f>
        <v>0</v>
      </c>
      <c r="N29" s="5">
        <f>SUM($E22:N22)</f>
        <v>0</v>
      </c>
      <c r="O29" s="5">
        <f>SUM($E22:O22)</f>
        <v>0</v>
      </c>
      <c r="P29" s="5">
        <f>SUM($E22:P22)</f>
        <v>0</v>
      </c>
    </row>
    <row r="30" spans="3:17" x14ac:dyDescent="0.35">
      <c r="D30" s="3" t="str">
        <f t="shared" si="4"/>
        <v>Realisation</v>
      </c>
      <c r="E30" s="9" t="e">
        <f>E28/E26</f>
        <v>#DIV/0!</v>
      </c>
      <c r="F30" s="9" t="e">
        <f t="shared" ref="F30:P30" si="5">F27/F26</f>
        <v>#DIV/0!</v>
      </c>
      <c r="G30" s="9" t="e">
        <f t="shared" si="5"/>
        <v>#DIV/0!</v>
      </c>
      <c r="H30" s="9" t="e">
        <f t="shared" si="5"/>
        <v>#DIV/0!</v>
      </c>
      <c r="I30" s="9" t="e">
        <f t="shared" si="5"/>
        <v>#DIV/0!</v>
      </c>
      <c r="J30" s="9" t="e">
        <f t="shared" si="5"/>
        <v>#DIV/0!</v>
      </c>
      <c r="K30" s="9" t="e">
        <f t="shared" si="5"/>
        <v>#DIV/0!</v>
      </c>
      <c r="L30" s="9" t="e">
        <f t="shared" si="5"/>
        <v>#DIV/0!</v>
      </c>
      <c r="M30" s="9" t="e">
        <f t="shared" si="5"/>
        <v>#DIV/0!</v>
      </c>
      <c r="N30" s="9" t="e">
        <f t="shared" si="5"/>
        <v>#DIV/0!</v>
      </c>
      <c r="O30" s="9" t="e">
        <f t="shared" si="5"/>
        <v>#DIV/0!</v>
      </c>
      <c r="P30" s="9" t="e">
        <f t="shared" si="5"/>
        <v>#DIV/0!</v>
      </c>
    </row>
  </sheetData>
  <mergeCells count="2">
    <mergeCell ref="J4:Q8"/>
    <mergeCell ref="J10:Q15"/>
  </mergeCells>
  <conditionalFormatting sqref="C3">
    <cfRule type="expression" dxfId="35" priority="2">
      <formula>S4&lt;S6</formula>
    </cfRule>
  </conditionalFormatting>
  <conditionalFormatting sqref="C5">
    <cfRule type="expression" dxfId="34" priority="3">
      <formula>S4&gt;=S5</formula>
    </cfRule>
  </conditionalFormatting>
  <conditionalFormatting sqref="C4">
    <cfRule type="expression" dxfId="33" priority="1">
      <formula>AND(S4&gt;=S6,S4&lt;S5)</formula>
    </cfRule>
  </conditionalFormatting>
  <hyperlinks>
    <hyperlink ref="L1" location="Dashboard!A1" display="Dashboard"/>
  </hyperlinks>
  <pageMargins left="0.7" right="0.7" top="0.75" bottom="0.75" header="0.3" footer="0.3"/>
  <pageSetup orientation="portrait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82369" r:id="rId4" name="Spinner 1">
              <controlPr defaultSize="0" autoPict="0">
                <anchor moveWithCells="1" sizeWithCells="1">
                  <from>
                    <xdr:col>9</xdr:col>
                    <xdr:colOff>19050</xdr:colOff>
                    <xdr:row>0</xdr:row>
                    <xdr:rowOff>38100</xdr:rowOff>
                  </from>
                  <to>
                    <xdr:col>9</xdr:col>
                    <xdr:colOff>400050</xdr:colOff>
                    <xdr:row>1</xdr:row>
                    <xdr:rowOff>152400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18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146">
    <tabColor rgb="FFFFC000"/>
  </sheetPr>
  <dimension ref="A1:S30"/>
  <sheetViews>
    <sheetView zoomScale="90" zoomScaleNormal="90" workbookViewId="0">
      <selection activeCell="L1" sqref="L1"/>
    </sheetView>
  </sheetViews>
  <sheetFormatPr defaultColWidth="9.1796875" defaultRowHeight="14.5" x14ac:dyDescent="0.35"/>
  <cols>
    <col min="1" max="1" width="9.1796875" style="3"/>
    <col min="2" max="2" width="5.7265625" style="3" bestFit="1" customWidth="1"/>
    <col min="3" max="3" width="6.26953125" style="3" customWidth="1"/>
    <col min="4" max="4" width="21.26953125" style="3" bestFit="1" customWidth="1"/>
    <col min="5" max="16" width="11.1796875" style="3" customWidth="1"/>
    <col min="17" max="17" width="12" style="3" bestFit="1" customWidth="1"/>
    <col min="18" max="18" width="9.1796875" style="3" customWidth="1"/>
    <col min="19" max="16384" width="9.1796875" style="3"/>
  </cols>
  <sheetData>
    <row r="1" spans="1:19" ht="21" x14ac:dyDescent="0.5">
      <c r="A1" s="4" t="s">
        <v>4</v>
      </c>
      <c r="B1" s="4">
        <f>Dashboard!A213</f>
        <v>1</v>
      </c>
      <c r="C1" s="4" t="str">
        <f>Dashboard!B213</f>
        <v>KAYOLE- EXHAUSTER SALES</v>
      </c>
      <c r="D1" s="4"/>
      <c r="G1" s="3" t="s">
        <v>9</v>
      </c>
      <c r="I1" s="12">
        <f>INDEX($E$18:$P$18,Actual_month)</f>
        <v>46054</v>
      </c>
      <c r="L1" s="16" t="s">
        <v>19</v>
      </c>
      <c r="R1" s="5"/>
    </row>
    <row r="2" spans="1:19" x14ac:dyDescent="0.35">
      <c r="A2" s="3" t="s">
        <v>13</v>
      </c>
      <c r="C2" s="3" t="s">
        <v>27</v>
      </c>
      <c r="R2" s="6"/>
    </row>
    <row r="3" spans="1:19" ht="25.5" customHeight="1" thickBot="1" x14ac:dyDescent="0.4">
      <c r="C3" s="1" t="s">
        <v>5</v>
      </c>
      <c r="E3" s="10"/>
      <c r="F3" s="10"/>
      <c r="G3" s="10"/>
      <c r="H3" s="10"/>
      <c r="I3" s="10"/>
      <c r="J3" s="3" t="s">
        <v>6</v>
      </c>
      <c r="K3" s="10"/>
      <c r="M3" s="10"/>
      <c r="N3" s="10"/>
      <c r="O3" s="10"/>
      <c r="P3" s="10"/>
    </row>
    <row r="4" spans="1:19" ht="25.5" customHeight="1" x14ac:dyDescent="0.35">
      <c r="C4" s="1" t="s">
        <v>5</v>
      </c>
      <c r="E4" s="10"/>
      <c r="F4" s="10"/>
      <c r="G4" s="10"/>
      <c r="H4" s="10"/>
      <c r="I4" s="10"/>
      <c r="J4" s="401"/>
      <c r="K4" s="402"/>
      <c r="L4" s="402"/>
      <c r="M4" s="402"/>
      <c r="N4" s="402"/>
      <c r="O4" s="402"/>
      <c r="P4" s="402"/>
      <c r="Q4" s="403"/>
      <c r="R4" s="3" t="s">
        <v>22</v>
      </c>
      <c r="S4" s="5">
        <f>INDEX(E27:P27,Actual_month)</f>
        <v>0</v>
      </c>
    </row>
    <row r="5" spans="1:19" ht="25.5" customHeight="1" x14ac:dyDescent="0.35">
      <c r="C5" s="1" t="s">
        <v>5</v>
      </c>
      <c r="E5" s="10"/>
      <c r="F5" s="10"/>
      <c r="G5" s="10"/>
      <c r="H5" s="10"/>
      <c r="I5" s="10"/>
      <c r="J5" s="404"/>
      <c r="K5" s="405"/>
      <c r="L5" s="405"/>
      <c r="M5" s="405"/>
      <c r="N5" s="405"/>
      <c r="O5" s="405"/>
      <c r="P5" s="405"/>
      <c r="Q5" s="406"/>
      <c r="R5" s="3" t="s">
        <v>23</v>
      </c>
      <c r="S5" s="5">
        <f>INDEX(E26:P26,Actual_month)</f>
        <v>0</v>
      </c>
    </row>
    <row r="6" spans="1:19" x14ac:dyDescent="0.35">
      <c r="J6" s="404"/>
      <c r="K6" s="405"/>
      <c r="L6" s="405"/>
      <c r="M6" s="405"/>
      <c r="N6" s="405"/>
      <c r="O6" s="405"/>
      <c r="P6" s="405"/>
      <c r="Q6" s="406"/>
      <c r="R6" s="6">
        <v>0.9</v>
      </c>
      <c r="S6" s="5">
        <f>+S5*R6</f>
        <v>0</v>
      </c>
    </row>
    <row r="7" spans="1:19" x14ac:dyDescent="0.35">
      <c r="J7" s="404"/>
      <c r="K7" s="405"/>
      <c r="L7" s="405"/>
      <c r="M7" s="405"/>
      <c r="N7" s="405"/>
      <c r="O7" s="405"/>
      <c r="P7" s="405"/>
      <c r="Q7" s="406"/>
    </row>
    <row r="8" spans="1:19" ht="15" thickBot="1" x14ac:dyDescent="0.4">
      <c r="J8" s="407"/>
      <c r="K8" s="408"/>
      <c r="L8" s="408"/>
      <c r="M8" s="408"/>
      <c r="N8" s="408"/>
      <c r="O8" s="408"/>
      <c r="P8" s="408"/>
      <c r="Q8" s="409"/>
    </row>
    <row r="9" spans="1:19" ht="15" thickBot="1" x14ac:dyDescent="0.4">
      <c r="J9" s="3" t="s">
        <v>12</v>
      </c>
    </row>
    <row r="10" spans="1:19" x14ac:dyDescent="0.35">
      <c r="J10" s="401"/>
      <c r="K10" s="402"/>
      <c r="L10" s="402"/>
      <c r="M10" s="402"/>
      <c r="N10" s="402"/>
      <c r="O10" s="402"/>
      <c r="P10" s="402"/>
      <c r="Q10" s="403"/>
    </row>
    <row r="11" spans="1:19" x14ac:dyDescent="0.35">
      <c r="J11" s="404"/>
      <c r="K11" s="405"/>
      <c r="L11" s="405"/>
      <c r="M11" s="405"/>
      <c r="N11" s="405"/>
      <c r="O11" s="405"/>
      <c r="P11" s="405"/>
      <c r="Q11" s="406"/>
    </row>
    <row r="12" spans="1:19" x14ac:dyDescent="0.35">
      <c r="J12" s="404"/>
      <c r="K12" s="405"/>
      <c r="L12" s="405"/>
      <c r="M12" s="405"/>
      <c r="N12" s="405"/>
      <c r="O12" s="405"/>
      <c r="P12" s="405"/>
      <c r="Q12" s="406"/>
    </row>
    <row r="13" spans="1:19" x14ac:dyDescent="0.35">
      <c r="J13" s="404"/>
      <c r="K13" s="405"/>
      <c r="L13" s="405"/>
      <c r="M13" s="405"/>
      <c r="N13" s="405"/>
      <c r="O13" s="405"/>
      <c r="P13" s="405"/>
      <c r="Q13" s="406"/>
    </row>
    <row r="14" spans="1:19" x14ac:dyDescent="0.35">
      <c r="J14" s="404"/>
      <c r="K14" s="405"/>
      <c r="L14" s="405"/>
      <c r="M14" s="405"/>
      <c r="N14" s="405"/>
      <c r="O14" s="405"/>
      <c r="P14" s="405"/>
      <c r="Q14" s="406"/>
    </row>
    <row r="15" spans="1:19" ht="15" thickBot="1" x14ac:dyDescent="0.4">
      <c r="J15" s="407"/>
      <c r="K15" s="408"/>
      <c r="L15" s="408"/>
      <c r="M15" s="408"/>
      <c r="N15" s="408"/>
      <c r="O15" s="408"/>
      <c r="P15" s="408"/>
      <c r="Q15" s="409"/>
    </row>
    <row r="18" spans="3:17" x14ac:dyDescent="0.35">
      <c r="C18" s="7" t="s">
        <v>8</v>
      </c>
      <c r="E18" s="11">
        <f>'KPI 1'!E18</f>
        <v>45839</v>
      </c>
      <c r="F18" s="11">
        <f>'KPI 1'!F18</f>
        <v>45870</v>
      </c>
      <c r="G18" s="11">
        <f>'KPI 1'!G18</f>
        <v>45901</v>
      </c>
      <c r="H18" s="11">
        <f>'KPI 1'!H18</f>
        <v>45931</v>
      </c>
      <c r="I18" s="11">
        <f>'KPI 1'!I18</f>
        <v>45962</v>
      </c>
      <c r="J18" s="11">
        <f>'KPI 1'!J18</f>
        <v>45992</v>
      </c>
      <c r="K18" s="11">
        <f>'KPI 1'!K18</f>
        <v>46023</v>
      </c>
      <c r="L18" s="11">
        <f>'KPI 1'!L18</f>
        <v>46054</v>
      </c>
      <c r="M18" s="11">
        <f>'KPI 1'!M18</f>
        <v>46082</v>
      </c>
      <c r="N18" s="11">
        <f>'KPI 1'!N18</f>
        <v>46113</v>
      </c>
      <c r="O18" s="11">
        <f>'KPI 1'!O18</f>
        <v>46143</v>
      </c>
      <c r="P18" s="11">
        <f>'KPI 1'!P18</f>
        <v>46174</v>
      </c>
      <c r="Q18" s="8" t="s">
        <v>0</v>
      </c>
    </row>
    <row r="19" spans="3:17" x14ac:dyDescent="0.35">
      <c r="D19" s="3" t="str">
        <f>'KPI 1'!D19</f>
        <v>Budget 2025-26</v>
      </c>
      <c r="E19" s="49">
        <f>'budget 2025-26'!D202</f>
        <v>0</v>
      </c>
      <c r="F19" s="49">
        <f>'budget 2025-26'!E202</f>
        <v>0</v>
      </c>
      <c r="G19" s="49">
        <f>'budget 2025-26'!F202</f>
        <v>0</v>
      </c>
      <c r="H19" s="49">
        <f>'budget 2025-26'!G202</f>
        <v>0</v>
      </c>
      <c r="I19" s="49">
        <f>'budget 2025-26'!H202</f>
        <v>0</v>
      </c>
      <c r="J19" s="49">
        <f>'budget 2025-26'!I202</f>
        <v>0</v>
      </c>
      <c r="K19" s="49">
        <f>'budget 2025-26'!J202</f>
        <v>0</v>
      </c>
      <c r="L19" s="49">
        <f>'budget 2025-26'!K202</f>
        <v>0</v>
      </c>
      <c r="M19" s="49">
        <f>'budget 2025-26'!L202</f>
        <v>0</v>
      </c>
      <c r="N19" s="49">
        <f>'budget 2025-26'!M202</f>
        <v>0</v>
      </c>
      <c r="O19" s="49">
        <f>'budget 2025-26'!N202</f>
        <v>0</v>
      </c>
      <c r="P19" s="49">
        <f>'budget 2025-26'!O202</f>
        <v>0</v>
      </c>
      <c r="Q19" s="5">
        <f>SUM(E19:P19)</f>
        <v>0</v>
      </c>
    </row>
    <row r="20" spans="3:17" x14ac:dyDescent="0.35">
      <c r="D20" s="3" t="str">
        <f>'KPI 1'!D20</f>
        <v>Actual 2025-26</v>
      </c>
      <c r="E20" s="49">
        <f>'Input Actual2024-25'!E192</f>
        <v>0</v>
      </c>
      <c r="F20" s="49">
        <f>'Input Actual2024-25'!F192</f>
        <v>0</v>
      </c>
      <c r="G20" s="49">
        <f>'Input Actual2024-25'!G192</f>
        <v>0</v>
      </c>
      <c r="H20" s="49">
        <f>'Input Actual2024-25'!H192</f>
        <v>0</v>
      </c>
      <c r="I20" s="49">
        <f>'Input Actual2024-25'!I192</f>
        <v>0</v>
      </c>
      <c r="J20" s="49">
        <f>'Input Actual2024-25'!J192</f>
        <v>0</v>
      </c>
      <c r="K20" s="49">
        <f>'Input Actual2024-25'!K192</f>
        <v>0</v>
      </c>
      <c r="L20" s="49">
        <f>'Input Actual2024-25'!L192</f>
        <v>0</v>
      </c>
      <c r="M20" s="49">
        <f>'Input Actual2024-25'!M192</f>
        <v>0</v>
      </c>
      <c r="N20" s="49">
        <f>'Input Actual2024-25'!N192</f>
        <v>0</v>
      </c>
      <c r="O20" s="49">
        <f>'Input Actual2024-25'!O192</f>
        <v>0</v>
      </c>
      <c r="P20" s="49">
        <f>'Input Actual2024-25'!P192</f>
        <v>0</v>
      </c>
      <c r="Q20" s="5">
        <f t="shared" ref="Q20:Q22" si="0">SUM(E20:P20)</f>
        <v>0</v>
      </c>
    </row>
    <row r="21" spans="3:17" x14ac:dyDescent="0.35">
      <c r="D21" s="3" t="s">
        <v>42</v>
      </c>
      <c r="E21" s="49">
        <f>'actual 2022-23'!D162</f>
        <v>47500</v>
      </c>
      <c r="F21" s="49">
        <f>'actual 2022-23'!E162</f>
        <v>50000</v>
      </c>
      <c r="G21" s="49">
        <f>'actual 2022-23'!F162</f>
        <v>40000</v>
      </c>
      <c r="H21" s="49">
        <f>'actual 2022-23'!G162</f>
        <v>32500</v>
      </c>
      <c r="I21" s="49">
        <f>'actual 2022-23'!H162</f>
        <v>58000</v>
      </c>
      <c r="J21" s="49">
        <f>'actual 2022-23'!I162</f>
        <v>55000</v>
      </c>
      <c r="K21" s="49">
        <f>'actual 2022-23'!J162</f>
        <v>25000</v>
      </c>
      <c r="L21" s="49">
        <f>'actual 2022-23'!K162</f>
        <v>25000</v>
      </c>
      <c r="M21" s="49">
        <f>'actual 2022-23'!L162</f>
        <v>25000</v>
      </c>
      <c r="N21" s="49">
        <f>'actual 2022-23'!M162</f>
        <v>27500</v>
      </c>
      <c r="O21" s="49">
        <f>'actual 2022-23'!N162</f>
        <v>40000</v>
      </c>
      <c r="P21" s="49">
        <f>'actual 2022-23'!O162</f>
        <v>38500</v>
      </c>
      <c r="Q21" s="5">
        <f t="shared" si="0"/>
        <v>464000</v>
      </c>
    </row>
    <row r="22" spans="3:17" x14ac:dyDescent="0.35">
      <c r="D22" s="3" t="s">
        <v>7</v>
      </c>
      <c r="E22" s="5">
        <f t="shared" ref="E22:P22" si="1">IF(E20=0,0,E20-E19)</f>
        <v>0</v>
      </c>
      <c r="F22" s="5">
        <f t="shared" si="1"/>
        <v>0</v>
      </c>
      <c r="G22" s="5">
        <f t="shared" si="1"/>
        <v>0</v>
      </c>
      <c r="H22" s="5">
        <f t="shared" si="1"/>
        <v>0</v>
      </c>
      <c r="I22" s="5">
        <f t="shared" si="1"/>
        <v>0</v>
      </c>
      <c r="J22" s="5">
        <f t="shared" si="1"/>
        <v>0</v>
      </c>
      <c r="K22" s="5">
        <f t="shared" si="1"/>
        <v>0</v>
      </c>
      <c r="L22" s="5">
        <f t="shared" si="1"/>
        <v>0</v>
      </c>
      <c r="M22" s="5">
        <f t="shared" si="1"/>
        <v>0</v>
      </c>
      <c r="N22" s="5">
        <f t="shared" si="1"/>
        <v>0</v>
      </c>
      <c r="O22" s="5">
        <f t="shared" si="1"/>
        <v>0</v>
      </c>
      <c r="P22" s="5">
        <f t="shared" si="1"/>
        <v>0</v>
      </c>
      <c r="Q22" s="5">
        <f t="shared" si="0"/>
        <v>0</v>
      </c>
    </row>
    <row r="23" spans="3:17" x14ac:dyDescent="0.35">
      <c r="D23" s="3" t="s">
        <v>43</v>
      </c>
      <c r="E23" s="9" t="e">
        <f>E21/E19</f>
        <v>#DIV/0!</v>
      </c>
      <c r="F23" s="9" t="e">
        <f t="shared" ref="F23:P23" si="2">F20/F19</f>
        <v>#DIV/0!</v>
      </c>
      <c r="G23" s="9" t="e">
        <f t="shared" si="2"/>
        <v>#DIV/0!</v>
      </c>
      <c r="H23" s="9" t="e">
        <f t="shared" si="2"/>
        <v>#DIV/0!</v>
      </c>
      <c r="I23" s="9" t="e">
        <f t="shared" si="2"/>
        <v>#DIV/0!</v>
      </c>
      <c r="J23" s="9" t="e">
        <f t="shared" si="2"/>
        <v>#DIV/0!</v>
      </c>
      <c r="K23" s="9" t="e">
        <f t="shared" si="2"/>
        <v>#DIV/0!</v>
      </c>
      <c r="L23" s="9" t="e">
        <f t="shared" si="2"/>
        <v>#DIV/0!</v>
      </c>
      <c r="M23" s="9" t="e">
        <f t="shared" si="2"/>
        <v>#DIV/0!</v>
      </c>
      <c r="N23" s="9" t="e">
        <f t="shared" si="2"/>
        <v>#DIV/0!</v>
      </c>
      <c r="O23" s="9" t="e">
        <f t="shared" si="2"/>
        <v>#DIV/0!</v>
      </c>
      <c r="P23" s="9" t="e">
        <f t="shared" si="2"/>
        <v>#DIV/0!</v>
      </c>
    </row>
    <row r="25" spans="3:17" x14ac:dyDescent="0.35">
      <c r="C25" s="7" t="s">
        <v>3</v>
      </c>
      <c r="E25" s="11">
        <f>E18</f>
        <v>45839</v>
      </c>
      <c r="F25" s="11">
        <f t="shared" ref="F25:P25" si="3">F18</f>
        <v>45870</v>
      </c>
      <c r="G25" s="11">
        <f t="shared" si="3"/>
        <v>45901</v>
      </c>
      <c r="H25" s="11">
        <f t="shared" si="3"/>
        <v>45931</v>
      </c>
      <c r="I25" s="11">
        <f t="shared" si="3"/>
        <v>45962</v>
      </c>
      <c r="J25" s="11">
        <f t="shared" si="3"/>
        <v>45992</v>
      </c>
      <c r="K25" s="11">
        <f t="shared" si="3"/>
        <v>46023</v>
      </c>
      <c r="L25" s="11">
        <f t="shared" si="3"/>
        <v>46054</v>
      </c>
      <c r="M25" s="11">
        <f t="shared" si="3"/>
        <v>46082</v>
      </c>
      <c r="N25" s="11">
        <f t="shared" si="3"/>
        <v>46113</v>
      </c>
      <c r="O25" s="11">
        <f t="shared" si="3"/>
        <v>46143</v>
      </c>
      <c r="P25" s="11">
        <f t="shared" si="3"/>
        <v>46174</v>
      </c>
    </row>
    <row r="26" spans="3:17" x14ac:dyDescent="0.35">
      <c r="D26" s="3" t="str">
        <f>D19</f>
        <v>Budget 2025-26</v>
      </c>
      <c r="E26" s="5">
        <f>SUM($E19:E19)</f>
        <v>0</v>
      </c>
      <c r="F26" s="5">
        <f>SUM($E19:F19)</f>
        <v>0</v>
      </c>
      <c r="G26" s="5">
        <f>SUM($E19:G19)</f>
        <v>0</v>
      </c>
      <c r="H26" s="5">
        <f>SUM($E19:H19)</f>
        <v>0</v>
      </c>
      <c r="I26" s="5">
        <f>SUM($E19:I19)</f>
        <v>0</v>
      </c>
      <c r="J26" s="5">
        <f>SUM($E19:J19)</f>
        <v>0</v>
      </c>
      <c r="K26" s="5">
        <f>SUM($E19:K19)</f>
        <v>0</v>
      </c>
      <c r="L26" s="5">
        <f>SUM($E19:L19)</f>
        <v>0</v>
      </c>
      <c r="M26" s="5">
        <f>SUM($E19:M19)</f>
        <v>0</v>
      </c>
      <c r="N26" s="5">
        <f>SUM($E19:N19)</f>
        <v>0</v>
      </c>
      <c r="O26" s="5">
        <f>SUM($E19:O19)</f>
        <v>0</v>
      </c>
      <c r="P26" s="5">
        <f>SUM($E19:P19)</f>
        <v>0</v>
      </c>
    </row>
    <row r="27" spans="3:17" x14ac:dyDescent="0.35">
      <c r="D27" s="3" t="str">
        <f t="shared" ref="D27:D30" si="4">D20</f>
        <v>Actual 2025-26</v>
      </c>
      <c r="E27" s="5">
        <f>SUM($E20:E20)</f>
        <v>0</v>
      </c>
      <c r="F27" s="5">
        <f>SUM($E20:F20)</f>
        <v>0</v>
      </c>
      <c r="G27" s="5">
        <f>SUM($E20:G20)</f>
        <v>0</v>
      </c>
      <c r="H27" s="5">
        <f>SUM($E20:H20)</f>
        <v>0</v>
      </c>
      <c r="I27" s="5">
        <f>SUM($E20:I20)</f>
        <v>0</v>
      </c>
      <c r="J27" s="5">
        <f>SUM($E20:J20)</f>
        <v>0</v>
      </c>
      <c r="K27" s="5">
        <f>SUM($E20:K20)</f>
        <v>0</v>
      </c>
      <c r="L27" s="5">
        <f>SUM($E20:L20)</f>
        <v>0</v>
      </c>
      <c r="M27" s="5">
        <f>SUM($E20:M20)</f>
        <v>0</v>
      </c>
      <c r="N27" s="5">
        <f>SUM($E20:N20)</f>
        <v>0</v>
      </c>
      <c r="O27" s="5">
        <f>SUM($E20:O20)</f>
        <v>0</v>
      </c>
      <c r="P27" s="5">
        <f>SUM($E20:P20)</f>
        <v>0</v>
      </c>
    </row>
    <row r="28" spans="3:17" x14ac:dyDescent="0.35">
      <c r="D28" s="3" t="str">
        <f t="shared" si="4"/>
        <v>Actual 2021-22</v>
      </c>
      <c r="E28" s="5">
        <f>SUM($E21:E21)</f>
        <v>47500</v>
      </c>
      <c r="F28" s="5">
        <f>SUM($E21:F21)</f>
        <v>97500</v>
      </c>
      <c r="G28" s="5">
        <f>SUM($E21:G21)</f>
        <v>137500</v>
      </c>
      <c r="H28" s="5">
        <f>SUM($E21:H21)</f>
        <v>170000</v>
      </c>
      <c r="I28" s="5">
        <f>SUM($E21:I21)</f>
        <v>228000</v>
      </c>
      <c r="J28" s="5">
        <f>SUM($E21:J21)</f>
        <v>283000</v>
      </c>
      <c r="K28" s="5">
        <f>SUM($E21:K21)</f>
        <v>308000</v>
      </c>
      <c r="L28" s="5">
        <f>SUM($E21:L21)</f>
        <v>333000</v>
      </c>
      <c r="M28" s="5">
        <f>SUM($E21:M21)</f>
        <v>358000</v>
      </c>
      <c r="N28" s="5">
        <f>SUM($E21:N21)</f>
        <v>385500</v>
      </c>
      <c r="O28" s="5">
        <f>SUM($E21:O21)</f>
        <v>425500</v>
      </c>
      <c r="P28" s="5">
        <f>SUM($E21:P21)</f>
        <v>464000</v>
      </c>
    </row>
    <row r="29" spans="3:17" x14ac:dyDescent="0.35">
      <c r="D29" s="3" t="str">
        <f t="shared" si="4"/>
        <v>Difference</v>
      </c>
      <c r="E29" s="5">
        <f>SUM($E22:E22)</f>
        <v>0</v>
      </c>
      <c r="F29" s="5">
        <f>SUM($E22:F22)</f>
        <v>0</v>
      </c>
      <c r="G29" s="5">
        <f>SUM($E22:G22)</f>
        <v>0</v>
      </c>
      <c r="H29" s="5">
        <f>SUM($E22:H22)</f>
        <v>0</v>
      </c>
      <c r="I29" s="5">
        <f>SUM($E22:I22)</f>
        <v>0</v>
      </c>
      <c r="J29" s="5">
        <f>SUM($E22:J22)</f>
        <v>0</v>
      </c>
      <c r="K29" s="5">
        <f>SUM($E22:K22)</f>
        <v>0</v>
      </c>
      <c r="L29" s="5">
        <f>SUM($E22:L22)</f>
        <v>0</v>
      </c>
      <c r="M29" s="5">
        <f>SUM($E22:M22)</f>
        <v>0</v>
      </c>
      <c r="N29" s="5">
        <f>SUM($E22:N22)</f>
        <v>0</v>
      </c>
      <c r="O29" s="5">
        <f>SUM($E22:O22)</f>
        <v>0</v>
      </c>
      <c r="P29" s="5">
        <f>SUM($E22:P22)</f>
        <v>0</v>
      </c>
    </row>
    <row r="30" spans="3:17" x14ac:dyDescent="0.35">
      <c r="D30" s="3" t="str">
        <f t="shared" si="4"/>
        <v>Realisation</v>
      </c>
      <c r="E30" s="9" t="e">
        <f>E28/E26</f>
        <v>#DIV/0!</v>
      </c>
      <c r="F30" s="9" t="e">
        <f t="shared" ref="F30:P30" si="5">F27/F26</f>
        <v>#DIV/0!</v>
      </c>
      <c r="G30" s="9" t="e">
        <f t="shared" si="5"/>
        <v>#DIV/0!</v>
      </c>
      <c r="H30" s="9" t="e">
        <f t="shared" si="5"/>
        <v>#DIV/0!</v>
      </c>
      <c r="I30" s="9" t="e">
        <f t="shared" si="5"/>
        <v>#DIV/0!</v>
      </c>
      <c r="J30" s="9" t="e">
        <f t="shared" si="5"/>
        <v>#DIV/0!</v>
      </c>
      <c r="K30" s="9" t="e">
        <f t="shared" si="5"/>
        <v>#DIV/0!</v>
      </c>
      <c r="L30" s="9" t="e">
        <f t="shared" si="5"/>
        <v>#DIV/0!</v>
      </c>
      <c r="M30" s="9" t="e">
        <f t="shared" si="5"/>
        <v>#DIV/0!</v>
      </c>
      <c r="N30" s="9" t="e">
        <f t="shared" si="5"/>
        <v>#DIV/0!</v>
      </c>
      <c r="O30" s="9" t="e">
        <f t="shared" si="5"/>
        <v>#DIV/0!</v>
      </c>
      <c r="P30" s="9" t="e">
        <f t="shared" si="5"/>
        <v>#DIV/0!</v>
      </c>
    </row>
  </sheetData>
  <mergeCells count="2">
    <mergeCell ref="J4:Q8"/>
    <mergeCell ref="J10:Q15"/>
  </mergeCells>
  <conditionalFormatting sqref="C3">
    <cfRule type="expression" dxfId="32" priority="2">
      <formula>S4&lt;S6</formula>
    </cfRule>
  </conditionalFormatting>
  <conditionalFormatting sqref="C5">
    <cfRule type="expression" dxfId="31" priority="3">
      <formula>S4&gt;=S5</formula>
    </cfRule>
  </conditionalFormatting>
  <conditionalFormatting sqref="C4">
    <cfRule type="expression" dxfId="30" priority="1">
      <formula>AND(S4&gt;=S6,S4&lt;S5)</formula>
    </cfRule>
  </conditionalFormatting>
  <hyperlinks>
    <hyperlink ref="L1" location="Dashboard!A1" display="Dashboard"/>
  </hyperlinks>
  <pageMargins left="0.7" right="0.7" top="0.75" bottom="0.75" header="0.3" footer="0.3"/>
  <pageSetup orientation="portrait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83393" r:id="rId4" name="Spinner 1">
              <controlPr defaultSize="0" autoPict="0">
                <anchor moveWithCells="1" sizeWithCells="1">
                  <from>
                    <xdr:col>9</xdr:col>
                    <xdr:colOff>19050</xdr:colOff>
                    <xdr:row>0</xdr:row>
                    <xdr:rowOff>38100</xdr:rowOff>
                  </from>
                  <to>
                    <xdr:col>9</xdr:col>
                    <xdr:colOff>400050</xdr:colOff>
                    <xdr:row>1</xdr:row>
                    <xdr:rowOff>152400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18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147">
    <tabColor rgb="FFFFC000"/>
  </sheetPr>
  <dimension ref="A1:S30"/>
  <sheetViews>
    <sheetView zoomScale="90" zoomScaleNormal="90" workbookViewId="0">
      <selection activeCell="D19" sqref="D19:D21"/>
    </sheetView>
  </sheetViews>
  <sheetFormatPr defaultColWidth="9.1796875" defaultRowHeight="14.5" x14ac:dyDescent="0.35"/>
  <cols>
    <col min="1" max="1" width="9.1796875" style="3"/>
    <col min="2" max="2" width="5.7265625" style="3" bestFit="1" customWidth="1"/>
    <col min="3" max="3" width="6.26953125" style="3" customWidth="1"/>
    <col min="4" max="4" width="21.26953125" style="3" bestFit="1" customWidth="1"/>
    <col min="5" max="16" width="11.1796875" style="3" customWidth="1"/>
    <col min="17" max="17" width="12" style="3" bestFit="1" customWidth="1"/>
    <col min="18" max="18" width="9.1796875" style="3" customWidth="1"/>
    <col min="19" max="16384" width="9.1796875" style="3"/>
  </cols>
  <sheetData>
    <row r="1" spans="1:19" ht="21" x14ac:dyDescent="0.5">
      <c r="A1" s="4" t="s">
        <v>4</v>
      </c>
      <c r="B1" s="4">
        <f>Dashboard!A207</f>
        <v>6</v>
      </c>
      <c r="C1" s="4" t="str">
        <f>Dashboard!B207</f>
        <v>LAKEVIEW- EXHAUSTER SALES</v>
      </c>
      <c r="D1" s="4"/>
      <c r="G1" s="3" t="s">
        <v>9</v>
      </c>
      <c r="I1" s="12">
        <f>INDEX($E$18:$P$18,Actual_month)</f>
        <v>44958</v>
      </c>
      <c r="L1" s="16" t="s">
        <v>19</v>
      </c>
      <c r="R1" s="5"/>
    </row>
    <row r="2" spans="1:19" x14ac:dyDescent="0.35">
      <c r="A2" s="3" t="s">
        <v>13</v>
      </c>
      <c r="C2" s="3" t="s">
        <v>27</v>
      </c>
      <c r="R2" s="6"/>
    </row>
    <row r="3" spans="1:19" ht="25.5" customHeight="1" thickBot="1" x14ac:dyDescent="0.4">
      <c r="C3" s="1" t="s">
        <v>5</v>
      </c>
      <c r="E3" s="10"/>
      <c r="F3" s="10"/>
      <c r="G3" s="10"/>
      <c r="H3" s="10"/>
      <c r="I3" s="10"/>
      <c r="J3" s="3" t="s">
        <v>6</v>
      </c>
      <c r="K3" s="10"/>
      <c r="M3" s="10"/>
      <c r="N3" s="10"/>
      <c r="O3" s="10"/>
      <c r="P3" s="10"/>
    </row>
    <row r="4" spans="1:19" ht="25.5" customHeight="1" x14ac:dyDescent="0.35">
      <c r="C4" s="1" t="s">
        <v>5</v>
      </c>
      <c r="E4" s="10"/>
      <c r="F4" s="10"/>
      <c r="G4" s="10"/>
      <c r="H4" s="10"/>
      <c r="I4" s="10"/>
      <c r="J4" s="401"/>
      <c r="K4" s="402"/>
      <c r="L4" s="402"/>
      <c r="M4" s="402"/>
      <c r="N4" s="402"/>
      <c r="O4" s="402"/>
      <c r="P4" s="402"/>
      <c r="Q4" s="403"/>
      <c r="R4" s="3" t="s">
        <v>22</v>
      </c>
      <c r="S4" s="5" t="e">
        <f>INDEX(E27:P27,Actual_month)</f>
        <v>#REF!</v>
      </c>
    </row>
    <row r="5" spans="1:19" ht="25.5" customHeight="1" x14ac:dyDescent="0.35">
      <c r="C5" s="1" t="s">
        <v>5</v>
      </c>
      <c r="E5" s="10"/>
      <c r="F5" s="10"/>
      <c r="G5" s="10"/>
      <c r="H5" s="10"/>
      <c r="I5" s="10"/>
      <c r="J5" s="404"/>
      <c r="K5" s="405"/>
      <c r="L5" s="405"/>
      <c r="M5" s="405"/>
      <c r="N5" s="405"/>
      <c r="O5" s="405"/>
      <c r="P5" s="405"/>
      <c r="Q5" s="406"/>
      <c r="R5" s="3" t="s">
        <v>23</v>
      </c>
      <c r="S5" s="5">
        <f>INDEX(E26:P26,Actual_month)</f>
        <v>0</v>
      </c>
    </row>
    <row r="6" spans="1:19" x14ac:dyDescent="0.35">
      <c r="J6" s="404"/>
      <c r="K6" s="405"/>
      <c r="L6" s="405"/>
      <c r="M6" s="405"/>
      <c r="N6" s="405"/>
      <c r="O6" s="405"/>
      <c r="P6" s="405"/>
      <c r="Q6" s="406"/>
      <c r="R6" s="6">
        <v>0.9</v>
      </c>
      <c r="S6" s="5">
        <f>+S5*R6</f>
        <v>0</v>
      </c>
    </row>
    <row r="7" spans="1:19" x14ac:dyDescent="0.35">
      <c r="J7" s="404"/>
      <c r="K7" s="405"/>
      <c r="L7" s="405"/>
      <c r="M7" s="405"/>
      <c r="N7" s="405"/>
      <c r="O7" s="405"/>
      <c r="P7" s="405"/>
      <c r="Q7" s="406"/>
    </row>
    <row r="8" spans="1:19" ht="15" thickBot="1" x14ac:dyDescent="0.4">
      <c r="J8" s="407"/>
      <c r="K8" s="408"/>
      <c r="L8" s="408"/>
      <c r="M8" s="408"/>
      <c r="N8" s="408"/>
      <c r="O8" s="408"/>
      <c r="P8" s="408"/>
      <c r="Q8" s="409"/>
    </row>
    <row r="9" spans="1:19" ht="15" thickBot="1" x14ac:dyDescent="0.4">
      <c r="J9" s="3" t="s">
        <v>12</v>
      </c>
    </row>
    <row r="10" spans="1:19" x14ac:dyDescent="0.35">
      <c r="J10" s="401"/>
      <c r="K10" s="402"/>
      <c r="L10" s="402"/>
      <c r="M10" s="402"/>
      <c r="N10" s="402"/>
      <c r="O10" s="402"/>
      <c r="P10" s="402"/>
      <c r="Q10" s="403"/>
    </row>
    <row r="11" spans="1:19" x14ac:dyDescent="0.35">
      <c r="J11" s="404"/>
      <c r="K11" s="405"/>
      <c r="L11" s="405"/>
      <c r="M11" s="405"/>
      <c r="N11" s="405"/>
      <c r="O11" s="405"/>
      <c r="P11" s="405"/>
      <c r="Q11" s="406"/>
    </row>
    <row r="12" spans="1:19" x14ac:dyDescent="0.35">
      <c r="J12" s="404"/>
      <c r="K12" s="405"/>
      <c r="L12" s="405"/>
      <c r="M12" s="405"/>
      <c r="N12" s="405"/>
      <c r="O12" s="405"/>
      <c r="P12" s="405"/>
      <c r="Q12" s="406"/>
    </row>
    <row r="13" spans="1:19" x14ac:dyDescent="0.35">
      <c r="J13" s="404"/>
      <c r="K13" s="405"/>
      <c r="L13" s="405"/>
      <c r="M13" s="405"/>
      <c r="N13" s="405"/>
      <c r="O13" s="405"/>
      <c r="P13" s="405"/>
      <c r="Q13" s="406"/>
    </row>
    <row r="14" spans="1:19" x14ac:dyDescent="0.35">
      <c r="J14" s="404"/>
      <c r="K14" s="405"/>
      <c r="L14" s="405"/>
      <c r="M14" s="405"/>
      <c r="N14" s="405"/>
      <c r="O14" s="405"/>
      <c r="P14" s="405"/>
      <c r="Q14" s="406"/>
    </row>
    <row r="15" spans="1:19" ht="15" thickBot="1" x14ac:dyDescent="0.4">
      <c r="J15" s="407"/>
      <c r="K15" s="408"/>
      <c r="L15" s="408"/>
      <c r="M15" s="408"/>
      <c r="N15" s="408"/>
      <c r="O15" s="408"/>
      <c r="P15" s="408"/>
      <c r="Q15" s="409"/>
    </row>
    <row r="18" spans="3:17" x14ac:dyDescent="0.35">
      <c r="C18" s="7" t="s">
        <v>8</v>
      </c>
      <c r="E18" s="11">
        <v>44743</v>
      </c>
      <c r="F18" s="11">
        <v>44774</v>
      </c>
      <c r="G18" s="11">
        <v>44805</v>
      </c>
      <c r="H18" s="11">
        <v>44835</v>
      </c>
      <c r="I18" s="11">
        <v>44866</v>
      </c>
      <c r="J18" s="11">
        <v>44896</v>
      </c>
      <c r="K18" s="11">
        <v>44927</v>
      </c>
      <c r="L18" s="11">
        <v>44958</v>
      </c>
      <c r="M18" s="11">
        <v>44986</v>
      </c>
      <c r="N18" s="11">
        <v>45017</v>
      </c>
      <c r="O18" s="11">
        <v>45047</v>
      </c>
      <c r="P18" s="11">
        <v>45078</v>
      </c>
      <c r="Q18" s="8" t="s">
        <v>0</v>
      </c>
    </row>
    <row r="19" spans="3:17" x14ac:dyDescent="0.35">
      <c r="D19" s="3" t="s">
        <v>220</v>
      </c>
      <c r="E19" s="49">
        <f>'budget 2025-26'!D196</f>
        <v>0</v>
      </c>
      <c r="F19" s="49">
        <f>'budget 2025-26'!E196</f>
        <v>0</v>
      </c>
      <c r="G19" s="49">
        <f>'budget 2025-26'!F196</f>
        <v>0</v>
      </c>
      <c r="H19" s="49">
        <f>'budget 2025-26'!G196</f>
        <v>0</v>
      </c>
      <c r="I19" s="49">
        <f>'budget 2025-26'!H196</f>
        <v>0</v>
      </c>
      <c r="J19" s="49">
        <f>'budget 2025-26'!I196</f>
        <v>0</v>
      </c>
      <c r="K19" s="49">
        <f>'budget 2025-26'!J196</f>
        <v>0</v>
      </c>
      <c r="L19" s="49">
        <f>'budget 2025-26'!K196</f>
        <v>0</v>
      </c>
      <c r="M19" s="49">
        <f>'budget 2025-26'!L196</f>
        <v>0</v>
      </c>
      <c r="N19" s="49">
        <f>'budget 2025-26'!M196</f>
        <v>0</v>
      </c>
      <c r="O19" s="49">
        <f>'budget 2025-26'!N196</f>
        <v>0</v>
      </c>
      <c r="P19" s="49">
        <f>'budget 2025-26'!O196</f>
        <v>0</v>
      </c>
      <c r="Q19" s="5">
        <f>SUM(E19:P19)</f>
        <v>0</v>
      </c>
    </row>
    <row r="20" spans="3:17" x14ac:dyDescent="0.35">
      <c r="D20" s="3" t="s">
        <v>221</v>
      </c>
      <c r="E20" s="49">
        <f>'Input Actual2024-25'!E186</f>
        <v>0</v>
      </c>
      <c r="F20" s="49">
        <f>'Input Actual2024-25'!F186</f>
        <v>0</v>
      </c>
      <c r="G20" s="49">
        <f>'Input Actual2024-25'!G186</f>
        <v>0</v>
      </c>
      <c r="H20" s="49">
        <f>'Input Actual2024-25'!H186</f>
        <v>0</v>
      </c>
      <c r="I20" s="49">
        <f>'Input Actual2024-25'!I186</f>
        <v>0</v>
      </c>
      <c r="J20" s="49">
        <f>'Input Actual2024-25'!J186</f>
        <v>0</v>
      </c>
      <c r="K20" s="49" t="e">
        <f>'Input Actual2024-25'!#REF!</f>
        <v>#REF!</v>
      </c>
      <c r="L20" s="49">
        <f>'Input Actual2024-25'!L186</f>
        <v>0</v>
      </c>
      <c r="M20" s="49">
        <f>'Input Actual2024-25'!M186</f>
        <v>0</v>
      </c>
      <c r="N20" s="49">
        <f>'Input Actual2024-25'!N186</f>
        <v>0</v>
      </c>
      <c r="O20" s="49">
        <f>'Input Actual2024-25'!O186</f>
        <v>0</v>
      </c>
      <c r="P20" s="49">
        <f>'Input Actual2024-25'!P186</f>
        <v>0</v>
      </c>
      <c r="Q20" s="5" t="e">
        <f t="shared" ref="Q20:Q22" si="0">SUM(E20:P20)</f>
        <v>#REF!</v>
      </c>
    </row>
    <row r="21" spans="3:17" x14ac:dyDescent="0.35">
      <c r="D21" s="3" t="s">
        <v>196</v>
      </c>
      <c r="E21" s="49">
        <f>'actual 2022-23'!D156</f>
        <v>7500</v>
      </c>
      <c r="F21" s="49">
        <f>'actual 2022-23'!E156</f>
        <v>5000</v>
      </c>
      <c r="G21" s="49">
        <f>'actual 2022-23'!F156</f>
        <v>2500</v>
      </c>
      <c r="H21" s="49">
        <f>'actual 2022-23'!G156</f>
        <v>7500</v>
      </c>
      <c r="I21" s="49">
        <f>'actual 2022-23'!H156</f>
        <v>2500</v>
      </c>
      <c r="J21" s="49">
        <f>'actual 2022-23'!I156</f>
        <v>7500</v>
      </c>
      <c r="K21" s="49">
        <f>'actual 2022-23'!J156</f>
        <v>10000</v>
      </c>
      <c r="L21" s="49">
        <f>'actual 2022-23'!K156</f>
        <v>20000</v>
      </c>
      <c r="M21" s="49">
        <f>'actual 2022-23'!L156</f>
        <v>7500</v>
      </c>
      <c r="N21" s="49">
        <f>'actual 2022-23'!M156</f>
        <v>2500</v>
      </c>
      <c r="O21" s="49">
        <f>'actual 2022-23'!N156</f>
        <v>0</v>
      </c>
      <c r="P21" s="49">
        <f>'actual 2022-23'!O156</f>
        <v>0</v>
      </c>
      <c r="Q21" s="5">
        <f t="shared" si="0"/>
        <v>72500</v>
      </c>
    </row>
    <row r="22" spans="3:17" x14ac:dyDescent="0.35">
      <c r="D22" s="3" t="s">
        <v>7</v>
      </c>
      <c r="E22" s="5">
        <f t="shared" ref="E22:P22" si="1">IF(E20=0,0,E20-E19)</f>
        <v>0</v>
      </c>
      <c r="F22" s="5">
        <f t="shared" si="1"/>
        <v>0</v>
      </c>
      <c r="G22" s="5">
        <f t="shared" si="1"/>
        <v>0</v>
      </c>
      <c r="H22" s="5">
        <f t="shared" si="1"/>
        <v>0</v>
      </c>
      <c r="I22" s="5">
        <f t="shared" si="1"/>
        <v>0</v>
      </c>
      <c r="J22" s="5">
        <f t="shared" si="1"/>
        <v>0</v>
      </c>
      <c r="K22" s="5" t="e">
        <f t="shared" si="1"/>
        <v>#REF!</v>
      </c>
      <c r="L22" s="5">
        <f t="shared" si="1"/>
        <v>0</v>
      </c>
      <c r="M22" s="5">
        <f t="shared" si="1"/>
        <v>0</v>
      </c>
      <c r="N22" s="5">
        <f t="shared" si="1"/>
        <v>0</v>
      </c>
      <c r="O22" s="5">
        <f t="shared" si="1"/>
        <v>0</v>
      </c>
      <c r="P22" s="5">
        <f t="shared" si="1"/>
        <v>0</v>
      </c>
      <c r="Q22" s="5" t="e">
        <f t="shared" si="0"/>
        <v>#REF!</v>
      </c>
    </row>
    <row r="23" spans="3:17" x14ac:dyDescent="0.35">
      <c r="D23" s="3" t="s">
        <v>43</v>
      </c>
      <c r="E23" s="9" t="e">
        <f>E21/E19</f>
        <v>#DIV/0!</v>
      </c>
      <c r="F23" s="9" t="e">
        <f t="shared" ref="F23:P23" si="2">F20/F19</f>
        <v>#DIV/0!</v>
      </c>
      <c r="G23" s="9" t="e">
        <f t="shared" si="2"/>
        <v>#DIV/0!</v>
      </c>
      <c r="H23" s="9" t="e">
        <f t="shared" si="2"/>
        <v>#DIV/0!</v>
      </c>
      <c r="I23" s="9" t="e">
        <f t="shared" si="2"/>
        <v>#DIV/0!</v>
      </c>
      <c r="J23" s="9" t="e">
        <f t="shared" si="2"/>
        <v>#DIV/0!</v>
      </c>
      <c r="K23" s="9" t="e">
        <f t="shared" si="2"/>
        <v>#REF!</v>
      </c>
      <c r="L23" s="9" t="e">
        <f t="shared" si="2"/>
        <v>#DIV/0!</v>
      </c>
      <c r="M23" s="9" t="e">
        <f t="shared" si="2"/>
        <v>#DIV/0!</v>
      </c>
      <c r="N23" s="9" t="e">
        <f t="shared" si="2"/>
        <v>#DIV/0!</v>
      </c>
      <c r="O23" s="9" t="e">
        <f t="shared" si="2"/>
        <v>#DIV/0!</v>
      </c>
      <c r="P23" s="9" t="e">
        <f t="shared" si="2"/>
        <v>#DIV/0!</v>
      </c>
    </row>
    <row r="25" spans="3:17" x14ac:dyDescent="0.35">
      <c r="C25" s="7" t="s">
        <v>3</v>
      </c>
      <c r="E25" s="11">
        <f>E18</f>
        <v>44743</v>
      </c>
      <c r="F25" s="11">
        <f t="shared" ref="F25:P25" si="3">F18</f>
        <v>44774</v>
      </c>
      <c r="G25" s="11">
        <f t="shared" si="3"/>
        <v>44805</v>
      </c>
      <c r="H25" s="11">
        <f t="shared" si="3"/>
        <v>44835</v>
      </c>
      <c r="I25" s="11">
        <f t="shared" si="3"/>
        <v>44866</v>
      </c>
      <c r="J25" s="11">
        <f t="shared" si="3"/>
        <v>44896</v>
      </c>
      <c r="K25" s="11">
        <f t="shared" si="3"/>
        <v>44927</v>
      </c>
      <c r="L25" s="11">
        <f t="shared" si="3"/>
        <v>44958</v>
      </c>
      <c r="M25" s="11">
        <f t="shared" si="3"/>
        <v>44986</v>
      </c>
      <c r="N25" s="11">
        <f t="shared" si="3"/>
        <v>45017</v>
      </c>
      <c r="O25" s="11">
        <f t="shared" si="3"/>
        <v>45047</v>
      </c>
      <c r="P25" s="11">
        <f t="shared" si="3"/>
        <v>45078</v>
      </c>
    </row>
    <row r="26" spans="3:17" x14ac:dyDescent="0.35">
      <c r="D26" s="3" t="str">
        <f>D19</f>
        <v>Budget 2023-24</v>
      </c>
      <c r="E26" s="5">
        <f>SUM($E19:E19)</f>
        <v>0</v>
      </c>
      <c r="F26" s="5">
        <f>SUM($E19:F19)</f>
        <v>0</v>
      </c>
      <c r="G26" s="5">
        <f>SUM($E19:G19)</f>
        <v>0</v>
      </c>
      <c r="H26" s="5">
        <f>SUM($E19:H19)</f>
        <v>0</v>
      </c>
      <c r="I26" s="5">
        <f>SUM($E19:I19)</f>
        <v>0</v>
      </c>
      <c r="J26" s="5">
        <f>SUM($E19:J19)</f>
        <v>0</v>
      </c>
      <c r="K26" s="5">
        <f>SUM($E19:K19)</f>
        <v>0</v>
      </c>
      <c r="L26" s="5">
        <f>SUM($E19:L19)</f>
        <v>0</v>
      </c>
      <c r="M26" s="5">
        <f>SUM($E19:M19)</f>
        <v>0</v>
      </c>
      <c r="N26" s="5">
        <f>SUM($E19:N19)</f>
        <v>0</v>
      </c>
      <c r="O26" s="5">
        <f>SUM($E19:O19)</f>
        <v>0</v>
      </c>
      <c r="P26" s="5">
        <f>SUM($E19:P19)</f>
        <v>0</v>
      </c>
    </row>
    <row r="27" spans="3:17" x14ac:dyDescent="0.35">
      <c r="D27" s="3" t="str">
        <f t="shared" ref="D27:D30" si="4">D20</f>
        <v>Actual 2023-24</v>
      </c>
      <c r="E27" s="5">
        <f>SUM($E20:E20)</f>
        <v>0</v>
      </c>
      <c r="F27" s="5">
        <f>SUM($E20:F20)</f>
        <v>0</v>
      </c>
      <c r="G27" s="5">
        <f>SUM($E20:G20)</f>
        <v>0</v>
      </c>
      <c r="H27" s="5">
        <f>SUM($E20:H20)</f>
        <v>0</v>
      </c>
      <c r="I27" s="5">
        <f>SUM($E20:I20)</f>
        <v>0</v>
      </c>
      <c r="J27" s="5">
        <f>SUM($E20:J20)</f>
        <v>0</v>
      </c>
      <c r="K27" s="5" t="e">
        <f>SUM($E20:K20)</f>
        <v>#REF!</v>
      </c>
      <c r="L27" s="5" t="e">
        <f>SUM($E20:L20)</f>
        <v>#REF!</v>
      </c>
      <c r="M27" s="5" t="e">
        <f>SUM($E20:M20)</f>
        <v>#REF!</v>
      </c>
      <c r="N27" s="5" t="e">
        <f>SUM($E20:N20)</f>
        <v>#REF!</v>
      </c>
      <c r="O27" s="5" t="e">
        <f>SUM($E20:O20)</f>
        <v>#REF!</v>
      </c>
      <c r="P27" s="5" t="e">
        <f>SUM($E20:P20)</f>
        <v>#REF!</v>
      </c>
    </row>
    <row r="28" spans="3:17" x14ac:dyDescent="0.35">
      <c r="D28" s="3" t="str">
        <f t="shared" si="4"/>
        <v>Actual 2022-23</v>
      </c>
      <c r="E28" s="5">
        <f>SUM($E21:E21)</f>
        <v>7500</v>
      </c>
      <c r="F28" s="5">
        <f>SUM($E21:F21)</f>
        <v>12500</v>
      </c>
      <c r="G28" s="5">
        <f>SUM($E21:G21)</f>
        <v>15000</v>
      </c>
      <c r="H28" s="5">
        <f>SUM($E21:H21)</f>
        <v>22500</v>
      </c>
      <c r="I28" s="5">
        <f>SUM($E21:I21)</f>
        <v>25000</v>
      </c>
      <c r="J28" s="5">
        <f>SUM($E21:J21)</f>
        <v>32500</v>
      </c>
      <c r="K28" s="5">
        <f>SUM($E21:K21)</f>
        <v>42500</v>
      </c>
      <c r="L28" s="5">
        <f>SUM($E21:L21)</f>
        <v>62500</v>
      </c>
      <c r="M28" s="5">
        <f>SUM($E21:M21)</f>
        <v>70000</v>
      </c>
      <c r="N28" s="5">
        <f>SUM($E21:N21)</f>
        <v>72500</v>
      </c>
      <c r="O28" s="5">
        <f>SUM($E21:O21)</f>
        <v>72500</v>
      </c>
      <c r="P28" s="5">
        <f>SUM($E21:P21)</f>
        <v>72500</v>
      </c>
    </row>
    <row r="29" spans="3:17" x14ac:dyDescent="0.35">
      <c r="D29" s="3" t="str">
        <f t="shared" si="4"/>
        <v>Difference</v>
      </c>
      <c r="E29" s="5">
        <f>SUM($E22:E22)</f>
        <v>0</v>
      </c>
      <c r="F29" s="5">
        <f>SUM($E22:F22)</f>
        <v>0</v>
      </c>
      <c r="G29" s="5">
        <f>SUM($E22:G22)</f>
        <v>0</v>
      </c>
      <c r="H29" s="5">
        <f>SUM($E22:H22)</f>
        <v>0</v>
      </c>
      <c r="I29" s="5">
        <f>SUM($E22:I22)</f>
        <v>0</v>
      </c>
      <c r="J29" s="5">
        <f>SUM($E22:J22)</f>
        <v>0</v>
      </c>
      <c r="K29" s="5" t="e">
        <f>SUM($E22:K22)</f>
        <v>#REF!</v>
      </c>
      <c r="L29" s="5" t="e">
        <f>SUM($E22:L22)</f>
        <v>#REF!</v>
      </c>
      <c r="M29" s="5" t="e">
        <f>SUM($E22:M22)</f>
        <v>#REF!</v>
      </c>
      <c r="N29" s="5" t="e">
        <f>SUM($E22:N22)</f>
        <v>#REF!</v>
      </c>
      <c r="O29" s="5" t="e">
        <f>SUM($E22:O22)</f>
        <v>#REF!</v>
      </c>
      <c r="P29" s="5" t="e">
        <f>SUM($E22:P22)</f>
        <v>#REF!</v>
      </c>
    </row>
    <row r="30" spans="3:17" x14ac:dyDescent="0.35">
      <c r="D30" s="3" t="str">
        <f t="shared" si="4"/>
        <v>Realisation</v>
      </c>
      <c r="E30" s="9" t="e">
        <f>E28/E26</f>
        <v>#DIV/0!</v>
      </c>
      <c r="F30" s="9" t="e">
        <f t="shared" ref="F30:P30" si="5">F27/F26</f>
        <v>#DIV/0!</v>
      </c>
      <c r="G30" s="9" t="e">
        <f t="shared" si="5"/>
        <v>#DIV/0!</v>
      </c>
      <c r="H30" s="9" t="e">
        <f t="shared" si="5"/>
        <v>#DIV/0!</v>
      </c>
      <c r="I30" s="9" t="e">
        <f t="shared" si="5"/>
        <v>#DIV/0!</v>
      </c>
      <c r="J30" s="9" t="e">
        <f t="shared" si="5"/>
        <v>#DIV/0!</v>
      </c>
      <c r="K30" s="9" t="e">
        <f t="shared" si="5"/>
        <v>#REF!</v>
      </c>
      <c r="L30" s="9" t="e">
        <f t="shared" si="5"/>
        <v>#REF!</v>
      </c>
      <c r="M30" s="9" t="e">
        <f t="shared" si="5"/>
        <v>#REF!</v>
      </c>
      <c r="N30" s="9" t="e">
        <f t="shared" si="5"/>
        <v>#REF!</v>
      </c>
      <c r="O30" s="9" t="e">
        <f t="shared" si="5"/>
        <v>#REF!</v>
      </c>
      <c r="P30" s="9" t="e">
        <f t="shared" si="5"/>
        <v>#REF!</v>
      </c>
    </row>
  </sheetData>
  <mergeCells count="2">
    <mergeCell ref="J4:Q8"/>
    <mergeCell ref="J10:Q15"/>
  </mergeCells>
  <conditionalFormatting sqref="C3">
    <cfRule type="expression" dxfId="29" priority="2">
      <formula>S4&lt;S6</formula>
    </cfRule>
  </conditionalFormatting>
  <conditionalFormatting sqref="C5">
    <cfRule type="expression" dxfId="28" priority="3">
      <formula>S4&gt;=S5</formula>
    </cfRule>
  </conditionalFormatting>
  <conditionalFormatting sqref="C4">
    <cfRule type="expression" dxfId="27" priority="1">
      <formula>AND(S4&gt;=S6,S4&lt;S5)</formula>
    </cfRule>
  </conditionalFormatting>
  <hyperlinks>
    <hyperlink ref="L1" location="Dashboard!A1" display="Dashboard"/>
  </hyperlinks>
  <pageMargins left="0.7" right="0.7" top="0.75" bottom="0.75" header="0.3" footer="0.3"/>
  <pageSetup orientation="portrait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84417" r:id="rId4" name="Spinner 1">
              <controlPr defaultSize="0" autoPict="0">
                <anchor moveWithCells="1" sizeWithCells="1">
                  <from>
                    <xdr:col>9</xdr:col>
                    <xdr:colOff>19050</xdr:colOff>
                    <xdr:row>0</xdr:row>
                    <xdr:rowOff>38100</xdr:rowOff>
                  </from>
                  <to>
                    <xdr:col>9</xdr:col>
                    <xdr:colOff>400050</xdr:colOff>
                    <xdr:row>1</xdr:row>
                    <xdr:rowOff>152400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19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148">
    <tabColor rgb="FFFFC000"/>
  </sheetPr>
  <dimension ref="A1:S30"/>
  <sheetViews>
    <sheetView zoomScale="90" zoomScaleNormal="90" workbookViewId="0">
      <selection activeCell="L1" sqref="L1"/>
    </sheetView>
  </sheetViews>
  <sheetFormatPr defaultColWidth="9.1796875" defaultRowHeight="14.5" x14ac:dyDescent="0.35"/>
  <cols>
    <col min="1" max="1" width="9.1796875" style="3"/>
    <col min="2" max="2" width="5.7265625" style="3" bestFit="1" customWidth="1"/>
    <col min="3" max="3" width="6.26953125" style="3" customWidth="1"/>
    <col min="4" max="4" width="21.26953125" style="3" bestFit="1" customWidth="1"/>
    <col min="5" max="16" width="11.1796875" style="3" customWidth="1"/>
    <col min="17" max="17" width="12" style="3" bestFit="1" customWidth="1"/>
    <col min="18" max="18" width="9.1796875" style="3" customWidth="1"/>
    <col min="19" max="16384" width="9.1796875" style="3"/>
  </cols>
  <sheetData>
    <row r="1" spans="1:19" ht="21" x14ac:dyDescent="0.5">
      <c r="A1" s="4" t="s">
        <v>4</v>
      </c>
      <c r="B1" s="4">
        <f>Dashboard!A214</f>
        <v>2</v>
      </c>
      <c r="C1" s="4" t="str">
        <f>Dashboard!B214</f>
        <v>OTHER- EXHAUSTER SALES</v>
      </c>
      <c r="D1" s="4"/>
      <c r="G1" s="3" t="s">
        <v>9</v>
      </c>
      <c r="I1" s="12">
        <f>INDEX($E$18:$P$18,Actual_month)</f>
        <v>44958</v>
      </c>
      <c r="L1" s="16" t="s">
        <v>19</v>
      </c>
      <c r="R1" s="5"/>
    </row>
    <row r="2" spans="1:19" x14ac:dyDescent="0.35">
      <c r="A2" s="3" t="s">
        <v>13</v>
      </c>
      <c r="C2" s="3" t="s">
        <v>27</v>
      </c>
      <c r="R2" s="6"/>
    </row>
    <row r="3" spans="1:19" ht="25.5" customHeight="1" thickBot="1" x14ac:dyDescent="0.4">
      <c r="C3" s="1" t="s">
        <v>5</v>
      </c>
      <c r="E3" s="10"/>
      <c r="F3" s="10"/>
      <c r="G3" s="10"/>
      <c r="H3" s="10"/>
      <c r="I3" s="10"/>
      <c r="J3" s="3" t="s">
        <v>6</v>
      </c>
      <c r="K3" s="10"/>
      <c r="M3" s="10"/>
      <c r="N3" s="10"/>
      <c r="O3" s="10"/>
      <c r="P3" s="10"/>
    </row>
    <row r="4" spans="1:19" ht="25.5" customHeight="1" x14ac:dyDescent="0.35">
      <c r="C4" s="1" t="s">
        <v>5</v>
      </c>
      <c r="E4" s="10"/>
      <c r="F4" s="10"/>
      <c r="G4" s="10"/>
      <c r="H4" s="10"/>
      <c r="I4" s="10"/>
      <c r="J4" s="401"/>
      <c r="K4" s="402"/>
      <c r="L4" s="402"/>
      <c r="M4" s="402"/>
      <c r="N4" s="402"/>
      <c r="O4" s="402"/>
      <c r="P4" s="402"/>
      <c r="Q4" s="403"/>
      <c r="R4" s="3" t="s">
        <v>22</v>
      </c>
      <c r="S4" s="5">
        <f>INDEX(E27:P27,Actual_month)</f>
        <v>0</v>
      </c>
    </row>
    <row r="5" spans="1:19" ht="25.5" customHeight="1" x14ac:dyDescent="0.35">
      <c r="C5" s="1" t="s">
        <v>5</v>
      </c>
      <c r="E5" s="10"/>
      <c r="F5" s="10"/>
      <c r="G5" s="10"/>
      <c r="H5" s="10"/>
      <c r="I5" s="10"/>
      <c r="J5" s="404"/>
      <c r="K5" s="405"/>
      <c r="L5" s="405"/>
      <c r="M5" s="405"/>
      <c r="N5" s="405"/>
      <c r="O5" s="405"/>
      <c r="P5" s="405"/>
      <c r="Q5" s="406"/>
      <c r="R5" s="3" t="s">
        <v>23</v>
      </c>
      <c r="S5" s="5">
        <f>INDEX(E26:P26,Actual_month)</f>
        <v>0</v>
      </c>
    </row>
    <row r="6" spans="1:19" x14ac:dyDescent="0.35">
      <c r="J6" s="404"/>
      <c r="K6" s="405"/>
      <c r="L6" s="405"/>
      <c r="M6" s="405"/>
      <c r="N6" s="405"/>
      <c r="O6" s="405"/>
      <c r="P6" s="405"/>
      <c r="Q6" s="406"/>
      <c r="R6" s="6">
        <v>0.9</v>
      </c>
      <c r="S6" s="5">
        <f>+S5*R6</f>
        <v>0</v>
      </c>
    </row>
    <row r="7" spans="1:19" x14ac:dyDescent="0.35">
      <c r="J7" s="404"/>
      <c r="K7" s="405"/>
      <c r="L7" s="405"/>
      <c r="M7" s="405"/>
      <c r="N7" s="405"/>
      <c r="O7" s="405"/>
      <c r="P7" s="405"/>
      <c r="Q7" s="406"/>
    </row>
    <row r="8" spans="1:19" ht="15" thickBot="1" x14ac:dyDescent="0.4">
      <c r="J8" s="407"/>
      <c r="K8" s="408"/>
      <c r="L8" s="408"/>
      <c r="M8" s="408"/>
      <c r="N8" s="408"/>
      <c r="O8" s="408"/>
      <c r="P8" s="408"/>
      <c r="Q8" s="409"/>
    </row>
    <row r="9" spans="1:19" ht="15" thickBot="1" x14ac:dyDescent="0.4">
      <c r="J9" s="3" t="s">
        <v>12</v>
      </c>
    </row>
    <row r="10" spans="1:19" x14ac:dyDescent="0.35">
      <c r="J10" s="401"/>
      <c r="K10" s="402"/>
      <c r="L10" s="402"/>
      <c r="M10" s="402"/>
      <c r="N10" s="402"/>
      <c r="O10" s="402"/>
      <c r="P10" s="402"/>
      <c r="Q10" s="403"/>
    </row>
    <row r="11" spans="1:19" x14ac:dyDescent="0.35">
      <c r="J11" s="404"/>
      <c r="K11" s="405"/>
      <c r="L11" s="405"/>
      <c r="M11" s="405"/>
      <c r="N11" s="405"/>
      <c r="O11" s="405"/>
      <c r="P11" s="405"/>
      <c r="Q11" s="406"/>
    </row>
    <row r="12" spans="1:19" x14ac:dyDescent="0.35">
      <c r="J12" s="404"/>
      <c r="K12" s="405"/>
      <c r="L12" s="405"/>
      <c r="M12" s="405"/>
      <c r="N12" s="405"/>
      <c r="O12" s="405"/>
      <c r="P12" s="405"/>
      <c r="Q12" s="406"/>
    </row>
    <row r="13" spans="1:19" x14ac:dyDescent="0.35">
      <c r="J13" s="404"/>
      <c r="K13" s="405"/>
      <c r="L13" s="405"/>
      <c r="M13" s="405"/>
      <c r="N13" s="405"/>
      <c r="O13" s="405"/>
      <c r="P13" s="405"/>
      <c r="Q13" s="406"/>
    </row>
    <row r="14" spans="1:19" x14ac:dyDescent="0.35">
      <c r="J14" s="404"/>
      <c r="K14" s="405"/>
      <c r="L14" s="405"/>
      <c r="M14" s="405"/>
      <c r="N14" s="405"/>
      <c r="O14" s="405"/>
      <c r="P14" s="405"/>
      <c r="Q14" s="406"/>
    </row>
    <row r="15" spans="1:19" ht="15" thickBot="1" x14ac:dyDescent="0.4">
      <c r="J15" s="407"/>
      <c r="K15" s="408"/>
      <c r="L15" s="408"/>
      <c r="M15" s="408"/>
      <c r="N15" s="408"/>
      <c r="O15" s="408"/>
      <c r="P15" s="408"/>
      <c r="Q15" s="409"/>
    </row>
    <row r="18" spans="3:17" x14ac:dyDescent="0.35">
      <c r="C18" s="7" t="s">
        <v>8</v>
      </c>
      <c r="E18" s="11">
        <v>44743</v>
      </c>
      <c r="F18" s="11">
        <v>44774</v>
      </c>
      <c r="G18" s="11">
        <v>44805</v>
      </c>
      <c r="H18" s="11">
        <v>44835</v>
      </c>
      <c r="I18" s="11">
        <v>44866</v>
      </c>
      <c r="J18" s="11">
        <v>44896</v>
      </c>
      <c r="K18" s="11">
        <v>44927</v>
      </c>
      <c r="L18" s="11">
        <v>44958</v>
      </c>
      <c r="M18" s="11">
        <v>44986</v>
      </c>
      <c r="N18" s="11">
        <v>45017</v>
      </c>
      <c r="O18" s="11">
        <v>45047</v>
      </c>
      <c r="P18" s="11">
        <v>45078</v>
      </c>
      <c r="Q18" s="8" t="s">
        <v>0</v>
      </c>
    </row>
    <row r="19" spans="3:17" x14ac:dyDescent="0.35">
      <c r="D19" s="3" t="s">
        <v>220</v>
      </c>
      <c r="E19" s="49">
        <f>'budget 2025-26'!D200</f>
        <v>0</v>
      </c>
      <c r="F19" s="49">
        <f>'budget 2025-26'!E200</f>
        <v>0</v>
      </c>
      <c r="G19" s="49">
        <f>'budget 2025-26'!F200</f>
        <v>0</v>
      </c>
      <c r="H19" s="49">
        <f>'budget 2025-26'!G200</f>
        <v>0</v>
      </c>
      <c r="I19" s="49">
        <f>'budget 2025-26'!H200</f>
        <v>0</v>
      </c>
      <c r="J19" s="49">
        <f>'budget 2025-26'!I200</f>
        <v>0</v>
      </c>
      <c r="K19" s="49">
        <f>'budget 2025-26'!J200</f>
        <v>0</v>
      </c>
      <c r="L19" s="49">
        <f>'budget 2025-26'!K200</f>
        <v>0</v>
      </c>
      <c r="M19" s="49">
        <f>'budget 2025-26'!L200</f>
        <v>0</v>
      </c>
      <c r="N19" s="49">
        <f>'budget 2025-26'!M200</f>
        <v>0</v>
      </c>
      <c r="O19" s="49">
        <f>'budget 2025-26'!N200</f>
        <v>0</v>
      </c>
      <c r="P19" s="49">
        <f>'budget 2025-26'!O200</f>
        <v>0</v>
      </c>
      <c r="Q19" s="5">
        <f>SUM(E19:P19)</f>
        <v>0</v>
      </c>
    </row>
    <row r="20" spans="3:17" x14ac:dyDescent="0.35">
      <c r="D20" s="3" t="s">
        <v>221</v>
      </c>
      <c r="E20" s="49">
        <f>'Input Actual2024-25'!E190</f>
        <v>0</v>
      </c>
      <c r="F20" s="49">
        <f>'Input Actual2024-25'!F190</f>
        <v>0</v>
      </c>
      <c r="G20" s="49">
        <f>'Input Actual2024-25'!G190</f>
        <v>0</v>
      </c>
      <c r="H20" s="49">
        <f>'Input Actual2024-25'!H190</f>
        <v>0</v>
      </c>
      <c r="I20" s="49">
        <f>'Input Actual2024-25'!I190</f>
        <v>0</v>
      </c>
      <c r="J20" s="49">
        <f>'Input Actual2024-25'!J190</f>
        <v>0</v>
      </c>
      <c r="K20" s="49">
        <f>'Input Actual2024-25'!K190</f>
        <v>0</v>
      </c>
      <c r="L20" s="49">
        <f>'Input Actual2024-25'!L190</f>
        <v>0</v>
      </c>
      <c r="M20" s="49">
        <f>'Input Actual2024-25'!M190</f>
        <v>0</v>
      </c>
      <c r="N20" s="49">
        <f>'Input Actual2024-25'!N190</f>
        <v>0</v>
      </c>
      <c r="O20" s="49">
        <f>'Input Actual2024-25'!O190</f>
        <v>0</v>
      </c>
      <c r="P20" s="49">
        <f>'Input Actual2024-25'!P190</f>
        <v>0</v>
      </c>
      <c r="Q20" s="5">
        <f t="shared" ref="Q20:Q22" si="0">SUM(E20:P20)</f>
        <v>0</v>
      </c>
    </row>
    <row r="21" spans="3:17" x14ac:dyDescent="0.35">
      <c r="D21" s="3" t="s">
        <v>196</v>
      </c>
      <c r="E21" s="49">
        <f>'actual 2022-23'!D160</f>
        <v>23000</v>
      </c>
      <c r="F21" s="49">
        <f>'actual 2022-23'!E160</f>
        <v>11000</v>
      </c>
      <c r="G21" s="49">
        <f>'actual 2022-23'!F160</f>
        <v>7500</v>
      </c>
      <c r="H21" s="49">
        <f>'actual 2022-23'!G160</f>
        <v>7500</v>
      </c>
      <c r="I21" s="49">
        <f>'actual 2022-23'!H160</f>
        <v>62500</v>
      </c>
      <c r="J21" s="49">
        <f>'actual 2022-23'!I160</f>
        <v>15500</v>
      </c>
      <c r="K21" s="49">
        <f>'actual 2022-23'!J160</f>
        <v>173000</v>
      </c>
      <c r="L21" s="49">
        <f>'actual 2022-23'!K160</f>
        <v>135500</v>
      </c>
      <c r="M21" s="49">
        <f>'actual 2022-23'!L160</f>
        <v>13000</v>
      </c>
      <c r="N21" s="49">
        <f>'actual 2022-23'!M160</f>
        <v>15000</v>
      </c>
      <c r="O21" s="49">
        <f>'actual 2022-23'!N160</f>
        <v>40000</v>
      </c>
      <c r="P21" s="49">
        <f>'actual 2022-23'!O160</f>
        <v>0</v>
      </c>
      <c r="Q21" s="5">
        <f t="shared" si="0"/>
        <v>503500</v>
      </c>
    </row>
    <row r="22" spans="3:17" x14ac:dyDescent="0.35">
      <c r="D22" s="3" t="s">
        <v>7</v>
      </c>
      <c r="E22" s="5">
        <f t="shared" ref="E22:P22" si="1">IF(E20=0,0,E20-E19)</f>
        <v>0</v>
      </c>
      <c r="F22" s="5">
        <f t="shared" si="1"/>
        <v>0</v>
      </c>
      <c r="G22" s="5">
        <f t="shared" si="1"/>
        <v>0</v>
      </c>
      <c r="H22" s="5">
        <f t="shared" si="1"/>
        <v>0</v>
      </c>
      <c r="I22" s="5">
        <f t="shared" si="1"/>
        <v>0</v>
      </c>
      <c r="J22" s="5">
        <f t="shared" si="1"/>
        <v>0</v>
      </c>
      <c r="K22" s="5">
        <f t="shared" si="1"/>
        <v>0</v>
      </c>
      <c r="L22" s="5">
        <f t="shared" si="1"/>
        <v>0</v>
      </c>
      <c r="M22" s="5">
        <f t="shared" si="1"/>
        <v>0</v>
      </c>
      <c r="N22" s="5">
        <f t="shared" si="1"/>
        <v>0</v>
      </c>
      <c r="O22" s="5">
        <f t="shared" si="1"/>
        <v>0</v>
      </c>
      <c r="P22" s="5">
        <f t="shared" si="1"/>
        <v>0</v>
      </c>
      <c r="Q22" s="5">
        <f t="shared" si="0"/>
        <v>0</v>
      </c>
    </row>
    <row r="23" spans="3:17" x14ac:dyDescent="0.35">
      <c r="D23" s="3" t="s">
        <v>43</v>
      </c>
      <c r="E23" s="9" t="e">
        <f>E21/E19</f>
        <v>#DIV/0!</v>
      </c>
      <c r="F23" s="9" t="e">
        <f t="shared" ref="F23:P23" si="2">F20/F19</f>
        <v>#DIV/0!</v>
      </c>
      <c r="G23" s="9" t="e">
        <f t="shared" si="2"/>
        <v>#DIV/0!</v>
      </c>
      <c r="H23" s="9" t="e">
        <f t="shared" si="2"/>
        <v>#DIV/0!</v>
      </c>
      <c r="I23" s="9" t="e">
        <f t="shared" si="2"/>
        <v>#DIV/0!</v>
      </c>
      <c r="J23" s="9" t="e">
        <f t="shared" si="2"/>
        <v>#DIV/0!</v>
      </c>
      <c r="K23" s="9" t="e">
        <f t="shared" si="2"/>
        <v>#DIV/0!</v>
      </c>
      <c r="L23" s="9" t="e">
        <f t="shared" si="2"/>
        <v>#DIV/0!</v>
      </c>
      <c r="M23" s="9" t="e">
        <f t="shared" si="2"/>
        <v>#DIV/0!</v>
      </c>
      <c r="N23" s="9" t="e">
        <f t="shared" si="2"/>
        <v>#DIV/0!</v>
      </c>
      <c r="O23" s="9" t="e">
        <f t="shared" si="2"/>
        <v>#DIV/0!</v>
      </c>
      <c r="P23" s="9" t="e">
        <f t="shared" si="2"/>
        <v>#DIV/0!</v>
      </c>
    </row>
    <row r="25" spans="3:17" x14ac:dyDescent="0.35">
      <c r="C25" s="7" t="s">
        <v>3</v>
      </c>
      <c r="E25" s="11">
        <f>E18</f>
        <v>44743</v>
      </c>
      <c r="F25" s="11">
        <f t="shared" ref="F25:P25" si="3">F18</f>
        <v>44774</v>
      </c>
      <c r="G25" s="11">
        <f t="shared" si="3"/>
        <v>44805</v>
      </c>
      <c r="H25" s="11">
        <f t="shared" si="3"/>
        <v>44835</v>
      </c>
      <c r="I25" s="11">
        <f t="shared" si="3"/>
        <v>44866</v>
      </c>
      <c r="J25" s="11">
        <f t="shared" si="3"/>
        <v>44896</v>
      </c>
      <c r="K25" s="11">
        <f t="shared" si="3"/>
        <v>44927</v>
      </c>
      <c r="L25" s="11">
        <f t="shared" si="3"/>
        <v>44958</v>
      </c>
      <c r="M25" s="11">
        <f t="shared" si="3"/>
        <v>44986</v>
      </c>
      <c r="N25" s="11">
        <f t="shared" si="3"/>
        <v>45017</v>
      </c>
      <c r="O25" s="11">
        <f t="shared" si="3"/>
        <v>45047</v>
      </c>
      <c r="P25" s="11">
        <f t="shared" si="3"/>
        <v>45078</v>
      </c>
    </row>
    <row r="26" spans="3:17" x14ac:dyDescent="0.35">
      <c r="D26" s="3" t="str">
        <f>D19</f>
        <v>Budget 2023-24</v>
      </c>
      <c r="E26" s="5">
        <f>SUM($E19:E19)</f>
        <v>0</v>
      </c>
      <c r="F26" s="5">
        <f>SUM($E19:F19)</f>
        <v>0</v>
      </c>
      <c r="G26" s="5">
        <f>SUM($E19:G19)</f>
        <v>0</v>
      </c>
      <c r="H26" s="5">
        <f>SUM($E19:H19)</f>
        <v>0</v>
      </c>
      <c r="I26" s="5">
        <f>SUM($E19:I19)</f>
        <v>0</v>
      </c>
      <c r="J26" s="5">
        <f>SUM($E19:J19)</f>
        <v>0</v>
      </c>
      <c r="K26" s="5">
        <f>SUM($E19:K19)</f>
        <v>0</v>
      </c>
      <c r="L26" s="5">
        <f>SUM($E19:L19)</f>
        <v>0</v>
      </c>
      <c r="M26" s="5">
        <f>SUM($E19:M19)</f>
        <v>0</v>
      </c>
      <c r="N26" s="5">
        <f>SUM($E19:N19)</f>
        <v>0</v>
      </c>
      <c r="O26" s="5">
        <f>SUM($E19:O19)</f>
        <v>0</v>
      </c>
      <c r="P26" s="5">
        <f>SUM($E19:P19)</f>
        <v>0</v>
      </c>
    </row>
    <row r="27" spans="3:17" x14ac:dyDescent="0.35">
      <c r="D27" s="3" t="str">
        <f t="shared" ref="D27:D30" si="4">D20</f>
        <v>Actual 2023-24</v>
      </c>
      <c r="E27" s="5">
        <f>SUM($E20:E20)</f>
        <v>0</v>
      </c>
      <c r="F27" s="5">
        <f>SUM($E20:F20)</f>
        <v>0</v>
      </c>
      <c r="G27" s="5">
        <f>SUM($E20:G20)</f>
        <v>0</v>
      </c>
      <c r="H27" s="5">
        <f>SUM($E20:H20)</f>
        <v>0</v>
      </c>
      <c r="I27" s="5">
        <f>SUM($E20:I20)</f>
        <v>0</v>
      </c>
      <c r="J27" s="5">
        <f>SUM($E20:J20)</f>
        <v>0</v>
      </c>
      <c r="K27" s="5">
        <f>SUM($E20:K20)</f>
        <v>0</v>
      </c>
      <c r="L27" s="5">
        <f>SUM($E20:L20)</f>
        <v>0</v>
      </c>
      <c r="M27" s="5">
        <f>SUM($E20:M20)</f>
        <v>0</v>
      </c>
      <c r="N27" s="5">
        <f>SUM($E20:N20)</f>
        <v>0</v>
      </c>
      <c r="O27" s="5">
        <f>SUM($E20:O20)</f>
        <v>0</v>
      </c>
      <c r="P27" s="5">
        <f>SUM($E20:P20)</f>
        <v>0</v>
      </c>
    </row>
    <row r="28" spans="3:17" x14ac:dyDescent="0.35">
      <c r="D28" s="3" t="str">
        <f t="shared" si="4"/>
        <v>Actual 2022-23</v>
      </c>
      <c r="E28" s="5">
        <f>SUM($E21:E21)</f>
        <v>23000</v>
      </c>
      <c r="F28" s="5">
        <f>SUM($E21:F21)</f>
        <v>34000</v>
      </c>
      <c r="G28" s="5">
        <f>SUM($E21:G21)</f>
        <v>41500</v>
      </c>
      <c r="H28" s="5">
        <f>SUM($E21:H21)</f>
        <v>49000</v>
      </c>
      <c r="I28" s="5">
        <f>SUM($E21:I21)</f>
        <v>111500</v>
      </c>
      <c r="J28" s="5">
        <f>SUM($E21:J21)</f>
        <v>127000</v>
      </c>
      <c r="K28" s="5">
        <f>SUM($E21:K21)</f>
        <v>300000</v>
      </c>
      <c r="L28" s="5">
        <f>SUM($E21:L21)</f>
        <v>435500</v>
      </c>
      <c r="M28" s="5">
        <f>SUM($E21:M21)</f>
        <v>448500</v>
      </c>
      <c r="N28" s="5">
        <f>SUM($E21:N21)</f>
        <v>463500</v>
      </c>
      <c r="O28" s="5">
        <f>SUM($E21:O21)</f>
        <v>503500</v>
      </c>
      <c r="P28" s="5">
        <f>SUM($E21:P21)</f>
        <v>503500</v>
      </c>
    </row>
    <row r="29" spans="3:17" x14ac:dyDescent="0.35">
      <c r="D29" s="3" t="str">
        <f t="shared" si="4"/>
        <v>Difference</v>
      </c>
      <c r="E29" s="5">
        <f>SUM($E22:E22)</f>
        <v>0</v>
      </c>
      <c r="F29" s="5">
        <f>SUM($E22:F22)</f>
        <v>0</v>
      </c>
      <c r="G29" s="5">
        <f>SUM($E22:G22)</f>
        <v>0</v>
      </c>
      <c r="H29" s="5">
        <f>SUM($E22:H22)</f>
        <v>0</v>
      </c>
      <c r="I29" s="5">
        <f>SUM($E22:I22)</f>
        <v>0</v>
      </c>
      <c r="J29" s="5">
        <f>SUM($E22:J22)</f>
        <v>0</v>
      </c>
      <c r="K29" s="5">
        <f>SUM($E22:K22)</f>
        <v>0</v>
      </c>
      <c r="L29" s="5">
        <f>SUM($E22:L22)</f>
        <v>0</v>
      </c>
      <c r="M29" s="5">
        <f>SUM($E22:M22)</f>
        <v>0</v>
      </c>
      <c r="N29" s="5">
        <f>SUM($E22:N22)</f>
        <v>0</v>
      </c>
      <c r="O29" s="5">
        <f>SUM($E22:O22)</f>
        <v>0</v>
      </c>
      <c r="P29" s="5">
        <f>SUM($E22:P22)</f>
        <v>0</v>
      </c>
    </row>
    <row r="30" spans="3:17" x14ac:dyDescent="0.35">
      <c r="D30" s="3" t="str">
        <f t="shared" si="4"/>
        <v>Realisation</v>
      </c>
      <c r="E30" s="9" t="e">
        <f>E28/E26</f>
        <v>#DIV/0!</v>
      </c>
      <c r="F30" s="9" t="e">
        <f t="shared" ref="F30:P30" si="5">F27/F26</f>
        <v>#DIV/0!</v>
      </c>
      <c r="G30" s="9" t="e">
        <f t="shared" si="5"/>
        <v>#DIV/0!</v>
      </c>
      <c r="H30" s="9" t="e">
        <f t="shared" si="5"/>
        <v>#DIV/0!</v>
      </c>
      <c r="I30" s="9" t="e">
        <f t="shared" si="5"/>
        <v>#DIV/0!</v>
      </c>
      <c r="J30" s="9" t="e">
        <f t="shared" si="5"/>
        <v>#DIV/0!</v>
      </c>
      <c r="K30" s="9" t="e">
        <f t="shared" si="5"/>
        <v>#DIV/0!</v>
      </c>
      <c r="L30" s="9" t="e">
        <f t="shared" si="5"/>
        <v>#DIV/0!</v>
      </c>
      <c r="M30" s="9" t="e">
        <f t="shared" si="5"/>
        <v>#DIV/0!</v>
      </c>
      <c r="N30" s="9" t="e">
        <f t="shared" si="5"/>
        <v>#DIV/0!</v>
      </c>
      <c r="O30" s="9" t="e">
        <f t="shared" si="5"/>
        <v>#DIV/0!</v>
      </c>
      <c r="P30" s="9" t="e">
        <f t="shared" si="5"/>
        <v>#DIV/0!</v>
      </c>
    </row>
  </sheetData>
  <mergeCells count="2">
    <mergeCell ref="J4:Q8"/>
    <mergeCell ref="J10:Q15"/>
  </mergeCells>
  <conditionalFormatting sqref="C3">
    <cfRule type="expression" dxfId="26" priority="2">
      <formula>S4&lt;S6</formula>
    </cfRule>
  </conditionalFormatting>
  <conditionalFormatting sqref="C5">
    <cfRule type="expression" dxfId="25" priority="3">
      <formula>S4&gt;=S5</formula>
    </cfRule>
  </conditionalFormatting>
  <conditionalFormatting sqref="C4">
    <cfRule type="expression" dxfId="24" priority="1">
      <formula>AND(S4&gt;=S6,S4&lt;S5)</formula>
    </cfRule>
  </conditionalFormatting>
  <hyperlinks>
    <hyperlink ref="L1" location="Dashboard!A1" display="Dashboard"/>
  </hyperlinks>
  <pageMargins left="0.7" right="0.7" top="0.75" bottom="0.75" header="0.3" footer="0.3"/>
  <pageSetup orientation="portrait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85441" r:id="rId4" name="Spinner 1">
              <controlPr defaultSize="0" autoPict="0">
                <anchor moveWithCells="1" sizeWithCells="1">
                  <from>
                    <xdr:col>9</xdr:col>
                    <xdr:colOff>19050</xdr:colOff>
                    <xdr:row>0</xdr:row>
                    <xdr:rowOff>38100</xdr:rowOff>
                  </from>
                  <to>
                    <xdr:col>9</xdr:col>
                    <xdr:colOff>400050</xdr:colOff>
                    <xdr:row>1</xdr:row>
                    <xdr:rowOff>152400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19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137">
    <tabColor rgb="FFFFC000"/>
  </sheetPr>
  <dimension ref="A1:S30"/>
  <sheetViews>
    <sheetView zoomScale="90" zoomScaleNormal="90" workbookViewId="0">
      <selection activeCell="E2" sqref="E2"/>
    </sheetView>
  </sheetViews>
  <sheetFormatPr defaultColWidth="9.1796875" defaultRowHeight="14.5" x14ac:dyDescent="0.35"/>
  <cols>
    <col min="1" max="1" width="9.1796875" style="3"/>
    <col min="2" max="2" width="5.7265625" style="3" bestFit="1" customWidth="1"/>
    <col min="3" max="3" width="6.26953125" style="3" customWidth="1"/>
    <col min="4" max="4" width="21.26953125" style="3" bestFit="1" customWidth="1"/>
    <col min="5" max="16" width="11.1796875" style="3" customWidth="1"/>
    <col min="17" max="17" width="12" style="3" bestFit="1" customWidth="1"/>
    <col min="18" max="18" width="9.1796875" style="3" customWidth="1"/>
    <col min="19" max="16384" width="9.1796875" style="3"/>
  </cols>
  <sheetData>
    <row r="1" spans="1:19" ht="21" x14ac:dyDescent="0.5">
      <c r="A1" s="4" t="s">
        <v>4</v>
      </c>
      <c r="B1" s="4">
        <f>Dashboard!A211</f>
        <v>0</v>
      </c>
      <c r="C1" s="4" t="str">
        <f>Dashboard!B211</f>
        <v>TOTAL EXHAUSTER SALES-SOUTHERN</v>
      </c>
      <c r="D1" s="4"/>
      <c r="G1" s="3" t="s">
        <v>9</v>
      </c>
      <c r="I1" s="12">
        <f>INDEX($E$18:$P$18,Actual_month)</f>
        <v>45323</v>
      </c>
      <c r="L1" s="16" t="s">
        <v>19</v>
      </c>
      <c r="R1" s="5"/>
    </row>
    <row r="2" spans="1:19" x14ac:dyDescent="0.35">
      <c r="A2" s="3" t="s">
        <v>13</v>
      </c>
      <c r="C2" s="3" t="s">
        <v>27</v>
      </c>
      <c r="R2" s="6"/>
    </row>
    <row r="3" spans="1:19" ht="25.5" customHeight="1" thickBot="1" x14ac:dyDescent="0.4">
      <c r="C3" s="1" t="s">
        <v>5</v>
      </c>
      <c r="E3" s="10"/>
      <c r="F3" s="10"/>
      <c r="G3" s="10"/>
      <c r="H3" s="10"/>
      <c r="I3" s="10"/>
      <c r="J3" s="3" t="s">
        <v>6</v>
      </c>
      <c r="K3" s="10"/>
      <c r="M3" s="10"/>
      <c r="N3" s="10"/>
      <c r="O3" s="10"/>
      <c r="P3" s="10"/>
    </row>
    <row r="4" spans="1:19" ht="25.5" customHeight="1" x14ac:dyDescent="0.35">
      <c r="C4" s="1" t="s">
        <v>5</v>
      </c>
      <c r="E4" s="10"/>
      <c r="F4" s="10"/>
      <c r="G4" s="10"/>
      <c r="H4" s="10"/>
      <c r="I4" s="10"/>
      <c r="J4" s="401"/>
      <c r="K4" s="402"/>
      <c r="L4" s="402"/>
      <c r="M4" s="402"/>
      <c r="N4" s="402"/>
      <c r="O4" s="402"/>
      <c r="P4" s="402"/>
      <c r="Q4" s="403"/>
      <c r="R4" s="3" t="s">
        <v>22</v>
      </c>
      <c r="S4" s="5">
        <f>INDEX(E27:P27,Actual_month)</f>
        <v>0</v>
      </c>
    </row>
    <row r="5" spans="1:19" ht="25.5" customHeight="1" x14ac:dyDescent="0.35">
      <c r="C5" s="1" t="s">
        <v>5</v>
      </c>
      <c r="E5" s="10"/>
      <c r="F5" s="10"/>
      <c r="G5" s="10"/>
      <c r="H5" s="10"/>
      <c r="I5" s="10"/>
      <c r="J5" s="404"/>
      <c r="K5" s="405"/>
      <c r="L5" s="405"/>
      <c r="M5" s="405"/>
      <c r="N5" s="405"/>
      <c r="O5" s="405"/>
      <c r="P5" s="405"/>
      <c r="Q5" s="406"/>
      <c r="R5" s="3" t="s">
        <v>23</v>
      </c>
      <c r="S5" s="5">
        <f>INDEX(E26:P26,Actual_month)</f>
        <v>0</v>
      </c>
    </row>
    <row r="6" spans="1:19" x14ac:dyDescent="0.35">
      <c r="J6" s="404"/>
      <c r="K6" s="405"/>
      <c r="L6" s="405"/>
      <c r="M6" s="405"/>
      <c r="N6" s="405"/>
      <c r="O6" s="405"/>
      <c r="P6" s="405"/>
      <c r="Q6" s="406"/>
      <c r="R6" s="6">
        <v>0.9</v>
      </c>
      <c r="S6" s="5">
        <f>+S5*R6</f>
        <v>0</v>
      </c>
    </row>
    <row r="7" spans="1:19" x14ac:dyDescent="0.35">
      <c r="J7" s="404"/>
      <c r="K7" s="405"/>
      <c r="L7" s="405"/>
      <c r="M7" s="405"/>
      <c r="N7" s="405"/>
      <c r="O7" s="405"/>
      <c r="P7" s="405"/>
      <c r="Q7" s="406"/>
    </row>
    <row r="8" spans="1:19" ht="15" thickBot="1" x14ac:dyDescent="0.4">
      <c r="J8" s="407"/>
      <c r="K8" s="408"/>
      <c r="L8" s="408"/>
      <c r="M8" s="408"/>
      <c r="N8" s="408"/>
      <c r="O8" s="408"/>
      <c r="P8" s="408"/>
      <c r="Q8" s="409"/>
    </row>
    <row r="9" spans="1:19" ht="15" thickBot="1" x14ac:dyDescent="0.4">
      <c r="J9" s="3" t="s">
        <v>12</v>
      </c>
    </row>
    <row r="10" spans="1:19" x14ac:dyDescent="0.35">
      <c r="J10" s="401"/>
      <c r="K10" s="402"/>
      <c r="L10" s="402"/>
      <c r="M10" s="402"/>
      <c r="N10" s="402"/>
      <c r="O10" s="402"/>
      <c r="P10" s="402"/>
      <c r="Q10" s="403"/>
    </row>
    <row r="11" spans="1:19" x14ac:dyDescent="0.35">
      <c r="J11" s="404"/>
      <c r="K11" s="405"/>
      <c r="L11" s="405"/>
      <c r="M11" s="405"/>
      <c r="N11" s="405"/>
      <c r="O11" s="405"/>
      <c r="P11" s="405"/>
      <c r="Q11" s="406"/>
    </row>
    <row r="12" spans="1:19" x14ac:dyDescent="0.35">
      <c r="J12" s="404"/>
      <c r="K12" s="405"/>
      <c r="L12" s="405"/>
      <c r="M12" s="405"/>
      <c r="N12" s="405"/>
      <c r="O12" s="405"/>
      <c r="P12" s="405"/>
      <c r="Q12" s="406"/>
    </row>
    <row r="13" spans="1:19" x14ac:dyDescent="0.35">
      <c r="J13" s="404"/>
      <c r="K13" s="405"/>
      <c r="L13" s="405"/>
      <c r="M13" s="405"/>
      <c r="N13" s="405"/>
      <c r="O13" s="405"/>
      <c r="P13" s="405"/>
      <c r="Q13" s="406"/>
    </row>
    <row r="14" spans="1:19" x14ac:dyDescent="0.35">
      <c r="J14" s="404"/>
      <c r="K14" s="405"/>
      <c r="L14" s="405"/>
      <c r="M14" s="405"/>
      <c r="N14" s="405"/>
      <c r="O14" s="405"/>
      <c r="P14" s="405"/>
      <c r="Q14" s="406"/>
    </row>
    <row r="15" spans="1:19" ht="15" thickBot="1" x14ac:dyDescent="0.4">
      <c r="J15" s="407"/>
      <c r="K15" s="408"/>
      <c r="L15" s="408"/>
      <c r="M15" s="408"/>
      <c r="N15" s="408"/>
      <c r="O15" s="408"/>
      <c r="P15" s="408"/>
      <c r="Q15" s="409"/>
    </row>
    <row r="18" spans="3:17" x14ac:dyDescent="0.35">
      <c r="C18" s="7" t="s">
        <v>8</v>
      </c>
      <c r="E18" s="11">
        <v>45108</v>
      </c>
      <c r="F18" s="11">
        <v>45139</v>
      </c>
      <c r="G18" s="11">
        <v>45170</v>
      </c>
      <c r="H18" s="11">
        <v>45200</v>
      </c>
      <c r="I18" s="11">
        <v>45231</v>
      </c>
      <c r="J18" s="11">
        <v>45261</v>
      </c>
      <c r="K18" s="11">
        <v>45292</v>
      </c>
      <c r="L18" s="11">
        <v>45323</v>
      </c>
      <c r="M18" s="11">
        <v>45352</v>
      </c>
      <c r="N18" s="11">
        <v>45383</v>
      </c>
      <c r="O18" s="11">
        <v>45413</v>
      </c>
      <c r="P18" s="11">
        <v>45444</v>
      </c>
      <c r="Q18" s="8" t="s">
        <v>0</v>
      </c>
    </row>
    <row r="19" spans="3:17" x14ac:dyDescent="0.35">
      <c r="D19" s="3" t="s">
        <v>220</v>
      </c>
      <c r="E19" s="49">
        <f>'budget 2025-26'!D201</f>
        <v>0</v>
      </c>
      <c r="F19" s="49">
        <f>'budget 2025-26'!E201</f>
        <v>0</v>
      </c>
      <c r="G19" s="49">
        <f>'budget 2025-26'!F201</f>
        <v>0</v>
      </c>
      <c r="H19" s="49">
        <f>'budget 2025-26'!G201</f>
        <v>0</v>
      </c>
      <c r="I19" s="49">
        <f>'budget 2025-26'!H201</f>
        <v>0</v>
      </c>
      <c r="J19" s="49">
        <f>'budget 2025-26'!I201</f>
        <v>0</v>
      </c>
      <c r="K19" s="49">
        <f>'budget 2025-26'!J201</f>
        <v>0</v>
      </c>
      <c r="L19" s="49">
        <f>'budget 2025-26'!K201</f>
        <v>0</v>
      </c>
      <c r="M19" s="49">
        <f>'budget 2025-26'!L201</f>
        <v>0</v>
      </c>
      <c r="N19" s="49">
        <f>'budget 2025-26'!M201</f>
        <v>0</v>
      </c>
      <c r="O19" s="49">
        <f>'budget 2025-26'!N201</f>
        <v>0</v>
      </c>
      <c r="P19" s="49">
        <f>'budget 2025-26'!O201</f>
        <v>0</v>
      </c>
      <c r="Q19" s="5">
        <f>SUM(E19:P19)</f>
        <v>0</v>
      </c>
    </row>
    <row r="20" spans="3:17" x14ac:dyDescent="0.35">
      <c r="D20" s="3" t="s">
        <v>221</v>
      </c>
      <c r="E20" s="49">
        <f>'Input Actual2024-25'!E191</f>
        <v>0</v>
      </c>
      <c r="F20" s="49">
        <f>'Input Actual2024-25'!F191</f>
        <v>0</v>
      </c>
      <c r="G20" s="49">
        <f>'Input Actual2024-25'!G191</f>
        <v>0</v>
      </c>
      <c r="H20" s="49">
        <f>'Input Actual2024-25'!H191</f>
        <v>0</v>
      </c>
      <c r="I20" s="49">
        <f>'Input Actual2024-25'!I191</f>
        <v>0</v>
      </c>
      <c r="J20" s="49">
        <f>'Input Actual2024-25'!J191</f>
        <v>0</v>
      </c>
      <c r="K20" s="49">
        <f>'Input Actual2024-25'!K191</f>
        <v>0</v>
      </c>
      <c r="L20" s="49">
        <f>'Input Actual2024-25'!L191</f>
        <v>0</v>
      </c>
      <c r="M20" s="49">
        <f>'Input Actual2024-25'!M191</f>
        <v>0</v>
      </c>
      <c r="N20" s="49">
        <f>'Input Actual2024-25'!N191</f>
        <v>0</v>
      </c>
      <c r="O20" s="49">
        <f>'Input Actual2024-25'!O191</f>
        <v>0</v>
      </c>
      <c r="P20" s="49">
        <f>'Input Actual2024-25'!P191</f>
        <v>0</v>
      </c>
      <c r="Q20" s="5">
        <f t="shared" ref="Q20:Q22" si="0">SUM(E20:P20)</f>
        <v>0</v>
      </c>
    </row>
    <row r="21" spans="3:17" x14ac:dyDescent="0.35">
      <c r="D21" s="3" t="s">
        <v>196</v>
      </c>
      <c r="E21" s="49">
        <f>'actual 2022-23'!D161</f>
        <v>75500</v>
      </c>
      <c r="F21" s="49">
        <f>'actual 2022-23'!E161</f>
        <v>51000</v>
      </c>
      <c r="G21" s="49">
        <f>'actual 2022-23'!F161</f>
        <v>50000</v>
      </c>
      <c r="H21" s="49">
        <f>'actual 2022-23'!G161</f>
        <v>47500</v>
      </c>
      <c r="I21" s="49">
        <f>'actual 2022-23'!H161</f>
        <v>105000</v>
      </c>
      <c r="J21" s="49">
        <f>'actual 2022-23'!I161</f>
        <v>58000</v>
      </c>
      <c r="K21" s="49">
        <f>'actual 2022-23'!J161</f>
        <v>220500</v>
      </c>
      <c r="L21" s="49">
        <f>'actual 2022-23'!K161</f>
        <v>158000</v>
      </c>
      <c r="M21" s="49">
        <f>'actual 2022-23'!L161</f>
        <v>28000</v>
      </c>
      <c r="N21" s="49">
        <f>'actual 2022-23'!M161</f>
        <v>62500</v>
      </c>
      <c r="O21" s="49">
        <f>'actual 2022-23'!N161</f>
        <v>97500</v>
      </c>
      <c r="P21" s="49">
        <f>'actual 2022-23'!O161</f>
        <v>57500</v>
      </c>
      <c r="Q21" s="5">
        <f t="shared" si="0"/>
        <v>1011000</v>
      </c>
    </row>
    <row r="22" spans="3:17" x14ac:dyDescent="0.35">
      <c r="D22" s="3" t="s">
        <v>7</v>
      </c>
      <c r="E22" s="5">
        <f t="shared" ref="E22:P22" si="1">IF(E20=0,0,E20-E19)</f>
        <v>0</v>
      </c>
      <c r="F22" s="5">
        <f t="shared" si="1"/>
        <v>0</v>
      </c>
      <c r="G22" s="5">
        <f t="shared" si="1"/>
        <v>0</v>
      </c>
      <c r="H22" s="5">
        <f t="shared" si="1"/>
        <v>0</v>
      </c>
      <c r="I22" s="5">
        <f t="shared" si="1"/>
        <v>0</v>
      </c>
      <c r="J22" s="5">
        <f t="shared" si="1"/>
        <v>0</v>
      </c>
      <c r="K22" s="5">
        <f t="shared" si="1"/>
        <v>0</v>
      </c>
      <c r="L22" s="5">
        <f t="shared" si="1"/>
        <v>0</v>
      </c>
      <c r="M22" s="5">
        <f t="shared" si="1"/>
        <v>0</v>
      </c>
      <c r="N22" s="5">
        <f t="shared" si="1"/>
        <v>0</v>
      </c>
      <c r="O22" s="5">
        <f t="shared" si="1"/>
        <v>0</v>
      </c>
      <c r="P22" s="5">
        <f t="shared" si="1"/>
        <v>0</v>
      </c>
      <c r="Q22" s="5">
        <f t="shared" si="0"/>
        <v>0</v>
      </c>
    </row>
    <row r="23" spans="3:17" x14ac:dyDescent="0.35">
      <c r="D23" s="3" t="s">
        <v>43</v>
      </c>
      <c r="E23" s="9" t="e">
        <f>E21/E19</f>
        <v>#DIV/0!</v>
      </c>
      <c r="F23" s="9" t="e">
        <f t="shared" ref="F23:P23" si="2">F20/F19</f>
        <v>#DIV/0!</v>
      </c>
      <c r="G23" s="9" t="e">
        <f t="shared" si="2"/>
        <v>#DIV/0!</v>
      </c>
      <c r="H23" s="9" t="e">
        <f t="shared" si="2"/>
        <v>#DIV/0!</v>
      </c>
      <c r="I23" s="9" t="e">
        <f t="shared" si="2"/>
        <v>#DIV/0!</v>
      </c>
      <c r="J23" s="9" t="e">
        <f t="shared" si="2"/>
        <v>#DIV/0!</v>
      </c>
      <c r="K23" s="9" t="e">
        <f t="shared" si="2"/>
        <v>#DIV/0!</v>
      </c>
      <c r="L23" s="9" t="e">
        <f t="shared" si="2"/>
        <v>#DIV/0!</v>
      </c>
      <c r="M23" s="9" t="e">
        <f t="shared" si="2"/>
        <v>#DIV/0!</v>
      </c>
      <c r="N23" s="9" t="e">
        <f t="shared" si="2"/>
        <v>#DIV/0!</v>
      </c>
      <c r="O23" s="9" t="e">
        <f t="shared" si="2"/>
        <v>#DIV/0!</v>
      </c>
      <c r="P23" s="9" t="e">
        <f t="shared" si="2"/>
        <v>#DIV/0!</v>
      </c>
    </row>
    <row r="25" spans="3:17" x14ac:dyDescent="0.35">
      <c r="C25" s="7" t="s">
        <v>3</v>
      </c>
      <c r="E25" s="11">
        <f>E18</f>
        <v>45108</v>
      </c>
      <c r="F25" s="11">
        <f t="shared" ref="F25:P25" si="3">F18</f>
        <v>45139</v>
      </c>
      <c r="G25" s="11">
        <f t="shared" si="3"/>
        <v>45170</v>
      </c>
      <c r="H25" s="11">
        <f t="shared" si="3"/>
        <v>45200</v>
      </c>
      <c r="I25" s="11">
        <f t="shared" si="3"/>
        <v>45231</v>
      </c>
      <c r="J25" s="11">
        <f t="shared" si="3"/>
        <v>45261</v>
      </c>
      <c r="K25" s="11">
        <f t="shared" si="3"/>
        <v>45292</v>
      </c>
      <c r="L25" s="11">
        <f t="shared" si="3"/>
        <v>45323</v>
      </c>
      <c r="M25" s="11">
        <f t="shared" si="3"/>
        <v>45352</v>
      </c>
      <c r="N25" s="11">
        <f t="shared" si="3"/>
        <v>45383</v>
      </c>
      <c r="O25" s="11">
        <f t="shared" si="3"/>
        <v>45413</v>
      </c>
      <c r="P25" s="11">
        <f t="shared" si="3"/>
        <v>45444</v>
      </c>
    </row>
    <row r="26" spans="3:17" x14ac:dyDescent="0.35">
      <c r="D26" s="3" t="str">
        <f>D19</f>
        <v>Budget 2023-24</v>
      </c>
      <c r="E26" s="5">
        <f>SUM($E19:E19)</f>
        <v>0</v>
      </c>
      <c r="F26" s="5">
        <f>SUM($E19:F19)</f>
        <v>0</v>
      </c>
      <c r="G26" s="5">
        <f>SUM($E19:G19)</f>
        <v>0</v>
      </c>
      <c r="H26" s="5">
        <f>SUM($E19:H19)</f>
        <v>0</v>
      </c>
      <c r="I26" s="5">
        <f>SUM($E19:I19)</f>
        <v>0</v>
      </c>
      <c r="J26" s="5">
        <f>SUM($E19:J19)</f>
        <v>0</v>
      </c>
      <c r="K26" s="5">
        <f>SUM($E19:K19)</f>
        <v>0</v>
      </c>
      <c r="L26" s="5">
        <f>SUM($E19:L19)</f>
        <v>0</v>
      </c>
      <c r="M26" s="5">
        <f>SUM($E19:M19)</f>
        <v>0</v>
      </c>
      <c r="N26" s="5">
        <f>SUM($E19:N19)</f>
        <v>0</v>
      </c>
      <c r="O26" s="5">
        <f>SUM($E19:O19)</f>
        <v>0</v>
      </c>
      <c r="P26" s="5">
        <f>SUM($E19:P19)</f>
        <v>0</v>
      </c>
    </row>
    <row r="27" spans="3:17" x14ac:dyDescent="0.35">
      <c r="D27" s="3" t="str">
        <f t="shared" ref="D27:D30" si="4">D20</f>
        <v>Actual 2023-24</v>
      </c>
      <c r="E27" s="5">
        <f>SUM($E20:E20)</f>
        <v>0</v>
      </c>
      <c r="F27" s="5">
        <f>SUM($E20:F20)</f>
        <v>0</v>
      </c>
      <c r="G27" s="5">
        <f>SUM($E20:G20)</f>
        <v>0</v>
      </c>
      <c r="H27" s="5">
        <f>SUM($E20:H20)</f>
        <v>0</v>
      </c>
      <c r="I27" s="5">
        <f>SUM($E20:I20)</f>
        <v>0</v>
      </c>
      <c r="J27" s="5">
        <f>SUM($E20:J20)</f>
        <v>0</v>
      </c>
      <c r="K27" s="5">
        <f>SUM($E20:K20)</f>
        <v>0</v>
      </c>
      <c r="L27" s="5">
        <f>SUM($E20:L20)</f>
        <v>0</v>
      </c>
      <c r="M27" s="5">
        <f>SUM($E20:M20)</f>
        <v>0</v>
      </c>
      <c r="N27" s="5">
        <f>SUM($E20:N20)</f>
        <v>0</v>
      </c>
      <c r="O27" s="5">
        <f>SUM($E20:O20)</f>
        <v>0</v>
      </c>
      <c r="P27" s="5">
        <f>SUM($E20:P20)</f>
        <v>0</v>
      </c>
    </row>
    <row r="28" spans="3:17" x14ac:dyDescent="0.35">
      <c r="D28" s="3" t="str">
        <f t="shared" si="4"/>
        <v>Actual 2022-23</v>
      </c>
      <c r="E28" s="5">
        <f>SUM($E21:E21)</f>
        <v>75500</v>
      </c>
      <c r="F28" s="5">
        <f>SUM($E21:F21)</f>
        <v>126500</v>
      </c>
      <c r="G28" s="5">
        <f>SUM($E21:G21)</f>
        <v>176500</v>
      </c>
      <c r="H28" s="5">
        <f>SUM($E21:H21)</f>
        <v>224000</v>
      </c>
      <c r="I28" s="5">
        <f>SUM($E21:I21)</f>
        <v>329000</v>
      </c>
      <c r="J28" s="5">
        <f>SUM($E21:J21)</f>
        <v>387000</v>
      </c>
      <c r="K28" s="5">
        <f>SUM($E21:K21)</f>
        <v>607500</v>
      </c>
      <c r="L28" s="5">
        <f>SUM($E21:L21)</f>
        <v>765500</v>
      </c>
      <c r="M28" s="5">
        <f>SUM($E21:M21)</f>
        <v>793500</v>
      </c>
      <c r="N28" s="5">
        <f>SUM($E21:N21)</f>
        <v>856000</v>
      </c>
      <c r="O28" s="5">
        <f>SUM($E21:O21)</f>
        <v>953500</v>
      </c>
      <c r="P28" s="5">
        <f>SUM($E21:P21)</f>
        <v>1011000</v>
      </c>
    </row>
    <row r="29" spans="3:17" x14ac:dyDescent="0.35">
      <c r="D29" s="3" t="str">
        <f t="shared" si="4"/>
        <v>Difference</v>
      </c>
      <c r="E29" s="5">
        <f>SUM($E22:E22)</f>
        <v>0</v>
      </c>
      <c r="F29" s="5">
        <f>SUM($E22:F22)</f>
        <v>0</v>
      </c>
      <c r="G29" s="5">
        <f>SUM($E22:G22)</f>
        <v>0</v>
      </c>
      <c r="H29" s="5">
        <f>SUM($E22:H22)</f>
        <v>0</v>
      </c>
      <c r="I29" s="5">
        <f>SUM($E22:I22)</f>
        <v>0</v>
      </c>
      <c r="J29" s="5">
        <f>SUM($E22:J22)</f>
        <v>0</v>
      </c>
      <c r="K29" s="5">
        <f>SUM($E22:K22)</f>
        <v>0</v>
      </c>
      <c r="L29" s="5">
        <f>SUM($E22:L22)</f>
        <v>0</v>
      </c>
      <c r="M29" s="5">
        <f>SUM($E22:M22)</f>
        <v>0</v>
      </c>
      <c r="N29" s="5">
        <f>SUM($E22:N22)</f>
        <v>0</v>
      </c>
      <c r="O29" s="5">
        <f>SUM($E22:O22)</f>
        <v>0</v>
      </c>
      <c r="P29" s="5">
        <f>SUM($E22:P22)</f>
        <v>0</v>
      </c>
    </row>
    <row r="30" spans="3:17" x14ac:dyDescent="0.35">
      <c r="D30" s="3" t="str">
        <f t="shared" si="4"/>
        <v>Realisation</v>
      </c>
      <c r="E30" s="9" t="e">
        <f>E28/E26</f>
        <v>#DIV/0!</v>
      </c>
      <c r="F30" s="9" t="e">
        <f t="shared" ref="F30:P30" si="5">F27/F26</f>
        <v>#DIV/0!</v>
      </c>
      <c r="G30" s="9" t="e">
        <f t="shared" si="5"/>
        <v>#DIV/0!</v>
      </c>
      <c r="H30" s="9" t="e">
        <f t="shared" si="5"/>
        <v>#DIV/0!</v>
      </c>
      <c r="I30" s="9" t="e">
        <f t="shared" si="5"/>
        <v>#DIV/0!</v>
      </c>
      <c r="J30" s="9" t="e">
        <f t="shared" si="5"/>
        <v>#DIV/0!</v>
      </c>
      <c r="K30" s="9" t="e">
        <f t="shared" si="5"/>
        <v>#DIV/0!</v>
      </c>
      <c r="L30" s="9" t="e">
        <f t="shared" si="5"/>
        <v>#DIV/0!</v>
      </c>
      <c r="M30" s="9" t="e">
        <f t="shared" si="5"/>
        <v>#DIV/0!</v>
      </c>
      <c r="N30" s="9" t="e">
        <f t="shared" si="5"/>
        <v>#DIV/0!</v>
      </c>
      <c r="O30" s="9" t="e">
        <f t="shared" si="5"/>
        <v>#DIV/0!</v>
      </c>
      <c r="P30" s="9" t="e">
        <f t="shared" si="5"/>
        <v>#DIV/0!</v>
      </c>
    </row>
  </sheetData>
  <mergeCells count="2">
    <mergeCell ref="J4:Q8"/>
    <mergeCell ref="J10:Q15"/>
  </mergeCells>
  <conditionalFormatting sqref="C3">
    <cfRule type="expression" dxfId="23" priority="2">
      <formula>S4&lt;S6</formula>
    </cfRule>
  </conditionalFormatting>
  <conditionalFormatting sqref="C5">
    <cfRule type="expression" dxfId="22" priority="3">
      <formula>S4&gt;=S5</formula>
    </cfRule>
  </conditionalFormatting>
  <conditionalFormatting sqref="C4">
    <cfRule type="expression" dxfId="21" priority="1">
      <formula>AND(S4&gt;=S6,S4&lt;S5)</formula>
    </cfRule>
  </conditionalFormatting>
  <hyperlinks>
    <hyperlink ref="L1" location="Dashboard!A1" display="Dashboard"/>
  </hyperlinks>
  <pageMargins left="0.7" right="0.7" top="0.75" bottom="0.75" header="0.3" footer="0.3"/>
  <pageSetup orientation="portrait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74177" r:id="rId4" name="Spinner 1">
              <controlPr defaultSize="0" autoPict="0">
                <anchor moveWithCells="1" sizeWithCells="1">
                  <from>
                    <xdr:col>9</xdr:col>
                    <xdr:colOff>19050</xdr:colOff>
                    <xdr:row>0</xdr:row>
                    <xdr:rowOff>38100</xdr:rowOff>
                  </from>
                  <to>
                    <xdr:col>9</xdr:col>
                    <xdr:colOff>400050</xdr:colOff>
                    <xdr:row>1</xdr:row>
                    <xdr:rowOff>152400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19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136">
    <tabColor rgb="FFFFC000"/>
  </sheetPr>
  <dimension ref="A1:S30"/>
  <sheetViews>
    <sheetView zoomScale="90" zoomScaleNormal="90" workbookViewId="0">
      <selection activeCell="L1" sqref="L1"/>
    </sheetView>
  </sheetViews>
  <sheetFormatPr defaultColWidth="9.1796875" defaultRowHeight="14.5" x14ac:dyDescent="0.35"/>
  <cols>
    <col min="1" max="1" width="9.1796875" style="3"/>
    <col min="2" max="2" width="5.7265625" style="3" bestFit="1" customWidth="1"/>
    <col min="3" max="3" width="6.26953125" style="3" customWidth="1"/>
    <col min="4" max="4" width="21.26953125" style="3" bestFit="1" customWidth="1"/>
    <col min="5" max="16" width="11.1796875" style="3" customWidth="1"/>
    <col min="17" max="17" width="12" style="3" bestFit="1" customWidth="1"/>
    <col min="18" max="18" width="9.1796875" style="3" customWidth="1"/>
    <col min="19" max="16384" width="9.1796875" style="3"/>
  </cols>
  <sheetData>
    <row r="1" spans="1:19" ht="21" x14ac:dyDescent="0.5">
      <c r="A1" s="4" t="s">
        <v>4</v>
      </c>
      <c r="B1" s="4">
        <f>Dashboard!A216</f>
        <v>1</v>
      </c>
      <c r="C1" s="4" t="str">
        <f>Dashboard!B216</f>
        <v>EXHAUSTER SALES</v>
      </c>
      <c r="D1" s="4"/>
      <c r="G1" s="3" t="s">
        <v>9</v>
      </c>
      <c r="I1" s="12">
        <f>INDEX($E$18:$P$18,Actual_month)</f>
        <v>45323</v>
      </c>
      <c r="L1" s="16" t="s">
        <v>19</v>
      </c>
      <c r="R1" s="5"/>
    </row>
    <row r="2" spans="1:19" x14ac:dyDescent="0.35">
      <c r="A2" s="3" t="s">
        <v>13</v>
      </c>
      <c r="C2" s="3" t="s">
        <v>27</v>
      </c>
      <c r="R2" s="6"/>
    </row>
    <row r="3" spans="1:19" ht="25.5" customHeight="1" thickBot="1" x14ac:dyDescent="0.4">
      <c r="C3" s="1" t="s">
        <v>5</v>
      </c>
      <c r="E3" s="10"/>
      <c r="F3" s="10"/>
      <c r="G3" s="10"/>
      <c r="H3" s="10"/>
      <c r="I3" s="10"/>
      <c r="J3" s="3" t="s">
        <v>6</v>
      </c>
      <c r="K3" s="10"/>
      <c r="M3" s="10"/>
      <c r="N3" s="10"/>
      <c r="O3" s="10"/>
      <c r="P3" s="10"/>
    </row>
    <row r="4" spans="1:19" ht="25.5" customHeight="1" x14ac:dyDescent="0.35">
      <c r="C4" s="1" t="s">
        <v>5</v>
      </c>
      <c r="E4" s="10"/>
      <c r="F4" s="10"/>
      <c r="G4" s="10"/>
      <c r="H4" s="10"/>
      <c r="I4" s="10"/>
      <c r="J4" s="401"/>
      <c r="K4" s="402"/>
      <c r="L4" s="402"/>
      <c r="M4" s="402"/>
      <c r="N4" s="402"/>
      <c r="O4" s="402"/>
      <c r="P4" s="402"/>
      <c r="Q4" s="403"/>
      <c r="R4" s="3" t="s">
        <v>22</v>
      </c>
      <c r="S4" s="5">
        <f>INDEX(E27:P27,Actual_month)</f>
        <v>0</v>
      </c>
    </row>
    <row r="5" spans="1:19" ht="25.5" customHeight="1" x14ac:dyDescent="0.35">
      <c r="C5" s="1" t="s">
        <v>5</v>
      </c>
      <c r="E5" s="10"/>
      <c r="F5" s="10"/>
      <c r="G5" s="10"/>
      <c r="H5" s="10"/>
      <c r="I5" s="10"/>
      <c r="J5" s="404"/>
      <c r="K5" s="405"/>
      <c r="L5" s="405"/>
      <c r="M5" s="405"/>
      <c r="N5" s="405"/>
      <c r="O5" s="405"/>
      <c r="P5" s="405"/>
      <c r="Q5" s="406"/>
      <c r="R5" s="3" t="s">
        <v>23</v>
      </c>
      <c r="S5" s="5">
        <f>INDEX(E26:P26,Actual_month)</f>
        <v>0</v>
      </c>
    </row>
    <row r="6" spans="1:19" x14ac:dyDescent="0.35">
      <c r="J6" s="404"/>
      <c r="K6" s="405"/>
      <c r="L6" s="405"/>
      <c r="M6" s="405"/>
      <c r="N6" s="405"/>
      <c r="O6" s="405"/>
      <c r="P6" s="405"/>
      <c r="Q6" s="406"/>
      <c r="R6" s="6">
        <v>0.9</v>
      </c>
      <c r="S6" s="5">
        <f>+S5*R6</f>
        <v>0</v>
      </c>
    </row>
    <row r="7" spans="1:19" x14ac:dyDescent="0.35">
      <c r="J7" s="404"/>
      <c r="K7" s="405"/>
      <c r="L7" s="405"/>
      <c r="M7" s="405"/>
      <c r="N7" s="405"/>
      <c r="O7" s="405"/>
      <c r="P7" s="405"/>
      <c r="Q7" s="406"/>
    </row>
    <row r="8" spans="1:19" ht="15" thickBot="1" x14ac:dyDescent="0.4">
      <c r="J8" s="407"/>
      <c r="K8" s="408"/>
      <c r="L8" s="408"/>
      <c r="M8" s="408"/>
      <c r="N8" s="408"/>
      <c r="O8" s="408"/>
      <c r="P8" s="408"/>
      <c r="Q8" s="409"/>
    </row>
    <row r="9" spans="1:19" ht="15" thickBot="1" x14ac:dyDescent="0.4">
      <c r="J9" s="3" t="s">
        <v>12</v>
      </c>
    </row>
    <row r="10" spans="1:19" x14ac:dyDescent="0.35">
      <c r="J10" s="401"/>
      <c r="K10" s="402"/>
      <c r="L10" s="402"/>
      <c r="M10" s="402"/>
      <c r="N10" s="402"/>
      <c r="O10" s="402"/>
      <c r="P10" s="402"/>
      <c r="Q10" s="403"/>
    </row>
    <row r="11" spans="1:19" x14ac:dyDescent="0.35">
      <c r="J11" s="404"/>
      <c r="K11" s="405"/>
      <c r="L11" s="405"/>
      <c r="M11" s="405"/>
      <c r="N11" s="405"/>
      <c r="O11" s="405"/>
      <c r="P11" s="405"/>
      <c r="Q11" s="406"/>
    </row>
    <row r="12" spans="1:19" x14ac:dyDescent="0.35">
      <c r="J12" s="404"/>
      <c r="K12" s="405"/>
      <c r="L12" s="405"/>
      <c r="M12" s="405"/>
      <c r="N12" s="405"/>
      <c r="O12" s="405"/>
      <c r="P12" s="405"/>
      <c r="Q12" s="406"/>
    </row>
    <row r="13" spans="1:19" x14ac:dyDescent="0.35">
      <c r="J13" s="404"/>
      <c r="K13" s="405"/>
      <c r="L13" s="405"/>
      <c r="M13" s="405"/>
      <c r="N13" s="405"/>
      <c r="O13" s="405"/>
      <c r="P13" s="405"/>
      <c r="Q13" s="406"/>
    </row>
    <row r="14" spans="1:19" x14ac:dyDescent="0.35">
      <c r="J14" s="404"/>
      <c r="K14" s="405"/>
      <c r="L14" s="405"/>
      <c r="M14" s="405"/>
      <c r="N14" s="405"/>
      <c r="O14" s="405"/>
      <c r="P14" s="405"/>
      <c r="Q14" s="406"/>
    </row>
    <row r="15" spans="1:19" ht="15" thickBot="1" x14ac:dyDescent="0.4">
      <c r="J15" s="407"/>
      <c r="K15" s="408"/>
      <c r="L15" s="408"/>
      <c r="M15" s="408"/>
      <c r="N15" s="408"/>
      <c r="O15" s="408"/>
      <c r="P15" s="408"/>
      <c r="Q15" s="409"/>
    </row>
    <row r="16" spans="1:19" x14ac:dyDescent="0.35">
      <c r="J16" s="60">
        <f>SUM(H19:J19)</f>
        <v>0</v>
      </c>
    </row>
    <row r="17" spans="3:17" x14ac:dyDescent="0.35">
      <c r="J17" s="60">
        <f>SUM(H20:J20)</f>
        <v>0</v>
      </c>
    </row>
    <row r="18" spans="3:17" x14ac:dyDescent="0.35">
      <c r="C18" s="7" t="s">
        <v>8</v>
      </c>
      <c r="E18" s="11">
        <v>45108</v>
      </c>
      <c r="F18" s="11">
        <v>45139</v>
      </c>
      <c r="G18" s="11">
        <v>45170</v>
      </c>
      <c r="H18" s="11">
        <v>45200</v>
      </c>
      <c r="I18" s="11">
        <v>45231</v>
      </c>
      <c r="J18" s="11">
        <v>45261</v>
      </c>
      <c r="K18" s="11">
        <v>45292</v>
      </c>
      <c r="L18" s="11">
        <v>45323</v>
      </c>
      <c r="M18" s="11">
        <v>45352</v>
      </c>
      <c r="N18" s="11">
        <v>45383</v>
      </c>
      <c r="O18" s="11">
        <v>45413</v>
      </c>
      <c r="P18" s="11">
        <v>45444</v>
      </c>
      <c r="Q18" s="8" t="s">
        <v>0</v>
      </c>
    </row>
    <row r="19" spans="3:17" x14ac:dyDescent="0.35">
      <c r="D19" s="3" t="s">
        <v>220</v>
      </c>
      <c r="E19" s="49">
        <f>'budget 2025-26'!D204</f>
        <v>0</v>
      </c>
      <c r="F19" s="49">
        <f>'budget 2025-26'!E204</f>
        <v>0</v>
      </c>
      <c r="G19" s="49">
        <f>'budget 2025-26'!F204</f>
        <v>0</v>
      </c>
      <c r="H19" s="49">
        <f>'budget 2025-26'!G204</f>
        <v>0</v>
      </c>
      <c r="I19" s="49">
        <f>'budget 2025-26'!H204</f>
        <v>0</v>
      </c>
      <c r="J19" s="49">
        <f>'budget 2025-26'!I204</f>
        <v>0</v>
      </c>
      <c r="K19" s="49">
        <f>'budget 2025-26'!J204</f>
        <v>0</v>
      </c>
      <c r="L19" s="49">
        <f>'budget 2025-26'!K204</f>
        <v>0</v>
      </c>
      <c r="M19" s="49">
        <f>'budget 2025-26'!L204</f>
        <v>0</v>
      </c>
      <c r="N19" s="49">
        <f>'budget 2025-26'!M204</f>
        <v>0</v>
      </c>
      <c r="O19" s="49">
        <f>'budget 2025-26'!N204</f>
        <v>0</v>
      </c>
      <c r="P19" s="49">
        <f>'budget 2025-26'!O204</f>
        <v>0</v>
      </c>
      <c r="Q19" s="5">
        <f>SUM(E19:P19)</f>
        <v>0</v>
      </c>
    </row>
    <row r="20" spans="3:17" x14ac:dyDescent="0.35">
      <c r="D20" s="3" t="s">
        <v>221</v>
      </c>
      <c r="E20" s="49">
        <f>'Input Actual2024-25'!E194</f>
        <v>0</v>
      </c>
      <c r="F20" s="49">
        <f>'Input Actual2024-25'!F194</f>
        <v>0</v>
      </c>
      <c r="G20" s="49">
        <f>'Input Actual2024-25'!G194</f>
        <v>0</v>
      </c>
      <c r="H20" s="49">
        <f>'Input Actual2024-25'!H194</f>
        <v>0</v>
      </c>
      <c r="I20" s="49">
        <f>'Input Actual2024-25'!I194</f>
        <v>0</v>
      </c>
      <c r="J20" s="49">
        <f>'Input Actual2024-25'!J194</f>
        <v>0</v>
      </c>
      <c r="K20" s="49">
        <f>'Input Actual2024-25'!K194</f>
        <v>0</v>
      </c>
      <c r="L20" s="49">
        <f>'Input Actual2024-25'!L194</f>
        <v>0</v>
      </c>
      <c r="M20" s="49">
        <f>'Input Actual2024-25'!M194</f>
        <v>0</v>
      </c>
      <c r="N20" s="49">
        <f>'Input Actual2024-25'!N194</f>
        <v>0</v>
      </c>
      <c r="O20" s="49">
        <f>'Input Actual2024-25'!O194</f>
        <v>0</v>
      </c>
      <c r="P20" s="49">
        <f>'Input Actual2024-25'!P194</f>
        <v>0</v>
      </c>
      <c r="Q20" s="5">
        <f t="shared" ref="Q20:Q22" si="0">SUM(E20:P20)</f>
        <v>0</v>
      </c>
    </row>
    <row r="21" spans="3:17" x14ac:dyDescent="0.35">
      <c r="D21" s="3" t="s">
        <v>196</v>
      </c>
      <c r="E21" s="49">
        <f>'actual 2022-23'!D164</f>
        <v>163000</v>
      </c>
      <c r="F21" s="49">
        <f>'actual 2022-23'!E164</f>
        <v>123500</v>
      </c>
      <c r="G21" s="49">
        <f>'actual 2022-23'!F164</f>
        <v>120000</v>
      </c>
      <c r="H21" s="49">
        <f>'actual 2022-23'!G164</f>
        <v>100000</v>
      </c>
      <c r="I21" s="49">
        <f>'actual 2022-23'!H164</f>
        <v>185500</v>
      </c>
      <c r="J21" s="49">
        <f>'actual 2022-23'!I164</f>
        <v>130500</v>
      </c>
      <c r="K21" s="49">
        <f>'actual 2022-23'!J164</f>
        <v>290500</v>
      </c>
      <c r="L21" s="49">
        <f>'actual 2022-23'!K164</f>
        <v>218000</v>
      </c>
      <c r="M21" s="49">
        <f>'actual 2022-23'!L164</f>
        <v>70500</v>
      </c>
      <c r="N21" s="49">
        <f>'actual 2022-23'!M164</f>
        <v>117500</v>
      </c>
      <c r="O21" s="49">
        <f>'actual 2022-23'!N164</f>
        <v>210000</v>
      </c>
      <c r="P21" s="49">
        <f>'actual 2022-23'!O164</f>
        <v>193500</v>
      </c>
      <c r="Q21" s="5">
        <f t="shared" si="0"/>
        <v>1922500</v>
      </c>
    </row>
    <row r="22" spans="3:17" x14ac:dyDescent="0.35">
      <c r="D22" s="3" t="s">
        <v>7</v>
      </c>
      <c r="E22" s="5">
        <f t="shared" ref="E22:P22" si="1">IF(E20=0,0,E20-E19)</f>
        <v>0</v>
      </c>
      <c r="F22" s="5">
        <f t="shared" si="1"/>
        <v>0</v>
      </c>
      <c r="G22" s="5">
        <f t="shared" si="1"/>
        <v>0</v>
      </c>
      <c r="H22" s="5">
        <f t="shared" si="1"/>
        <v>0</v>
      </c>
      <c r="I22" s="5">
        <f t="shared" si="1"/>
        <v>0</v>
      </c>
      <c r="J22" s="5">
        <f t="shared" si="1"/>
        <v>0</v>
      </c>
      <c r="K22" s="5">
        <f t="shared" si="1"/>
        <v>0</v>
      </c>
      <c r="L22" s="5">
        <f t="shared" si="1"/>
        <v>0</v>
      </c>
      <c r="M22" s="5">
        <f t="shared" si="1"/>
        <v>0</v>
      </c>
      <c r="N22" s="5">
        <f t="shared" si="1"/>
        <v>0</v>
      </c>
      <c r="O22" s="5">
        <f t="shared" si="1"/>
        <v>0</v>
      </c>
      <c r="P22" s="5">
        <f t="shared" si="1"/>
        <v>0</v>
      </c>
      <c r="Q22" s="5">
        <f t="shared" si="0"/>
        <v>0</v>
      </c>
    </row>
    <row r="23" spans="3:17" x14ac:dyDescent="0.35">
      <c r="D23" s="3" t="s">
        <v>43</v>
      </c>
      <c r="E23" s="9" t="e">
        <f>E21/E19</f>
        <v>#DIV/0!</v>
      </c>
      <c r="F23" s="9" t="e">
        <f t="shared" ref="F23:P23" si="2">F20/F19</f>
        <v>#DIV/0!</v>
      </c>
      <c r="G23" s="9" t="e">
        <f t="shared" si="2"/>
        <v>#DIV/0!</v>
      </c>
      <c r="H23" s="9" t="e">
        <f t="shared" si="2"/>
        <v>#DIV/0!</v>
      </c>
      <c r="I23" s="9" t="e">
        <f t="shared" si="2"/>
        <v>#DIV/0!</v>
      </c>
      <c r="J23" s="9" t="e">
        <f t="shared" si="2"/>
        <v>#DIV/0!</v>
      </c>
      <c r="K23" s="9" t="e">
        <f t="shared" si="2"/>
        <v>#DIV/0!</v>
      </c>
      <c r="L23" s="9" t="e">
        <f t="shared" si="2"/>
        <v>#DIV/0!</v>
      </c>
      <c r="M23" s="9" t="e">
        <f t="shared" si="2"/>
        <v>#DIV/0!</v>
      </c>
      <c r="N23" s="9" t="e">
        <f t="shared" si="2"/>
        <v>#DIV/0!</v>
      </c>
      <c r="O23" s="9" t="e">
        <f t="shared" si="2"/>
        <v>#DIV/0!</v>
      </c>
      <c r="P23" s="9" t="e">
        <f t="shared" si="2"/>
        <v>#DIV/0!</v>
      </c>
    </row>
    <row r="25" spans="3:17" x14ac:dyDescent="0.35">
      <c r="C25" s="7" t="s">
        <v>3</v>
      </c>
      <c r="E25" s="11">
        <f>E18</f>
        <v>45108</v>
      </c>
      <c r="F25" s="11">
        <f t="shared" ref="F25:P25" si="3">F18</f>
        <v>45139</v>
      </c>
      <c r="G25" s="11">
        <f t="shared" si="3"/>
        <v>45170</v>
      </c>
      <c r="H25" s="11">
        <f t="shared" si="3"/>
        <v>45200</v>
      </c>
      <c r="I25" s="11">
        <f t="shared" si="3"/>
        <v>45231</v>
      </c>
      <c r="J25" s="11">
        <f t="shared" si="3"/>
        <v>45261</v>
      </c>
      <c r="K25" s="11">
        <f t="shared" si="3"/>
        <v>45292</v>
      </c>
      <c r="L25" s="11">
        <f t="shared" si="3"/>
        <v>45323</v>
      </c>
      <c r="M25" s="11">
        <f t="shared" si="3"/>
        <v>45352</v>
      </c>
      <c r="N25" s="11">
        <f t="shared" si="3"/>
        <v>45383</v>
      </c>
      <c r="O25" s="11">
        <f t="shared" si="3"/>
        <v>45413</v>
      </c>
      <c r="P25" s="11">
        <f t="shared" si="3"/>
        <v>45444</v>
      </c>
    </row>
    <row r="26" spans="3:17" x14ac:dyDescent="0.35">
      <c r="D26" s="3" t="str">
        <f>D19</f>
        <v>Budget 2023-24</v>
      </c>
      <c r="E26" s="5">
        <f>SUM($E19:E19)</f>
        <v>0</v>
      </c>
      <c r="F26" s="5">
        <f>SUM($E19:F19)</f>
        <v>0</v>
      </c>
      <c r="G26" s="5">
        <f>SUM($E19:G19)</f>
        <v>0</v>
      </c>
      <c r="H26" s="5">
        <f>SUM($E19:H19)</f>
        <v>0</v>
      </c>
      <c r="I26" s="5">
        <f>SUM($E19:I19)</f>
        <v>0</v>
      </c>
      <c r="J26" s="5">
        <f>SUM($E19:J19)</f>
        <v>0</v>
      </c>
      <c r="K26" s="5">
        <f>SUM($E19:K19)</f>
        <v>0</v>
      </c>
      <c r="L26" s="5">
        <f>SUM($E19:L19)</f>
        <v>0</v>
      </c>
      <c r="M26" s="5">
        <f>SUM($E19:M19)</f>
        <v>0</v>
      </c>
      <c r="N26" s="5">
        <f>SUM($E19:N19)</f>
        <v>0</v>
      </c>
      <c r="O26" s="5">
        <f>SUM($E19:O19)</f>
        <v>0</v>
      </c>
      <c r="P26" s="5">
        <f>SUM($E19:P19)</f>
        <v>0</v>
      </c>
    </row>
    <row r="27" spans="3:17" x14ac:dyDescent="0.35">
      <c r="D27" s="3" t="str">
        <f t="shared" ref="D27:D30" si="4">D20</f>
        <v>Actual 2023-24</v>
      </c>
      <c r="E27" s="5">
        <f>SUM($E20:E20)</f>
        <v>0</v>
      </c>
      <c r="F27" s="5">
        <f>SUM($E20:F20)</f>
        <v>0</v>
      </c>
      <c r="G27" s="5">
        <f>SUM($E20:G20)</f>
        <v>0</v>
      </c>
      <c r="H27" s="5">
        <f>SUM($E20:H20)</f>
        <v>0</v>
      </c>
      <c r="I27" s="5">
        <f>SUM($E20:I20)</f>
        <v>0</v>
      </c>
      <c r="J27" s="5">
        <f>SUM($E20:J20)</f>
        <v>0</v>
      </c>
      <c r="K27" s="5">
        <f>SUM($E20:K20)</f>
        <v>0</v>
      </c>
      <c r="L27" s="5">
        <f>SUM($E20:L20)</f>
        <v>0</v>
      </c>
      <c r="M27" s="5">
        <f>SUM($E20:M20)</f>
        <v>0</v>
      </c>
      <c r="N27" s="5">
        <f>SUM($E20:N20)</f>
        <v>0</v>
      </c>
      <c r="O27" s="5">
        <f>SUM($E20:O20)</f>
        <v>0</v>
      </c>
      <c r="P27" s="5">
        <f>SUM($E20:P20)</f>
        <v>0</v>
      </c>
    </row>
    <row r="28" spans="3:17" x14ac:dyDescent="0.35">
      <c r="D28" s="3" t="str">
        <f t="shared" si="4"/>
        <v>Actual 2022-23</v>
      </c>
      <c r="E28" s="5">
        <f>SUM($E21:E21)</f>
        <v>163000</v>
      </c>
      <c r="F28" s="5">
        <f>SUM($E21:F21)</f>
        <v>286500</v>
      </c>
      <c r="G28" s="5">
        <f>SUM($E21:G21)</f>
        <v>406500</v>
      </c>
      <c r="H28" s="5">
        <f>SUM($E21:H21)</f>
        <v>506500</v>
      </c>
      <c r="I28" s="5">
        <f>SUM($E21:I21)</f>
        <v>692000</v>
      </c>
      <c r="J28" s="5">
        <f>SUM($E21:J21)</f>
        <v>822500</v>
      </c>
      <c r="K28" s="5">
        <f>SUM($E21:K21)</f>
        <v>1113000</v>
      </c>
      <c r="L28" s="5">
        <f>SUM($E21:L21)</f>
        <v>1331000</v>
      </c>
      <c r="M28" s="5">
        <f>SUM($E21:M21)</f>
        <v>1401500</v>
      </c>
      <c r="N28" s="5">
        <f>SUM($E21:N21)</f>
        <v>1519000</v>
      </c>
      <c r="O28" s="5">
        <f>SUM($E21:O21)</f>
        <v>1729000</v>
      </c>
      <c r="P28" s="5">
        <f>SUM($E21:P21)</f>
        <v>1922500</v>
      </c>
    </row>
    <row r="29" spans="3:17" x14ac:dyDescent="0.35">
      <c r="D29" s="3" t="str">
        <f t="shared" si="4"/>
        <v>Difference</v>
      </c>
      <c r="E29" s="5">
        <f>SUM($E22:E22)</f>
        <v>0</v>
      </c>
      <c r="F29" s="5">
        <f>SUM($E22:F22)</f>
        <v>0</v>
      </c>
      <c r="G29" s="5">
        <f>SUM($E22:G22)</f>
        <v>0</v>
      </c>
      <c r="H29" s="5">
        <f>SUM($E22:H22)</f>
        <v>0</v>
      </c>
      <c r="I29" s="5">
        <f>SUM($E22:I22)</f>
        <v>0</v>
      </c>
      <c r="J29" s="5">
        <f>SUM($E22:J22)</f>
        <v>0</v>
      </c>
      <c r="K29" s="5">
        <f>SUM($E22:K22)</f>
        <v>0</v>
      </c>
      <c r="L29" s="5">
        <f>SUM($E22:L22)</f>
        <v>0</v>
      </c>
      <c r="M29" s="5">
        <f>SUM($E22:M22)</f>
        <v>0</v>
      </c>
      <c r="N29" s="5">
        <f>SUM($E22:N22)</f>
        <v>0</v>
      </c>
      <c r="O29" s="5">
        <f>SUM($E22:O22)</f>
        <v>0</v>
      </c>
      <c r="P29" s="5">
        <f>SUM($E22:P22)</f>
        <v>0</v>
      </c>
    </row>
    <row r="30" spans="3:17" x14ac:dyDescent="0.35">
      <c r="D30" s="3" t="str">
        <f t="shared" si="4"/>
        <v>Realisation</v>
      </c>
      <c r="E30" s="9" t="e">
        <f>E28/E26</f>
        <v>#DIV/0!</v>
      </c>
      <c r="F30" s="9" t="e">
        <f t="shared" ref="F30:P30" si="5">F27/F26</f>
        <v>#DIV/0!</v>
      </c>
      <c r="G30" s="9" t="e">
        <f t="shared" si="5"/>
        <v>#DIV/0!</v>
      </c>
      <c r="H30" s="9" t="e">
        <f t="shared" si="5"/>
        <v>#DIV/0!</v>
      </c>
      <c r="I30" s="9" t="e">
        <f t="shared" si="5"/>
        <v>#DIV/0!</v>
      </c>
      <c r="J30" s="9" t="e">
        <f t="shared" si="5"/>
        <v>#DIV/0!</v>
      </c>
      <c r="K30" s="9" t="e">
        <f t="shared" si="5"/>
        <v>#DIV/0!</v>
      </c>
      <c r="L30" s="9" t="e">
        <f t="shared" si="5"/>
        <v>#DIV/0!</v>
      </c>
      <c r="M30" s="9" t="e">
        <f t="shared" si="5"/>
        <v>#DIV/0!</v>
      </c>
      <c r="N30" s="9" t="e">
        <f t="shared" si="5"/>
        <v>#DIV/0!</v>
      </c>
      <c r="O30" s="9" t="e">
        <f t="shared" si="5"/>
        <v>#DIV/0!</v>
      </c>
      <c r="P30" s="9" t="e">
        <f t="shared" si="5"/>
        <v>#DIV/0!</v>
      </c>
    </row>
  </sheetData>
  <mergeCells count="2">
    <mergeCell ref="J4:Q8"/>
    <mergeCell ref="J10:Q15"/>
  </mergeCells>
  <conditionalFormatting sqref="C3">
    <cfRule type="expression" dxfId="20" priority="2">
      <formula>S4&lt;S6</formula>
    </cfRule>
  </conditionalFormatting>
  <conditionalFormatting sqref="C5">
    <cfRule type="expression" dxfId="19" priority="3">
      <formula>S4&gt;=S5</formula>
    </cfRule>
  </conditionalFormatting>
  <conditionalFormatting sqref="C4">
    <cfRule type="expression" dxfId="18" priority="1">
      <formula>AND(S4&gt;=S6,S4&lt;S5)</formula>
    </cfRule>
  </conditionalFormatting>
  <hyperlinks>
    <hyperlink ref="L1" location="Dashboard!A1" display="Dashboard"/>
  </hyperlinks>
  <pageMargins left="0.7" right="0.7" top="0.75" bottom="0.75" header="0.3" footer="0.3"/>
  <pageSetup orientation="portrait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73153" r:id="rId4" name="Spinner 1">
              <controlPr defaultSize="0" autoPict="0">
                <anchor moveWithCells="1" sizeWithCells="1">
                  <from>
                    <xdr:col>9</xdr:col>
                    <xdr:colOff>19050</xdr:colOff>
                    <xdr:row>0</xdr:row>
                    <xdr:rowOff>38100</xdr:rowOff>
                  </from>
                  <to>
                    <xdr:col>9</xdr:col>
                    <xdr:colOff>400050</xdr:colOff>
                    <xdr:row>1</xdr:row>
                    <xdr:rowOff>152400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19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149"/>
  <dimension ref="A1:S30"/>
  <sheetViews>
    <sheetView zoomScale="90" zoomScaleNormal="90" workbookViewId="0">
      <selection activeCell="L1" sqref="L1"/>
    </sheetView>
  </sheetViews>
  <sheetFormatPr defaultColWidth="9.1796875" defaultRowHeight="14.5" x14ac:dyDescent="0.35"/>
  <cols>
    <col min="1" max="1" width="9.1796875" style="3"/>
    <col min="2" max="2" width="5.7265625" style="3" bestFit="1" customWidth="1"/>
    <col min="3" max="3" width="6.26953125" style="3" customWidth="1"/>
    <col min="4" max="4" width="21.26953125" style="3" bestFit="1" customWidth="1"/>
    <col min="5" max="16" width="11.1796875" style="3" customWidth="1"/>
    <col min="17" max="17" width="12" style="3" bestFit="1" customWidth="1"/>
    <col min="18" max="18" width="9.1796875" style="3" customWidth="1"/>
    <col min="19" max="16384" width="9.1796875" style="3"/>
  </cols>
  <sheetData>
    <row r="1" spans="1:19" ht="21" x14ac:dyDescent="0.5">
      <c r="A1" s="4" t="s">
        <v>4</v>
      </c>
      <c r="B1" s="4">
        <f>Dashboard!A218</f>
        <v>1</v>
      </c>
      <c r="C1" s="4" t="str">
        <f>Dashboard!B218</f>
        <v>NO. COMPLAINTS BOOKED</v>
      </c>
      <c r="D1" s="4"/>
      <c r="G1" s="3" t="s">
        <v>9</v>
      </c>
      <c r="I1" s="12">
        <f>INDEX($E$18:$P$18,Actual_month)</f>
        <v>44958</v>
      </c>
      <c r="L1" s="16" t="s">
        <v>19</v>
      </c>
      <c r="R1" s="5"/>
    </row>
    <row r="2" spans="1:19" x14ac:dyDescent="0.35">
      <c r="A2" s="3" t="s">
        <v>13</v>
      </c>
      <c r="C2" s="3" t="s">
        <v>27</v>
      </c>
      <c r="R2" s="6"/>
    </row>
    <row r="3" spans="1:19" ht="25.5" customHeight="1" thickBot="1" x14ac:dyDescent="0.4">
      <c r="C3" s="1" t="s">
        <v>5</v>
      </c>
      <c r="E3" s="10"/>
      <c r="F3" s="10"/>
      <c r="G3" s="10"/>
      <c r="H3" s="10"/>
      <c r="I3" s="10"/>
      <c r="J3" s="3" t="s">
        <v>6</v>
      </c>
      <c r="K3" s="10"/>
      <c r="M3" s="10"/>
      <c r="N3" s="10"/>
      <c r="O3" s="10"/>
      <c r="P3" s="10"/>
    </row>
    <row r="4" spans="1:19" ht="25.5" customHeight="1" x14ac:dyDescent="0.35">
      <c r="C4" s="1" t="s">
        <v>5</v>
      </c>
      <c r="E4" s="10"/>
      <c r="F4" s="10"/>
      <c r="G4" s="10"/>
      <c r="H4" s="10"/>
      <c r="I4" s="10"/>
      <c r="J4" s="401"/>
      <c r="K4" s="402"/>
      <c r="L4" s="402"/>
      <c r="M4" s="402"/>
      <c r="N4" s="402"/>
      <c r="O4" s="402"/>
      <c r="P4" s="402"/>
      <c r="Q4" s="403"/>
      <c r="R4" s="3" t="s">
        <v>22</v>
      </c>
      <c r="S4" s="5">
        <f>INDEX(E27:P27,Actual_month)</f>
        <v>858</v>
      </c>
    </row>
    <row r="5" spans="1:19" ht="25.5" customHeight="1" x14ac:dyDescent="0.35">
      <c r="C5" s="1" t="s">
        <v>5</v>
      </c>
      <c r="E5" s="10"/>
      <c r="F5" s="10"/>
      <c r="G5" s="10"/>
      <c r="H5" s="10"/>
      <c r="I5" s="10"/>
      <c r="J5" s="404"/>
      <c r="K5" s="405"/>
      <c r="L5" s="405"/>
      <c r="M5" s="405"/>
      <c r="N5" s="405"/>
      <c r="O5" s="405"/>
      <c r="P5" s="405"/>
      <c r="Q5" s="406"/>
      <c r="R5" s="3" t="s">
        <v>23</v>
      </c>
      <c r="S5" s="5">
        <f>INDEX(E26:P26,Actual_month)</f>
        <v>858</v>
      </c>
    </row>
    <row r="6" spans="1:19" x14ac:dyDescent="0.35">
      <c r="J6" s="404"/>
      <c r="K6" s="405"/>
      <c r="L6" s="405"/>
      <c r="M6" s="405"/>
      <c r="N6" s="405"/>
      <c r="O6" s="405"/>
      <c r="P6" s="405"/>
      <c r="Q6" s="406"/>
      <c r="R6" s="6">
        <v>0.9</v>
      </c>
      <c r="S6" s="5">
        <f>+S5*R6</f>
        <v>772.2</v>
      </c>
    </row>
    <row r="7" spans="1:19" x14ac:dyDescent="0.35">
      <c r="J7" s="404"/>
      <c r="K7" s="405"/>
      <c r="L7" s="405"/>
      <c r="M7" s="405"/>
      <c r="N7" s="405"/>
      <c r="O7" s="405"/>
      <c r="P7" s="405"/>
      <c r="Q7" s="406"/>
    </row>
    <row r="8" spans="1:19" ht="15" thickBot="1" x14ac:dyDescent="0.4">
      <c r="J8" s="407"/>
      <c r="K8" s="408"/>
      <c r="L8" s="408"/>
      <c r="M8" s="408"/>
      <c r="N8" s="408"/>
      <c r="O8" s="408"/>
      <c r="P8" s="408"/>
      <c r="Q8" s="409"/>
    </row>
    <row r="9" spans="1:19" ht="15" thickBot="1" x14ac:dyDescent="0.4">
      <c r="J9" s="3" t="s">
        <v>12</v>
      </c>
    </row>
    <row r="10" spans="1:19" x14ac:dyDescent="0.35">
      <c r="J10" s="401"/>
      <c r="K10" s="402"/>
      <c r="L10" s="402"/>
      <c r="M10" s="402"/>
      <c r="N10" s="402"/>
      <c r="O10" s="402"/>
      <c r="P10" s="402"/>
      <c r="Q10" s="403"/>
    </row>
    <row r="11" spans="1:19" x14ac:dyDescent="0.35">
      <c r="J11" s="404"/>
      <c r="K11" s="405"/>
      <c r="L11" s="405"/>
      <c r="M11" s="405"/>
      <c r="N11" s="405"/>
      <c r="O11" s="405"/>
      <c r="P11" s="405"/>
      <c r="Q11" s="406"/>
    </row>
    <row r="12" spans="1:19" x14ac:dyDescent="0.35">
      <c r="J12" s="404"/>
      <c r="K12" s="405"/>
      <c r="L12" s="405"/>
      <c r="M12" s="405"/>
      <c r="N12" s="405"/>
      <c r="O12" s="405"/>
      <c r="P12" s="405"/>
      <c r="Q12" s="406"/>
    </row>
    <row r="13" spans="1:19" x14ac:dyDescent="0.35">
      <c r="J13" s="404"/>
      <c r="K13" s="405"/>
      <c r="L13" s="405"/>
      <c r="M13" s="405"/>
      <c r="N13" s="405"/>
      <c r="O13" s="405"/>
      <c r="P13" s="405"/>
      <c r="Q13" s="406"/>
    </row>
    <row r="14" spans="1:19" x14ac:dyDescent="0.35">
      <c r="J14" s="404"/>
      <c r="K14" s="405"/>
      <c r="L14" s="405"/>
      <c r="M14" s="405"/>
      <c r="N14" s="405"/>
      <c r="O14" s="405"/>
      <c r="P14" s="405"/>
      <c r="Q14" s="406"/>
    </row>
    <row r="15" spans="1:19" ht="15" thickBot="1" x14ac:dyDescent="0.4">
      <c r="J15" s="407"/>
      <c r="K15" s="408"/>
      <c r="L15" s="408"/>
      <c r="M15" s="408"/>
      <c r="N15" s="408"/>
      <c r="O15" s="408"/>
      <c r="P15" s="408"/>
      <c r="Q15" s="409"/>
    </row>
    <row r="18" spans="3:17" x14ac:dyDescent="0.35">
      <c r="C18" s="7" t="s">
        <v>8</v>
      </c>
      <c r="E18" s="11">
        <v>44743</v>
      </c>
      <c r="F18" s="11">
        <v>44774</v>
      </c>
      <c r="G18" s="11">
        <v>44805</v>
      </c>
      <c r="H18" s="11">
        <v>44835</v>
      </c>
      <c r="I18" s="11">
        <v>44866</v>
      </c>
      <c r="J18" s="11">
        <v>44896</v>
      </c>
      <c r="K18" s="11">
        <v>44927</v>
      </c>
      <c r="L18" s="11">
        <v>44958</v>
      </c>
      <c r="M18" s="11">
        <v>44986</v>
      </c>
      <c r="N18" s="11">
        <v>45017</v>
      </c>
      <c r="O18" s="11">
        <v>45047</v>
      </c>
      <c r="P18" s="11">
        <v>45078</v>
      </c>
      <c r="Q18" s="8" t="s">
        <v>0</v>
      </c>
    </row>
    <row r="19" spans="3:17" x14ac:dyDescent="0.35">
      <c r="D19" s="3" t="s">
        <v>195</v>
      </c>
      <c r="E19" s="49">
        <f>'budget 2025-26'!D206</f>
        <v>411</v>
      </c>
      <c r="F19" s="49">
        <f>'budget 2025-26'!E206</f>
        <v>447</v>
      </c>
      <c r="G19" s="49">
        <f>'budget 2025-26'!F206</f>
        <v>0</v>
      </c>
      <c r="H19" s="49">
        <f>'budget 2025-26'!G206</f>
        <v>0</v>
      </c>
      <c r="I19" s="49">
        <f>'budget 2025-26'!H206</f>
        <v>0</v>
      </c>
      <c r="J19" s="49">
        <f>'budget 2025-26'!I206</f>
        <v>0</v>
      </c>
      <c r="K19" s="49">
        <f>'budget 2025-26'!J206</f>
        <v>0</v>
      </c>
      <c r="L19" s="49">
        <f>'budget 2025-26'!K206</f>
        <v>0</v>
      </c>
      <c r="M19" s="49">
        <f>'budget 2025-26'!L206</f>
        <v>0</v>
      </c>
      <c r="N19" s="49">
        <f>'budget 2025-26'!M206</f>
        <v>0</v>
      </c>
      <c r="O19" s="49">
        <f>'budget 2025-26'!N206</f>
        <v>0</v>
      </c>
      <c r="P19" s="49">
        <f>'budget 2025-26'!O206</f>
        <v>0</v>
      </c>
      <c r="Q19" s="5">
        <f>SUM(E19:P19)</f>
        <v>858</v>
      </c>
    </row>
    <row r="20" spans="3:17" x14ac:dyDescent="0.35">
      <c r="D20" s="3" t="s">
        <v>196</v>
      </c>
      <c r="E20" s="49">
        <f>'actual 2022-23'!D166</f>
        <v>411</v>
      </c>
      <c r="F20" s="49">
        <f>'actual 2022-23'!E166</f>
        <v>447</v>
      </c>
      <c r="G20" s="49">
        <f>'actual 2022-23'!F166</f>
        <v>0</v>
      </c>
      <c r="H20" s="49">
        <f>'actual 2022-23'!G166</f>
        <v>0</v>
      </c>
      <c r="I20" s="49">
        <f>'actual 2022-23'!H166</f>
        <v>0</v>
      </c>
      <c r="J20" s="49">
        <f>'actual 2022-23'!I166</f>
        <v>0</v>
      </c>
      <c r="K20" s="49">
        <f>'actual 2022-23'!J166</f>
        <v>0</v>
      </c>
      <c r="L20" s="49">
        <f>'actual 2022-23'!K166</f>
        <v>0</v>
      </c>
      <c r="M20" s="49">
        <f>'actual 2022-23'!L166</f>
        <v>0</v>
      </c>
      <c r="N20" s="49">
        <f>'actual 2022-23'!M166</f>
        <v>0</v>
      </c>
      <c r="O20" s="49">
        <f>'actual 2022-23'!N166</f>
        <v>0</v>
      </c>
      <c r="P20" s="49">
        <f>'actual 2022-23'!O166</f>
        <v>0</v>
      </c>
      <c r="Q20" s="5">
        <f t="shared" ref="Q20:Q22" si="0">SUM(E20:P20)</f>
        <v>858</v>
      </c>
    </row>
    <row r="21" spans="3:17" x14ac:dyDescent="0.35">
      <c r="D21" s="3" t="s">
        <v>42</v>
      </c>
      <c r="E21" s="49">
        <f>'actual 2021-22'!D163</f>
        <v>252</v>
      </c>
      <c r="F21" s="49">
        <f>'actual 2021-22'!E163</f>
        <v>417</v>
      </c>
      <c r="G21" s="49">
        <f>'actual 2021-22'!F163</f>
        <v>272</v>
      </c>
      <c r="H21" s="49">
        <f>'actual 2021-22'!G163</f>
        <v>258</v>
      </c>
      <c r="I21" s="49">
        <f>'actual 2021-22'!H163</f>
        <v>306</v>
      </c>
      <c r="J21" s="49">
        <f>'actual 2021-22'!I163</f>
        <v>269</v>
      </c>
      <c r="K21" s="49">
        <f>'actual 2021-22'!J163</f>
        <v>219</v>
      </c>
      <c r="L21" s="49">
        <f>'actual 2021-22'!K163</f>
        <v>1114</v>
      </c>
      <c r="M21" s="49">
        <f>'actual 2021-22'!L163</f>
        <v>1413</v>
      </c>
      <c r="N21" s="49">
        <f>'actual 2021-22'!M163</f>
        <v>1170</v>
      </c>
      <c r="O21" s="49">
        <f>'actual 2021-22'!N163</f>
        <v>310</v>
      </c>
      <c r="P21" s="49">
        <f>'actual 2021-22'!O163</f>
        <v>216</v>
      </c>
      <c r="Q21" s="5">
        <f t="shared" si="0"/>
        <v>6216</v>
      </c>
    </row>
    <row r="22" spans="3:17" x14ac:dyDescent="0.35">
      <c r="D22" s="3" t="s">
        <v>7</v>
      </c>
      <c r="E22" s="5">
        <f t="shared" ref="E22:P22" si="1">IF(E20=0,0,E20-E19)</f>
        <v>0</v>
      </c>
      <c r="F22" s="5">
        <f t="shared" si="1"/>
        <v>0</v>
      </c>
      <c r="G22" s="5">
        <f t="shared" si="1"/>
        <v>0</v>
      </c>
      <c r="H22" s="5">
        <f t="shared" si="1"/>
        <v>0</v>
      </c>
      <c r="I22" s="5">
        <f t="shared" si="1"/>
        <v>0</v>
      </c>
      <c r="J22" s="5">
        <f t="shared" si="1"/>
        <v>0</v>
      </c>
      <c r="K22" s="5">
        <f t="shared" si="1"/>
        <v>0</v>
      </c>
      <c r="L22" s="5">
        <f t="shared" si="1"/>
        <v>0</v>
      </c>
      <c r="M22" s="5">
        <f t="shared" si="1"/>
        <v>0</v>
      </c>
      <c r="N22" s="5">
        <f t="shared" si="1"/>
        <v>0</v>
      </c>
      <c r="O22" s="5">
        <f t="shared" si="1"/>
        <v>0</v>
      </c>
      <c r="P22" s="5">
        <f t="shared" si="1"/>
        <v>0</v>
      </c>
      <c r="Q22" s="5">
        <f t="shared" si="0"/>
        <v>0</v>
      </c>
    </row>
    <row r="23" spans="3:17" x14ac:dyDescent="0.35">
      <c r="D23" s="3" t="s">
        <v>43</v>
      </c>
      <c r="E23" s="9">
        <f>E21/E19</f>
        <v>0.61313868613138689</v>
      </c>
      <c r="F23" s="9">
        <f t="shared" ref="F23:P23" si="2">F20/F19</f>
        <v>1</v>
      </c>
      <c r="G23" s="9" t="e">
        <f t="shared" si="2"/>
        <v>#DIV/0!</v>
      </c>
      <c r="H23" s="9" t="e">
        <f t="shared" si="2"/>
        <v>#DIV/0!</v>
      </c>
      <c r="I23" s="9" t="e">
        <f t="shared" si="2"/>
        <v>#DIV/0!</v>
      </c>
      <c r="J23" s="9" t="e">
        <f t="shared" si="2"/>
        <v>#DIV/0!</v>
      </c>
      <c r="K23" s="9" t="e">
        <f t="shared" si="2"/>
        <v>#DIV/0!</v>
      </c>
      <c r="L23" s="9" t="e">
        <f t="shared" si="2"/>
        <v>#DIV/0!</v>
      </c>
      <c r="M23" s="9" t="e">
        <f t="shared" si="2"/>
        <v>#DIV/0!</v>
      </c>
      <c r="N23" s="9" t="e">
        <f t="shared" si="2"/>
        <v>#DIV/0!</v>
      </c>
      <c r="O23" s="9" t="e">
        <f t="shared" si="2"/>
        <v>#DIV/0!</v>
      </c>
      <c r="P23" s="9" t="e">
        <f t="shared" si="2"/>
        <v>#DIV/0!</v>
      </c>
    </row>
    <row r="25" spans="3:17" x14ac:dyDescent="0.35">
      <c r="C25" s="7" t="s">
        <v>3</v>
      </c>
      <c r="E25" s="11">
        <f>E18</f>
        <v>44743</v>
      </c>
      <c r="F25" s="11">
        <f t="shared" ref="F25:P25" si="3">F18</f>
        <v>44774</v>
      </c>
      <c r="G25" s="11">
        <f t="shared" si="3"/>
        <v>44805</v>
      </c>
      <c r="H25" s="11">
        <f t="shared" si="3"/>
        <v>44835</v>
      </c>
      <c r="I25" s="11">
        <f t="shared" si="3"/>
        <v>44866</v>
      </c>
      <c r="J25" s="11">
        <f t="shared" si="3"/>
        <v>44896</v>
      </c>
      <c r="K25" s="11">
        <f t="shared" si="3"/>
        <v>44927</v>
      </c>
      <c r="L25" s="11">
        <f t="shared" si="3"/>
        <v>44958</v>
      </c>
      <c r="M25" s="11">
        <f t="shared" si="3"/>
        <v>44986</v>
      </c>
      <c r="N25" s="11">
        <f t="shared" si="3"/>
        <v>45017</v>
      </c>
      <c r="O25" s="11">
        <f t="shared" si="3"/>
        <v>45047</v>
      </c>
      <c r="P25" s="11">
        <f t="shared" si="3"/>
        <v>45078</v>
      </c>
    </row>
    <row r="26" spans="3:17" x14ac:dyDescent="0.35">
      <c r="D26" s="3" t="str">
        <f>D19</f>
        <v>Budget 2022-23</v>
      </c>
      <c r="E26" s="5">
        <f>SUM($E19:E19)</f>
        <v>411</v>
      </c>
      <c r="F26" s="5">
        <f>SUM($E19:F19)</f>
        <v>858</v>
      </c>
      <c r="G26" s="5">
        <f>SUM($E19:G19)</f>
        <v>858</v>
      </c>
      <c r="H26" s="5">
        <f>SUM($E19:H19)</f>
        <v>858</v>
      </c>
      <c r="I26" s="5">
        <f>SUM($E19:I19)</f>
        <v>858</v>
      </c>
      <c r="J26" s="5">
        <f>SUM($E19:J19)</f>
        <v>858</v>
      </c>
      <c r="K26" s="5">
        <f>SUM($E19:K19)</f>
        <v>858</v>
      </c>
      <c r="L26" s="5">
        <f>SUM($E19:L19)</f>
        <v>858</v>
      </c>
      <c r="M26" s="5">
        <f>SUM($E19:M19)</f>
        <v>858</v>
      </c>
      <c r="N26" s="5">
        <f>SUM($E19:N19)</f>
        <v>858</v>
      </c>
      <c r="O26" s="5">
        <f>SUM($E19:O19)</f>
        <v>858</v>
      </c>
      <c r="P26" s="5">
        <f>SUM($E19:P19)</f>
        <v>858</v>
      </c>
    </row>
    <row r="27" spans="3:17" x14ac:dyDescent="0.35">
      <c r="D27" s="3" t="str">
        <f t="shared" ref="D27:D30" si="4">D20</f>
        <v>Actual 2022-23</v>
      </c>
      <c r="E27" s="5">
        <f>SUM($E20:E20)</f>
        <v>411</v>
      </c>
      <c r="F27" s="5">
        <f>SUM($E20:F20)</f>
        <v>858</v>
      </c>
      <c r="G27" s="5">
        <f>SUM($E20:G20)</f>
        <v>858</v>
      </c>
      <c r="H27" s="5">
        <f>SUM($E20:H20)</f>
        <v>858</v>
      </c>
      <c r="I27" s="5">
        <f>SUM($E20:I20)</f>
        <v>858</v>
      </c>
      <c r="J27" s="5">
        <f>SUM($E20:J20)</f>
        <v>858</v>
      </c>
      <c r="K27" s="5">
        <f>SUM($E20:K20)</f>
        <v>858</v>
      </c>
      <c r="L27" s="5">
        <f>SUM($E20:L20)</f>
        <v>858</v>
      </c>
      <c r="M27" s="5">
        <f>SUM($E20:M20)</f>
        <v>858</v>
      </c>
      <c r="N27" s="5">
        <f>SUM($E20:N20)</f>
        <v>858</v>
      </c>
      <c r="O27" s="5">
        <f>SUM($E20:O20)</f>
        <v>858</v>
      </c>
      <c r="P27" s="5">
        <f>SUM($E20:P20)</f>
        <v>858</v>
      </c>
    </row>
    <row r="28" spans="3:17" x14ac:dyDescent="0.35">
      <c r="D28" s="3" t="str">
        <f t="shared" si="4"/>
        <v>Actual 2021-22</v>
      </c>
      <c r="E28" s="5">
        <f>SUM($E21:E21)</f>
        <v>252</v>
      </c>
      <c r="F28" s="5">
        <f>SUM($E21:F21)</f>
        <v>669</v>
      </c>
      <c r="G28" s="5">
        <f>SUM($E21:G21)</f>
        <v>941</v>
      </c>
      <c r="H28" s="5">
        <f>SUM($E21:H21)</f>
        <v>1199</v>
      </c>
      <c r="I28" s="5">
        <f>SUM($E21:I21)</f>
        <v>1505</v>
      </c>
      <c r="J28" s="5">
        <f>SUM($E21:J21)</f>
        <v>1774</v>
      </c>
      <c r="K28" s="5">
        <f>SUM($E21:K21)</f>
        <v>1993</v>
      </c>
      <c r="L28" s="5">
        <f>SUM($E21:L21)</f>
        <v>3107</v>
      </c>
      <c r="M28" s="5">
        <f>SUM($E21:M21)</f>
        <v>4520</v>
      </c>
      <c r="N28" s="5">
        <f>SUM($E21:N21)</f>
        <v>5690</v>
      </c>
      <c r="O28" s="5">
        <f>SUM($E21:O21)</f>
        <v>6000</v>
      </c>
      <c r="P28" s="5">
        <f>SUM($E21:P21)</f>
        <v>6216</v>
      </c>
    </row>
    <row r="29" spans="3:17" x14ac:dyDescent="0.35">
      <c r="D29" s="3" t="str">
        <f t="shared" si="4"/>
        <v>Difference</v>
      </c>
      <c r="E29" s="5">
        <f>SUM($E22:E22)</f>
        <v>0</v>
      </c>
      <c r="F29" s="5">
        <f>SUM($E22:F22)</f>
        <v>0</v>
      </c>
      <c r="G29" s="5">
        <f>SUM($E22:G22)</f>
        <v>0</v>
      </c>
      <c r="H29" s="5">
        <f>SUM($E22:H22)</f>
        <v>0</v>
      </c>
      <c r="I29" s="5">
        <f>SUM($E22:I22)</f>
        <v>0</v>
      </c>
      <c r="J29" s="5">
        <f>SUM($E22:J22)</f>
        <v>0</v>
      </c>
      <c r="K29" s="5">
        <f>SUM($E22:K22)</f>
        <v>0</v>
      </c>
      <c r="L29" s="5">
        <f>SUM($E22:L22)</f>
        <v>0</v>
      </c>
      <c r="M29" s="5">
        <f>SUM($E22:M22)</f>
        <v>0</v>
      </c>
      <c r="N29" s="5">
        <f>SUM($E22:N22)</f>
        <v>0</v>
      </c>
      <c r="O29" s="5">
        <f>SUM($E22:O22)</f>
        <v>0</v>
      </c>
      <c r="P29" s="5">
        <f>SUM($E22:P22)</f>
        <v>0</v>
      </c>
    </row>
    <row r="30" spans="3:17" x14ac:dyDescent="0.35">
      <c r="D30" s="3" t="str">
        <f t="shared" si="4"/>
        <v>Realisation</v>
      </c>
      <c r="E30" s="9">
        <f>E28/E26</f>
        <v>0.61313868613138689</v>
      </c>
      <c r="F30" s="9">
        <f t="shared" ref="F30:P30" si="5">F27/F26</f>
        <v>1</v>
      </c>
      <c r="G30" s="9">
        <f t="shared" si="5"/>
        <v>1</v>
      </c>
      <c r="H30" s="9">
        <f t="shared" si="5"/>
        <v>1</v>
      </c>
      <c r="I30" s="9">
        <f t="shared" si="5"/>
        <v>1</v>
      </c>
      <c r="J30" s="9">
        <f t="shared" si="5"/>
        <v>1</v>
      </c>
      <c r="K30" s="9">
        <f t="shared" si="5"/>
        <v>1</v>
      </c>
      <c r="L30" s="9">
        <f t="shared" si="5"/>
        <v>1</v>
      </c>
      <c r="M30" s="9">
        <f t="shared" si="5"/>
        <v>1</v>
      </c>
      <c r="N30" s="9">
        <f t="shared" si="5"/>
        <v>1</v>
      </c>
      <c r="O30" s="9">
        <f t="shared" si="5"/>
        <v>1</v>
      </c>
      <c r="P30" s="9">
        <f t="shared" si="5"/>
        <v>1</v>
      </c>
    </row>
  </sheetData>
  <mergeCells count="2">
    <mergeCell ref="J4:Q8"/>
    <mergeCell ref="J10:Q15"/>
  </mergeCells>
  <conditionalFormatting sqref="C3">
    <cfRule type="expression" dxfId="17" priority="2">
      <formula>S4&lt;S6</formula>
    </cfRule>
  </conditionalFormatting>
  <conditionalFormatting sqref="C5">
    <cfRule type="expression" dxfId="16" priority="3">
      <formula>S4&gt;=S5</formula>
    </cfRule>
  </conditionalFormatting>
  <conditionalFormatting sqref="C4">
    <cfRule type="expression" dxfId="15" priority="1">
      <formula>AND(S4&gt;=S6,S4&lt;S5)</formula>
    </cfRule>
  </conditionalFormatting>
  <hyperlinks>
    <hyperlink ref="L1" location="Dashboard!A1" display="Dashboard"/>
  </hyperlinks>
  <pageMargins left="0.7" right="0.7" top="0.75" bottom="0.75" header="0.3" footer="0.3"/>
  <pageSetup orientation="portrait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93633" r:id="rId4" name="Spinner 1">
              <controlPr defaultSize="0" autoPict="0">
                <anchor moveWithCells="1" sizeWithCells="1">
                  <from>
                    <xdr:col>9</xdr:col>
                    <xdr:colOff>19050</xdr:colOff>
                    <xdr:row>0</xdr:row>
                    <xdr:rowOff>38100</xdr:rowOff>
                  </from>
                  <to>
                    <xdr:col>9</xdr:col>
                    <xdr:colOff>400050</xdr:colOff>
                    <xdr:row>1</xdr:row>
                    <xdr:rowOff>152400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19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150"/>
  <dimension ref="A1:S30"/>
  <sheetViews>
    <sheetView zoomScale="90" zoomScaleNormal="90" workbookViewId="0">
      <selection activeCell="D22" sqref="D22"/>
    </sheetView>
  </sheetViews>
  <sheetFormatPr defaultColWidth="9.1796875" defaultRowHeight="14.5" x14ac:dyDescent="0.35"/>
  <cols>
    <col min="1" max="1" width="9.1796875" style="3"/>
    <col min="2" max="2" width="5.7265625" style="3" bestFit="1" customWidth="1"/>
    <col min="3" max="3" width="6.26953125" style="3" customWidth="1"/>
    <col min="4" max="4" width="21.26953125" style="3" bestFit="1" customWidth="1"/>
    <col min="5" max="16" width="11.1796875" style="3" customWidth="1"/>
    <col min="17" max="17" width="12" style="3" bestFit="1" customWidth="1"/>
    <col min="18" max="18" width="9.1796875" style="3" customWidth="1"/>
    <col min="19" max="16384" width="9.1796875" style="3"/>
  </cols>
  <sheetData>
    <row r="1" spans="1:19" ht="21" x14ac:dyDescent="0.5">
      <c r="A1" s="4" t="s">
        <v>4</v>
      </c>
      <c r="B1" s="4">
        <f>Dashboard!A219</f>
        <v>2</v>
      </c>
      <c r="C1" s="4" t="str">
        <f>Dashboard!B219</f>
        <v>NO. COMPLAINTS SOLVED</v>
      </c>
      <c r="D1" s="4"/>
      <c r="G1" s="3" t="s">
        <v>9</v>
      </c>
      <c r="I1" s="12">
        <f>INDEX($E$18:$P$18,Actual_month)</f>
        <v>44958</v>
      </c>
      <c r="L1" s="16" t="s">
        <v>19</v>
      </c>
      <c r="R1" s="5"/>
    </row>
    <row r="2" spans="1:19" x14ac:dyDescent="0.35">
      <c r="A2" s="3" t="s">
        <v>13</v>
      </c>
      <c r="C2" s="3" t="s">
        <v>27</v>
      </c>
      <c r="R2" s="6"/>
    </row>
    <row r="3" spans="1:19" ht="25.5" customHeight="1" thickBot="1" x14ac:dyDescent="0.4">
      <c r="C3" s="1" t="s">
        <v>5</v>
      </c>
      <c r="E3" s="10"/>
      <c r="F3" s="10"/>
      <c r="G3" s="10"/>
      <c r="H3" s="10"/>
      <c r="I3" s="10"/>
      <c r="J3" s="3" t="s">
        <v>6</v>
      </c>
      <c r="K3" s="10"/>
      <c r="M3" s="10"/>
      <c r="N3" s="10"/>
      <c r="O3" s="10"/>
      <c r="P3" s="10"/>
    </row>
    <row r="4" spans="1:19" ht="25.5" customHeight="1" x14ac:dyDescent="0.35">
      <c r="C4" s="1" t="s">
        <v>5</v>
      </c>
      <c r="E4" s="10"/>
      <c r="F4" s="10"/>
      <c r="G4" s="10"/>
      <c r="H4" s="10"/>
      <c r="I4" s="10"/>
      <c r="J4" s="401"/>
      <c r="K4" s="402"/>
      <c r="L4" s="402"/>
      <c r="M4" s="402"/>
      <c r="N4" s="402"/>
      <c r="O4" s="402"/>
      <c r="P4" s="402"/>
      <c r="Q4" s="403"/>
      <c r="R4" s="3" t="s">
        <v>22</v>
      </c>
      <c r="S4" s="5">
        <f>INDEX(E27:P27,Actual_month)</f>
        <v>801</v>
      </c>
    </row>
    <row r="5" spans="1:19" ht="25.5" customHeight="1" x14ac:dyDescent="0.35">
      <c r="C5" s="1" t="s">
        <v>5</v>
      </c>
      <c r="E5" s="10"/>
      <c r="F5" s="10"/>
      <c r="G5" s="10"/>
      <c r="H5" s="10"/>
      <c r="I5" s="10"/>
      <c r="J5" s="404"/>
      <c r="K5" s="405"/>
      <c r="L5" s="405"/>
      <c r="M5" s="405"/>
      <c r="N5" s="405"/>
      <c r="O5" s="405"/>
      <c r="P5" s="405"/>
      <c r="Q5" s="406"/>
      <c r="R5" s="3" t="s">
        <v>23</v>
      </c>
      <c r="S5" s="5">
        <f>INDEX(E26:P26,Actual_month)</f>
        <v>772.2</v>
      </c>
    </row>
    <row r="6" spans="1:19" x14ac:dyDescent="0.35">
      <c r="J6" s="404"/>
      <c r="K6" s="405"/>
      <c r="L6" s="405"/>
      <c r="M6" s="405"/>
      <c r="N6" s="405"/>
      <c r="O6" s="405"/>
      <c r="P6" s="405"/>
      <c r="Q6" s="406"/>
      <c r="R6" s="6">
        <v>0.9</v>
      </c>
      <c r="S6" s="5">
        <f>+S5*R6</f>
        <v>694.98</v>
      </c>
    </row>
    <row r="7" spans="1:19" x14ac:dyDescent="0.35">
      <c r="J7" s="404"/>
      <c r="K7" s="405"/>
      <c r="L7" s="405"/>
      <c r="M7" s="405"/>
      <c r="N7" s="405"/>
      <c r="O7" s="405"/>
      <c r="P7" s="405"/>
      <c r="Q7" s="406"/>
    </row>
    <row r="8" spans="1:19" ht="15" thickBot="1" x14ac:dyDescent="0.4">
      <c r="J8" s="407"/>
      <c r="K8" s="408"/>
      <c r="L8" s="408"/>
      <c r="M8" s="408"/>
      <c r="N8" s="408"/>
      <c r="O8" s="408"/>
      <c r="P8" s="408"/>
      <c r="Q8" s="409"/>
    </row>
    <row r="9" spans="1:19" ht="15" thickBot="1" x14ac:dyDescent="0.4">
      <c r="J9" s="3" t="s">
        <v>12</v>
      </c>
    </row>
    <row r="10" spans="1:19" x14ac:dyDescent="0.35">
      <c r="J10" s="401"/>
      <c r="K10" s="402"/>
      <c r="L10" s="402"/>
      <c r="M10" s="402"/>
      <c r="N10" s="402"/>
      <c r="O10" s="402"/>
      <c r="P10" s="402"/>
      <c r="Q10" s="403"/>
    </row>
    <row r="11" spans="1:19" x14ac:dyDescent="0.35">
      <c r="J11" s="404"/>
      <c r="K11" s="405"/>
      <c r="L11" s="405"/>
      <c r="M11" s="405"/>
      <c r="N11" s="405"/>
      <c r="O11" s="405"/>
      <c r="P11" s="405"/>
      <c r="Q11" s="406"/>
    </row>
    <row r="12" spans="1:19" x14ac:dyDescent="0.35">
      <c r="J12" s="404"/>
      <c r="K12" s="405"/>
      <c r="L12" s="405"/>
      <c r="M12" s="405"/>
      <c r="N12" s="405"/>
      <c r="O12" s="405"/>
      <c r="P12" s="405"/>
      <c r="Q12" s="406"/>
    </row>
    <row r="13" spans="1:19" x14ac:dyDescent="0.35">
      <c r="J13" s="404"/>
      <c r="K13" s="405"/>
      <c r="L13" s="405"/>
      <c r="M13" s="405"/>
      <c r="N13" s="405"/>
      <c r="O13" s="405"/>
      <c r="P13" s="405"/>
      <c r="Q13" s="406"/>
    </row>
    <row r="14" spans="1:19" x14ac:dyDescent="0.35">
      <c r="J14" s="404"/>
      <c r="K14" s="405"/>
      <c r="L14" s="405"/>
      <c r="M14" s="405"/>
      <c r="N14" s="405"/>
      <c r="O14" s="405"/>
      <c r="P14" s="405"/>
      <c r="Q14" s="406"/>
    </row>
    <row r="15" spans="1:19" ht="15" thickBot="1" x14ac:dyDescent="0.4">
      <c r="J15" s="407"/>
      <c r="K15" s="408"/>
      <c r="L15" s="408"/>
      <c r="M15" s="408"/>
      <c r="N15" s="408"/>
      <c r="O15" s="408"/>
      <c r="P15" s="408"/>
      <c r="Q15" s="409"/>
    </row>
    <row r="18" spans="3:17" x14ac:dyDescent="0.35">
      <c r="C18" s="7" t="s">
        <v>8</v>
      </c>
      <c r="E18" s="11">
        <v>44743</v>
      </c>
      <c r="F18" s="11">
        <v>44774</v>
      </c>
      <c r="G18" s="11">
        <v>44805</v>
      </c>
      <c r="H18" s="11">
        <v>44835</v>
      </c>
      <c r="I18" s="11">
        <v>44866</v>
      </c>
      <c r="J18" s="11">
        <v>44896</v>
      </c>
      <c r="K18" s="11">
        <v>44927</v>
      </c>
      <c r="L18" s="11">
        <v>44958</v>
      </c>
      <c r="M18" s="11">
        <v>44986</v>
      </c>
      <c r="N18" s="11">
        <v>45017</v>
      </c>
      <c r="O18" s="11">
        <v>45047</v>
      </c>
      <c r="P18" s="11">
        <v>45078</v>
      </c>
      <c r="Q18" s="8" t="s">
        <v>0</v>
      </c>
    </row>
    <row r="19" spans="3:17" x14ac:dyDescent="0.35">
      <c r="D19" s="3" t="s">
        <v>195</v>
      </c>
      <c r="E19" s="49">
        <f>'budget 2025-26'!D207</f>
        <v>369.90000000000003</v>
      </c>
      <c r="F19" s="49">
        <f>'budget 2025-26'!E207</f>
        <v>402.3</v>
      </c>
      <c r="G19" s="49">
        <f>'budget 2025-26'!F207</f>
        <v>0</v>
      </c>
      <c r="H19" s="49">
        <f>'budget 2025-26'!G207</f>
        <v>0</v>
      </c>
      <c r="I19" s="49">
        <f>'budget 2025-26'!H207</f>
        <v>0</v>
      </c>
      <c r="J19" s="49">
        <f>'budget 2025-26'!I207</f>
        <v>0</v>
      </c>
      <c r="K19" s="49">
        <f>'budget 2025-26'!J207</f>
        <v>0</v>
      </c>
      <c r="L19" s="49">
        <f>'budget 2025-26'!K207</f>
        <v>0</v>
      </c>
      <c r="M19" s="49">
        <f>'budget 2025-26'!L207</f>
        <v>0</v>
      </c>
      <c r="N19" s="49">
        <f>'budget 2025-26'!M207</f>
        <v>0</v>
      </c>
      <c r="O19" s="49">
        <f>'budget 2025-26'!N207</f>
        <v>0</v>
      </c>
      <c r="P19" s="49">
        <f>'budget 2025-26'!O207</f>
        <v>0</v>
      </c>
      <c r="Q19" s="5">
        <f>SUM(E19:P19)</f>
        <v>772.2</v>
      </c>
    </row>
    <row r="20" spans="3:17" x14ac:dyDescent="0.35">
      <c r="D20" s="3" t="s">
        <v>196</v>
      </c>
      <c r="E20" s="49">
        <f>'actual 2022-23'!D167</f>
        <v>383</v>
      </c>
      <c r="F20" s="49">
        <f>'actual 2022-23'!E167</f>
        <v>418</v>
      </c>
      <c r="G20" s="49">
        <f>'actual 2022-23'!F167</f>
        <v>0</v>
      </c>
      <c r="H20" s="49">
        <f>'actual 2022-23'!G167</f>
        <v>0</v>
      </c>
      <c r="I20" s="49">
        <f>'actual 2022-23'!H167</f>
        <v>0</v>
      </c>
      <c r="J20" s="49">
        <f>'actual 2022-23'!I167</f>
        <v>0</v>
      </c>
      <c r="K20" s="49">
        <f>'actual 2022-23'!J167</f>
        <v>0</v>
      </c>
      <c r="L20" s="49">
        <f>'actual 2022-23'!K167</f>
        <v>0</v>
      </c>
      <c r="M20" s="49">
        <f>'actual 2022-23'!L167</f>
        <v>0</v>
      </c>
      <c r="N20" s="49">
        <f>'actual 2022-23'!M167</f>
        <v>0</v>
      </c>
      <c r="O20" s="49">
        <f>'actual 2022-23'!N167</f>
        <v>0</v>
      </c>
      <c r="P20" s="49">
        <f>'actual 2022-23'!O167</f>
        <v>0</v>
      </c>
      <c r="Q20" s="5">
        <f t="shared" ref="Q20:Q22" si="0">SUM(E20:P20)</f>
        <v>801</v>
      </c>
    </row>
    <row r="21" spans="3:17" x14ac:dyDescent="0.35">
      <c r="D21" s="3" t="s">
        <v>42</v>
      </c>
      <c r="E21" s="49">
        <f>'actual 2021-22'!D164</f>
        <v>237</v>
      </c>
      <c r="F21" s="49">
        <f>'actual 2021-22'!E164</f>
        <v>384</v>
      </c>
      <c r="G21" s="49">
        <f>'actual 2021-22'!F164</f>
        <v>246</v>
      </c>
      <c r="H21" s="49">
        <f>'actual 2021-22'!G164</f>
        <v>236</v>
      </c>
      <c r="I21" s="49">
        <f>'actual 2021-22'!H164</f>
        <v>257</v>
      </c>
      <c r="J21" s="49">
        <f>'actual 2021-22'!I164</f>
        <v>211</v>
      </c>
      <c r="K21" s="49">
        <f>'actual 2021-22'!J164</f>
        <v>84</v>
      </c>
      <c r="L21" s="49">
        <f>'actual 2021-22'!K164</f>
        <v>719</v>
      </c>
      <c r="M21" s="49">
        <f>'actual 2021-22'!L164</f>
        <v>1003</v>
      </c>
      <c r="N21" s="49">
        <f>'actual 2021-22'!M164</f>
        <v>1047</v>
      </c>
      <c r="O21" s="49">
        <f>'actual 2021-22'!N164</f>
        <v>234</v>
      </c>
      <c r="P21" s="49">
        <f>'actual 2021-22'!O164</f>
        <v>99</v>
      </c>
      <c r="Q21" s="5">
        <f t="shared" si="0"/>
        <v>4757</v>
      </c>
    </row>
    <row r="22" spans="3:17" x14ac:dyDescent="0.35">
      <c r="D22" s="3" t="s">
        <v>7</v>
      </c>
      <c r="E22" s="5">
        <f t="shared" ref="E22:P22" si="1">IF(E20=0,0,E20-E19)</f>
        <v>13.099999999999966</v>
      </c>
      <c r="F22" s="5">
        <f t="shared" si="1"/>
        <v>15.699999999999989</v>
      </c>
      <c r="G22" s="5">
        <f t="shared" si="1"/>
        <v>0</v>
      </c>
      <c r="H22" s="5">
        <f t="shared" si="1"/>
        <v>0</v>
      </c>
      <c r="I22" s="5">
        <f t="shared" si="1"/>
        <v>0</v>
      </c>
      <c r="J22" s="5">
        <f t="shared" si="1"/>
        <v>0</v>
      </c>
      <c r="K22" s="5">
        <f t="shared" si="1"/>
        <v>0</v>
      </c>
      <c r="L22" s="5">
        <f t="shared" si="1"/>
        <v>0</v>
      </c>
      <c r="M22" s="5">
        <f t="shared" si="1"/>
        <v>0</v>
      </c>
      <c r="N22" s="5">
        <f t="shared" si="1"/>
        <v>0</v>
      </c>
      <c r="O22" s="5">
        <f t="shared" si="1"/>
        <v>0</v>
      </c>
      <c r="P22" s="5">
        <f t="shared" si="1"/>
        <v>0</v>
      </c>
      <c r="Q22" s="5">
        <f t="shared" si="0"/>
        <v>28.799999999999955</v>
      </c>
    </row>
    <row r="23" spans="3:17" x14ac:dyDescent="0.35">
      <c r="D23" s="3" t="s">
        <v>43</v>
      </c>
      <c r="E23" s="9">
        <f>E21/E19</f>
        <v>0.64071370640713698</v>
      </c>
      <c r="F23" s="9">
        <f t="shared" ref="F23:P23" si="2">F20/F19</f>
        <v>1.0390256027839919</v>
      </c>
      <c r="G23" s="9" t="e">
        <f t="shared" si="2"/>
        <v>#DIV/0!</v>
      </c>
      <c r="H23" s="9" t="e">
        <f t="shared" si="2"/>
        <v>#DIV/0!</v>
      </c>
      <c r="I23" s="9" t="e">
        <f t="shared" si="2"/>
        <v>#DIV/0!</v>
      </c>
      <c r="J23" s="9" t="e">
        <f t="shared" si="2"/>
        <v>#DIV/0!</v>
      </c>
      <c r="K23" s="9" t="e">
        <f t="shared" si="2"/>
        <v>#DIV/0!</v>
      </c>
      <c r="L23" s="9" t="e">
        <f t="shared" si="2"/>
        <v>#DIV/0!</v>
      </c>
      <c r="M23" s="9" t="e">
        <f t="shared" si="2"/>
        <v>#DIV/0!</v>
      </c>
      <c r="N23" s="9" t="e">
        <f t="shared" si="2"/>
        <v>#DIV/0!</v>
      </c>
      <c r="O23" s="9" t="e">
        <f t="shared" si="2"/>
        <v>#DIV/0!</v>
      </c>
      <c r="P23" s="9" t="e">
        <f t="shared" si="2"/>
        <v>#DIV/0!</v>
      </c>
    </row>
    <row r="25" spans="3:17" x14ac:dyDescent="0.35">
      <c r="C25" s="7" t="s">
        <v>3</v>
      </c>
      <c r="E25" s="11">
        <f>E18</f>
        <v>44743</v>
      </c>
      <c r="F25" s="11">
        <f t="shared" ref="F25:P25" si="3">F18</f>
        <v>44774</v>
      </c>
      <c r="G25" s="11">
        <f t="shared" si="3"/>
        <v>44805</v>
      </c>
      <c r="H25" s="11">
        <f t="shared" si="3"/>
        <v>44835</v>
      </c>
      <c r="I25" s="11">
        <f t="shared" si="3"/>
        <v>44866</v>
      </c>
      <c r="J25" s="11">
        <f t="shared" si="3"/>
        <v>44896</v>
      </c>
      <c r="K25" s="11">
        <f t="shared" si="3"/>
        <v>44927</v>
      </c>
      <c r="L25" s="11">
        <f t="shared" si="3"/>
        <v>44958</v>
      </c>
      <c r="M25" s="11">
        <f t="shared" si="3"/>
        <v>44986</v>
      </c>
      <c r="N25" s="11">
        <f t="shared" si="3"/>
        <v>45017</v>
      </c>
      <c r="O25" s="11">
        <f t="shared" si="3"/>
        <v>45047</v>
      </c>
      <c r="P25" s="11">
        <f t="shared" si="3"/>
        <v>45078</v>
      </c>
    </row>
    <row r="26" spans="3:17" x14ac:dyDescent="0.35">
      <c r="D26" s="3" t="str">
        <f>D19</f>
        <v>Budget 2022-23</v>
      </c>
      <c r="E26" s="5">
        <f>SUM($E19:E19)</f>
        <v>369.90000000000003</v>
      </c>
      <c r="F26" s="5">
        <f>SUM($E19:F19)</f>
        <v>772.2</v>
      </c>
      <c r="G26" s="5">
        <f>SUM($E19:G19)</f>
        <v>772.2</v>
      </c>
      <c r="H26" s="5">
        <f>SUM($E19:H19)</f>
        <v>772.2</v>
      </c>
      <c r="I26" s="5">
        <f>SUM($E19:I19)</f>
        <v>772.2</v>
      </c>
      <c r="J26" s="5">
        <f>SUM($E19:J19)</f>
        <v>772.2</v>
      </c>
      <c r="K26" s="5">
        <f>SUM($E19:K19)</f>
        <v>772.2</v>
      </c>
      <c r="L26" s="5">
        <f>SUM($E19:L19)</f>
        <v>772.2</v>
      </c>
      <c r="M26" s="5">
        <f>SUM($E19:M19)</f>
        <v>772.2</v>
      </c>
      <c r="N26" s="5">
        <f>SUM($E19:N19)</f>
        <v>772.2</v>
      </c>
      <c r="O26" s="5">
        <f>SUM($E19:O19)</f>
        <v>772.2</v>
      </c>
      <c r="P26" s="5">
        <f>SUM($E19:P19)</f>
        <v>772.2</v>
      </c>
    </row>
    <row r="27" spans="3:17" x14ac:dyDescent="0.35">
      <c r="D27" s="3" t="str">
        <f t="shared" ref="D27:D30" si="4">D20</f>
        <v>Actual 2022-23</v>
      </c>
      <c r="E27" s="5">
        <f>SUM($E20:E20)</f>
        <v>383</v>
      </c>
      <c r="F27" s="5">
        <f>SUM($E20:F20)</f>
        <v>801</v>
      </c>
      <c r="G27" s="5">
        <f>SUM($E20:G20)</f>
        <v>801</v>
      </c>
      <c r="H27" s="5">
        <f>SUM($E20:H20)</f>
        <v>801</v>
      </c>
      <c r="I27" s="5">
        <f>SUM($E20:I20)</f>
        <v>801</v>
      </c>
      <c r="J27" s="5">
        <f>SUM($E20:J20)</f>
        <v>801</v>
      </c>
      <c r="K27" s="5">
        <f>SUM($E20:K20)</f>
        <v>801</v>
      </c>
      <c r="L27" s="5">
        <f>SUM($E20:L20)</f>
        <v>801</v>
      </c>
      <c r="M27" s="5">
        <f>SUM($E20:M20)</f>
        <v>801</v>
      </c>
      <c r="N27" s="5">
        <f>SUM($E20:N20)</f>
        <v>801</v>
      </c>
      <c r="O27" s="5">
        <f>SUM($E20:O20)</f>
        <v>801</v>
      </c>
      <c r="P27" s="5">
        <f>SUM($E20:P20)</f>
        <v>801</v>
      </c>
    </row>
    <row r="28" spans="3:17" x14ac:dyDescent="0.35">
      <c r="D28" s="3" t="str">
        <f t="shared" si="4"/>
        <v>Actual 2021-22</v>
      </c>
      <c r="E28" s="5">
        <f>SUM($E21:E21)</f>
        <v>237</v>
      </c>
      <c r="F28" s="5">
        <f>SUM($E21:F21)</f>
        <v>621</v>
      </c>
      <c r="G28" s="5">
        <f>SUM($E21:G21)</f>
        <v>867</v>
      </c>
      <c r="H28" s="5">
        <f>SUM($E21:H21)</f>
        <v>1103</v>
      </c>
      <c r="I28" s="5">
        <f>SUM($E21:I21)</f>
        <v>1360</v>
      </c>
      <c r="J28" s="5">
        <f>SUM($E21:J21)</f>
        <v>1571</v>
      </c>
      <c r="K28" s="5">
        <f>SUM($E21:K21)</f>
        <v>1655</v>
      </c>
      <c r="L28" s="5">
        <f>SUM($E21:L21)</f>
        <v>2374</v>
      </c>
      <c r="M28" s="5">
        <f>SUM($E21:M21)</f>
        <v>3377</v>
      </c>
      <c r="N28" s="5">
        <f>SUM($E21:N21)</f>
        <v>4424</v>
      </c>
      <c r="O28" s="5">
        <f>SUM($E21:O21)</f>
        <v>4658</v>
      </c>
      <c r="P28" s="5">
        <f>SUM($E21:P21)</f>
        <v>4757</v>
      </c>
    </row>
    <row r="29" spans="3:17" x14ac:dyDescent="0.35">
      <c r="D29" s="3" t="str">
        <f t="shared" si="4"/>
        <v>Difference</v>
      </c>
      <c r="E29" s="5">
        <f>SUM($E22:E22)</f>
        <v>13.099999999999966</v>
      </c>
      <c r="F29" s="5">
        <f>SUM($E22:F22)</f>
        <v>28.799999999999955</v>
      </c>
      <c r="G29" s="5">
        <f>SUM($E22:G22)</f>
        <v>28.799999999999955</v>
      </c>
      <c r="H29" s="5">
        <f>SUM($E22:H22)</f>
        <v>28.799999999999955</v>
      </c>
      <c r="I29" s="5">
        <f>SUM($E22:I22)</f>
        <v>28.799999999999955</v>
      </c>
      <c r="J29" s="5">
        <f>SUM($E22:J22)</f>
        <v>28.799999999999955</v>
      </c>
      <c r="K29" s="5">
        <f>SUM($E22:K22)</f>
        <v>28.799999999999955</v>
      </c>
      <c r="L29" s="5">
        <f>SUM($E22:L22)</f>
        <v>28.799999999999955</v>
      </c>
      <c r="M29" s="5">
        <f>SUM($E22:M22)</f>
        <v>28.799999999999955</v>
      </c>
      <c r="N29" s="5">
        <f>SUM($E22:N22)</f>
        <v>28.799999999999955</v>
      </c>
      <c r="O29" s="5">
        <f>SUM($E22:O22)</f>
        <v>28.799999999999955</v>
      </c>
      <c r="P29" s="5">
        <f>SUM($E22:P22)</f>
        <v>28.799999999999955</v>
      </c>
    </row>
    <row r="30" spans="3:17" x14ac:dyDescent="0.35">
      <c r="D30" s="3" t="str">
        <f t="shared" si="4"/>
        <v>Realisation</v>
      </c>
      <c r="E30" s="9">
        <f>E28/E26</f>
        <v>0.64071370640713698</v>
      </c>
      <c r="F30" s="9">
        <f t="shared" ref="F30:P30" si="5">F27/F26</f>
        <v>1.0372960372960371</v>
      </c>
      <c r="G30" s="9">
        <f t="shared" si="5"/>
        <v>1.0372960372960371</v>
      </c>
      <c r="H30" s="9">
        <f t="shared" si="5"/>
        <v>1.0372960372960371</v>
      </c>
      <c r="I30" s="9">
        <f t="shared" si="5"/>
        <v>1.0372960372960371</v>
      </c>
      <c r="J30" s="9">
        <f t="shared" si="5"/>
        <v>1.0372960372960371</v>
      </c>
      <c r="K30" s="9">
        <f t="shared" si="5"/>
        <v>1.0372960372960371</v>
      </c>
      <c r="L30" s="9">
        <f t="shared" si="5"/>
        <v>1.0372960372960371</v>
      </c>
      <c r="M30" s="9">
        <f t="shared" si="5"/>
        <v>1.0372960372960371</v>
      </c>
      <c r="N30" s="9">
        <f t="shared" si="5"/>
        <v>1.0372960372960371</v>
      </c>
      <c r="O30" s="9">
        <f t="shared" si="5"/>
        <v>1.0372960372960371</v>
      </c>
      <c r="P30" s="9">
        <f t="shared" si="5"/>
        <v>1.0372960372960371</v>
      </c>
    </row>
  </sheetData>
  <mergeCells count="2">
    <mergeCell ref="J4:Q8"/>
    <mergeCell ref="J10:Q15"/>
  </mergeCells>
  <conditionalFormatting sqref="C3">
    <cfRule type="expression" dxfId="14" priority="2">
      <formula>S4&lt;S6</formula>
    </cfRule>
  </conditionalFormatting>
  <conditionalFormatting sqref="C5">
    <cfRule type="expression" dxfId="13" priority="3">
      <formula>S4&gt;=S5</formula>
    </cfRule>
  </conditionalFormatting>
  <conditionalFormatting sqref="C4">
    <cfRule type="expression" dxfId="12" priority="1">
      <formula>AND(S4&gt;=S6,S4&lt;S5)</formula>
    </cfRule>
  </conditionalFormatting>
  <hyperlinks>
    <hyperlink ref="L1" location="Dashboard!A1" display="Dashboard"/>
  </hyperlinks>
  <pageMargins left="0.7" right="0.7" top="0.75" bottom="0.75" header="0.3" footer="0.3"/>
  <pageSetup orientation="portrait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94657" r:id="rId4" name="Spinner 1">
              <controlPr defaultSize="0" autoPict="0">
                <anchor moveWithCells="1" sizeWithCells="1">
                  <from>
                    <xdr:col>9</xdr:col>
                    <xdr:colOff>19050</xdr:colOff>
                    <xdr:row>0</xdr:row>
                    <xdr:rowOff>38100</xdr:rowOff>
                  </from>
                  <to>
                    <xdr:col>9</xdr:col>
                    <xdr:colOff>400050</xdr:colOff>
                    <xdr:row>1</xdr:row>
                    <xdr:rowOff>152400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19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151"/>
  <dimension ref="A1:S30"/>
  <sheetViews>
    <sheetView zoomScale="90" zoomScaleNormal="90" workbookViewId="0">
      <selection activeCell="D22" sqref="D22"/>
    </sheetView>
  </sheetViews>
  <sheetFormatPr defaultColWidth="9.1796875" defaultRowHeight="14.5" x14ac:dyDescent="0.35"/>
  <cols>
    <col min="1" max="1" width="9.1796875" style="3"/>
    <col min="2" max="2" width="5.7265625" style="3" bestFit="1" customWidth="1"/>
    <col min="3" max="3" width="6.26953125" style="3" customWidth="1"/>
    <col min="4" max="4" width="21.26953125" style="3" bestFit="1" customWidth="1"/>
    <col min="5" max="16" width="11.1796875" style="3" customWidth="1"/>
    <col min="17" max="17" width="12" style="3" bestFit="1" customWidth="1"/>
    <col min="18" max="18" width="9.1796875" style="3" customWidth="1"/>
    <col min="19" max="16384" width="9.1796875" style="3"/>
  </cols>
  <sheetData>
    <row r="1" spans="1:19" ht="21" x14ac:dyDescent="0.5">
      <c r="A1" s="4" t="s">
        <v>4</v>
      </c>
      <c r="B1" s="4">
        <f>Dashboard!A220</f>
        <v>3</v>
      </c>
      <c r="C1" s="4" t="str">
        <f>Dashboard!B220</f>
        <v>% RESOLUTION</v>
      </c>
      <c r="D1" s="4"/>
      <c r="G1" s="3" t="s">
        <v>9</v>
      </c>
      <c r="I1" s="12">
        <f>INDEX($E$18:$P$18,Actual_month)</f>
        <v>44958</v>
      </c>
      <c r="L1" s="16" t="s">
        <v>19</v>
      </c>
      <c r="R1" s="5"/>
    </row>
    <row r="2" spans="1:19" x14ac:dyDescent="0.35">
      <c r="A2" s="3" t="s">
        <v>13</v>
      </c>
      <c r="C2" s="3" t="s">
        <v>27</v>
      </c>
      <c r="R2" s="6"/>
    </row>
    <row r="3" spans="1:19" ht="25.5" customHeight="1" thickBot="1" x14ac:dyDescent="0.4">
      <c r="C3" s="1" t="s">
        <v>5</v>
      </c>
      <c r="E3" s="10"/>
      <c r="F3" s="10"/>
      <c r="G3" s="10"/>
      <c r="H3" s="10"/>
      <c r="I3" s="10"/>
      <c r="J3" s="3" t="s">
        <v>6</v>
      </c>
      <c r="K3" s="10"/>
      <c r="M3" s="10"/>
      <c r="N3" s="10"/>
      <c r="O3" s="10"/>
      <c r="P3" s="10"/>
    </row>
    <row r="4" spans="1:19" ht="25.5" customHeight="1" x14ac:dyDescent="0.35">
      <c r="C4" s="1" t="s">
        <v>5</v>
      </c>
      <c r="E4" s="10"/>
      <c r="F4" s="10"/>
      <c r="G4" s="10"/>
      <c r="H4" s="10"/>
      <c r="I4" s="10"/>
      <c r="J4" s="401"/>
      <c r="K4" s="402"/>
      <c r="L4" s="402"/>
      <c r="M4" s="402"/>
      <c r="N4" s="402"/>
      <c r="O4" s="402"/>
      <c r="P4" s="402"/>
      <c r="Q4" s="403"/>
      <c r="R4" s="3" t="s">
        <v>22</v>
      </c>
      <c r="S4" s="5" t="e">
        <f>INDEX(E27:P27,Actual_month)</f>
        <v>#DIV/0!</v>
      </c>
    </row>
    <row r="5" spans="1:19" ht="25.5" customHeight="1" x14ac:dyDescent="0.35">
      <c r="C5" s="1" t="s">
        <v>5</v>
      </c>
      <c r="E5" s="10"/>
      <c r="F5" s="10"/>
      <c r="G5" s="10"/>
      <c r="H5" s="10"/>
      <c r="I5" s="10"/>
      <c r="J5" s="404"/>
      <c r="K5" s="405"/>
      <c r="L5" s="405"/>
      <c r="M5" s="405"/>
      <c r="N5" s="405"/>
      <c r="O5" s="405"/>
      <c r="P5" s="405"/>
      <c r="Q5" s="406"/>
      <c r="R5" s="3" t="s">
        <v>23</v>
      </c>
      <c r="S5" s="5">
        <f>INDEX(E26:P26,Actual_month)</f>
        <v>0.90000000000000013</v>
      </c>
    </row>
    <row r="6" spans="1:19" x14ac:dyDescent="0.35">
      <c r="J6" s="404"/>
      <c r="K6" s="405"/>
      <c r="L6" s="405"/>
      <c r="M6" s="405"/>
      <c r="N6" s="405"/>
      <c r="O6" s="405"/>
      <c r="P6" s="405"/>
      <c r="Q6" s="406"/>
      <c r="R6" s="6">
        <v>0.9</v>
      </c>
      <c r="S6" s="5">
        <f>+S5*R6</f>
        <v>0.81000000000000016</v>
      </c>
    </row>
    <row r="7" spans="1:19" x14ac:dyDescent="0.35">
      <c r="J7" s="404"/>
      <c r="K7" s="405"/>
      <c r="L7" s="405"/>
      <c r="M7" s="405"/>
      <c r="N7" s="405"/>
      <c r="O7" s="405"/>
      <c r="P7" s="405"/>
      <c r="Q7" s="406"/>
    </row>
    <row r="8" spans="1:19" ht="15" thickBot="1" x14ac:dyDescent="0.4">
      <c r="J8" s="407"/>
      <c r="K8" s="408"/>
      <c r="L8" s="408"/>
      <c r="M8" s="408"/>
      <c r="N8" s="408"/>
      <c r="O8" s="408"/>
      <c r="P8" s="408"/>
      <c r="Q8" s="409"/>
    </row>
    <row r="9" spans="1:19" ht="15" thickBot="1" x14ac:dyDescent="0.4">
      <c r="J9" s="3" t="s">
        <v>12</v>
      </c>
    </row>
    <row r="10" spans="1:19" x14ac:dyDescent="0.35">
      <c r="J10" s="401"/>
      <c r="K10" s="402"/>
      <c r="L10" s="402"/>
      <c r="M10" s="402"/>
      <c r="N10" s="402"/>
      <c r="O10" s="402"/>
      <c r="P10" s="402"/>
      <c r="Q10" s="403"/>
    </row>
    <row r="11" spans="1:19" x14ac:dyDescent="0.35">
      <c r="J11" s="404"/>
      <c r="K11" s="405"/>
      <c r="L11" s="405"/>
      <c r="M11" s="405"/>
      <c r="N11" s="405"/>
      <c r="O11" s="405"/>
      <c r="P11" s="405"/>
      <c r="Q11" s="406"/>
    </row>
    <row r="12" spans="1:19" x14ac:dyDescent="0.35">
      <c r="J12" s="404"/>
      <c r="K12" s="405"/>
      <c r="L12" s="405"/>
      <c r="M12" s="405"/>
      <c r="N12" s="405"/>
      <c r="O12" s="405"/>
      <c r="P12" s="405"/>
      <c r="Q12" s="406"/>
    </row>
    <row r="13" spans="1:19" x14ac:dyDescent="0.35">
      <c r="J13" s="404"/>
      <c r="K13" s="405"/>
      <c r="L13" s="405"/>
      <c r="M13" s="405"/>
      <c r="N13" s="405"/>
      <c r="O13" s="405"/>
      <c r="P13" s="405"/>
      <c r="Q13" s="406"/>
    </row>
    <row r="14" spans="1:19" x14ac:dyDescent="0.35">
      <c r="J14" s="404"/>
      <c r="K14" s="405"/>
      <c r="L14" s="405"/>
      <c r="M14" s="405"/>
      <c r="N14" s="405"/>
      <c r="O14" s="405"/>
      <c r="P14" s="405"/>
      <c r="Q14" s="406"/>
    </row>
    <row r="15" spans="1:19" ht="15" thickBot="1" x14ac:dyDescent="0.4">
      <c r="J15" s="407"/>
      <c r="K15" s="408"/>
      <c r="L15" s="408"/>
      <c r="M15" s="408"/>
      <c r="N15" s="408"/>
      <c r="O15" s="408"/>
      <c r="P15" s="408"/>
      <c r="Q15" s="409"/>
    </row>
    <row r="18" spans="3:17" x14ac:dyDescent="0.35">
      <c r="C18" s="7" t="s">
        <v>8</v>
      </c>
      <c r="E18" s="11">
        <v>44743</v>
      </c>
      <c r="F18" s="11">
        <v>44774</v>
      </c>
      <c r="G18" s="11">
        <v>44805</v>
      </c>
      <c r="H18" s="11">
        <v>44835</v>
      </c>
      <c r="I18" s="11">
        <v>44866</v>
      </c>
      <c r="J18" s="11">
        <v>44896</v>
      </c>
      <c r="K18" s="11">
        <v>44927</v>
      </c>
      <c r="L18" s="11">
        <v>44958</v>
      </c>
      <c r="M18" s="11">
        <v>44986</v>
      </c>
      <c r="N18" s="11">
        <v>45017</v>
      </c>
      <c r="O18" s="11">
        <v>45047</v>
      </c>
      <c r="P18" s="11">
        <v>45078</v>
      </c>
      <c r="Q18" s="8" t="s">
        <v>0</v>
      </c>
    </row>
    <row r="19" spans="3:17" x14ac:dyDescent="0.35">
      <c r="D19" s="3" t="s">
        <v>195</v>
      </c>
      <c r="E19" s="9">
        <f>'budget 2025-26'!D208</f>
        <v>0.9</v>
      </c>
      <c r="F19" s="9">
        <f>'budget 2025-26'!E208</f>
        <v>0.9</v>
      </c>
      <c r="G19" s="9">
        <f>'budget 2025-26'!F208</f>
        <v>0.9</v>
      </c>
      <c r="H19" s="9">
        <f>'budget 2025-26'!G208</f>
        <v>0.9</v>
      </c>
      <c r="I19" s="9">
        <f>'budget 2025-26'!H208</f>
        <v>0.9</v>
      </c>
      <c r="J19" s="9">
        <f>'budget 2025-26'!I208</f>
        <v>0.9</v>
      </c>
      <c r="K19" s="9">
        <f>'budget 2025-26'!J208</f>
        <v>0.9</v>
      </c>
      <c r="L19" s="9">
        <f>'budget 2025-26'!K208</f>
        <v>0.9</v>
      </c>
      <c r="M19" s="9">
        <f>'budget 2025-26'!L208</f>
        <v>0.9</v>
      </c>
      <c r="N19" s="9">
        <f>'budget 2025-26'!M208</f>
        <v>0.9</v>
      </c>
      <c r="O19" s="9">
        <f>'budget 2025-26'!N208</f>
        <v>0.9</v>
      </c>
      <c r="P19" s="9">
        <f>'budget 2025-26'!O208</f>
        <v>0.9</v>
      </c>
      <c r="Q19" s="5">
        <f>SUM(E19:P19)</f>
        <v>10.800000000000002</v>
      </c>
    </row>
    <row r="20" spans="3:17" x14ac:dyDescent="0.35">
      <c r="D20" s="3" t="s">
        <v>196</v>
      </c>
      <c r="E20" s="9">
        <f>'actual 2022-23'!D168</f>
        <v>0.93187347931873477</v>
      </c>
      <c r="F20" s="9">
        <f>'actual 2022-23'!E168</f>
        <v>0.93512304250559286</v>
      </c>
      <c r="G20" s="9" t="e">
        <f>'actual 2022-23'!F168</f>
        <v>#DIV/0!</v>
      </c>
      <c r="H20" s="9" t="e">
        <f>'actual 2022-23'!G168</f>
        <v>#DIV/0!</v>
      </c>
      <c r="I20" s="9" t="e">
        <f>'actual 2022-23'!H168</f>
        <v>#DIV/0!</v>
      </c>
      <c r="J20" s="9" t="e">
        <f>'actual 2022-23'!I168</f>
        <v>#DIV/0!</v>
      </c>
      <c r="K20" s="9" t="e">
        <f>'actual 2022-23'!J168</f>
        <v>#DIV/0!</v>
      </c>
      <c r="L20" s="9" t="e">
        <f>'actual 2022-23'!K168</f>
        <v>#DIV/0!</v>
      </c>
      <c r="M20" s="9" t="e">
        <f>'actual 2022-23'!L168</f>
        <v>#DIV/0!</v>
      </c>
      <c r="N20" s="9" t="e">
        <f>'actual 2022-23'!M168</f>
        <v>#DIV/0!</v>
      </c>
      <c r="O20" s="9" t="e">
        <f>'actual 2022-23'!N168</f>
        <v>#DIV/0!</v>
      </c>
      <c r="P20" s="9" t="e">
        <f>'actual 2022-23'!O168</f>
        <v>#DIV/0!</v>
      </c>
      <c r="Q20" s="5" t="e">
        <f t="shared" ref="Q20:Q22" si="0">SUM(E20:P20)</f>
        <v>#DIV/0!</v>
      </c>
    </row>
    <row r="21" spans="3:17" x14ac:dyDescent="0.35">
      <c r="D21" s="3" t="s">
        <v>42</v>
      </c>
      <c r="E21" s="9">
        <f>'actual 2021-22'!D165</f>
        <v>0.94047619047619047</v>
      </c>
      <c r="F21" s="9">
        <f>'actual 2021-22'!E165</f>
        <v>0.92086330935251803</v>
      </c>
      <c r="G21" s="9">
        <f>'actual 2021-22'!F165</f>
        <v>0.90441176470588236</v>
      </c>
      <c r="H21" s="9">
        <f>'actual 2021-22'!G165</f>
        <v>0.9147286821705426</v>
      </c>
      <c r="I21" s="9">
        <f>'actual 2021-22'!H165</f>
        <v>0.83986928104575165</v>
      </c>
      <c r="J21" s="9">
        <f>'actual 2021-22'!I165</f>
        <v>0.78438661710037172</v>
      </c>
      <c r="K21" s="9">
        <f>'actual 2021-22'!J165</f>
        <v>0.38356164383561642</v>
      </c>
      <c r="L21" s="9">
        <f>'actual 2021-22'!K165</f>
        <v>0.64542190305206459</v>
      </c>
      <c r="M21" s="9">
        <f>'actual 2021-22'!L165</f>
        <v>0.70983722576079267</v>
      </c>
      <c r="N21" s="9">
        <f>'actual 2021-22'!M165</f>
        <v>0.89487179487179491</v>
      </c>
      <c r="O21" s="9">
        <f>'actual 2021-22'!N165</f>
        <v>0.75483870967741939</v>
      </c>
      <c r="P21" s="9">
        <f>'actual 2021-22'!O165</f>
        <v>0.45833333333333331</v>
      </c>
      <c r="Q21" s="5">
        <f t="shared" si="0"/>
        <v>9.1516004553822778</v>
      </c>
    </row>
    <row r="22" spans="3:17" x14ac:dyDescent="0.35">
      <c r="D22" s="3" t="s">
        <v>7</v>
      </c>
      <c r="E22" s="5">
        <f t="shared" ref="E22:P22" si="1">IF(E20=0,0,E20-E19)</f>
        <v>3.1873479318734743E-2</v>
      </c>
      <c r="F22" s="5">
        <f t="shared" si="1"/>
        <v>3.5123042505592839E-2</v>
      </c>
      <c r="G22" s="5" t="e">
        <f t="shared" si="1"/>
        <v>#DIV/0!</v>
      </c>
      <c r="H22" s="5" t="e">
        <f t="shared" si="1"/>
        <v>#DIV/0!</v>
      </c>
      <c r="I22" s="5" t="e">
        <f t="shared" si="1"/>
        <v>#DIV/0!</v>
      </c>
      <c r="J22" s="5" t="e">
        <f t="shared" si="1"/>
        <v>#DIV/0!</v>
      </c>
      <c r="K22" s="5" t="e">
        <f t="shared" si="1"/>
        <v>#DIV/0!</v>
      </c>
      <c r="L22" s="5" t="e">
        <f t="shared" si="1"/>
        <v>#DIV/0!</v>
      </c>
      <c r="M22" s="5" t="e">
        <f t="shared" si="1"/>
        <v>#DIV/0!</v>
      </c>
      <c r="N22" s="5" t="e">
        <f t="shared" si="1"/>
        <v>#DIV/0!</v>
      </c>
      <c r="O22" s="5" t="e">
        <f t="shared" si="1"/>
        <v>#DIV/0!</v>
      </c>
      <c r="P22" s="5" t="e">
        <f t="shared" si="1"/>
        <v>#DIV/0!</v>
      </c>
      <c r="Q22" s="5" t="e">
        <f t="shared" si="0"/>
        <v>#DIV/0!</v>
      </c>
    </row>
    <row r="23" spans="3:17" x14ac:dyDescent="0.35">
      <c r="D23" s="3" t="s">
        <v>43</v>
      </c>
      <c r="E23" s="9">
        <f>E21/E19</f>
        <v>1.0449735449735449</v>
      </c>
      <c r="F23" s="9">
        <f t="shared" ref="F23:P23" si="2">F20/F19</f>
        <v>1.0390256027839921</v>
      </c>
      <c r="G23" s="9" t="e">
        <f t="shared" si="2"/>
        <v>#DIV/0!</v>
      </c>
      <c r="H23" s="9" t="e">
        <f t="shared" si="2"/>
        <v>#DIV/0!</v>
      </c>
      <c r="I23" s="9" t="e">
        <f t="shared" si="2"/>
        <v>#DIV/0!</v>
      </c>
      <c r="J23" s="9" t="e">
        <f t="shared" si="2"/>
        <v>#DIV/0!</v>
      </c>
      <c r="K23" s="9" t="e">
        <f t="shared" si="2"/>
        <v>#DIV/0!</v>
      </c>
      <c r="L23" s="9" t="e">
        <f t="shared" si="2"/>
        <v>#DIV/0!</v>
      </c>
      <c r="M23" s="9" t="e">
        <f t="shared" si="2"/>
        <v>#DIV/0!</v>
      </c>
      <c r="N23" s="9" t="e">
        <f t="shared" si="2"/>
        <v>#DIV/0!</v>
      </c>
      <c r="O23" s="9" t="e">
        <f t="shared" si="2"/>
        <v>#DIV/0!</v>
      </c>
      <c r="P23" s="9" t="e">
        <f t="shared" si="2"/>
        <v>#DIV/0!</v>
      </c>
    </row>
    <row r="25" spans="3:17" x14ac:dyDescent="0.35">
      <c r="C25" s="7" t="s">
        <v>3</v>
      </c>
      <c r="E25" s="11">
        <f>E18</f>
        <v>44743</v>
      </c>
      <c r="F25" s="11">
        <f t="shared" ref="F25:P25" si="3">F18</f>
        <v>44774</v>
      </c>
      <c r="G25" s="11">
        <f t="shared" si="3"/>
        <v>44805</v>
      </c>
      <c r="H25" s="11">
        <f t="shared" si="3"/>
        <v>44835</v>
      </c>
      <c r="I25" s="11">
        <f t="shared" si="3"/>
        <v>44866</v>
      </c>
      <c r="J25" s="11">
        <f t="shared" si="3"/>
        <v>44896</v>
      </c>
      <c r="K25" s="11">
        <f t="shared" si="3"/>
        <v>44927</v>
      </c>
      <c r="L25" s="11">
        <f t="shared" si="3"/>
        <v>44958</v>
      </c>
      <c r="M25" s="11">
        <f t="shared" si="3"/>
        <v>44986</v>
      </c>
      <c r="N25" s="11">
        <f t="shared" si="3"/>
        <v>45017</v>
      </c>
      <c r="O25" s="11">
        <f t="shared" si="3"/>
        <v>45047</v>
      </c>
      <c r="P25" s="11">
        <f t="shared" si="3"/>
        <v>45078</v>
      </c>
    </row>
    <row r="26" spans="3:17" x14ac:dyDescent="0.35">
      <c r="D26" s="3" t="str">
        <f>D19</f>
        <v>Budget 2022-23</v>
      </c>
      <c r="E26" s="9">
        <f>AVERAGE($E19:E19)</f>
        <v>0.9</v>
      </c>
      <c r="F26" s="9">
        <f>AVERAGE($E19:F19)</f>
        <v>0.9</v>
      </c>
      <c r="G26" s="9">
        <f>AVERAGE($E19:G19)</f>
        <v>0.9</v>
      </c>
      <c r="H26" s="9">
        <f>AVERAGE($E19:H19)</f>
        <v>0.9</v>
      </c>
      <c r="I26" s="9">
        <f>AVERAGE($E19:I19)</f>
        <v>0.9</v>
      </c>
      <c r="J26" s="9">
        <f>AVERAGE($E19:J19)</f>
        <v>0.9</v>
      </c>
      <c r="K26" s="9">
        <f>AVERAGE($E19:K19)</f>
        <v>0.90000000000000013</v>
      </c>
      <c r="L26" s="9">
        <f>AVERAGE($E19:L19)</f>
        <v>0.90000000000000013</v>
      </c>
      <c r="M26" s="9">
        <f>AVERAGE($E19:M19)</f>
        <v>0.90000000000000013</v>
      </c>
      <c r="N26" s="9">
        <f>AVERAGE($E19:N19)</f>
        <v>0.90000000000000013</v>
      </c>
      <c r="O26" s="9">
        <f>AVERAGE($E19:O19)</f>
        <v>0.90000000000000024</v>
      </c>
      <c r="P26" s="9">
        <f>AVERAGE($E19:P19)</f>
        <v>0.90000000000000024</v>
      </c>
    </row>
    <row r="27" spans="3:17" x14ac:dyDescent="0.35">
      <c r="D27" s="3" t="str">
        <f t="shared" ref="D27:D30" si="4">D20</f>
        <v>Actual 2022-23</v>
      </c>
      <c r="E27" s="9">
        <f>AVERAGE($E20:E20)</f>
        <v>0.93187347931873477</v>
      </c>
      <c r="F27" s="9">
        <f>AVERAGE($E20:F20)</f>
        <v>0.93349826091216381</v>
      </c>
      <c r="G27" s="9" t="e">
        <f>AVERAGE($E20:G20)</f>
        <v>#DIV/0!</v>
      </c>
      <c r="H27" s="9" t="e">
        <f>AVERAGE($E20:H20)</f>
        <v>#DIV/0!</v>
      </c>
      <c r="I27" s="9" t="e">
        <f>AVERAGE($E20:I20)</f>
        <v>#DIV/0!</v>
      </c>
      <c r="J27" s="9" t="e">
        <f>AVERAGE($E20:J20)</f>
        <v>#DIV/0!</v>
      </c>
      <c r="K27" s="9" t="e">
        <f>AVERAGE($E20:K20)</f>
        <v>#DIV/0!</v>
      </c>
      <c r="L27" s="9" t="e">
        <f>AVERAGE($E20:L20)</f>
        <v>#DIV/0!</v>
      </c>
      <c r="M27" s="9" t="e">
        <f>AVERAGE($E20:M20)</f>
        <v>#DIV/0!</v>
      </c>
      <c r="N27" s="9" t="e">
        <f>AVERAGE($E20:N20)</f>
        <v>#DIV/0!</v>
      </c>
      <c r="O27" s="9" t="e">
        <f>AVERAGE($E20:O20)</f>
        <v>#DIV/0!</v>
      </c>
      <c r="P27" s="9" t="e">
        <f>AVERAGE($E20:P20)</f>
        <v>#DIV/0!</v>
      </c>
    </row>
    <row r="28" spans="3:17" x14ac:dyDescent="0.35">
      <c r="D28" s="3" t="str">
        <f t="shared" si="4"/>
        <v>Actual 2021-22</v>
      </c>
      <c r="E28" s="9">
        <f>AVERAGE($E21:E21)</f>
        <v>0.94047619047619047</v>
      </c>
      <c r="F28" s="9">
        <f>AVERAGE($E21:F21)</f>
        <v>0.93066974991435425</v>
      </c>
      <c r="G28" s="9">
        <f>AVERAGE($E21:G21)</f>
        <v>0.92191708817819695</v>
      </c>
      <c r="H28" s="9">
        <f>AVERAGE($E21:H21)</f>
        <v>0.92011998667628336</v>
      </c>
      <c r="I28" s="9">
        <f>AVERAGE($E21:I21)</f>
        <v>0.904069845550177</v>
      </c>
      <c r="J28" s="9">
        <f>AVERAGE($E21:J21)</f>
        <v>0.88412264080854275</v>
      </c>
      <c r="K28" s="9">
        <f>AVERAGE($E21:K21)</f>
        <v>0.81261392695526757</v>
      </c>
      <c r="L28" s="9">
        <f>AVERAGE($E21:L21)</f>
        <v>0.7917149239673672</v>
      </c>
      <c r="M28" s="9">
        <f>AVERAGE($E21:M21)</f>
        <v>0.78261740194441443</v>
      </c>
      <c r="N28" s="9">
        <f>AVERAGE($E21:N21)</f>
        <v>0.79384284123715254</v>
      </c>
      <c r="O28" s="9">
        <f>AVERAGE($E21:O21)</f>
        <v>0.79029701109535855</v>
      </c>
      <c r="P28" s="9">
        <f>AVERAGE($E21:P21)</f>
        <v>0.76263337128185649</v>
      </c>
    </row>
    <row r="29" spans="3:17" x14ac:dyDescent="0.35">
      <c r="D29" s="3" t="str">
        <f t="shared" si="4"/>
        <v>Difference</v>
      </c>
      <c r="E29" s="5">
        <f>SUM($E22:E22)</f>
        <v>3.1873479318734743E-2</v>
      </c>
      <c r="F29" s="5">
        <f>SUM($E22:F22)</f>
        <v>6.6996521824327582E-2</v>
      </c>
      <c r="G29" s="5" t="e">
        <f>SUM($E22:G22)</f>
        <v>#DIV/0!</v>
      </c>
      <c r="H29" s="5" t="e">
        <f>SUM($E22:H22)</f>
        <v>#DIV/0!</v>
      </c>
      <c r="I29" s="5" t="e">
        <f>SUM($E22:I22)</f>
        <v>#DIV/0!</v>
      </c>
      <c r="J29" s="5" t="e">
        <f>SUM($E22:J22)</f>
        <v>#DIV/0!</v>
      </c>
      <c r="K29" s="5" t="e">
        <f>SUM($E22:K22)</f>
        <v>#DIV/0!</v>
      </c>
      <c r="L29" s="5" t="e">
        <f>SUM($E22:L22)</f>
        <v>#DIV/0!</v>
      </c>
      <c r="M29" s="5" t="e">
        <f>SUM($E22:M22)</f>
        <v>#DIV/0!</v>
      </c>
      <c r="N29" s="5" t="e">
        <f>SUM($E22:N22)</f>
        <v>#DIV/0!</v>
      </c>
      <c r="O29" s="5" t="e">
        <f>SUM($E22:O22)</f>
        <v>#DIV/0!</v>
      </c>
      <c r="P29" s="5" t="e">
        <f>SUM($E22:P22)</f>
        <v>#DIV/0!</v>
      </c>
    </row>
    <row r="30" spans="3:17" x14ac:dyDescent="0.35">
      <c r="D30" s="3" t="str">
        <f t="shared" si="4"/>
        <v>Realisation</v>
      </c>
      <c r="E30" s="9">
        <f>E28/E26</f>
        <v>1.0449735449735449</v>
      </c>
      <c r="F30" s="9">
        <f t="shared" ref="F30:P30" si="5">F27/F26</f>
        <v>1.0372202899024041</v>
      </c>
      <c r="G30" s="9" t="e">
        <f t="shared" si="5"/>
        <v>#DIV/0!</v>
      </c>
      <c r="H30" s="9" t="e">
        <f t="shared" si="5"/>
        <v>#DIV/0!</v>
      </c>
      <c r="I30" s="9" t="e">
        <f t="shared" si="5"/>
        <v>#DIV/0!</v>
      </c>
      <c r="J30" s="9" t="e">
        <f t="shared" si="5"/>
        <v>#DIV/0!</v>
      </c>
      <c r="K30" s="9" t="e">
        <f t="shared" si="5"/>
        <v>#DIV/0!</v>
      </c>
      <c r="L30" s="9" t="e">
        <f t="shared" si="5"/>
        <v>#DIV/0!</v>
      </c>
      <c r="M30" s="9" t="e">
        <f t="shared" si="5"/>
        <v>#DIV/0!</v>
      </c>
      <c r="N30" s="9" t="e">
        <f t="shared" si="5"/>
        <v>#DIV/0!</v>
      </c>
      <c r="O30" s="9" t="e">
        <f t="shared" si="5"/>
        <v>#DIV/0!</v>
      </c>
      <c r="P30" s="9" t="e">
        <f t="shared" si="5"/>
        <v>#DIV/0!</v>
      </c>
    </row>
  </sheetData>
  <mergeCells count="2">
    <mergeCell ref="J4:Q8"/>
    <mergeCell ref="J10:Q15"/>
  </mergeCells>
  <conditionalFormatting sqref="C3">
    <cfRule type="expression" dxfId="11" priority="2">
      <formula>S4&lt;S6</formula>
    </cfRule>
  </conditionalFormatting>
  <conditionalFormatting sqref="C5">
    <cfRule type="expression" dxfId="10" priority="3">
      <formula>S4&gt;=S5</formula>
    </cfRule>
  </conditionalFormatting>
  <conditionalFormatting sqref="C4">
    <cfRule type="expression" dxfId="9" priority="1">
      <formula>AND(S4&gt;=S6,S4&lt;S5)</formula>
    </cfRule>
  </conditionalFormatting>
  <hyperlinks>
    <hyperlink ref="L1" location="Dashboard!A1" display="Dashboard"/>
  </hyperlinks>
  <pageMargins left="0.7" right="0.7" top="0.75" bottom="0.75" header="0.3" footer="0.3"/>
  <pageSetup orientation="portrait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95681" r:id="rId4" name="Spinner 1">
              <controlPr defaultSize="0" autoPict="0">
                <anchor moveWithCells="1" sizeWithCells="1">
                  <from>
                    <xdr:col>9</xdr:col>
                    <xdr:colOff>19050</xdr:colOff>
                    <xdr:row>0</xdr:row>
                    <xdr:rowOff>38100</xdr:rowOff>
                  </from>
                  <to>
                    <xdr:col>9</xdr:col>
                    <xdr:colOff>400050</xdr:colOff>
                    <xdr:row>1</xdr:row>
                    <xdr:rowOff>152400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19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152"/>
  <dimension ref="A1:S30"/>
  <sheetViews>
    <sheetView zoomScale="90" zoomScaleNormal="90" workbookViewId="0">
      <selection activeCell="D22" sqref="D22"/>
    </sheetView>
  </sheetViews>
  <sheetFormatPr defaultColWidth="9.1796875" defaultRowHeight="14.5" x14ac:dyDescent="0.35"/>
  <cols>
    <col min="1" max="1" width="9.1796875" style="3"/>
    <col min="2" max="2" width="5.7265625" style="3" bestFit="1" customWidth="1"/>
    <col min="3" max="3" width="6.26953125" style="3" customWidth="1"/>
    <col min="4" max="4" width="21.26953125" style="3" bestFit="1" customWidth="1"/>
    <col min="5" max="16" width="11.1796875" style="3" customWidth="1"/>
    <col min="17" max="17" width="12" style="3" bestFit="1" customWidth="1"/>
    <col min="18" max="18" width="9.1796875" style="3" customWidth="1"/>
    <col min="19" max="16384" width="9.1796875" style="3"/>
  </cols>
  <sheetData>
    <row r="1" spans="1:19" ht="21" x14ac:dyDescent="0.5">
      <c r="A1" s="4" t="s">
        <v>4</v>
      </c>
      <c r="B1" s="4">
        <f>Dashboard!A222</f>
        <v>1</v>
      </c>
      <c r="C1" s="4" t="str">
        <f>Dashboard!B222</f>
        <v>AVG METERS READ PER METER READER</v>
      </c>
      <c r="D1" s="4"/>
      <c r="G1" s="3" t="s">
        <v>9</v>
      </c>
      <c r="I1" s="12">
        <f>INDEX($E$18:$P$18,Actual_month)</f>
        <v>44958</v>
      </c>
      <c r="L1" s="16" t="s">
        <v>19</v>
      </c>
      <c r="R1" s="5"/>
    </row>
    <row r="2" spans="1:19" x14ac:dyDescent="0.35">
      <c r="A2" s="3" t="s">
        <v>13</v>
      </c>
      <c r="C2" s="3" t="s">
        <v>27</v>
      </c>
      <c r="R2" s="6"/>
    </row>
    <row r="3" spans="1:19" ht="25.5" customHeight="1" thickBot="1" x14ac:dyDescent="0.4">
      <c r="C3" s="1" t="s">
        <v>5</v>
      </c>
      <c r="E3" s="10"/>
      <c r="F3" s="10"/>
      <c r="G3" s="10"/>
      <c r="H3" s="10"/>
      <c r="I3" s="10"/>
      <c r="J3" s="3" t="s">
        <v>6</v>
      </c>
      <c r="K3" s="10"/>
      <c r="M3" s="10"/>
      <c r="N3" s="10"/>
      <c r="O3" s="10"/>
      <c r="P3" s="10"/>
    </row>
    <row r="4" spans="1:19" ht="25.5" customHeight="1" x14ac:dyDescent="0.35">
      <c r="C4" s="1" t="s">
        <v>5</v>
      </c>
      <c r="E4" s="10"/>
      <c r="F4" s="10"/>
      <c r="G4" s="10"/>
      <c r="H4" s="10"/>
      <c r="I4" s="10"/>
      <c r="J4" s="401"/>
      <c r="K4" s="402"/>
      <c r="L4" s="402"/>
      <c r="M4" s="402"/>
      <c r="N4" s="402"/>
      <c r="O4" s="402"/>
      <c r="P4" s="402"/>
      <c r="Q4" s="403"/>
      <c r="R4" s="3" t="s">
        <v>22</v>
      </c>
      <c r="S4" s="5">
        <f>INDEX(E27:P27,Actual_month)</f>
        <v>640.25</v>
      </c>
    </row>
    <row r="5" spans="1:19" ht="25.5" customHeight="1" x14ac:dyDescent="0.35">
      <c r="C5" s="1" t="s">
        <v>5</v>
      </c>
      <c r="E5" s="10"/>
      <c r="F5" s="10"/>
      <c r="G5" s="10"/>
      <c r="H5" s="10"/>
      <c r="I5" s="10"/>
      <c r="J5" s="404"/>
      <c r="K5" s="405"/>
      <c r="L5" s="405"/>
      <c r="M5" s="405"/>
      <c r="N5" s="405"/>
      <c r="O5" s="405"/>
      <c r="P5" s="405"/>
      <c r="Q5" s="406"/>
      <c r="R5" s="3" t="s">
        <v>23</v>
      </c>
      <c r="S5" s="5">
        <f>INDEX(E26:P26,Actual_month)</f>
        <v>1500</v>
      </c>
    </row>
    <row r="6" spans="1:19" x14ac:dyDescent="0.35">
      <c r="J6" s="404"/>
      <c r="K6" s="405"/>
      <c r="L6" s="405"/>
      <c r="M6" s="405"/>
      <c r="N6" s="405"/>
      <c r="O6" s="405"/>
      <c r="P6" s="405"/>
      <c r="Q6" s="406"/>
      <c r="R6" s="6">
        <v>0.9</v>
      </c>
      <c r="S6" s="5">
        <f>+S5/R6</f>
        <v>1666.6666666666665</v>
      </c>
    </row>
    <row r="7" spans="1:19" x14ac:dyDescent="0.35">
      <c r="J7" s="404"/>
      <c r="K7" s="405"/>
      <c r="L7" s="405"/>
      <c r="M7" s="405"/>
      <c r="N7" s="405"/>
      <c r="O7" s="405"/>
      <c r="P7" s="405"/>
      <c r="Q7" s="406"/>
    </row>
    <row r="8" spans="1:19" ht="15" thickBot="1" x14ac:dyDescent="0.4">
      <c r="J8" s="407"/>
      <c r="K8" s="408"/>
      <c r="L8" s="408"/>
      <c r="M8" s="408"/>
      <c r="N8" s="408"/>
      <c r="O8" s="408"/>
      <c r="P8" s="408"/>
      <c r="Q8" s="409"/>
    </row>
    <row r="9" spans="1:19" ht="15" thickBot="1" x14ac:dyDescent="0.4">
      <c r="J9" s="3" t="s">
        <v>12</v>
      </c>
    </row>
    <row r="10" spans="1:19" x14ac:dyDescent="0.35">
      <c r="J10" s="401"/>
      <c r="K10" s="402"/>
      <c r="L10" s="402"/>
      <c r="M10" s="402"/>
      <c r="N10" s="402"/>
      <c r="O10" s="402"/>
      <c r="P10" s="402"/>
      <c r="Q10" s="403"/>
    </row>
    <row r="11" spans="1:19" x14ac:dyDescent="0.35">
      <c r="J11" s="404"/>
      <c r="K11" s="405"/>
      <c r="L11" s="405"/>
      <c r="M11" s="405"/>
      <c r="N11" s="405"/>
      <c r="O11" s="405"/>
      <c r="P11" s="405"/>
      <c r="Q11" s="406"/>
    </row>
    <row r="12" spans="1:19" x14ac:dyDescent="0.35">
      <c r="J12" s="404"/>
      <c r="K12" s="405"/>
      <c r="L12" s="405"/>
      <c r="M12" s="405"/>
      <c r="N12" s="405"/>
      <c r="O12" s="405"/>
      <c r="P12" s="405"/>
      <c r="Q12" s="406"/>
    </row>
    <row r="13" spans="1:19" x14ac:dyDescent="0.35">
      <c r="J13" s="404"/>
      <c r="K13" s="405"/>
      <c r="L13" s="405"/>
      <c r="M13" s="405"/>
      <c r="N13" s="405"/>
      <c r="O13" s="405"/>
      <c r="P13" s="405"/>
      <c r="Q13" s="406"/>
    </row>
    <row r="14" spans="1:19" x14ac:dyDescent="0.35">
      <c r="J14" s="404"/>
      <c r="K14" s="405"/>
      <c r="L14" s="405"/>
      <c r="M14" s="405"/>
      <c r="N14" s="405"/>
      <c r="O14" s="405"/>
      <c r="P14" s="405"/>
      <c r="Q14" s="406"/>
    </row>
    <row r="15" spans="1:19" ht="15" thickBot="1" x14ac:dyDescent="0.4">
      <c r="J15" s="407"/>
      <c r="K15" s="408"/>
      <c r="L15" s="408"/>
      <c r="M15" s="408"/>
      <c r="N15" s="408"/>
      <c r="O15" s="408"/>
      <c r="P15" s="408"/>
      <c r="Q15" s="409"/>
    </row>
    <row r="18" spans="3:17" x14ac:dyDescent="0.35">
      <c r="C18" s="7" t="s">
        <v>8</v>
      </c>
      <c r="E18" s="11">
        <v>44743</v>
      </c>
      <c r="F18" s="11">
        <v>44774</v>
      </c>
      <c r="G18" s="11">
        <v>44805</v>
      </c>
      <c r="H18" s="11">
        <v>44835</v>
      </c>
      <c r="I18" s="11">
        <v>44866</v>
      </c>
      <c r="J18" s="11">
        <v>44896</v>
      </c>
      <c r="K18" s="11">
        <v>44927</v>
      </c>
      <c r="L18" s="11">
        <v>44958</v>
      </c>
      <c r="M18" s="11">
        <v>44986</v>
      </c>
      <c r="N18" s="11">
        <v>45017</v>
      </c>
      <c r="O18" s="11">
        <v>45047</v>
      </c>
      <c r="P18" s="11">
        <v>45078</v>
      </c>
      <c r="Q18" s="8" t="s">
        <v>0</v>
      </c>
    </row>
    <row r="19" spans="3:17" x14ac:dyDescent="0.35">
      <c r="D19" s="3" t="s">
        <v>195</v>
      </c>
      <c r="E19" s="49">
        <f>'budget 2025-26'!D210</f>
        <v>1500</v>
      </c>
      <c r="F19" s="49">
        <f>'budget 2025-26'!E210</f>
        <v>1500</v>
      </c>
      <c r="G19" s="49">
        <f>'budget 2025-26'!F210</f>
        <v>1500</v>
      </c>
      <c r="H19" s="49">
        <f>'budget 2025-26'!G210</f>
        <v>1500</v>
      </c>
      <c r="I19" s="49">
        <f>'budget 2025-26'!H210</f>
        <v>1500</v>
      </c>
      <c r="J19" s="49">
        <f>'budget 2025-26'!I210</f>
        <v>1500</v>
      </c>
      <c r="K19" s="49">
        <f>'budget 2025-26'!J210</f>
        <v>1500</v>
      </c>
      <c r="L19" s="49">
        <f>'budget 2025-26'!K210</f>
        <v>1500</v>
      </c>
      <c r="M19" s="49">
        <f>'budget 2025-26'!L210</f>
        <v>1500</v>
      </c>
      <c r="N19" s="49">
        <f>'budget 2025-26'!M210</f>
        <v>1500</v>
      </c>
      <c r="O19" s="49">
        <f>'budget 2025-26'!N210</f>
        <v>1500</v>
      </c>
      <c r="P19" s="49">
        <f>'budget 2025-26'!O210</f>
        <v>1500</v>
      </c>
      <c r="Q19" s="5">
        <f>SUM(E19:P19)</f>
        <v>18000</v>
      </c>
    </row>
    <row r="20" spans="3:17" x14ac:dyDescent="0.35">
      <c r="D20" s="3" t="s">
        <v>196</v>
      </c>
      <c r="E20" s="49">
        <f>'actual 2022-23'!D170</f>
        <v>1868</v>
      </c>
      <c r="F20" s="49">
        <f>'actual 2022-23'!E170</f>
        <v>1887</v>
      </c>
      <c r="G20" s="49">
        <f>'actual 2022-23'!F170</f>
        <v>1367</v>
      </c>
      <c r="H20" s="49">
        <f>'actual 2022-23'!G170</f>
        <v>0</v>
      </c>
      <c r="I20" s="49">
        <f>'actual 2022-23'!H170</f>
        <v>0</v>
      </c>
      <c r="J20" s="49">
        <f>'actual 2022-23'!I170</f>
        <v>0</v>
      </c>
      <c r="K20" s="49">
        <f>'actual 2022-23'!J170</f>
        <v>0</v>
      </c>
      <c r="L20" s="49">
        <f>'actual 2022-23'!K170</f>
        <v>0</v>
      </c>
      <c r="M20" s="49">
        <f>'actual 2022-23'!L170</f>
        <v>0</v>
      </c>
      <c r="N20" s="49">
        <f>'actual 2022-23'!M170</f>
        <v>0</v>
      </c>
      <c r="O20" s="49">
        <f>'actual 2022-23'!N170</f>
        <v>0</v>
      </c>
      <c r="P20" s="49">
        <f>'actual 2022-23'!O170</f>
        <v>0</v>
      </c>
      <c r="Q20" s="5">
        <f t="shared" ref="Q20:Q22" si="0">SUM(E20:P20)</f>
        <v>5122</v>
      </c>
    </row>
    <row r="21" spans="3:17" x14ac:dyDescent="0.35">
      <c r="D21" s="3" t="s">
        <v>42</v>
      </c>
      <c r="E21" s="49">
        <f>'actual 2021-22'!D167</f>
        <v>1703</v>
      </c>
      <c r="F21" s="49">
        <f>'actual 2021-22'!E167</f>
        <v>1285</v>
      </c>
      <c r="G21" s="49">
        <f>'actual 2021-22'!F167</f>
        <v>1298</v>
      </c>
      <c r="H21" s="49">
        <f>'actual 2021-22'!G167</f>
        <v>1305</v>
      </c>
      <c r="I21" s="49">
        <f>'actual 2021-22'!H167</f>
        <v>1656</v>
      </c>
      <c r="J21" s="49">
        <f>'actual 2021-22'!I167</f>
        <v>1351</v>
      </c>
      <c r="K21" s="49">
        <f>'actual 2021-22'!J167</f>
        <v>1372</v>
      </c>
      <c r="L21" s="49">
        <f>'actual 2021-22'!K167</f>
        <v>1398</v>
      </c>
      <c r="M21" s="49">
        <f>'actual 2021-22'!L167</f>
        <v>1731</v>
      </c>
      <c r="N21" s="49">
        <f>'actual 2021-22'!M167</f>
        <v>1447</v>
      </c>
      <c r="O21" s="49">
        <f>'actual 2021-22'!N167</f>
        <v>1470</v>
      </c>
      <c r="P21" s="49">
        <f>'actual 2021-22'!O167</f>
        <v>1480</v>
      </c>
      <c r="Q21" s="5">
        <f t="shared" si="0"/>
        <v>17496</v>
      </c>
    </row>
    <row r="22" spans="3:17" x14ac:dyDescent="0.35">
      <c r="D22" s="3" t="s">
        <v>7</v>
      </c>
      <c r="E22" s="5">
        <f t="shared" ref="E22:P22" si="1">IF(E20=0,0,E20-E19)</f>
        <v>368</v>
      </c>
      <c r="F22" s="5">
        <f t="shared" si="1"/>
        <v>387</v>
      </c>
      <c r="G22" s="5">
        <f t="shared" si="1"/>
        <v>-133</v>
      </c>
      <c r="H22" s="5">
        <f t="shared" si="1"/>
        <v>0</v>
      </c>
      <c r="I22" s="5">
        <f t="shared" si="1"/>
        <v>0</v>
      </c>
      <c r="J22" s="5">
        <f t="shared" si="1"/>
        <v>0</v>
      </c>
      <c r="K22" s="5">
        <f t="shared" si="1"/>
        <v>0</v>
      </c>
      <c r="L22" s="5">
        <f t="shared" si="1"/>
        <v>0</v>
      </c>
      <c r="M22" s="5">
        <f t="shared" si="1"/>
        <v>0</v>
      </c>
      <c r="N22" s="5">
        <f t="shared" si="1"/>
        <v>0</v>
      </c>
      <c r="O22" s="5">
        <f t="shared" si="1"/>
        <v>0</v>
      </c>
      <c r="P22" s="5">
        <f t="shared" si="1"/>
        <v>0</v>
      </c>
      <c r="Q22" s="5">
        <f t="shared" si="0"/>
        <v>622</v>
      </c>
    </row>
    <row r="23" spans="3:17" x14ac:dyDescent="0.35">
      <c r="D23" s="3" t="s">
        <v>43</v>
      </c>
      <c r="E23" s="9">
        <f>E21/E19</f>
        <v>1.1353333333333333</v>
      </c>
      <c r="F23" s="9">
        <f t="shared" ref="F23:P23" si="2">F20/F19</f>
        <v>1.258</v>
      </c>
      <c r="G23" s="9">
        <f t="shared" si="2"/>
        <v>0.91133333333333333</v>
      </c>
      <c r="H23" s="9">
        <f t="shared" si="2"/>
        <v>0</v>
      </c>
      <c r="I23" s="9">
        <f t="shared" si="2"/>
        <v>0</v>
      </c>
      <c r="J23" s="9">
        <f t="shared" si="2"/>
        <v>0</v>
      </c>
      <c r="K23" s="9">
        <f t="shared" si="2"/>
        <v>0</v>
      </c>
      <c r="L23" s="9">
        <f t="shared" si="2"/>
        <v>0</v>
      </c>
      <c r="M23" s="9">
        <f t="shared" si="2"/>
        <v>0</v>
      </c>
      <c r="N23" s="9">
        <f t="shared" si="2"/>
        <v>0</v>
      </c>
      <c r="O23" s="9">
        <f t="shared" si="2"/>
        <v>0</v>
      </c>
      <c r="P23" s="9">
        <f t="shared" si="2"/>
        <v>0</v>
      </c>
    </row>
    <row r="25" spans="3:17" x14ac:dyDescent="0.35">
      <c r="C25" s="7" t="s">
        <v>3</v>
      </c>
      <c r="E25" s="11">
        <f>E18</f>
        <v>44743</v>
      </c>
      <c r="F25" s="11">
        <f t="shared" ref="F25:P25" si="3">F18</f>
        <v>44774</v>
      </c>
      <c r="G25" s="11">
        <f t="shared" si="3"/>
        <v>44805</v>
      </c>
      <c r="H25" s="11">
        <f t="shared" si="3"/>
        <v>44835</v>
      </c>
      <c r="I25" s="11">
        <f t="shared" si="3"/>
        <v>44866</v>
      </c>
      <c r="J25" s="11">
        <f t="shared" si="3"/>
        <v>44896</v>
      </c>
      <c r="K25" s="11">
        <f t="shared" si="3"/>
        <v>44927</v>
      </c>
      <c r="L25" s="11">
        <f t="shared" si="3"/>
        <v>44958</v>
      </c>
      <c r="M25" s="11">
        <f t="shared" si="3"/>
        <v>44986</v>
      </c>
      <c r="N25" s="11">
        <f t="shared" si="3"/>
        <v>45017</v>
      </c>
      <c r="O25" s="11">
        <f t="shared" si="3"/>
        <v>45047</v>
      </c>
      <c r="P25" s="11">
        <f t="shared" si="3"/>
        <v>45078</v>
      </c>
    </row>
    <row r="26" spans="3:17" x14ac:dyDescent="0.35">
      <c r="D26" s="3" t="str">
        <f>D19</f>
        <v>Budget 2022-23</v>
      </c>
      <c r="E26" s="5">
        <f>AVERAGE($E19:E19)</f>
        <v>1500</v>
      </c>
      <c r="F26" s="5">
        <f>AVERAGE($E19:F19)</f>
        <v>1500</v>
      </c>
      <c r="G26" s="5">
        <f>AVERAGE($E19:G19)</f>
        <v>1500</v>
      </c>
      <c r="H26" s="5">
        <f>AVERAGE($E19:H19)</f>
        <v>1500</v>
      </c>
      <c r="I26" s="5">
        <f>AVERAGE($E19:I19)</f>
        <v>1500</v>
      </c>
      <c r="J26" s="5">
        <f>AVERAGE($E19:J19)</f>
        <v>1500</v>
      </c>
      <c r="K26" s="5">
        <f>AVERAGE($E19:K19)</f>
        <v>1500</v>
      </c>
      <c r="L26" s="5">
        <f>AVERAGE($E19:L19)</f>
        <v>1500</v>
      </c>
      <c r="M26" s="5">
        <f>AVERAGE($E19:M19)</f>
        <v>1500</v>
      </c>
      <c r="N26" s="5">
        <f>AVERAGE($E19:N19)</f>
        <v>1500</v>
      </c>
      <c r="O26" s="5">
        <f>AVERAGE($E19:O19)</f>
        <v>1500</v>
      </c>
      <c r="P26" s="5">
        <f>AVERAGE($E19:P19)</f>
        <v>1500</v>
      </c>
    </row>
    <row r="27" spans="3:17" x14ac:dyDescent="0.35">
      <c r="D27" s="3" t="str">
        <f t="shared" ref="D27:D30" si="4">D20</f>
        <v>Actual 2022-23</v>
      </c>
      <c r="E27" s="5">
        <f>AVERAGE($E20:E20)</f>
        <v>1868</v>
      </c>
      <c r="F27" s="5">
        <f>AVERAGE($E20:F20)</f>
        <v>1877.5</v>
      </c>
      <c r="G27" s="5">
        <f>AVERAGE($E20:G20)</f>
        <v>1707.3333333333333</v>
      </c>
      <c r="H27" s="5">
        <f>AVERAGE($E20:H20)</f>
        <v>1280.5</v>
      </c>
      <c r="I27" s="5">
        <f>AVERAGE($E20:I20)</f>
        <v>1024.4000000000001</v>
      </c>
      <c r="J27" s="5">
        <f>AVERAGE($E20:J20)</f>
        <v>853.66666666666663</v>
      </c>
      <c r="K27" s="5">
        <f>AVERAGE($E20:K20)</f>
        <v>731.71428571428567</v>
      </c>
      <c r="L27" s="5">
        <f>AVERAGE($E20:L20)</f>
        <v>640.25</v>
      </c>
      <c r="M27" s="5">
        <f>AVERAGE($E20:M20)</f>
        <v>569.11111111111109</v>
      </c>
      <c r="N27" s="5">
        <f>AVERAGE($E20:N20)</f>
        <v>512.20000000000005</v>
      </c>
      <c r="O27" s="5">
        <f>AVERAGE($E20:O20)</f>
        <v>465.63636363636363</v>
      </c>
      <c r="P27" s="5">
        <f>AVERAGE($E20:P20)</f>
        <v>426.83333333333331</v>
      </c>
    </row>
    <row r="28" spans="3:17" x14ac:dyDescent="0.35">
      <c r="D28" s="3" t="str">
        <f t="shared" si="4"/>
        <v>Actual 2021-22</v>
      </c>
      <c r="E28" s="5">
        <f>AVERAGE($E21:E21)</f>
        <v>1703</v>
      </c>
      <c r="F28" s="5">
        <f>AVERAGE($E21:F21)</f>
        <v>1494</v>
      </c>
      <c r="G28" s="5">
        <f>AVERAGE($E21:G21)</f>
        <v>1428.6666666666667</v>
      </c>
      <c r="H28" s="5">
        <f>AVERAGE($E21:H21)</f>
        <v>1397.75</v>
      </c>
      <c r="I28" s="5">
        <f>AVERAGE($E21:I21)</f>
        <v>1449.4</v>
      </c>
      <c r="J28" s="5">
        <f>AVERAGE($E21:J21)</f>
        <v>1433</v>
      </c>
      <c r="K28" s="5">
        <f>AVERAGE($E21:K21)</f>
        <v>1424.2857142857142</v>
      </c>
      <c r="L28" s="5">
        <f>AVERAGE($E21:L21)</f>
        <v>1421</v>
      </c>
      <c r="M28" s="5">
        <f>AVERAGE($E21:M21)</f>
        <v>1455.4444444444443</v>
      </c>
      <c r="N28" s="5">
        <f>AVERAGE($E21:N21)</f>
        <v>1454.6</v>
      </c>
      <c r="O28" s="5">
        <f>AVERAGE($E21:O21)</f>
        <v>1456</v>
      </c>
      <c r="P28" s="5">
        <f>AVERAGE($E21:P21)</f>
        <v>1458</v>
      </c>
    </row>
    <row r="29" spans="3:17" x14ac:dyDescent="0.35">
      <c r="D29" s="3" t="str">
        <f t="shared" si="4"/>
        <v>Difference</v>
      </c>
      <c r="E29" s="5">
        <f>SUM($E22:E22)</f>
        <v>368</v>
      </c>
      <c r="F29" s="5">
        <f>SUM($E22:F22)</f>
        <v>755</v>
      </c>
      <c r="G29" s="5">
        <f>SUM($E22:G22)</f>
        <v>622</v>
      </c>
      <c r="H29" s="5">
        <f>SUM($E22:H22)</f>
        <v>622</v>
      </c>
      <c r="I29" s="5">
        <f>SUM($E22:I22)</f>
        <v>622</v>
      </c>
      <c r="J29" s="5">
        <f>SUM($E22:J22)</f>
        <v>622</v>
      </c>
      <c r="K29" s="5">
        <f>SUM($E22:K22)</f>
        <v>622</v>
      </c>
      <c r="L29" s="5">
        <f>SUM($E22:L22)</f>
        <v>622</v>
      </c>
      <c r="M29" s="5">
        <f>SUM($E22:M22)</f>
        <v>622</v>
      </c>
      <c r="N29" s="5">
        <f>SUM($E22:N22)</f>
        <v>622</v>
      </c>
      <c r="O29" s="5">
        <f>SUM($E22:O22)</f>
        <v>622</v>
      </c>
      <c r="P29" s="5">
        <f>SUM($E22:P22)</f>
        <v>622</v>
      </c>
    </row>
    <row r="30" spans="3:17" x14ac:dyDescent="0.35">
      <c r="D30" s="3" t="str">
        <f t="shared" si="4"/>
        <v>Realisation</v>
      </c>
      <c r="E30" s="9">
        <f>E28/E26</f>
        <v>1.1353333333333333</v>
      </c>
      <c r="F30" s="9">
        <f t="shared" ref="F30:P30" si="5">F27/F26</f>
        <v>1.2516666666666667</v>
      </c>
      <c r="G30" s="9">
        <f t="shared" si="5"/>
        <v>1.1382222222222222</v>
      </c>
      <c r="H30" s="9">
        <f t="shared" si="5"/>
        <v>0.85366666666666668</v>
      </c>
      <c r="I30" s="9">
        <f t="shared" si="5"/>
        <v>0.68293333333333339</v>
      </c>
      <c r="J30" s="9">
        <f t="shared" si="5"/>
        <v>0.56911111111111112</v>
      </c>
      <c r="K30" s="9">
        <f t="shared" si="5"/>
        <v>0.4878095238095238</v>
      </c>
      <c r="L30" s="9">
        <f t="shared" si="5"/>
        <v>0.42683333333333334</v>
      </c>
      <c r="M30" s="9">
        <f t="shared" si="5"/>
        <v>0.37940740740740742</v>
      </c>
      <c r="N30" s="9">
        <f t="shared" si="5"/>
        <v>0.3414666666666667</v>
      </c>
      <c r="O30" s="9">
        <f t="shared" si="5"/>
        <v>0.31042424242424244</v>
      </c>
      <c r="P30" s="9">
        <f t="shared" si="5"/>
        <v>0.28455555555555556</v>
      </c>
    </row>
  </sheetData>
  <mergeCells count="2">
    <mergeCell ref="J4:Q8"/>
    <mergeCell ref="J10:Q15"/>
  </mergeCells>
  <conditionalFormatting sqref="C3">
    <cfRule type="expression" dxfId="8" priority="2">
      <formula>S4&gt;S6</formula>
    </cfRule>
  </conditionalFormatting>
  <conditionalFormatting sqref="C5">
    <cfRule type="expression" dxfId="7" priority="3">
      <formula>S4&lt;=S5</formula>
    </cfRule>
  </conditionalFormatting>
  <conditionalFormatting sqref="C4">
    <cfRule type="expression" dxfId="6" priority="1">
      <formula>AND(S4&gt;S5,S4&lt;=S6)</formula>
    </cfRule>
  </conditionalFormatting>
  <hyperlinks>
    <hyperlink ref="L1" location="Dashboard!A1" display="Dashboard"/>
  </hyperlinks>
  <pageMargins left="0.7" right="0.7" top="0.75" bottom="0.75" header="0.3" footer="0.3"/>
  <pageSetup orientation="portrait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96705" r:id="rId4" name="Spinner 1">
              <controlPr defaultSize="0" autoPict="0">
                <anchor moveWithCells="1" sizeWithCells="1">
                  <from>
                    <xdr:col>9</xdr:col>
                    <xdr:colOff>19050</xdr:colOff>
                    <xdr:row>0</xdr:row>
                    <xdr:rowOff>38100</xdr:rowOff>
                  </from>
                  <to>
                    <xdr:col>9</xdr:col>
                    <xdr:colOff>400050</xdr:colOff>
                    <xdr:row>1</xdr:row>
                    <xdr:rowOff>152400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19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153"/>
  <dimension ref="A1:S30"/>
  <sheetViews>
    <sheetView zoomScale="90" zoomScaleNormal="90" workbookViewId="0">
      <selection activeCell="D22" sqref="D22"/>
    </sheetView>
  </sheetViews>
  <sheetFormatPr defaultColWidth="9.1796875" defaultRowHeight="14.5" x14ac:dyDescent="0.35"/>
  <cols>
    <col min="1" max="1" width="9.1796875" style="3"/>
    <col min="2" max="2" width="5.7265625" style="3" bestFit="1" customWidth="1"/>
    <col min="3" max="3" width="6.26953125" style="3" customWidth="1"/>
    <col min="4" max="4" width="21.26953125" style="3" bestFit="1" customWidth="1"/>
    <col min="5" max="16" width="11.1796875" style="3" customWidth="1"/>
    <col min="17" max="17" width="12" style="3" bestFit="1" customWidth="1"/>
    <col min="18" max="18" width="9.1796875" style="3" customWidth="1"/>
    <col min="19" max="16384" width="9.1796875" style="3"/>
  </cols>
  <sheetData>
    <row r="1" spans="1:19" ht="21" x14ac:dyDescent="0.5">
      <c r="A1" s="4" t="s">
        <v>4</v>
      </c>
      <c r="B1" s="4">
        <f>Dashboard!A223</f>
        <v>2</v>
      </c>
      <c r="C1" s="4" t="str">
        <f>Dashboard!B223</f>
        <v>NO DAYS TAKEN METER READING DTI</v>
      </c>
      <c r="D1" s="4"/>
      <c r="G1" s="3" t="s">
        <v>9</v>
      </c>
      <c r="I1" s="12">
        <f>INDEX($E$18:$P$18,Actual_month)</f>
        <v>44958</v>
      </c>
      <c r="L1" s="16" t="s">
        <v>19</v>
      </c>
      <c r="R1" s="5"/>
    </row>
    <row r="2" spans="1:19" x14ac:dyDescent="0.35">
      <c r="A2" s="3" t="s">
        <v>13</v>
      </c>
      <c r="C2" s="3" t="s">
        <v>27</v>
      </c>
      <c r="R2" s="6"/>
    </row>
    <row r="3" spans="1:19" ht="25.5" customHeight="1" thickBot="1" x14ac:dyDescent="0.4">
      <c r="C3" s="1" t="s">
        <v>5</v>
      </c>
      <c r="E3" s="10"/>
      <c r="F3" s="10"/>
      <c r="G3" s="10"/>
      <c r="H3" s="10"/>
      <c r="I3" s="10"/>
      <c r="J3" s="3" t="s">
        <v>6</v>
      </c>
      <c r="K3" s="10"/>
      <c r="M3" s="10"/>
      <c r="N3" s="10"/>
      <c r="O3" s="10"/>
      <c r="P3" s="10"/>
    </row>
    <row r="4" spans="1:19" ht="25.5" customHeight="1" x14ac:dyDescent="0.35">
      <c r="C4" s="1" t="s">
        <v>5</v>
      </c>
      <c r="E4" s="10"/>
      <c r="F4" s="10"/>
      <c r="G4" s="10"/>
      <c r="H4" s="10"/>
      <c r="I4" s="10"/>
      <c r="J4" s="401"/>
      <c r="K4" s="402"/>
      <c r="L4" s="402"/>
      <c r="M4" s="402"/>
      <c r="N4" s="402"/>
      <c r="O4" s="402"/>
      <c r="P4" s="402"/>
      <c r="Q4" s="403"/>
      <c r="R4" s="3" t="s">
        <v>22</v>
      </c>
      <c r="S4" s="5">
        <f>INDEX(E27:P27,Actual_month)</f>
        <v>2.25</v>
      </c>
    </row>
    <row r="5" spans="1:19" ht="25.5" customHeight="1" x14ac:dyDescent="0.35">
      <c r="C5" s="1" t="s">
        <v>5</v>
      </c>
      <c r="E5" s="10"/>
      <c r="F5" s="10"/>
      <c r="G5" s="10"/>
      <c r="H5" s="10"/>
      <c r="I5" s="10"/>
      <c r="J5" s="404"/>
      <c r="K5" s="405"/>
      <c r="L5" s="405"/>
      <c r="M5" s="405"/>
      <c r="N5" s="405"/>
      <c r="O5" s="405"/>
      <c r="P5" s="405"/>
      <c r="Q5" s="406"/>
      <c r="R5" s="3" t="s">
        <v>23</v>
      </c>
      <c r="S5" s="5">
        <f>INDEX(E26:P26,Actual_month)</f>
        <v>7</v>
      </c>
    </row>
    <row r="6" spans="1:19" x14ac:dyDescent="0.35">
      <c r="J6" s="404"/>
      <c r="K6" s="405"/>
      <c r="L6" s="405"/>
      <c r="M6" s="405"/>
      <c r="N6" s="405"/>
      <c r="O6" s="405"/>
      <c r="P6" s="405"/>
      <c r="Q6" s="406"/>
      <c r="R6" s="6">
        <v>0.9</v>
      </c>
      <c r="S6" s="5">
        <f>+S5/R6</f>
        <v>7.7777777777777777</v>
      </c>
    </row>
    <row r="7" spans="1:19" x14ac:dyDescent="0.35">
      <c r="J7" s="404"/>
      <c r="K7" s="405"/>
      <c r="L7" s="405"/>
      <c r="M7" s="405"/>
      <c r="N7" s="405"/>
      <c r="O7" s="405"/>
      <c r="P7" s="405"/>
      <c r="Q7" s="406"/>
    </row>
    <row r="8" spans="1:19" ht="15" thickBot="1" x14ac:dyDescent="0.4">
      <c r="J8" s="407"/>
      <c r="K8" s="408"/>
      <c r="L8" s="408"/>
      <c r="M8" s="408"/>
      <c r="N8" s="408"/>
      <c r="O8" s="408"/>
      <c r="P8" s="408"/>
      <c r="Q8" s="409"/>
    </row>
    <row r="9" spans="1:19" ht="15" thickBot="1" x14ac:dyDescent="0.4">
      <c r="J9" s="3" t="s">
        <v>12</v>
      </c>
    </row>
    <row r="10" spans="1:19" x14ac:dyDescent="0.35">
      <c r="J10" s="401"/>
      <c r="K10" s="402"/>
      <c r="L10" s="402"/>
      <c r="M10" s="402"/>
      <c r="N10" s="402"/>
      <c r="O10" s="402"/>
      <c r="P10" s="402"/>
      <c r="Q10" s="403"/>
    </row>
    <row r="11" spans="1:19" x14ac:dyDescent="0.35">
      <c r="J11" s="404"/>
      <c r="K11" s="405"/>
      <c r="L11" s="405"/>
      <c r="M11" s="405"/>
      <c r="N11" s="405"/>
      <c r="O11" s="405"/>
      <c r="P11" s="405"/>
      <c r="Q11" s="406"/>
    </row>
    <row r="12" spans="1:19" x14ac:dyDescent="0.35">
      <c r="J12" s="404"/>
      <c r="K12" s="405"/>
      <c r="L12" s="405"/>
      <c r="M12" s="405"/>
      <c r="N12" s="405"/>
      <c r="O12" s="405"/>
      <c r="P12" s="405"/>
      <c r="Q12" s="406"/>
    </row>
    <row r="13" spans="1:19" x14ac:dyDescent="0.35">
      <c r="J13" s="404"/>
      <c r="K13" s="405"/>
      <c r="L13" s="405"/>
      <c r="M13" s="405"/>
      <c r="N13" s="405"/>
      <c r="O13" s="405"/>
      <c r="P13" s="405"/>
      <c r="Q13" s="406"/>
    </row>
    <row r="14" spans="1:19" x14ac:dyDescent="0.35">
      <c r="J14" s="404"/>
      <c r="K14" s="405"/>
      <c r="L14" s="405"/>
      <c r="M14" s="405"/>
      <c r="N14" s="405"/>
      <c r="O14" s="405"/>
      <c r="P14" s="405"/>
      <c r="Q14" s="406"/>
    </row>
    <row r="15" spans="1:19" ht="15" thickBot="1" x14ac:dyDescent="0.4">
      <c r="J15" s="407"/>
      <c r="K15" s="408"/>
      <c r="L15" s="408"/>
      <c r="M15" s="408"/>
      <c r="N15" s="408"/>
      <c r="O15" s="408"/>
      <c r="P15" s="408"/>
      <c r="Q15" s="409"/>
    </row>
    <row r="18" spans="3:17" x14ac:dyDescent="0.35">
      <c r="C18" s="7" t="s">
        <v>8</v>
      </c>
      <c r="E18" s="11">
        <v>44743</v>
      </c>
      <c r="F18" s="11">
        <v>44774</v>
      </c>
      <c r="G18" s="11">
        <v>44805</v>
      </c>
      <c r="H18" s="11">
        <v>44835</v>
      </c>
      <c r="I18" s="11">
        <v>44866</v>
      </c>
      <c r="J18" s="11">
        <v>44896</v>
      </c>
      <c r="K18" s="11">
        <v>44927</v>
      </c>
      <c r="L18" s="11">
        <v>44958</v>
      </c>
      <c r="M18" s="11">
        <v>44986</v>
      </c>
      <c r="N18" s="11">
        <v>45017</v>
      </c>
      <c r="O18" s="11">
        <v>45047</v>
      </c>
      <c r="P18" s="11">
        <v>45078</v>
      </c>
      <c r="Q18" s="8" t="s">
        <v>0</v>
      </c>
    </row>
    <row r="19" spans="3:17" x14ac:dyDescent="0.35">
      <c r="D19" s="3" t="s">
        <v>195</v>
      </c>
      <c r="E19" s="49">
        <f>'budget 2025-26'!D211</f>
        <v>7</v>
      </c>
      <c r="F19" s="49">
        <f>'budget 2025-26'!E211</f>
        <v>7</v>
      </c>
      <c r="G19" s="49">
        <f>'budget 2025-26'!F211</f>
        <v>7</v>
      </c>
      <c r="H19" s="49">
        <f>'budget 2025-26'!G211</f>
        <v>7</v>
      </c>
      <c r="I19" s="49">
        <f>'budget 2025-26'!H211</f>
        <v>7</v>
      </c>
      <c r="J19" s="49">
        <f>'budget 2025-26'!I211</f>
        <v>7</v>
      </c>
      <c r="K19" s="49">
        <f>'budget 2025-26'!J211</f>
        <v>7</v>
      </c>
      <c r="L19" s="49">
        <f>'budget 2025-26'!K211</f>
        <v>7</v>
      </c>
      <c r="M19" s="49">
        <f>'budget 2025-26'!L211</f>
        <v>7</v>
      </c>
      <c r="N19" s="49">
        <f>'budget 2025-26'!M211</f>
        <v>7</v>
      </c>
      <c r="O19" s="49">
        <f>'budget 2025-26'!N211</f>
        <v>7</v>
      </c>
      <c r="P19" s="49">
        <f>'budget 2025-26'!O211</f>
        <v>7</v>
      </c>
      <c r="Q19" s="5">
        <f>SUM(E19:P19)</f>
        <v>84</v>
      </c>
    </row>
    <row r="20" spans="3:17" x14ac:dyDescent="0.35">
      <c r="D20" s="3" t="s">
        <v>196</v>
      </c>
      <c r="E20" s="49">
        <f>'actual 2022-23'!D171</f>
        <v>9</v>
      </c>
      <c r="F20" s="49">
        <f>'actual 2022-23'!E171</f>
        <v>9</v>
      </c>
      <c r="G20" s="49">
        <f>'actual 2022-23'!F171</f>
        <v>0</v>
      </c>
      <c r="H20" s="49">
        <f>'actual 2022-23'!G171</f>
        <v>0</v>
      </c>
      <c r="I20" s="49">
        <f>'actual 2022-23'!H171</f>
        <v>0</v>
      </c>
      <c r="J20" s="49">
        <f>'actual 2022-23'!I171</f>
        <v>0</v>
      </c>
      <c r="K20" s="49">
        <f>'actual 2022-23'!J171</f>
        <v>0</v>
      </c>
      <c r="L20" s="49">
        <f>'actual 2022-23'!K171</f>
        <v>0</v>
      </c>
      <c r="M20" s="49">
        <f>'actual 2022-23'!L171</f>
        <v>0</v>
      </c>
      <c r="N20" s="49">
        <f>'actual 2022-23'!M171</f>
        <v>0</v>
      </c>
      <c r="O20" s="49">
        <f>'actual 2022-23'!N171</f>
        <v>0</v>
      </c>
      <c r="P20" s="49">
        <f>'actual 2022-23'!O171</f>
        <v>0</v>
      </c>
      <c r="Q20" s="5">
        <f t="shared" ref="Q20:Q22" si="0">SUM(E20:P20)</f>
        <v>18</v>
      </c>
    </row>
    <row r="21" spans="3:17" x14ac:dyDescent="0.35">
      <c r="D21" s="3" t="s">
        <v>42</v>
      </c>
      <c r="E21" s="49">
        <f>'actual 2021-22'!D168</f>
        <v>11</v>
      </c>
      <c r="F21" s="49">
        <f>'actual 2021-22'!E168</f>
        <v>8</v>
      </c>
      <c r="G21" s="49">
        <f>'actual 2021-22'!F168</f>
        <v>9</v>
      </c>
      <c r="H21" s="49">
        <f>'actual 2021-22'!G168</f>
        <v>9</v>
      </c>
      <c r="I21" s="49">
        <f>'actual 2021-22'!H168</f>
        <v>10</v>
      </c>
      <c r="J21" s="49">
        <f>'actual 2021-22'!I168</f>
        <v>8</v>
      </c>
      <c r="K21" s="49">
        <f>'actual 2021-22'!J168</f>
        <v>9</v>
      </c>
      <c r="L21" s="49">
        <f>'actual 2021-22'!K168</f>
        <v>8</v>
      </c>
      <c r="M21" s="49">
        <f>'actual 2021-22'!L168</f>
        <v>8</v>
      </c>
      <c r="N21" s="49">
        <f>'actual 2021-22'!M168</f>
        <v>9</v>
      </c>
      <c r="O21" s="49">
        <f>'actual 2021-22'!N168</f>
        <v>12</v>
      </c>
      <c r="P21" s="49">
        <f>'actual 2021-22'!O168</f>
        <v>10</v>
      </c>
      <c r="Q21" s="5">
        <f t="shared" si="0"/>
        <v>111</v>
      </c>
    </row>
    <row r="22" spans="3:17" x14ac:dyDescent="0.35">
      <c r="D22" s="3" t="s">
        <v>7</v>
      </c>
      <c r="E22" s="5">
        <f t="shared" ref="E22:P22" si="1">IF(E20=0,0,E20-E19)</f>
        <v>2</v>
      </c>
      <c r="F22" s="5">
        <f t="shared" si="1"/>
        <v>2</v>
      </c>
      <c r="G22" s="5">
        <f t="shared" si="1"/>
        <v>0</v>
      </c>
      <c r="H22" s="5">
        <f t="shared" si="1"/>
        <v>0</v>
      </c>
      <c r="I22" s="5">
        <f t="shared" si="1"/>
        <v>0</v>
      </c>
      <c r="J22" s="5">
        <f t="shared" si="1"/>
        <v>0</v>
      </c>
      <c r="K22" s="5">
        <f t="shared" si="1"/>
        <v>0</v>
      </c>
      <c r="L22" s="5">
        <f t="shared" si="1"/>
        <v>0</v>
      </c>
      <c r="M22" s="5">
        <f t="shared" si="1"/>
        <v>0</v>
      </c>
      <c r="N22" s="5">
        <f t="shared" si="1"/>
        <v>0</v>
      </c>
      <c r="O22" s="5">
        <f t="shared" si="1"/>
        <v>0</v>
      </c>
      <c r="P22" s="5">
        <f t="shared" si="1"/>
        <v>0</v>
      </c>
      <c r="Q22" s="5">
        <f t="shared" si="0"/>
        <v>4</v>
      </c>
    </row>
    <row r="23" spans="3:17" x14ac:dyDescent="0.35">
      <c r="D23" s="3" t="s">
        <v>43</v>
      </c>
      <c r="E23" s="9">
        <f>E21/E19</f>
        <v>1.5714285714285714</v>
      </c>
      <c r="F23" s="9">
        <f t="shared" ref="F23:P23" si="2">F20/F19</f>
        <v>1.2857142857142858</v>
      </c>
      <c r="G23" s="9">
        <f t="shared" si="2"/>
        <v>0</v>
      </c>
      <c r="H23" s="9">
        <f t="shared" si="2"/>
        <v>0</v>
      </c>
      <c r="I23" s="9">
        <f t="shared" si="2"/>
        <v>0</v>
      </c>
      <c r="J23" s="9">
        <f t="shared" si="2"/>
        <v>0</v>
      </c>
      <c r="K23" s="9">
        <f t="shared" si="2"/>
        <v>0</v>
      </c>
      <c r="L23" s="9">
        <f t="shared" si="2"/>
        <v>0</v>
      </c>
      <c r="M23" s="9">
        <f t="shared" si="2"/>
        <v>0</v>
      </c>
      <c r="N23" s="9">
        <f t="shared" si="2"/>
        <v>0</v>
      </c>
      <c r="O23" s="9">
        <f t="shared" si="2"/>
        <v>0</v>
      </c>
      <c r="P23" s="9">
        <f t="shared" si="2"/>
        <v>0</v>
      </c>
    </row>
    <row r="25" spans="3:17" x14ac:dyDescent="0.35">
      <c r="C25" s="7" t="s">
        <v>3</v>
      </c>
      <c r="E25" s="11">
        <f>E18</f>
        <v>44743</v>
      </c>
      <c r="F25" s="11">
        <f t="shared" ref="F25:P25" si="3">F18</f>
        <v>44774</v>
      </c>
      <c r="G25" s="11">
        <f t="shared" si="3"/>
        <v>44805</v>
      </c>
      <c r="H25" s="11">
        <f t="shared" si="3"/>
        <v>44835</v>
      </c>
      <c r="I25" s="11">
        <f t="shared" si="3"/>
        <v>44866</v>
      </c>
      <c r="J25" s="11">
        <f t="shared" si="3"/>
        <v>44896</v>
      </c>
      <c r="K25" s="11">
        <f t="shared" si="3"/>
        <v>44927</v>
      </c>
      <c r="L25" s="11">
        <f t="shared" si="3"/>
        <v>44958</v>
      </c>
      <c r="M25" s="11">
        <f t="shared" si="3"/>
        <v>44986</v>
      </c>
      <c r="N25" s="11">
        <f t="shared" si="3"/>
        <v>45017</v>
      </c>
      <c r="O25" s="11">
        <f t="shared" si="3"/>
        <v>45047</v>
      </c>
      <c r="P25" s="11">
        <f t="shared" si="3"/>
        <v>45078</v>
      </c>
    </row>
    <row r="26" spans="3:17" x14ac:dyDescent="0.35">
      <c r="D26" s="3" t="str">
        <f>D19</f>
        <v>Budget 2022-23</v>
      </c>
      <c r="E26" s="5">
        <f>AVERAGE($E19:E19)</f>
        <v>7</v>
      </c>
      <c r="F26" s="5">
        <f>AVERAGE($E19:F19)</f>
        <v>7</v>
      </c>
      <c r="G26" s="5">
        <f>AVERAGE($E19:G19)</f>
        <v>7</v>
      </c>
      <c r="H26" s="5">
        <f>AVERAGE($E19:H19)</f>
        <v>7</v>
      </c>
      <c r="I26" s="5">
        <f>AVERAGE($E19:I19)</f>
        <v>7</v>
      </c>
      <c r="J26" s="5">
        <f>AVERAGE($E19:J19)</f>
        <v>7</v>
      </c>
      <c r="K26" s="5">
        <f>AVERAGE($E19:K19)</f>
        <v>7</v>
      </c>
      <c r="L26" s="5">
        <f>AVERAGE($E19:L19)</f>
        <v>7</v>
      </c>
      <c r="M26" s="5">
        <f>AVERAGE($E19:M19)</f>
        <v>7</v>
      </c>
      <c r="N26" s="5">
        <f>AVERAGE($E19:N19)</f>
        <v>7</v>
      </c>
      <c r="O26" s="5">
        <f>AVERAGE($E19:O19)</f>
        <v>7</v>
      </c>
      <c r="P26" s="5">
        <f>AVERAGE($E19:P19)</f>
        <v>7</v>
      </c>
    </row>
    <row r="27" spans="3:17" x14ac:dyDescent="0.35">
      <c r="D27" s="3" t="str">
        <f t="shared" ref="D27:D30" si="4">D20</f>
        <v>Actual 2022-23</v>
      </c>
      <c r="E27" s="5">
        <f>AVERAGE($E20:E20)</f>
        <v>9</v>
      </c>
      <c r="F27" s="5">
        <f>AVERAGE($E20:F20)</f>
        <v>9</v>
      </c>
      <c r="G27" s="5">
        <f>AVERAGE($E20:G20)</f>
        <v>6</v>
      </c>
      <c r="H27" s="5">
        <f>AVERAGE($E20:H20)</f>
        <v>4.5</v>
      </c>
      <c r="I27" s="5">
        <f>AVERAGE($E20:I20)</f>
        <v>3.6</v>
      </c>
      <c r="J27" s="5">
        <f>AVERAGE($E20:J20)</f>
        <v>3</v>
      </c>
      <c r="K27" s="5">
        <f>AVERAGE($E20:K20)</f>
        <v>2.5714285714285716</v>
      </c>
      <c r="L27" s="5">
        <f>AVERAGE($E20:L20)</f>
        <v>2.25</v>
      </c>
      <c r="M27" s="5">
        <f>AVERAGE($E20:M20)</f>
        <v>2</v>
      </c>
      <c r="N27" s="5">
        <f>AVERAGE($E20:N20)</f>
        <v>1.8</v>
      </c>
      <c r="O27" s="5">
        <f>AVERAGE($E20:O20)</f>
        <v>1.6363636363636365</v>
      </c>
      <c r="P27" s="5">
        <f>AVERAGE($E20:P20)</f>
        <v>1.5</v>
      </c>
    </row>
    <row r="28" spans="3:17" x14ac:dyDescent="0.35">
      <c r="D28" s="3" t="str">
        <f t="shared" si="4"/>
        <v>Actual 2021-22</v>
      </c>
      <c r="E28" s="5">
        <f>AVERAGE($E21:E21)</f>
        <v>11</v>
      </c>
      <c r="F28" s="5">
        <f>AVERAGE($E21:F21)</f>
        <v>9.5</v>
      </c>
      <c r="G28" s="5">
        <f>AVERAGE($E21:G21)</f>
        <v>9.3333333333333339</v>
      </c>
      <c r="H28" s="5">
        <f>AVERAGE($E21:H21)</f>
        <v>9.25</v>
      </c>
      <c r="I28" s="5">
        <f>AVERAGE($E21:I21)</f>
        <v>9.4</v>
      </c>
      <c r="J28" s="5">
        <f>AVERAGE($E21:J21)</f>
        <v>9.1666666666666661</v>
      </c>
      <c r="K28" s="5">
        <f>AVERAGE($E21:K21)</f>
        <v>9.1428571428571423</v>
      </c>
      <c r="L28" s="5">
        <f>AVERAGE($E21:L21)</f>
        <v>9</v>
      </c>
      <c r="M28" s="5">
        <f>AVERAGE($E21:M21)</f>
        <v>8.8888888888888893</v>
      </c>
      <c r="N28" s="5">
        <f>AVERAGE($E21:N21)</f>
        <v>8.9</v>
      </c>
      <c r="O28" s="5">
        <f>AVERAGE($E21:O21)</f>
        <v>9.1818181818181817</v>
      </c>
      <c r="P28" s="5">
        <f>AVERAGE($E21:P21)</f>
        <v>9.25</v>
      </c>
    </row>
    <row r="29" spans="3:17" x14ac:dyDescent="0.35">
      <c r="D29" s="3" t="str">
        <f t="shared" si="4"/>
        <v>Difference</v>
      </c>
      <c r="E29" s="5">
        <f>SUM($E22:E22)</f>
        <v>2</v>
      </c>
      <c r="F29" s="5">
        <f>SUM($E22:F22)</f>
        <v>4</v>
      </c>
      <c r="G29" s="5">
        <f>SUM($E22:G22)</f>
        <v>4</v>
      </c>
      <c r="H29" s="5">
        <f>SUM($E22:H22)</f>
        <v>4</v>
      </c>
      <c r="I29" s="5">
        <f>SUM($E22:I22)</f>
        <v>4</v>
      </c>
      <c r="J29" s="5">
        <f>SUM($E22:J22)</f>
        <v>4</v>
      </c>
      <c r="K29" s="5">
        <f>SUM($E22:K22)</f>
        <v>4</v>
      </c>
      <c r="L29" s="5">
        <f>SUM($E22:L22)</f>
        <v>4</v>
      </c>
      <c r="M29" s="5">
        <f>SUM($E22:M22)</f>
        <v>4</v>
      </c>
      <c r="N29" s="5">
        <f>SUM($E22:N22)</f>
        <v>4</v>
      </c>
      <c r="O29" s="5">
        <f>SUM($E22:O22)</f>
        <v>4</v>
      </c>
      <c r="P29" s="5">
        <f>SUM($E22:P22)</f>
        <v>4</v>
      </c>
    </row>
    <row r="30" spans="3:17" x14ac:dyDescent="0.35">
      <c r="D30" s="3" t="str">
        <f t="shared" si="4"/>
        <v>Realisation</v>
      </c>
      <c r="E30" s="9">
        <f>E28/E26</f>
        <v>1.5714285714285714</v>
      </c>
      <c r="F30" s="9">
        <f t="shared" ref="F30:P30" si="5">F27/F26</f>
        <v>1.2857142857142858</v>
      </c>
      <c r="G30" s="9">
        <f t="shared" si="5"/>
        <v>0.8571428571428571</v>
      </c>
      <c r="H30" s="9">
        <f t="shared" si="5"/>
        <v>0.6428571428571429</v>
      </c>
      <c r="I30" s="9">
        <f t="shared" si="5"/>
        <v>0.51428571428571435</v>
      </c>
      <c r="J30" s="9">
        <f t="shared" si="5"/>
        <v>0.42857142857142855</v>
      </c>
      <c r="K30" s="9">
        <f t="shared" si="5"/>
        <v>0.36734693877551022</v>
      </c>
      <c r="L30" s="9">
        <f t="shared" si="5"/>
        <v>0.32142857142857145</v>
      </c>
      <c r="M30" s="9">
        <f t="shared" si="5"/>
        <v>0.2857142857142857</v>
      </c>
      <c r="N30" s="9">
        <f t="shared" si="5"/>
        <v>0.25714285714285717</v>
      </c>
      <c r="O30" s="9">
        <f t="shared" si="5"/>
        <v>0.23376623376623379</v>
      </c>
      <c r="P30" s="9">
        <f t="shared" si="5"/>
        <v>0.21428571428571427</v>
      </c>
    </row>
  </sheetData>
  <mergeCells count="2">
    <mergeCell ref="J4:Q8"/>
    <mergeCell ref="J10:Q15"/>
  </mergeCells>
  <conditionalFormatting sqref="C3">
    <cfRule type="expression" dxfId="5" priority="2">
      <formula>S4&gt;S6</formula>
    </cfRule>
  </conditionalFormatting>
  <conditionalFormatting sqref="C5">
    <cfRule type="expression" dxfId="4" priority="3">
      <formula>S4&lt;=S5</formula>
    </cfRule>
  </conditionalFormatting>
  <conditionalFormatting sqref="C4">
    <cfRule type="expression" dxfId="3" priority="1">
      <formula>AND(S4&gt;S5,S4&lt;=S6)</formula>
    </cfRule>
  </conditionalFormatting>
  <hyperlinks>
    <hyperlink ref="L1" location="Dashboard!A1" display="Dashboard"/>
  </hyperlinks>
  <pageMargins left="0.7" right="0.7" top="0.75" bottom="0.75" header="0.3" footer="0.3"/>
  <pageSetup orientation="portrait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97729" r:id="rId4" name="Spinner 1">
              <controlPr defaultSize="0" autoPict="0">
                <anchor moveWithCells="1" sizeWithCells="1">
                  <from>
                    <xdr:col>9</xdr:col>
                    <xdr:colOff>19050</xdr:colOff>
                    <xdr:row>0</xdr:row>
                    <xdr:rowOff>38100</xdr:rowOff>
                  </from>
                  <to>
                    <xdr:col>9</xdr:col>
                    <xdr:colOff>400050</xdr:colOff>
                    <xdr:row>1</xdr:row>
                    <xdr:rowOff>152400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19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154"/>
  <dimension ref="A1:S30"/>
  <sheetViews>
    <sheetView zoomScale="90" zoomScaleNormal="90" workbookViewId="0">
      <selection activeCell="D22" sqref="D22"/>
    </sheetView>
  </sheetViews>
  <sheetFormatPr defaultColWidth="9.1796875" defaultRowHeight="14.5" x14ac:dyDescent="0.35"/>
  <cols>
    <col min="1" max="1" width="9.1796875" style="3"/>
    <col min="2" max="2" width="5.7265625" style="3" bestFit="1" customWidth="1"/>
    <col min="3" max="3" width="6.26953125" style="3" customWidth="1"/>
    <col min="4" max="4" width="21.26953125" style="3" bestFit="1" customWidth="1"/>
    <col min="5" max="16" width="11.1796875" style="3" customWidth="1"/>
    <col min="17" max="17" width="12" style="3" bestFit="1" customWidth="1"/>
    <col min="18" max="18" width="9.1796875" style="3" customWidth="1"/>
    <col min="19" max="16384" width="9.1796875" style="3"/>
  </cols>
  <sheetData>
    <row r="1" spans="1:19" ht="21" x14ac:dyDescent="0.5">
      <c r="A1" s="4" t="s">
        <v>4</v>
      </c>
      <c r="B1" s="4">
        <f>Dashboard!A224</f>
        <v>3</v>
      </c>
      <c r="C1" s="4" t="str">
        <f>Dashboard!B224</f>
        <v>NO DAYS TAKEN METER READING KARATI</v>
      </c>
      <c r="D1" s="4"/>
      <c r="G1" s="3" t="s">
        <v>9</v>
      </c>
      <c r="I1" s="12">
        <f>INDEX($E$18:$P$18,Actual_month)</f>
        <v>44958</v>
      </c>
      <c r="L1" s="16" t="s">
        <v>19</v>
      </c>
      <c r="R1" s="5"/>
    </row>
    <row r="2" spans="1:19" x14ac:dyDescent="0.35">
      <c r="A2" s="3" t="s">
        <v>13</v>
      </c>
      <c r="C2" s="3" t="s">
        <v>27</v>
      </c>
      <c r="R2" s="6"/>
    </row>
    <row r="3" spans="1:19" ht="25.5" customHeight="1" thickBot="1" x14ac:dyDescent="0.4">
      <c r="C3" s="1" t="s">
        <v>5</v>
      </c>
      <c r="E3" s="10"/>
      <c r="F3" s="10"/>
      <c r="G3" s="10"/>
      <c r="H3" s="10"/>
      <c r="I3" s="10"/>
      <c r="J3" s="3" t="s">
        <v>6</v>
      </c>
      <c r="K3" s="10"/>
      <c r="M3" s="10"/>
      <c r="N3" s="10"/>
      <c r="O3" s="10"/>
      <c r="P3" s="10"/>
    </row>
    <row r="4" spans="1:19" ht="25.5" customHeight="1" x14ac:dyDescent="0.35">
      <c r="C4" s="1" t="s">
        <v>5</v>
      </c>
      <c r="E4" s="10"/>
      <c r="F4" s="10"/>
      <c r="G4" s="10"/>
      <c r="H4" s="10"/>
      <c r="I4" s="10"/>
      <c r="J4" s="401"/>
      <c r="K4" s="402"/>
      <c r="L4" s="402"/>
      <c r="M4" s="402"/>
      <c r="N4" s="402"/>
      <c r="O4" s="402"/>
      <c r="P4" s="402"/>
      <c r="Q4" s="403"/>
      <c r="R4" s="3" t="s">
        <v>22</v>
      </c>
      <c r="S4" s="5">
        <f>INDEX(E27:P27,Actual_month)</f>
        <v>4.625</v>
      </c>
    </row>
    <row r="5" spans="1:19" ht="25.5" customHeight="1" x14ac:dyDescent="0.35">
      <c r="C5" s="1" t="s">
        <v>5</v>
      </c>
      <c r="E5" s="10"/>
      <c r="F5" s="10"/>
      <c r="G5" s="10"/>
      <c r="H5" s="10"/>
      <c r="I5" s="10"/>
      <c r="J5" s="404"/>
      <c r="K5" s="405"/>
      <c r="L5" s="405"/>
      <c r="M5" s="405"/>
      <c r="N5" s="405"/>
      <c r="O5" s="405"/>
      <c r="P5" s="405"/>
      <c r="Q5" s="406"/>
      <c r="R5" s="3" t="s">
        <v>23</v>
      </c>
      <c r="S5" s="5">
        <f>INDEX(E26:P26,Actual_month)</f>
        <v>15</v>
      </c>
    </row>
    <row r="6" spans="1:19" x14ac:dyDescent="0.35">
      <c r="J6" s="404"/>
      <c r="K6" s="405"/>
      <c r="L6" s="405"/>
      <c r="M6" s="405"/>
      <c r="N6" s="405"/>
      <c r="O6" s="405"/>
      <c r="P6" s="405"/>
      <c r="Q6" s="406"/>
      <c r="R6" s="6">
        <v>0.9</v>
      </c>
      <c r="S6" s="5">
        <f>+S5/R6</f>
        <v>16.666666666666668</v>
      </c>
    </row>
    <row r="7" spans="1:19" x14ac:dyDescent="0.35">
      <c r="J7" s="404"/>
      <c r="K7" s="405"/>
      <c r="L7" s="405"/>
      <c r="M7" s="405"/>
      <c r="N7" s="405"/>
      <c r="O7" s="405"/>
      <c r="P7" s="405"/>
      <c r="Q7" s="406"/>
    </row>
    <row r="8" spans="1:19" ht="15" thickBot="1" x14ac:dyDescent="0.4">
      <c r="J8" s="407"/>
      <c r="K8" s="408"/>
      <c r="L8" s="408"/>
      <c r="M8" s="408"/>
      <c r="N8" s="408"/>
      <c r="O8" s="408"/>
      <c r="P8" s="408"/>
      <c r="Q8" s="409"/>
    </row>
    <row r="9" spans="1:19" ht="15" thickBot="1" x14ac:dyDescent="0.4">
      <c r="J9" s="3" t="s">
        <v>12</v>
      </c>
    </row>
    <row r="10" spans="1:19" x14ac:dyDescent="0.35">
      <c r="J10" s="401"/>
      <c r="K10" s="402"/>
      <c r="L10" s="402"/>
      <c r="M10" s="402"/>
      <c r="N10" s="402"/>
      <c r="O10" s="402"/>
      <c r="P10" s="402"/>
      <c r="Q10" s="403"/>
    </row>
    <row r="11" spans="1:19" x14ac:dyDescent="0.35">
      <c r="J11" s="404"/>
      <c r="K11" s="405"/>
      <c r="L11" s="405"/>
      <c r="M11" s="405"/>
      <c r="N11" s="405"/>
      <c r="O11" s="405"/>
      <c r="P11" s="405"/>
      <c r="Q11" s="406"/>
    </row>
    <row r="12" spans="1:19" x14ac:dyDescent="0.35">
      <c r="J12" s="404"/>
      <c r="K12" s="405"/>
      <c r="L12" s="405"/>
      <c r="M12" s="405"/>
      <c r="N12" s="405"/>
      <c r="O12" s="405"/>
      <c r="P12" s="405"/>
      <c r="Q12" s="406"/>
    </row>
    <row r="13" spans="1:19" x14ac:dyDescent="0.35">
      <c r="J13" s="404"/>
      <c r="K13" s="405"/>
      <c r="L13" s="405"/>
      <c r="M13" s="405"/>
      <c r="N13" s="405"/>
      <c r="O13" s="405"/>
      <c r="P13" s="405"/>
      <c r="Q13" s="406"/>
    </row>
    <row r="14" spans="1:19" x14ac:dyDescent="0.35">
      <c r="J14" s="404"/>
      <c r="K14" s="405"/>
      <c r="L14" s="405"/>
      <c r="M14" s="405"/>
      <c r="N14" s="405"/>
      <c r="O14" s="405"/>
      <c r="P14" s="405"/>
      <c r="Q14" s="406"/>
    </row>
    <row r="15" spans="1:19" ht="15" thickBot="1" x14ac:dyDescent="0.4">
      <c r="J15" s="407"/>
      <c r="K15" s="408"/>
      <c r="L15" s="408"/>
      <c r="M15" s="408"/>
      <c r="N15" s="408"/>
      <c r="O15" s="408"/>
      <c r="P15" s="408"/>
      <c r="Q15" s="409"/>
    </row>
    <row r="18" spans="3:17" x14ac:dyDescent="0.35">
      <c r="C18" s="7" t="s">
        <v>8</v>
      </c>
      <c r="E18" s="11">
        <v>44743</v>
      </c>
      <c r="F18" s="11">
        <v>44774</v>
      </c>
      <c r="G18" s="11">
        <v>44805</v>
      </c>
      <c r="H18" s="11">
        <v>44835</v>
      </c>
      <c r="I18" s="11">
        <v>44866</v>
      </c>
      <c r="J18" s="11">
        <v>44896</v>
      </c>
      <c r="K18" s="11">
        <v>44927</v>
      </c>
      <c r="L18" s="11">
        <v>44958</v>
      </c>
      <c r="M18" s="11">
        <v>44986</v>
      </c>
      <c r="N18" s="11">
        <v>45017</v>
      </c>
      <c r="O18" s="11">
        <v>45047</v>
      </c>
      <c r="P18" s="11">
        <v>45078</v>
      </c>
      <c r="Q18" s="8" t="s">
        <v>0</v>
      </c>
    </row>
    <row r="19" spans="3:17" x14ac:dyDescent="0.35">
      <c r="D19" s="3" t="s">
        <v>195</v>
      </c>
      <c r="E19" s="49">
        <f>'budget 2025-26'!D212</f>
        <v>15</v>
      </c>
      <c r="F19" s="49">
        <f>'budget 2025-26'!E212</f>
        <v>15</v>
      </c>
      <c r="G19" s="49">
        <f>'budget 2025-26'!F212</f>
        <v>15</v>
      </c>
      <c r="H19" s="49">
        <f>'budget 2025-26'!G212</f>
        <v>15</v>
      </c>
      <c r="I19" s="49">
        <f>'budget 2025-26'!H212</f>
        <v>15</v>
      </c>
      <c r="J19" s="49">
        <f>'budget 2025-26'!I212</f>
        <v>15</v>
      </c>
      <c r="K19" s="49">
        <f>'budget 2025-26'!J212</f>
        <v>15</v>
      </c>
      <c r="L19" s="49">
        <f>'budget 2025-26'!K212</f>
        <v>15</v>
      </c>
      <c r="M19" s="49">
        <f>'budget 2025-26'!L212</f>
        <v>15</v>
      </c>
      <c r="N19" s="49">
        <f>'budget 2025-26'!M212</f>
        <v>15</v>
      </c>
      <c r="O19" s="49">
        <f>'budget 2025-26'!N212</f>
        <v>15</v>
      </c>
      <c r="P19" s="49">
        <f>'budget 2025-26'!O212</f>
        <v>15</v>
      </c>
      <c r="Q19" s="5">
        <f>SUM(E19:P19)</f>
        <v>180</v>
      </c>
    </row>
    <row r="20" spans="3:17" x14ac:dyDescent="0.35">
      <c r="D20" s="3" t="s">
        <v>196</v>
      </c>
      <c r="E20" s="49">
        <f>'actual 2022-23'!D172</f>
        <v>19</v>
      </c>
      <c r="F20" s="49">
        <f>'actual 2022-23'!E172</f>
        <v>18</v>
      </c>
      <c r="G20" s="49">
        <f>'actual 2022-23'!F172</f>
        <v>0</v>
      </c>
      <c r="H20" s="49">
        <f>'actual 2022-23'!G172</f>
        <v>0</v>
      </c>
      <c r="I20" s="49">
        <f>'actual 2022-23'!H172</f>
        <v>0</v>
      </c>
      <c r="J20" s="49">
        <f>'actual 2022-23'!I172</f>
        <v>0</v>
      </c>
      <c r="K20" s="49">
        <f>'actual 2022-23'!J172</f>
        <v>0</v>
      </c>
      <c r="L20" s="49">
        <f>'actual 2022-23'!K172</f>
        <v>0</v>
      </c>
      <c r="M20" s="49">
        <f>'actual 2022-23'!L172</f>
        <v>0</v>
      </c>
      <c r="N20" s="49">
        <f>'actual 2022-23'!M172</f>
        <v>0</v>
      </c>
      <c r="O20" s="49">
        <f>'actual 2022-23'!N172</f>
        <v>0</v>
      </c>
      <c r="P20" s="49">
        <f>'actual 2022-23'!O172</f>
        <v>0</v>
      </c>
      <c r="Q20" s="5">
        <f t="shared" ref="Q20:Q22" si="0">SUM(E20:P20)</f>
        <v>37</v>
      </c>
    </row>
    <row r="21" spans="3:17" x14ac:dyDescent="0.35">
      <c r="D21" s="3" t="s">
        <v>42</v>
      </c>
      <c r="E21" s="49">
        <f>'actual 2021-22'!D169</f>
        <v>17</v>
      </c>
      <c r="F21" s="49">
        <f>'actual 2021-22'!E169</f>
        <v>16</v>
      </c>
      <c r="G21" s="49">
        <f>'actual 2021-22'!F169</f>
        <v>15</v>
      </c>
      <c r="H21" s="49">
        <f>'actual 2021-22'!G169</f>
        <v>15</v>
      </c>
      <c r="I21" s="49">
        <f>'actual 2021-22'!H169</f>
        <v>15</v>
      </c>
      <c r="J21" s="49">
        <f>'actual 2021-22'!I169</f>
        <v>16</v>
      </c>
      <c r="K21" s="49">
        <f>'actual 2021-22'!J169</f>
        <v>15</v>
      </c>
      <c r="L21" s="49">
        <f>'actual 2021-22'!K169</f>
        <v>16</v>
      </c>
      <c r="M21" s="49">
        <f>'actual 2021-22'!L169</f>
        <v>15</v>
      </c>
      <c r="N21" s="49">
        <f>'actual 2021-22'!M169</f>
        <v>17</v>
      </c>
      <c r="O21" s="49">
        <f>'actual 2021-22'!N169</f>
        <v>15</v>
      </c>
      <c r="P21" s="49">
        <f>'actual 2021-22'!O169</f>
        <v>17</v>
      </c>
      <c r="Q21" s="5">
        <f t="shared" si="0"/>
        <v>189</v>
      </c>
    </row>
    <row r="22" spans="3:17" x14ac:dyDescent="0.35">
      <c r="D22" s="3" t="s">
        <v>7</v>
      </c>
      <c r="E22" s="5">
        <f t="shared" ref="E22:P22" si="1">IF(E20=0,0,E20-E19)</f>
        <v>4</v>
      </c>
      <c r="F22" s="5">
        <f t="shared" si="1"/>
        <v>3</v>
      </c>
      <c r="G22" s="5">
        <f t="shared" si="1"/>
        <v>0</v>
      </c>
      <c r="H22" s="5">
        <f t="shared" si="1"/>
        <v>0</v>
      </c>
      <c r="I22" s="5">
        <f t="shared" si="1"/>
        <v>0</v>
      </c>
      <c r="J22" s="5">
        <f t="shared" si="1"/>
        <v>0</v>
      </c>
      <c r="K22" s="5">
        <f t="shared" si="1"/>
        <v>0</v>
      </c>
      <c r="L22" s="5">
        <f t="shared" si="1"/>
        <v>0</v>
      </c>
      <c r="M22" s="5">
        <f t="shared" si="1"/>
        <v>0</v>
      </c>
      <c r="N22" s="5">
        <f t="shared" si="1"/>
        <v>0</v>
      </c>
      <c r="O22" s="5">
        <f t="shared" si="1"/>
        <v>0</v>
      </c>
      <c r="P22" s="5">
        <f t="shared" si="1"/>
        <v>0</v>
      </c>
      <c r="Q22" s="5">
        <f t="shared" si="0"/>
        <v>7</v>
      </c>
    </row>
    <row r="23" spans="3:17" x14ac:dyDescent="0.35">
      <c r="D23" s="3" t="s">
        <v>43</v>
      </c>
      <c r="E23" s="9">
        <f>E21/E19</f>
        <v>1.1333333333333333</v>
      </c>
      <c r="F23" s="9">
        <f t="shared" ref="F23:P23" si="2">F20/F19</f>
        <v>1.2</v>
      </c>
      <c r="G23" s="9">
        <f t="shared" si="2"/>
        <v>0</v>
      </c>
      <c r="H23" s="9">
        <f t="shared" si="2"/>
        <v>0</v>
      </c>
      <c r="I23" s="9">
        <f t="shared" si="2"/>
        <v>0</v>
      </c>
      <c r="J23" s="9">
        <f t="shared" si="2"/>
        <v>0</v>
      </c>
      <c r="K23" s="9">
        <f t="shared" si="2"/>
        <v>0</v>
      </c>
      <c r="L23" s="9">
        <f t="shared" si="2"/>
        <v>0</v>
      </c>
      <c r="M23" s="9">
        <f t="shared" si="2"/>
        <v>0</v>
      </c>
      <c r="N23" s="9">
        <f t="shared" si="2"/>
        <v>0</v>
      </c>
      <c r="O23" s="9">
        <f t="shared" si="2"/>
        <v>0</v>
      </c>
      <c r="P23" s="9">
        <f t="shared" si="2"/>
        <v>0</v>
      </c>
    </row>
    <row r="25" spans="3:17" x14ac:dyDescent="0.35">
      <c r="C25" s="7" t="s">
        <v>3</v>
      </c>
      <c r="E25" s="11">
        <f>E18</f>
        <v>44743</v>
      </c>
      <c r="F25" s="11">
        <f t="shared" ref="F25:P25" si="3">F18</f>
        <v>44774</v>
      </c>
      <c r="G25" s="11">
        <f t="shared" si="3"/>
        <v>44805</v>
      </c>
      <c r="H25" s="11">
        <f t="shared" si="3"/>
        <v>44835</v>
      </c>
      <c r="I25" s="11">
        <f t="shared" si="3"/>
        <v>44866</v>
      </c>
      <c r="J25" s="11">
        <f t="shared" si="3"/>
        <v>44896</v>
      </c>
      <c r="K25" s="11">
        <f t="shared" si="3"/>
        <v>44927</v>
      </c>
      <c r="L25" s="11">
        <f t="shared" si="3"/>
        <v>44958</v>
      </c>
      <c r="M25" s="11">
        <f t="shared" si="3"/>
        <v>44986</v>
      </c>
      <c r="N25" s="11">
        <f t="shared" si="3"/>
        <v>45017</v>
      </c>
      <c r="O25" s="11">
        <f t="shared" si="3"/>
        <v>45047</v>
      </c>
      <c r="P25" s="11">
        <f t="shared" si="3"/>
        <v>45078</v>
      </c>
    </row>
    <row r="26" spans="3:17" x14ac:dyDescent="0.35">
      <c r="D26" s="3" t="str">
        <f>D19</f>
        <v>Budget 2022-23</v>
      </c>
      <c r="E26" s="5">
        <f>AVERAGE($E19:E19)</f>
        <v>15</v>
      </c>
      <c r="F26" s="5">
        <f>AVERAGE($E19:F19)</f>
        <v>15</v>
      </c>
      <c r="G26" s="5">
        <f>AVERAGE($E19:G19)</f>
        <v>15</v>
      </c>
      <c r="H26" s="5">
        <f>AVERAGE($E19:H19)</f>
        <v>15</v>
      </c>
      <c r="I26" s="5">
        <f>AVERAGE($E19:I19)</f>
        <v>15</v>
      </c>
      <c r="J26" s="5">
        <f>AVERAGE($E19:J19)</f>
        <v>15</v>
      </c>
      <c r="K26" s="5">
        <f>AVERAGE($E19:K19)</f>
        <v>15</v>
      </c>
      <c r="L26" s="5">
        <f>AVERAGE($E19:L19)</f>
        <v>15</v>
      </c>
      <c r="M26" s="5">
        <f>AVERAGE($E19:M19)</f>
        <v>15</v>
      </c>
      <c r="N26" s="5">
        <f>AVERAGE($E19:N19)</f>
        <v>15</v>
      </c>
      <c r="O26" s="5">
        <f>AVERAGE($E19:O19)</f>
        <v>15</v>
      </c>
      <c r="P26" s="5">
        <f>AVERAGE($E19:P19)</f>
        <v>15</v>
      </c>
    </row>
    <row r="27" spans="3:17" x14ac:dyDescent="0.35">
      <c r="D27" s="3" t="str">
        <f t="shared" ref="D27:D30" si="4">D20</f>
        <v>Actual 2022-23</v>
      </c>
      <c r="E27" s="5">
        <f>AVERAGE($E20:E20)</f>
        <v>19</v>
      </c>
      <c r="F27" s="5">
        <f>AVERAGE($E20:F20)</f>
        <v>18.5</v>
      </c>
      <c r="G27" s="5">
        <f>AVERAGE($E20:G20)</f>
        <v>12.333333333333334</v>
      </c>
      <c r="H27" s="5">
        <f>AVERAGE($E20:H20)</f>
        <v>9.25</v>
      </c>
      <c r="I27" s="5">
        <f>AVERAGE($E20:I20)</f>
        <v>7.4</v>
      </c>
      <c r="J27" s="5">
        <f>AVERAGE($E20:J20)</f>
        <v>6.166666666666667</v>
      </c>
      <c r="K27" s="5">
        <f>AVERAGE($E20:K20)</f>
        <v>5.2857142857142856</v>
      </c>
      <c r="L27" s="5">
        <f>AVERAGE($E20:L20)</f>
        <v>4.625</v>
      </c>
      <c r="M27" s="5">
        <f>AVERAGE($E20:M20)</f>
        <v>4.1111111111111107</v>
      </c>
      <c r="N27" s="5">
        <f>AVERAGE($E20:N20)</f>
        <v>3.7</v>
      </c>
      <c r="O27" s="5">
        <f>AVERAGE($E20:O20)</f>
        <v>3.3636363636363638</v>
      </c>
      <c r="P27" s="5">
        <f>AVERAGE($E20:P20)</f>
        <v>3.0833333333333335</v>
      </c>
    </row>
    <row r="28" spans="3:17" x14ac:dyDescent="0.35">
      <c r="D28" s="3" t="str">
        <f t="shared" si="4"/>
        <v>Actual 2021-22</v>
      </c>
      <c r="E28" s="5">
        <f>AVERAGE($E21:E21)</f>
        <v>17</v>
      </c>
      <c r="F28" s="5">
        <f>AVERAGE($E21:F21)</f>
        <v>16.5</v>
      </c>
      <c r="G28" s="5">
        <f>AVERAGE($E21:G21)</f>
        <v>16</v>
      </c>
      <c r="H28" s="5">
        <f>AVERAGE($E21:H21)</f>
        <v>15.75</v>
      </c>
      <c r="I28" s="5">
        <f>AVERAGE($E21:I21)</f>
        <v>15.6</v>
      </c>
      <c r="J28" s="5">
        <f>AVERAGE($E21:J21)</f>
        <v>15.666666666666666</v>
      </c>
      <c r="K28" s="5">
        <f>AVERAGE($E21:K21)</f>
        <v>15.571428571428571</v>
      </c>
      <c r="L28" s="5">
        <f>AVERAGE($E21:L21)</f>
        <v>15.625</v>
      </c>
      <c r="M28" s="5">
        <f>AVERAGE($E21:M21)</f>
        <v>15.555555555555555</v>
      </c>
      <c r="N28" s="5">
        <f>AVERAGE($E21:N21)</f>
        <v>15.7</v>
      </c>
      <c r="O28" s="5">
        <f>AVERAGE($E21:O21)</f>
        <v>15.636363636363637</v>
      </c>
      <c r="P28" s="5">
        <f>AVERAGE($E21:P21)</f>
        <v>15.75</v>
      </c>
    </row>
    <row r="29" spans="3:17" x14ac:dyDescent="0.35">
      <c r="D29" s="3" t="str">
        <f t="shared" si="4"/>
        <v>Difference</v>
      </c>
      <c r="E29" s="5">
        <f>SUM($E22:E22)</f>
        <v>4</v>
      </c>
      <c r="F29" s="5">
        <f>SUM($E22:F22)</f>
        <v>7</v>
      </c>
      <c r="G29" s="5">
        <f>SUM($E22:G22)</f>
        <v>7</v>
      </c>
      <c r="H29" s="5">
        <f>SUM($E22:H22)</f>
        <v>7</v>
      </c>
      <c r="I29" s="5">
        <f>SUM($E22:I22)</f>
        <v>7</v>
      </c>
      <c r="J29" s="5">
        <f>SUM($E22:J22)</f>
        <v>7</v>
      </c>
      <c r="K29" s="5">
        <f>SUM($E22:K22)</f>
        <v>7</v>
      </c>
      <c r="L29" s="5">
        <f>SUM($E22:L22)</f>
        <v>7</v>
      </c>
      <c r="M29" s="5">
        <f>SUM($E22:M22)</f>
        <v>7</v>
      </c>
      <c r="N29" s="5">
        <f>SUM($E22:N22)</f>
        <v>7</v>
      </c>
      <c r="O29" s="5">
        <f>SUM($E22:O22)</f>
        <v>7</v>
      </c>
      <c r="P29" s="5">
        <f>SUM($E22:P22)</f>
        <v>7</v>
      </c>
    </row>
    <row r="30" spans="3:17" x14ac:dyDescent="0.35">
      <c r="D30" s="3" t="str">
        <f t="shared" si="4"/>
        <v>Realisation</v>
      </c>
      <c r="E30" s="9">
        <f>E28/E26</f>
        <v>1.1333333333333333</v>
      </c>
      <c r="F30" s="9">
        <f t="shared" ref="F30:P30" si="5">F27/F26</f>
        <v>1.2333333333333334</v>
      </c>
      <c r="G30" s="9">
        <f t="shared" si="5"/>
        <v>0.8222222222222223</v>
      </c>
      <c r="H30" s="9">
        <f t="shared" si="5"/>
        <v>0.6166666666666667</v>
      </c>
      <c r="I30" s="9">
        <f t="shared" si="5"/>
        <v>0.49333333333333335</v>
      </c>
      <c r="J30" s="9">
        <f t="shared" si="5"/>
        <v>0.41111111111111115</v>
      </c>
      <c r="K30" s="9">
        <f t="shared" si="5"/>
        <v>0.35238095238095235</v>
      </c>
      <c r="L30" s="9">
        <f t="shared" si="5"/>
        <v>0.30833333333333335</v>
      </c>
      <c r="M30" s="9">
        <f t="shared" si="5"/>
        <v>0.27407407407407403</v>
      </c>
      <c r="N30" s="9">
        <f t="shared" si="5"/>
        <v>0.24666666666666667</v>
      </c>
      <c r="O30" s="9">
        <f t="shared" si="5"/>
        <v>0.22424242424242424</v>
      </c>
      <c r="P30" s="9">
        <f t="shared" si="5"/>
        <v>0.20555555555555557</v>
      </c>
    </row>
  </sheetData>
  <mergeCells count="2">
    <mergeCell ref="J4:Q8"/>
    <mergeCell ref="J10:Q15"/>
  </mergeCells>
  <conditionalFormatting sqref="C3">
    <cfRule type="expression" dxfId="2" priority="2">
      <formula>S4&gt;S6</formula>
    </cfRule>
  </conditionalFormatting>
  <conditionalFormatting sqref="C5">
    <cfRule type="expression" dxfId="1" priority="3">
      <formula>S4&lt;=S5</formula>
    </cfRule>
  </conditionalFormatting>
  <conditionalFormatting sqref="C4">
    <cfRule type="expression" dxfId="0" priority="1">
      <formula>AND(S4&gt;S5,S4&lt;=S6)</formula>
    </cfRule>
  </conditionalFormatting>
  <hyperlinks>
    <hyperlink ref="L1" location="Dashboard!A1" display="Dashboard"/>
  </hyperlinks>
  <pageMargins left="0.7" right="0.7" top="0.75" bottom="0.75" header="0.3" footer="0.3"/>
  <pageSetup orientation="portrait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98753" r:id="rId4" name="Spinner 1">
              <controlPr defaultSize="0" autoPict="0">
                <anchor moveWithCells="1" sizeWithCells="1">
                  <from>
                    <xdr:col>9</xdr:col>
                    <xdr:colOff>19050</xdr:colOff>
                    <xdr:row>0</xdr:row>
                    <xdr:rowOff>38100</xdr:rowOff>
                  </from>
                  <to>
                    <xdr:col>9</xdr:col>
                    <xdr:colOff>400050</xdr:colOff>
                    <xdr:row>1</xdr:row>
                    <xdr:rowOff>152400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19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8"/>
  <dimension ref="A1:B4"/>
  <sheetViews>
    <sheetView workbookViewId="0"/>
  </sheetViews>
  <sheetFormatPr defaultRowHeight="14.5" x14ac:dyDescent="0.35"/>
  <cols>
    <col min="1" max="1" width="35.81640625" bestFit="1" customWidth="1"/>
  </cols>
  <sheetData>
    <row r="1" spans="1:2" x14ac:dyDescent="0.35">
      <c r="A1" t="s">
        <v>10</v>
      </c>
    </row>
    <row r="3" spans="1:2" x14ac:dyDescent="0.35">
      <c r="A3" t="s">
        <v>11</v>
      </c>
      <c r="B3">
        <v>8</v>
      </c>
    </row>
    <row r="4" spans="1:2" x14ac:dyDescent="0.35">
      <c r="A4" t="s">
        <v>14</v>
      </c>
      <c r="B4" s="2">
        <v>0.75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199</vt:i4>
      </vt:variant>
      <vt:variant>
        <vt:lpstr>Named Ranges</vt:lpstr>
      </vt:variant>
      <vt:variant>
        <vt:i4>3</vt:i4>
      </vt:variant>
    </vt:vector>
  </HeadingPairs>
  <TitlesOfParts>
    <vt:vector size="202" baseType="lpstr">
      <vt:lpstr>Dashboard</vt:lpstr>
      <vt:lpstr>budget 2025-26</vt:lpstr>
      <vt:lpstr>Input Actual2025-26</vt:lpstr>
      <vt:lpstr>Input Actual2024-25</vt:lpstr>
      <vt:lpstr>MARKETING PLAN</vt:lpstr>
      <vt:lpstr>SALES PLAN</vt:lpstr>
      <vt:lpstr>actual 2022-23</vt:lpstr>
      <vt:lpstr>Sheet1</vt:lpstr>
      <vt:lpstr>actual 2021-22</vt:lpstr>
      <vt:lpstr>KPI 1</vt:lpstr>
      <vt:lpstr>KPI 2</vt:lpstr>
      <vt:lpstr>KPI 3A</vt:lpstr>
      <vt:lpstr>KPI 3</vt:lpstr>
      <vt:lpstr>KPI 4</vt:lpstr>
      <vt:lpstr>KPI 5</vt:lpstr>
      <vt:lpstr>KPI 6</vt:lpstr>
      <vt:lpstr>KPI 7</vt:lpstr>
      <vt:lpstr>KPI 8</vt:lpstr>
      <vt:lpstr>KPI 11B</vt:lpstr>
      <vt:lpstr>KPI 11</vt:lpstr>
      <vt:lpstr>KPI 12B</vt:lpstr>
      <vt:lpstr>KPI 12</vt:lpstr>
      <vt:lpstr>KPI 9B</vt:lpstr>
      <vt:lpstr>KPI 9</vt:lpstr>
      <vt:lpstr>KPI 10A</vt:lpstr>
      <vt:lpstr>KPI 10</vt:lpstr>
      <vt:lpstr>KPI 13</vt:lpstr>
      <vt:lpstr>KPI 14</vt:lpstr>
      <vt:lpstr>KPI 15</vt:lpstr>
      <vt:lpstr>KPI 16</vt:lpstr>
      <vt:lpstr>KPI 17</vt:lpstr>
      <vt:lpstr>KPI 18</vt:lpstr>
      <vt:lpstr>KPI 19</vt:lpstr>
      <vt:lpstr>KPI 20</vt:lpstr>
      <vt:lpstr>KPI 21</vt:lpstr>
      <vt:lpstr>KPI 22A</vt:lpstr>
      <vt:lpstr>KPI 22</vt:lpstr>
      <vt:lpstr>KPI 23</vt:lpstr>
      <vt:lpstr>KPI 24</vt:lpstr>
      <vt:lpstr>KPI 25</vt:lpstr>
      <vt:lpstr>KPI 26</vt:lpstr>
      <vt:lpstr>KPI 27</vt:lpstr>
      <vt:lpstr>KPI 28</vt:lpstr>
      <vt:lpstr>KPI 29</vt:lpstr>
      <vt:lpstr>KPI 30</vt:lpstr>
      <vt:lpstr>KPI 31</vt:lpstr>
      <vt:lpstr>KPI 32</vt:lpstr>
      <vt:lpstr>KPI 33B</vt:lpstr>
      <vt:lpstr>KPI 33</vt:lpstr>
      <vt:lpstr>KPI 34A</vt:lpstr>
      <vt:lpstr>KPI 34</vt:lpstr>
      <vt:lpstr>KPI 35B</vt:lpstr>
      <vt:lpstr>KPI 35</vt:lpstr>
      <vt:lpstr>KPI 36B</vt:lpstr>
      <vt:lpstr>KPI 36</vt:lpstr>
      <vt:lpstr>KPI 37</vt:lpstr>
      <vt:lpstr>KPI 38</vt:lpstr>
      <vt:lpstr>KPI 39</vt:lpstr>
      <vt:lpstr>KPI 40</vt:lpstr>
      <vt:lpstr>KPI 41</vt:lpstr>
      <vt:lpstr>KPI 42</vt:lpstr>
      <vt:lpstr>KPI 43</vt:lpstr>
      <vt:lpstr>KPI 44</vt:lpstr>
      <vt:lpstr>KPI 45</vt:lpstr>
      <vt:lpstr>KPI 46A</vt:lpstr>
      <vt:lpstr>KPI 46</vt:lpstr>
      <vt:lpstr>KPI 47</vt:lpstr>
      <vt:lpstr>KPI 48</vt:lpstr>
      <vt:lpstr>KPI 49</vt:lpstr>
      <vt:lpstr>KPI 50</vt:lpstr>
      <vt:lpstr>KPI 51</vt:lpstr>
      <vt:lpstr>KPI 52</vt:lpstr>
      <vt:lpstr>KPI 53</vt:lpstr>
      <vt:lpstr>KPI 54</vt:lpstr>
      <vt:lpstr>KPI 55</vt:lpstr>
      <vt:lpstr>KPI 56</vt:lpstr>
      <vt:lpstr>KPI 57B</vt:lpstr>
      <vt:lpstr>KPI 57</vt:lpstr>
      <vt:lpstr>KPI 58A</vt:lpstr>
      <vt:lpstr>KPI 58</vt:lpstr>
      <vt:lpstr>KPI 59B</vt:lpstr>
      <vt:lpstr>KPI 59</vt:lpstr>
      <vt:lpstr>KPI 60B</vt:lpstr>
      <vt:lpstr>KPI 60</vt:lpstr>
      <vt:lpstr>KPI 61</vt:lpstr>
      <vt:lpstr>KPI 62</vt:lpstr>
      <vt:lpstr>KPI 63</vt:lpstr>
      <vt:lpstr>KPI 64</vt:lpstr>
      <vt:lpstr>KPI 65</vt:lpstr>
      <vt:lpstr>KPI 66</vt:lpstr>
      <vt:lpstr>KPI 67</vt:lpstr>
      <vt:lpstr>KPI 68</vt:lpstr>
      <vt:lpstr>KPI 69</vt:lpstr>
      <vt:lpstr>KPI 70A</vt:lpstr>
      <vt:lpstr>KPI 70</vt:lpstr>
      <vt:lpstr>KPI 71</vt:lpstr>
      <vt:lpstr>KPI 72</vt:lpstr>
      <vt:lpstr>KPI 73</vt:lpstr>
      <vt:lpstr>KPI 73 (2)</vt:lpstr>
      <vt:lpstr>KPI 75 (2)</vt:lpstr>
      <vt:lpstr>KPI 74</vt:lpstr>
      <vt:lpstr>KPI 75</vt:lpstr>
      <vt:lpstr>KPI 76</vt:lpstr>
      <vt:lpstr>KPI 77</vt:lpstr>
      <vt:lpstr>KPI 78</vt:lpstr>
      <vt:lpstr>KPI 79</vt:lpstr>
      <vt:lpstr>KPI 80</vt:lpstr>
      <vt:lpstr>KPI 81</vt:lpstr>
      <vt:lpstr>KPI 82</vt:lpstr>
      <vt:lpstr>KPI 83</vt:lpstr>
      <vt:lpstr>KPI 84</vt:lpstr>
      <vt:lpstr>KPI 85</vt:lpstr>
      <vt:lpstr>KPI 86B</vt:lpstr>
      <vt:lpstr>KPI 86</vt:lpstr>
      <vt:lpstr>KPI 87A</vt:lpstr>
      <vt:lpstr>KPI 87</vt:lpstr>
      <vt:lpstr>KPI 88C</vt:lpstr>
      <vt:lpstr>KPI 88B</vt:lpstr>
      <vt:lpstr>KPI 88</vt:lpstr>
      <vt:lpstr>KPI 89</vt:lpstr>
      <vt:lpstr>KPI 90</vt:lpstr>
      <vt:lpstr>KPI 91</vt:lpstr>
      <vt:lpstr>KPI 92</vt:lpstr>
      <vt:lpstr>KPI 93</vt:lpstr>
      <vt:lpstr>KPI 94</vt:lpstr>
      <vt:lpstr>KPI 95</vt:lpstr>
      <vt:lpstr>KPI 96</vt:lpstr>
      <vt:lpstr>KPI 97</vt:lpstr>
      <vt:lpstr>KPI 98B</vt:lpstr>
      <vt:lpstr>KPI 98</vt:lpstr>
      <vt:lpstr>KPI 99A</vt:lpstr>
      <vt:lpstr>KPI 99</vt:lpstr>
      <vt:lpstr>KPI 100B</vt:lpstr>
      <vt:lpstr>KPI 100</vt:lpstr>
      <vt:lpstr>KPI 101B</vt:lpstr>
      <vt:lpstr>KPI 101</vt:lpstr>
      <vt:lpstr>KPI 102</vt:lpstr>
      <vt:lpstr>KPI 103</vt:lpstr>
      <vt:lpstr>KPI 104</vt:lpstr>
      <vt:lpstr>KPI 105</vt:lpstr>
      <vt:lpstr>KPI 106</vt:lpstr>
      <vt:lpstr>KPI 107</vt:lpstr>
      <vt:lpstr>KPI 108</vt:lpstr>
      <vt:lpstr>KPI 109</vt:lpstr>
      <vt:lpstr>KPI 110B</vt:lpstr>
      <vt:lpstr>KPI 110</vt:lpstr>
      <vt:lpstr>KPI 111A</vt:lpstr>
      <vt:lpstr>KPI 111</vt:lpstr>
      <vt:lpstr>KPI 112B</vt:lpstr>
      <vt:lpstr>KPI 112</vt:lpstr>
      <vt:lpstr>KPI 113B</vt:lpstr>
      <vt:lpstr>KPI 113</vt:lpstr>
      <vt:lpstr>KPI 114</vt:lpstr>
      <vt:lpstr>KPI 115</vt:lpstr>
      <vt:lpstr>KPI 116</vt:lpstr>
      <vt:lpstr>KPI 117</vt:lpstr>
      <vt:lpstr>KPI 118</vt:lpstr>
      <vt:lpstr>KPI 119</vt:lpstr>
      <vt:lpstr>KPI 120</vt:lpstr>
      <vt:lpstr>KPI 121</vt:lpstr>
      <vt:lpstr>KPI 122</vt:lpstr>
      <vt:lpstr>KPI 123A</vt:lpstr>
      <vt:lpstr>KPI 123</vt:lpstr>
      <vt:lpstr>KPI 124</vt:lpstr>
      <vt:lpstr>KPI 125</vt:lpstr>
      <vt:lpstr>KPI 126(B)</vt:lpstr>
      <vt:lpstr>KPI 126(C)</vt:lpstr>
      <vt:lpstr>KPI 126(F)</vt:lpstr>
      <vt:lpstr>KPI 126(D)</vt:lpstr>
      <vt:lpstr>KPI 126(E)</vt:lpstr>
      <vt:lpstr>KPI 126</vt:lpstr>
      <vt:lpstr>KPI 127(B)</vt:lpstr>
      <vt:lpstr>KPI 127(C)</vt:lpstr>
      <vt:lpstr>KPI 127(D)</vt:lpstr>
      <vt:lpstr>KPI 127(E)</vt:lpstr>
      <vt:lpstr>KPI 127</vt:lpstr>
      <vt:lpstr>KPI 128</vt:lpstr>
      <vt:lpstr>KPI 129</vt:lpstr>
      <vt:lpstr>KPI 130</vt:lpstr>
      <vt:lpstr>KPI 131</vt:lpstr>
      <vt:lpstr>KPI 132</vt:lpstr>
      <vt:lpstr>KPI 133</vt:lpstr>
      <vt:lpstr>KPI 134</vt:lpstr>
      <vt:lpstr>KPI 135</vt:lpstr>
      <vt:lpstr>KPI 136</vt:lpstr>
      <vt:lpstr>KPI 137</vt:lpstr>
      <vt:lpstr>KPI 138</vt:lpstr>
      <vt:lpstr>KPI 139</vt:lpstr>
      <vt:lpstr>KPI 140</vt:lpstr>
      <vt:lpstr>KPI 141</vt:lpstr>
      <vt:lpstr>KPI 142</vt:lpstr>
      <vt:lpstr>KPI 143</vt:lpstr>
      <vt:lpstr>KPI 144</vt:lpstr>
      <vt:lpstr>KPI 145</vt:lpstr>
      <vt:lpstr>KPI 146</vt:lpstr>
      <vt:lpstr>KPI 147</vt:lpstr>
      <vt:lpstr>KPI 148</vt:lpstr>
      <vt:lpstr>KPI 149</vt:lpstr>
      <vt:lpstr>General</vt:lpstr>
      <vt:lpstr>Actual_month</vt:lpstr>
      <vt:lpstr>Dashboard!Print_Area</vt:lpstr>
      <vt:lpstr>Dashboard!Print_Titles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ICT Assistant</cp:lastModifiedBy>
  <cp:lastPrinted>2026-03-09T08:52:37Z</cp:lastPrinted>
  <dcterms:created xsi:type="dcterms:W3CDTF">2014-08-18T15:14:05Z</dcterms:created>
  <dcterms:modified xsi:type="dcterms:W3CDTF">2026-04-27T11:58:17Z</dcterms:modified>
</cp:coreProperties>
</file>